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O:\Support\Finance\Reporting\2026\4. Suivi Tréso 2026\"/>
    </mc:Choice>
  </mc:AlternateContent>
  <xr:revisionPtr revIDLastSave="0" documentId="13_ncr:1_{80F0C1E9-5DCD-4140-BB25-06A32C1513F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cap ENGAGE EUROS" sheetId="13" r:id="rId1"/>
    <sheet name="BASE" sheetId="1" r:id="rId2"/>
    <sheet name="Presta clôturées" sheetId="11" r:id="rId3"/>
  </sheets>
  <definedNames>
    <definedName name="_xlnm._FilterDatabase" localSheetId="1" hidden="1">BASE!$A$2:$T$3063</definedName>
    <definedName name="_xlnm._FilterDatabase" localSheetId="2" hidden="1">'Presta clôturées'!$A$2:$T$3041</definedName>
    <definedName name="_xlnm.Print_Area" localSheetId="1">BASE!$H$2:$R$286</definedName>
  </definedNames>
  <calcPr calcId="191029"/>
  <pivotCaches>
    <pivotCache cacheId="0" r:id="rId4"/>
    <pivotCache cacheId="1" r:id="rId5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60" i="1" l="1"/>
  <c r="Q3060" i="1" s="1"/>
  <c r="N1" i="1"/>
  <c r="R3068" i="1"/>
  <c r="Q3068" i="1"/>
  <c r="R3067" i="1"/>
  <c r="Q3067" i="1"/>
  <c r="R3066" i="1"/>
  <c r="Q3066" i="1"/>
  <c r="N3068" i="1"/>
  <c r="N3067" i="1"/>
  <c r="N3066" i="1"/>
  <c r="R3065" i="1"/>
  <c r="Q3065" i="1"/>
  <c r="R3064" i="1"/>
  <c r="Q3064" i="1"/>
  <c r="N3065" i="1"/>
  <c r="N3064" i="1"/>
  <c r="N221" i="1"/>
  <c r="N220" i="1"/>
  <c r="N217" i="1"/>
  <c r="N215" i="1"/>
  <c r="Q3055" i="1"/>
  <c r="R3055" i="1"/>
  <c r="Q3056" i="1"/>
  <c r="R3056" i="1"/>
  <c r="Q3057" i="1"/>
  <c r="R3057" i="1"/>
  <c r="Q3058" i="1"/>
  <c r="R3058" i="1"/>
  <c r="Q3059" i="1"/>
  <c r="R3059" i="1"/>
  <c r="Q3061" i="1"/>
  <c r="R3061" i="1"/>
  <c r="Q3062" i="1"/>
  <c r="R3062" i="1"/>
  <c r="Q3063" i="1"/>
  <c r="R3063" i="1"/>
  <c r="R3054" i="1"/>
  <c r="Q3054" i="1"/>
  <c r="P2815" i="1"/>
  <c r="P28" i="1"/>
  <c r="P27" i="1"/>
  <c r="P3016" i="1"/>
  <c r="P1366" i="1"/>
  <c r="R3053" i="1"/>
  <c r="Q3053" i="1"/>
  <c r="P974" i="1"/>
  <c r="N968" i="1"/>
  <c r="N967" i="1"/>
  <c r="N969" i="1"/>
  <c r="Q979" i="1"/>
  <c r="P979" i="1"/>
  <c r="N977" i="1"/>
  <c r="Q978" i="1"/>
  <c r="P978" i="1"/>
  <c r="R978" i="1" s="1"/>
  <c r="N978" i="1"/>
  <c r="P973" i="1"/>
  <c r="R973" i="1" s="1"/>
  <c r="N973" i="1"/>
  <c r="N970" i="1"/>
  <c r="P2914" i="1"/>
  <c r="P2816" i="1"/>
  <c r="P1233" i="1"/>
  <c r="P1238" i="1"/>
  <c r="P3052" i="1"/>
  <c r="R3052" i="1" s="1"/>
  <c r="P2754" i="1"/>
  <c r="P508" i="1"/>
  <c r="P2384" i="1"/>
  <c r="R3060" i="1" l="1"/>
  <c r="Q973" i="1"/>
  <c r="Q3052" i="1"/>
  <c r="P2560" i="1"/>
  <c r="P2559" i="1"/>
  <c r="P217" i="1"/>
  <c r="P221" i="1"/>
  <c r="P220" i="1"/>
  <c r="P218" i="1"/>
  <c r="P215" i="1"/>
  <c r="P2412" i="1"/>
  <c r="P2844" i="1"/>
  <c r="P337" i="1"/>
  <c r="P336" i="1"/>
  <c r="P980" i="1"/>
  <c r="P969" i="1"/>
  <c r="P2362" i="1"/>
  <c r="P2738" i="1"/>
  <c r="P2242" i="1"/>
  <c r="P2246" i="1"/>
  <c r="P2245" i="1"/>
  <c r="P2244" i="1"/>
  <c r="P2781" i="1"/>
  <c r="P1751" i="1"/>
  <c r="P2977" i="1"/>
  <c r="P2907" i="1"/>
  <c r="P2906" i="1"/>
  <c r="P2757" i="1"/>
  <c r="Q2757" i="1" s="1"/>
  <c r="P2756" i="1"/>
  <c r="Q2756" i="1" s="1"/>
  <c r="P2351" i="1"/>
  <c r="Q2351" i="1" s="1"/>
  <c r="R3051" i="1"/>
  <c r="R3050" i="1"/>
  <c r="R3049" i="1"/>
  <c r="R3048" i="1"/>
  <c r="Q3048" i="1"/>
  <c r="R3047" i="1"/>
  <c r="Q3047" i="1"/>
  <c r="N3050" i="1"/>
  <c r="Q3050" i="1" s="1"/>
  <c r="N3049" i="1"/>
  <c r="Q3049" i="1" s="1"/>
  <c r="P1194" i="1"/>
  <c r="P1195" i="1"/>
  <c r="P3042" i="1"/>
  <c r="R3042" i="1" s="1"/>
  <c r="P3043" i="1"/>
  <c r="R3043" i="1" s="1"/>
  <c r="P3044" i="1"/>
  <c r="R3044" i="1" s="1"/>
  <c r="P3045" i="1"/>
  <c r="Q3045" i="1" s="1"/>
  <c r="P3041" i="1"/>
  <c r="R3041" i="1" s="1"/>
  <c r="P2397" i="1"/>
  <c r="P338" i="1"/>
  <c r="P511" i="1"/>
  <c r="P510" i="1"/>
  <c r="P509" i="1"/>
  <c r="P2972" i="1"/>
  <c r="P855" i="1"/>
  <c r="P827" i="1"/>
  <c r="P2575" i="1"/>
  <c r="P2357" i="1"/>
  <c r="P2806" i="1"/>
  <c r="R3046" i="1"/>
  <c r="Q3046" i="1"/>
  <c r="R3040" i="1"/>
  <c r="R3039" i="1"/>
  <c r="R3038" i="1"/>
  <c r="N3040" i="1"/>
  <c r="Q3040" i="1" s="1"/>
  <c r="N3039" i="1"/>
  <c r="Q3039" i="1" s="1"/>
  <c r="N3038" i="1"/>
  <c r="Q3038" i="1" s="1"/>
  <c r="R3037" i="1"/>
  <c r="Q3037" i="1"/>
  <c r="P2574" i="1"/>
  <c r="P2584" i="1"/>
  <c r="P2928" i="1"/>
  <c r="P3015" i="1"/>
  <c r="P2950" i="1"/>
  <c r="P1929" i="1"/>
  <c r="P1930" i="1"/>
  <c r="R3045" i="1" l="1"/>
  <c r="Q3043" i="1"/>
  <c r="Q3044" i="1"/>
  <c r="Q3042" i="1"/>
  <c r="Q3041" i="1"/>
  <c r="R3036" i="1"/>
  <c r="Q3036" i="1"/>
  <c r="R3035" i="1"/>
  <c r="Q3035" i="1"/>
  <c r="R3034" i="1"/>
  <c r="Q3034" i="1"/>
  <c r="R3033" i="1"/>
  <c r="Q3033" i="1"/>
  <c r="R3032" i="1"/>
  <c r="Q3032" i="1"/>
  <c r="R3031" i="1"/>
  <c r="Q3031" i="1"/>
  <c r="R2534" i="1"/>
  <c r="Q2534" i="1"/>
  <c r="R3030" i="1"/>
  <c r="R3029" i="1"/>
  <c r="Q3029" i="1"/>
  <c r="P368" i="1"/>
  <c r="P377" i="1"/>
  <c r="P2958" i="1"/>
  <c r="R3028" i="1"/>
  <c r="Q3028" i="1"/>
  <c r="R3027" i="1"/>
  <c r="Q3027" i="1"/>
  <c r="R3026" i="1"/>
  <c r="Q3026" i="1"/>
  <c r="R1991" i="1"/>
  <c r="Q1991" i="1"/>
  <c r="P1389" i="1"/>
  <c r="R3025" i="1"/>
  <c r="Q3025" i="1"/>
  <c r="P2350" i="1"/>
  <c r="N2350" i="1"/>
  <c r="R3024" i="1"/>
  <c r="Q3024" i="1"/>
  <c r="R3023" i="1"/>
  <c r="R3022" i="1"/>
  <c r="R3021" i="1"/>
  <c r="R3020" i="1"/>
  <c r="Q3020" i="1"/>
  <c r="N3023" i="1"/>
  <c r="Q3023" i="1" s="1"/>
  <c r="N3022" i="1"/>
  <c r="Q3022" i="1" s="1"/>
  <c r="N3021" i="1"/>
  <c r="Q3021" i="1" s="1"/>
  <c r="R3019" i="1"/>
  <c r="Q3019" i="1"/>
  <c r="R3018" i="1"/>
  <c r="Q3018" i="1"/>
  <c r="R3017" i="1"/>
  <c r="Q3017" i="1"/>
  <c r="P479" i="1"/>
  <c r="P2820" i="1"/>
  <c r="P2856" i="1"/>
  <c r="P2780" i="1"/>
  <c r="Q3030" i="1" l="1"/>
  <c r="P482" i="1"/>
  <c r="P481" i="1"/>
  <c r="P2404" i="1"/>
  <c r="P2760" i="1"/>
  <c r="P2765" i="1"/>
  <c r="N1750" i="1"/>
  <c r="R1751" i="1"/>
  <c r="Q3016" i="1"/>
  <c r="Q3015" i="1"/>
  <c r="R3015" i="1"/>
  <c r="P1112" i="1"/>
  <c r="P1111" i="1"/>
  <c r="P1110" i="1"/>
  <c r="P1154" i="1"/>
  <c r="P1153" i="1"/>
  <c r="P1152" i="1"/>
  <c r="P1226" i="1"/>
  <c r="P1224" i="1"/>
  <c r="P1237" i="1"/>
  <c r="P2920" i="1"/>
  <c r="P730" i="1"/>
  <c r="P2275" i="1"/>
  <c r="P731" i="1"/>
  <c r="R2853" i="1"/>
  <c r="Q2853" i="1"/>
  <c r="R2852" i="1"/>
  <c r="Q2852" i="1"/>
  <c r="N2849" i="1"/>
  <c r="N2848" i="1"/>
  <c r="N2847" i="1"/>
  <c r="P2973" i="1"/>
  <c r="R3014" i="1"/>
  <c r="Q3014" i="1"/>
  <c r="R3013" i="1"/>
  <c r="Q3013" i="1"/>
  <c r="N2878" i="1"/>
  <c r="Q1751" i="1" l="1"/>
  <c r="R3016" i="1"/>
  <c r="R3012" i="1"/>
  <c r="Q3012" i="1"/>
  <c r="R3011" i="1"/>
  <c r="Q3011" i="1"/>
  <c r="R3010" i="1"/>
  <c r="Q3010" i="1"/>
  <c r="R3009" i="1"/>
  <c r="Q3009" i="1"/>
  <c r="R3008" i="1"/>
  <c r="Q3008" i="1"/>
  <c r="R3007" i="1"/>
  <c r="Q3007" i="1"/>
  <c r="R3006" i="1"/>
  <c r="Q3006" i="1"/>
  <c r="R3005" i="1"/>
  <c r="Q3005" i="1"/>
  <c r="R3004" i="1"/>
  <c r="Q3004" i="1"/>
  <c r="R3003" i="1"/>
  <c r="Q3003" i="1"/>
  <c r="R3002" i="1"/>
  <c r="Q3002" i="1"/>
  <c r="R3001" i="1"/>
  <c r="Q3001" i="1"/>
  <c r="R3000" i="1"/>
  <c r="Q3000" i="1"/>
  <c r="R2999" i="1"/>
  <c r="Q2999" i="1"/>
  <c r="R2998" i="1"/>
  <c r="Q2998" i="1"/>
  <c r="R2997" i="1"/>
  <c r="Q2997" i="1"/>
  <c r="R2996" i="1"/>
  <c r="Q2996" i="1"/>
  <c r="R2995" i="1"/>
  <c r="Q2995" i="1"/>
  <c r="R2994" i="1"/>
  <c r="Q2994" i="1"/>
  <c r="R2993" i="1"/>
  <c r="Q2993" i="1"/>
  <c r="R2992" i="1"/>
  <c r="Q2992" i="1"/>
  <c r="R2991" i="1"/>
  <c r="Q2991" i="1"/>
  <c r="R2990" i="1"/>
  <c r="Q2990" i="1"/>
  <c r="R2989" i="1"/>
  <c r="Q2989" i="1"/>
  <c r="R2988" i="1"/>
  <c r="Q2988" i="1"/>
  <c r="R2987" i="1"/>
  <c r="Q2987" i="1"/>
  <c r="R2986" i="1"/>
  <c r="Q2986" i="1"/>
  <c r="R2985" i="1"/>
  <c r="Q2985" i="1"/>
  <c r="P2953" i="1"/>
  <c r="Q2953" i="1" s="1"/>
  <c r="R2984" i="1"/>
  <c r="Q2984" i="1"/>
  <c r="R2983" i="1"/>
  <c r="Q2983" i="1"/>
  <c r="R2982" i="1"/>
  <c r="Q2982" i="1"/>
  <c r="R2981" i="1"/>
  <c r="Q2981" i="1"/>
  <c r="R2980" i="1"/>
  <c r="Q2980" i="1"/>
  <c r="P2753" i="1"/>
  <c r="R2979" i="1"/>
  <c r="Q2979" i="1"/>
  <c r="R2978" i="1"/>
  <c r="Q2978" i="1"/>
  <c r="R2977" i="1"/>
  <c r="Q2977" i="1"/>
  <c r="R2976" i="1"/>
  <c r="Q2976" i="1"/>
  <c r="R2975" i="1"/>
  <c r="R2974" i="1"/>
  <c r="R2973" i="1"/>
  <c r="R2972" i="1"/>
  <c r="Q2972" i="1"/>
  <c r="R2971" i="1"/>
  <c r="Q2971" i="1"/>
  <c r="R2970" i="1"/>
  <c r="Q2970" i="1"/>
  <c r="R2969" i="1"/>
  <c r="Q2969" i="1"/>
  <c r="R2968" i="1"/>
  <c r="Q2968" i="1"/>
  <c r="R2967" i="1"/>
  <c r="Q2967" i="1"/>
  <c r="R2964" i="1"/>
  <c r="Q2964" i="1"/>
  <c r="N2975" i="1"/>
  <c r="Q2975" i="1" s="1"/>
  <c r="N2974" i="1"/>
  <c r="Q2974" i="1" s="1"/>
  <c r="N2973" i="1"/>
  <c r="Q2973" i="1" s="1"/>
  <c r="R2966" i="1"/>
  <c r="Q2966" i="1"/>
  <c r="R2965" i="1"/>
  <c r="Q2965" i="1"/>
  <c r="P2558" i="1"/>
  <c r="P1986" i="1"/>
  <c r="P2402" i="1"/>
  <c r="P2963" i="1"/>
  <c r="Q2963" i="1" s="1"/>
  <c r="P2363" i="1"/>
  <c r="P2899" i="1"/>
  <c r="Q2958" i="1"/>
  <c r="P874" i="1"/>
  <c r="P335" i="1"/>
  <c r="N2907" i="1"/>
  <c r="Q2907" i="1" s="1"/>
  <c r="N2906" i="1"/>
  <c r="P2241" i="1"/>
  <c r="P2236" i="1"/>
  <c r="N2830" i="1"/>
  <c r="N2829" i="1"/>
  <c r="Q2829" i="1" s="1"/>
  <c r="N2828" i="1"/>
  <c r="R2829" i="1"/>
  <c r="N2827" i="1"/>
  <c r="P2202" i="1"/>
  <c r="P2463" i="1"/>
  <c r="P1767" i="1"/>
  <c r="P2596" i="1"/>
  <c r="P2597" i="1"/>
  <c r="P2573" i="1"/>
  <c r="P2572" i="1"/>
  <c r="R2950" i="1"/>
  <c r="P2957" i="1"/>
  <c r="R2957" i="1" s="1"/>
  <c r="Q2959" i="1"/>
  <c r="R2959" i="1"/>
  <c r="Q2960" i="1"/>
  <c r="R2960" i="1"/>
  <c r="Q2961" i="1"/>
  <c r="R2961" i="1"/>
  <c r="R2962" i="1"/>
  <c r="Q2962" i="1"/>
  <c r="P371" i="1"/>
  <c r="N2956" i="1"/>
  <c r="N2955" i="1"/>
  <c r="R2956" i="1"/>
  <c r="R2955" i="1"/>
  <c r="R2954" i="1"/>
  <c r="Q2954" i="1"/>
  <c r="P1412" i="1"/>
  <c r="P2947" i="1"/>
  <c r="R2947" i="1" s="1"/>
  <c r="P2948" i="1"/>
  <c r="R2948" i="1" s="1"/>
  <c r="P365" i="1"/>
  <c r="P2369" i="1"/>
  <c r="Q2952" i="1"/>
  <c r="R2952" i="1"/>
  <c r="Q2951" i="1"/>
  <c r="R2951" i="1"/>
  <c r="Q2949" i="1"/>
  <c r="R2949" i="1"/>
  <c r="R2946" i="1"/>
  <c r="Q2946" i="1"/>
  <c r="P2931" i="1"/>
  <c r="R2931" i="1" s="1"/>
  <c r="N2942" i="1"/>
  <c r="Q2942" i="1" s="1"/>
  <c r="N2945" i="1"/>
  <c r="Q2945" i="1" s="1"/>
  <c r="R2944" i="1"/>
  <c r="Q2944" i="1"/>
  <c r="R2945" i="1"/>
  <c r="R2943" i="1"/>
  <c r="Q2943" i="1"/>
  <c r="R2942" i="1"/>
  <c r="R2941" i="1"/>
  <c r="Q2941" i="1"/>
  <c r="R2940" i="1"/>
  <c r="Q2940" i="1"/>
  <c r="R2939" i="1"/>
  <c r="Q2939" i="1"/>
  <c r="R2938" i="1"/>
  <c r="Q2938" i="1"/>
  <c r="R2937" i="1"/>
  <c r="Q2937" i="1"/>
  <c r="R2936" i="1"/>
  <c r="Q2936" i="1"/>
  <c r="R2935" i="1"/>
  <c r="Q2935" i="1"/>
  <c r="R2934" i="1"/>
  <c r="Q2934" i="1"/>
  <c r="R2933" i="1"/>
  <c r="Q2933" i="1"/>
  <c r="R2932" i="1"/>
  <c r="Q2932" i="1"/>
  <c r="P2929" i="1"/>
  <c r="Q2929" i="1" s="1"/>
  <c r="P2751" i="1"/>
  <c r="P1748" i="1"/>
  <c r="P1987" i="1"/>
  <c r="P1193" i="1"/>
  <c r="P480" i="1"/>
  <c r="R2930" i="1"/>
  <c r="Q2930" i="1"/>
  <c r="R2928" i="1"/>
  <c r="N2928" i="1"/>
  <c r="Q2928" i="1" s="1"/>
  <c r="R2927" i="1"/>
  <c r="Q2927" i="1"/>
  <c r="P2043" i="1"/>
  <c r="P1023" i="1"/>
  <c r="P1024" i="1"/>
  <c r="P2003" i="1"/>
  <c r="P2913" i="1"/>
  <c r="R2913" i="1" s="1"/>
  <c r="P2917" i="1"/>
  <c r="R2917" i="1" s="1"/>
  <c r="P2198" i="1"/>
  <c r="P2926" i="1"/>
  <c r="Q2926" i="1" s="1"/>
  <c r="P877" i="1"/>
  <c r="P358" i="1"/>
  <c r="R2925" i="1"/>
  <c r="Q2925" i="1"/>
  <c r="R2919" i="1"/>
  <c r="Q2919" i="1"/>
  <c r="R2918" i="1"/>
  <c r="Q2918" i="1"/>
  <c r="N479" i="1"/>
  <c r="R2924" i="1"/>
  <c r="Q2924" i="1"/>
  <c r="R2923" i="1"/>
  <c r="R2922" i="1"/>
  <c r="R2921" i="1"/>
  <c r="R2920" i="1"/>
  <c r="N2923" i="1"/>
  <c r="N2922" i="1"/>
  <c r="N2921" i="1"/>
  <c r="N2920" i="1"/>
  <c r="Q2920" i="1" s="1"/>
  <c r="N2917" i="1"/>
  <c r="R2916" i="1"/>
  <c r="Q2916" i="1"/>
  <c r="R2915" i="1"/>
  <c r="Q2915" i="1"/>
  <c r="R2914" i="1"/>
  <c r="Q2914" i="1"/>
  <c r="R2912" i="1"/>
  <c r="Q2912" i="1"/>
  <c r="R2911" i="1"/>
  <c r="Q2911" i="1"/>
  <c r="R2910" i="1"/>
  <c r="R2909" i="1"/>
  <c r="R2908" i="1"/>
  <c r="R2907" i="1"/>
  <c r="R2905" i="1"/>
  <c r="Q2905" i="1"/>
  <c r="N2910" i="1"/>
  <c r="Q2910" i="1" s="1"/>
  <c r="N2909" i="1"/>
  <c r="Q2909" i="1" s="1"/>
  <c r="N2908" i="1"/>
  <c r="Q2908" i="1" s="1"/>
  <c r="R2904" i="1"/>
  <c r="Q2904" i="1"/>
  <c r="R2903" i="1"/>
  <c r="R2902" i="1"/>
  <c r="N2903" i="1"/>
  <c r="Q2903" i="1" s="1"/>
  <c r="N2902" i="1"/>
  <c r="Q2902" i="1" s="1"/>
  <c r="R2901" i="1"/>
  <c r="R2900" i="1"/>
  <c r="N2901" i="1"/>
  <c r="Q2901" i="1" s="1"/>
  <c r="N2900" i="1"/>
  <c r="Q2900" i="1" s="1"/>
  <c r="R2953" i="1" l="1"/>
  <c r="Q2950" i="1"/>
  <c r="Q2957" i="1"/>
  <c r="R2963" i="1"/>
  <c r="Q2917" i="1"/>
  <c r="Q2913" i="1"/>
  <c r="R2958" i="1"/>
  <c r="Q2947" i="1"/>
  <c r="Q2948" i="1"/>
  <c r="Q2931" i="1"/>
  <c r="R2926" i="1"/>
  <c r="Q2906" i="1"/>
  <c r="R2929" i="1"/>
  <c r="R2906" i="1"/>
  <c r="Q2921" i="1"/>
  <c r="Q2922" i="1"/>
  <c r="Q2923" i="1"/>
  <c r="R2899" i="1"/>
  <c r="Q2891" i="1"/>
  <c r="R2891" i="1"/>
  <c r="Q2892" i="1"/>
  <c r="R2892" i="1"/>
  <c r="Q2893" i="1"/>
  <c r="R2893" i="1"/>
  <c r="Q2894" i="1"/>
  <c r="R2894" i="1"/>
  <c r="R2898" i="1"/>
  <c r="Q2898" i="1"/>
  <c r="R2897" i="1"/>
  <c r="Q2897" i="1"/>
  <c r="R2896" i="1"/>
  <c r="Q2896" i="1"/>
  <c r="R2895" i="1"/>
  <c r="Q2895" i="1"/>
  <c r="P2818" i="1"/>
  <c r="R2818" i="1" s="1"/>
  <c r="P2889" i="1"/>
  <c r="R2889" i="1" s="1"/>
  <c r="R2890" i="1"/>
  <c r="Q2890" i="1"/>
  <c r="Q864" i="1"/>
  <c r="R864" i="1"/>
  <c r="Q854" i="1"/>
  <c r="R854" i="1"/>
  <c r="R855" i="1"/>
  <c r="N871" i="1"/>
  <c r="N855" i="1"/>
  <c r="Q855" i="1" s="1"/>
  <c r="P2394" i="1"/>
  <c r="P968" i="1"/>
  <c r="P2139" i="1"/>
  <c r="P2237" i="1"/>
  <c r="P2238" i="1"/>
  <c r="P2215" i="1"/>
  <c r="P2824" i="1"/>
  <c r="Q2824" i="1" s="1"/>
  <c r="P2826" i="1"/>
  <c r="Q2826" i="1" s="1"/>
  <c r="P2825" i="1"/>
  <c r="Q2825" i="1" s="1"/>
  <c r="P823" i="1"/>
  <c r="P1939" i="1"/>
  <c r="P2361" i="1"/>
  <c r="P2370" i="1"/>
  <c r="P2373" i="1"/>
  <c r="P2406" i="1"/>
  <c r="P2249" i="1"/>
  <c r="P2291" i="1"/>
  <c r="P2788" i="1"/>
  <c r="P738" i="1"/>
  <c r="P2465" i="1"/>
  <c r="N2465" i="1"/>
  <c r="P2811" i="1"/>
  <c r="P2758" i="1"/>
  <c r="P2393" i="1"/>
  <c r="P757" i="1"/>
  <c r="P756" i="1"/>
  <c r="P755" i="1"/>
  <c r="P754" i="1"/>
  <c r="P2845" i="1"/>
  <c r="R2845" i="1" s="1"/>
  <c r="P2717" i="1"/>
  <c r="P2581" i="1"/>
  <c r="P2571" i="1"/>
  <c r="P2570" i="1"/>
  <c r="P1750" i="1"/>
  <c r="P1981" i="1"/>
  <c r="P2048" i="1"/>
  <c r="P2307" i="1"/>
  <c r="N2857" i="1"/>
  <c r="Q2857" i="1" s="1"/>
  <c r="N2864" i="1"/>
  <c r="Q2864" i="1" s="1"/>
  <c r="N2863" i="1"/>
  <c r="Q2863" i="1" s="1"/>
  <c r="N2862" i="1"/>
  <c r="Q2862" i="1" s="1"/>
  <c r="N2861" i="1"/>
  <c r="Q2861" i="1" s="1"/>
  <c r="N2860" i="1"/>
  <c r="Q2860" i="1" s="1"/>
  <c r="N2859" i="1"/>
  <c r="Q2859" i="1" s="1"/>
  <c r="N2858" i="1"/>
  <c r="Q2858" i="1" s="1"/>
  <c r="P2388" i="1"/>
  <c r="P2812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N2888" i="1"/>
  <c r="Q2888" i="1" s="1"/>
  <c r="N2887" i="1"/>
  <c r="Q2887" i="1" s="1"/>
  <c r="N2886" i="1"/>
  <c r="Q2886" i="1" s="1"/>
  <c r="N2885" i="1"/>
  <c r="Q2885" i="1" s="1"/>
  <c r="N2884" i="1"/>
  <c r="Q2884" i="1" s="1"/>
  <c r="N2883" i="1"/>
  <c r="Q2883" i="1" s="1"/>
  <c r="N2882" i="1"/>
  <c r="Q2882" i="1" s="1"/>
  <c r="N2881" i="1"/>
  <c r="Q2881" i="1" s="1"/>
  <c r="Q2878" i="1"/>
  <c r="N2880" i="1"/>
  <c r="Q2880" i="1" s="1"/>
  <c r="N2879" i="1"/>
  <c r="Q2879" i="1" s="1"/>
  <c r="N2877" i="1"/>
  <c r="Q2877" i="1" s="1"/>
  <c r="N2876" i="1"/>
  <c r="Q2876" i="1" s="1"/>
  <c r="N2875" i="1"/>
  <c r="Q2875" i="1" s="1"/>
  <c r="N2874" i="1"/>
  <c r="Q2874" i="1" s="1"/>
  <c r="N2873" i="1"/>
  <c r="Q2873" i="1" s="1"/>
  <c r="N2872" i="1"/>
  <c r="Q2872" i="1" s="1"/>
  <c r="N2871" i="1"/>
  <c r="Q2871" i="1" s="1"/>
  <c r="N2870" i="1"/>
  <c r="Q2870" i="1" s="1"/>
  <c r="N2869" i="1"/>
  <c r="Q2869" i="1" s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Q2856" i="1"/>
  <c r="R2855" i="1"/>
  <c r="Q2855" i="1"/>
  <c r="N2868" i="1"/>
  <c r="Q2868" i="1" s="1"/>
  <c r="N2867" i="1"/>
  <c r="Q2867" i="1" s="1"/>
  <c r="N2866" i="1"/>
  <c r="Q2866" i="1" s="1"/>
  <c r="N2865" i="1"/>
  <c r="Q2865" i="1" s="1"/>
  <c r="R2854" i="1"/>
  <c r="Q2854" i="1"/>
  <c r="R2851" i="1"/>
  <c r="R2850" i="1"/>
  <c r="R2849" i="1"/>
  <c r="R2848" i="1"/>
  <c r="R2847" i="1"/>
  <c r="R2846" i="1"/>
  <c r="R2831" i="1"/>
  <c r="Q2831" i="1"/>
  <c r="Q2851" i="1"/>
  <c r="Q2850" i="1"/>
  <c r="Q2849" i="1"/>
  <c r="Q2848" i="1"/>
  <c r="Q2847" i="1"/>
  <c r="N2846" i="1"/>
  <c r="Q2846" i="1" s="1"/>
  <c r="N2845" i="1"/>
  <c r="N2365" i="1"/>
  <c r="N2361" i="1"/>
  <c r="N12" i="1"/>
  <c r="P12" i="1"/>
  <c r="R2844" i="1"/>
  <c r="R2843" i="1"/>
  <c r="R2842" i="1"/>
  <c r="R2841" i="1"/>
  <c r="R2840" i="1"/>
  <c r="Q2840" i="1"/>
  <c r="R2839" i="1"/>
  <c r="R2838" i="1"/>
  <c r="R2837" i="1"/>
  <c r="R2836" i="1"/>
  <c r="N2843" i="1"/>
  <c r="Q2843" i="1" s="1"/>
  <c r="N2842" i="1"/>
  <c r="Q2842" i="1" s="1"/>
  <c r="N2841" i="1"/>
  <c r="Q2841" i="1" s="1"/>
  <c r="N2839" i="1"/>
  <c r="Q2839" i="1" s="1"/>
  <c r="N2838" i="1"/>
  <c r="Q2838" i="1" s="1"/>
  <c r="N2837" i="1"/>
  <c r="Q2837" i="1" s="1"/>
  <c r="N2836" i="1"/>
  <c r="Q2836" i="1" s="1"/>
  <c r="R2835" i="1"/>
  <c r="R2834" i="1"/>
  <c r="N2835" i="1"/>
  <c r="Q2835" i="1" s="1"/>
  <c r="N2834" i="1"/>
  <c r="Q2834" i="1" s="1"/>
  <c r="R2833" i="1"/>
  <c r="R2832" i="1"/>
  <c r="Q2832" i="1"/>
  <c r="N2833" i="1"/>
  <c r="Q2833" i="1" s="1"/>
  <c r="N1859" i="1"/>
  <c r="N1858" i="1"/>
  <c r="Q2830" i="1"/>
  <c r="R2830" i="1"/>
  <c r="Q2828" i="1"/>
  <c r="R2828" i="1"/>
  <c r="Q2827" i="1"/>
  <c r="R2827" i="1"/>
  <c r="Q2823" i="1"/>
  <c r="R2823" i="1"/>
  <c r="Q2822" i="1"/>
  <c r="R2822" i="1"/>
  <c r="N27" i="1"/>
  <c r="N480" i="1"/>
  <c r="N377" i="1"/>
  <c r="Q2821" i="1"/>
  <c r="R2821" i="1"/>
  <c r="Q2820" i="1"/>
  <c r="R2820" i="1"/>
  <c r="Q2819" i="1"/>
  <c r="R2819" i="1"/>
  <c r="Q2817" i="1"/>
  <c r="R2817" i="1"/>
  <c r="P2593" i="1"/>
  <c r="Q2818" i="1" l="1"/>
  <c r="Q2889" i="1"/>
  <c r="Q2899" i="1"/>
  <c r="Q2361" i="1"/>
  <c r="R2824" i="1"/>
  <c r="R2361" i="1"/>
  <c r="Q2845" i="1"/>
  <c r="R2826" i="1"/>
  <c r="R2825" i="1"/>
  <c r="Q2844" i="1"/>
  <c r="P2785" i="1"/>
  <c r="P2539" i="1"/>
  <c r="P15" i="1"/>
  <c r="R1928" i="1"/>
  <c r="Q1928" i="1"/>
  <c r="R1927" i="1"/>
  <c r="Q1927" i="1"/>
  <c r="R1926" i="1"/>
  <c r="Q1926" i="1"/>
  <c r="R1925" i="1"/>
  <c r="Q1925" i="1"/>
  <c r="R1924" i="1"/>
  <c r="Q1924" i="1"/>
  <c r="R1923" i="1"/>
  <c r="Q1923" i="1"/>
  <c r="R1922" i="1"/>
  <c r="Q1922" i="1"/>
  <c r="R1921" i="1"/>
  <c r="Q1921" i="1"/>
  <c r="N1929" i="1"/>
  <c r="N1930" i="1"/>
  <c r="R1900" i="1"/>
  <c r="Q1900" i="1"/>
  <c r="P878" i="1"/>
  <c r="R2816" i="1"/>
  <c r="Q2816" i="1"/>
  <c r="P1881" i="1"/>
  <c r="P2197" i="1" l="1"/>
  <c r="N2815" i="1"/>
  <c r="Q2815" i="1" s="1"/>
  <c r="R2815" i="1"/>
  <c r="R2814" i="1"/>
  <c r="Q2814" i="1"/>
  <c r="P2557" i="1"/>
  <c r="R2813" i="1"/>
  <c r="Q2813" i="1"/>
  <c r="P3041" i="11"/>
  <c r="Q3041" i="11" s="1"/>
  <c r="P3040" i="11"/>
  <c r="R3040" i="11" s="1"/>
  <c r="P3039" i="11"/>
  <c r="Q3039" i="11" s="1"/>
  <c r="P3038" i="11"/>
  <c r="R3038" i="11" s="1"/>
  <c r="P3037" i="11"/>
  <c r="R3037" i="11" s="1"/>
  <c r="P3036" i="11"/>
  <c r="R3036" i="11" s="1"/>
  <c r="R3035" i="11"/>
  <c r="Q3035" i="11"/>
  <c r="N980" i="1"/>
  <c r="P2786" i="1"/>
  <c r="R2786" i="1" s="1"/>
  <c r="P1746" i="1"/>
  <c r="Q2717" i="1"/>
  <c r="P2569" i="1"/>
  <c r="P828" i="1"/>
  <c r="P2538" i="1"/>
  <c r="P2537" i="1"/>
  <c r="P2367" i="1"/>
  <c r="Q2812" i="1"/>
  <c r="R2812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R1298" i="1"/>
  <c r="P2212" i="1"/>
  <c r="R2785" i="1"/>
  <c r="P2735" i="1"/>
  <c r="R1238" i="1"/>
  <c r="N1238" i="1"/>
  <c r="R2781" i="1"/>
  <c r="P2805" i="1"/>
  <c r="R2805" i="1" s="1"/>
  <c r="P2791" i="1"/>
  <c r="R2791" i="1" s="1"/>
  <c r="P2790" i="1"/>
  <c r="R2790" i="1" s="1"/>
  <c r="N2796" i="1"/>
  <c r="Q2796" i="1" s="1"/>
  <c r="N2798" i="1"/>
  <c r="Q2798" i="1" s="1"/>
  <c r="Q2804" i="1"/>
  <c r="Q2803" i="1"/>
  <c r="N2802" i="1"/>
  <c r="Q2802" i="1" s="1"/>
  <c r="N2801" i="1"/>
  <c r="Q2801" i="1" s="1"/>
  <c r="N2800" i="1"/>
  <c r="Q2800" i="1" s="1"/>
  <c r="N2799" i="1"/>
  <c r="Q2799" i="1" s="1"/>
  <c r="N2794" i="1"/>
  <c r="Q2794" i="1" s="1"/>
  <c r="Q2795" i="1"/>
  <c r="Q2793" i="1"/>
  <c r="N2792" i="1"/>
  <c r="Q2792" i="1" s="1"/>
  <c r="R2804" i="1"/>
  <c r="R2803" i="1"/>
  <c r="R2802" i="1"/>
  <c r="R2801" i="1"/>
  <c r="R2800" i="1"/>
  <c r="R2799" i="1"/>
  <c r="R2798" i="1"/>
  <c r="R2797" i="1"/>
  <c r="Q2797" i="1"/>
  <c r="R2796" i="1"/>
  <c r="R2795" i="1"/>
  <c r="R2794" i="1"/>
  <c r="R2793" i="1"/>
  <c r="R2792" i="1"/>
  <c r="R2789" i="1"/>
  <c r="Q2789" i="1"/>
  <c r="P391" i="1"/>
  <c r="P2399" i="1"/>
  <c r="P390" i="1"/>
  <c r="N390" i="1"/>
  <c r="P727" i="1"/>
  <c r="P2292" i="1"/>
  <c r="P2392" i="1"/>
  <c r="R2788" i="1"/>
  <c r="Q2788" i="1"/>
  <c r="R2787" i="1"/>
  <c r="Q2787" i="1"/>
  <c r="R2784" i="1"/>
  <c r="Q2784" i="1"/>
  <c r="R2512" i="1"/>
  <c r="Q2512" i="1"/>
  <c r="R2511" i="1"/>
  <c r="Q2511" i="1"/>
  <c r="R2509" i="1"/>
  <c r="Q2509" i="1"/>
  <c r="N1982" i="1"/>
  <c r="R2493" i="1"/>
  <c r="Q2493" i="1"/>
  <c r="N2760" i="1"/>
  <c r="Q2760" i="1" s="1"/>
  <c r="R2760" i="1"/>
  <c r="R2780" i="1"/>
  <c r="N1977" i="11"/>
  <c r="P1977" i="11"/>
  <c r="R1977" i="11" s="1"/>
  <c r="Q1977" i="11"/>
  <c r="R2782" i="1"/>
  <c r="R2783" i="1"/>
  <c r="Q2783" i="1"/>
  <c r="N482" i="1"/>
  <c r="N481" i="1"/>
  <c r="P2368" i="1"/>
  <c r="Q2368" i="1" s="1"/>
  <c r="N2765" i="1"/>
  <c r="Q2765" i="1" s="1"/>
  <c r="N2764" i="1"/>
  <c r="Q2764" i="1" s="1"/>
  <c r="N2763" i="1"/>
  <c r="Q2763" i="1" s="1"/>
  <c r="N2762" i="1"/>
  <c r="Q2762" i="1" s="1"/>
  <c r="R2778" i="1"/>
  <c r="Q2778" i="1"/>
  <c r="Q2761" i="1"/>
  <c r="R2761" i="1"/>
  <c r="Q2759" i="1"/>
  <c r="R2759" i="1"/>
  <c r="R2762" i="1"/>
  <c r="R2763" i="1"/>
  <c r="R2764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R2779" i="1"/>
  <c r="P2372" i="1"/>
  <c r="Q2372" i="1" s="1"/>
  <c r="P2196" i="1"/>
  <c r="P2175" i="1"/>
  <c r="P2724" i="1"/>
  <c r="R3039" i="11" l="1"/>
  <c r="Q3040" i="11"/>
  <c r="Q2786" i="1"/>
  <c r="Q3037" i="11"/>
  <c r="R3041" i="11"/>
  <c r="Q3038" i="11"/>
  <c r="Q3036" i="11"/>
  <c r="R2717" i="1"/>
  <c r="Q2785" i="1"/>
  <c r="Q1238" i="1"/>
  <c r="Q2805" i="1"/>
  <c r="Q2781" i="1"/>
  <c r="Q2791" i="1"/>
  <c r="R2368" i="1"/>
  <c r="Q2780" i="1"/>
  <c r="N828" i="1"/>
  <c r="P2731" i="1"/>
  <c r="R2758" i="1"/>
  <c r="Q2758" i="1"/>
  <c r="N391" i="1"/>
  <c r="R2756" i="1"/>
  <c r="R2757" i="1"/>
  <c r="R2755" i="1"/>
  <c r="Q2755" i="1"/>
  <c r="R2754" i="1"/>
  <c r="Q2754" i="1"/>
  <c r="R2753" i="1"/>
  <c r="R2752" i="1"/>
  <c r="Q2752" i="1"/>
  <c r="R2751" i="1"/>
  <c r="N2751" i="1"/>
  <c r="P2508" i="1"/>
  <c r="P2750" i="1"/>
  <c r="R2750" i="1" s="1"/>
  <c r="Q2751" i="1" l="1"/>
  <c r="Q2750" i="1"/>
  <c r="R2744" i="1"/>
  <c r="R2745" i="1"/>
  <c r="R2746" i="1"/>
  <c r="R2747" i="1"/>
  <c r="R2748" i="1"/>
  <c r="R2749" i="1"/>
  <c r="N2749" i="1"/>
  <c r="Q2749" i="1" s="1"/>
  <c r="N2748" i="1"/>
  <c r="Q2748" i="1" s="1"/>
  <c r="N2747" i="1"/>
  <c r="Q2747" i="1" s="1"/>
  <c r="N2746" i="1"/>
  <c r="Q2746" i="1" s="1"/>
  <c r="N2745" i="1"/>
  <c r="Q2745" i="1" s="1"/>
  <c r="N2744" i="1"/>
  <c r="Q2744" i="1" s="1"/>
  <c r="R2743" i="1"/>
  <c r="R2742" i="1"/>
  <c r="R2741" i="1"/>
  <c r="Q2741" i="1"/>
  <c r="R2740" i="1"/>
  <c r="Q2740" i="1"/>
  <c r="N2743" i="1"/>
  <c r="Q2743" i="1" s="1"/>
  <c r="N2742" i="1"/>
  <c r="Q2742" i="1" s="1"/>
  <c r="P2723" i="1"/>
  <c r="Q2723" i="1" s="1"/>
  <c r="Q2735" i="1"/>
  <c r="P2734" i="1"/>
  <c r="Q2734" i="1" s="1"/>
  <c r="P2726" i="1"/>
  <c r="Q2726" i="1" s="1"/>
  <c r="R251" i="1"/>
  <c r="P2721" i="1"/>
  <c r="Q2721" i="1" s="1"/>
  <c r="R2739" i="1"/>
  <c r="Q2739" i="1"/>
  <c r="Q2738" i="1"/>
  <c r="R2738" i="1"/>
  <c r="Q2720" i="1"/>
  <c r="R2720" i="1"/>
  <c r="Q2722" i="1"/>
  <c r="R2722" i="1"/>
  <c r="Q2724" i="1"/>
  <c r="R2724" i="1"/>
  <c r="Q2725" i="1"/>
  <c r="R2725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6" i="1"/>
  <c r="R2736" i="1"/>
  <c r="Q2737" i="1"/>
  <c r="R2737" i="1"/>
  <c r="R2719" i="1"/>
  <c r="N2719" i="1"/>
  <c r="Q2719" i="1" s="1"/>
  <c r="N2718" i="1"/>
  <c r="Q2718" i="1" s="1"/>
  <c r="R2718" i="1"/>
  <c r="P2391" i="1"/>
  <c r="P2027" i="1"/>
  <c r="P2243" i="1"/>
  <c r="P2568" i="1"/>
  <c r="Q2568" i="1" s="1"/>
  <c r="P2567" i="1"/>
  <c r="Q2567" i="1" s="1"/>
  <c r="P2566" i="1"/>
  <c r="Q2566" i="1" s="1"/>
  <c r="P2565" i="1"/>
  <c r="Q2565" i="1" s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R2564" i="1"/>
  <c r="Q2564" i="1"/>
  <c r="N358" i="1"/>
  <c r="R2563" i="1"/>
  <c r="Q2563" i="1"/>
  <c r="R2562" i="1"/>
  <c r="Q2562" i="1"/>
  <c r="R2561" i="1"/>
  <c r="Q2561" i="1"/>
  <c r="P2536" i="1"/>
  <c r="P369" i="1"/>
  <c r="P2065" i="1"/>
  <c r="P2411" i="1"/>
  <c r="R2723" i="1" l="1"/>
  <c r="R2721" i="1"/>
  <c r="R2735" i="1"/>
  <c r="R2734" i="1"/>
  <c r="R2726" i="1"/>
  <c r="R2568" i="1"/>
  <c r="R2567" i="1"/>
  <c r="R2566" i="1"/>
  <c r="R2565" i="1"/>
  <c r="P2555" i="1"/>
  <c r="Q2555" i="1" s="1"/>
  <c r="P2400" i="1"/>
  <c r="R3034" i="11"/>
  <c r="Q3034" i="11"/>
  <c r="R3033" i="11"/>
  <c r="Q3033" i="11"/>
  <c r="R3032" i="11"/>
  <c r="Q3032" i="11"/>
  <c r="R3031" i="11"/>
  <c r="Q3031" i="11"/>
  <c r="R3030" i="11"/>
  <c r="Q3030" i="11"/>
  <c r="R3029" i="11"/>
  <c r="Q3029" i="11"/>
  <c r="R3028" i="11"/>
  <c r="Q3028" i="11"/>
  <c r="R3027" i="11"/>
  <c r="Q3027" i="11"/>
  <c r="R3026" i="11"/>
  <c r="Q3026" i="11"/>
  <c r="R3025" i="11"/>
  <c r="Q3025" i="11"/>
  <c r="R3024" i="11"/>
  <c r="Q3024" i="11"/>
  <c r="R3023" i="11"/>
  <c r="Q3023" i="11"/>
  <c r="R3022" i="11"/>
  <c r="Q3022" i="11"/>
  <c r="R3021" i="11"/>
  <c r="Q3021" i="11"/>
  <c r="R3020" i="11"/>
  <c r="Q3020" i="11"/>
  <c r="R3019" i="11"/>
  <c r="Q3019" i="11"/>
  <c r="R3018" i="11"/>
  <c r="Q3018" i="11"/>
  <c r="R3017" i="11"/>
  <c r="Q3017" i="11"/>
  <c r="R3016" i="11"/>
  <c r="Q3016" i="11"/>
  <c r="R3015" i="11"/>
  <c r="Q3015" i="11"/>
  <c r="R3014" i="11"/>
  <c r="Q3014" i="11"/>
  <c r="R3013" i="11"/>
  <c r="Q3013" i="11"/>
  <c r="R3012" i="11"/>
  <c r="Q3012" i="11"/>
  <c r="R3011" i="11"/>
  <c r="Q3011" i="11"/>
  <c r="R3010" i="11"/>
  <c r="Q3010" i="11"/>
  <c r="R3009" i="11"/>
  <c r="Q3009" i="11"/>
  <c r="R3008" i="11"/>
  <c r="Q3008" i="11"/>
  <c r="R3007" i="11"/>
  <c r="Q3007" i="11"/>
  <c r="R3006" i="11"/>
  <c r="Q3006" i="11"/>
  <c r="R3005" i="11"/>
  <c r="Q3005" i="11"/>
  <c r="P3004" i="11"/>
  <c r="R3004" i="11" s="1"/>
  <c r="N3004" i="11"/>
  <c r="P3003" i="11"/>
  <c r="R3003" i="11" s="1"/>
  <c r="N3003" i="11"/>
  <c r="P3002" i="11"/>
  <c r="Q3002" i="11" s="1"/>
  <c r="N3002" i="11"/>
  <c r="R2558" i="1"/>
  <c r="R2559" i="1"/>
  <c r="R2560" i="1"/>
  <c r="Q2557" i="1"/>
  <c r="R2557" i="1"/>
  <c r="R2556" i="1"/>
  <c r="Q2556" i="1"/>
  <c r="R2554" i="1"/>
  <c r="Q2554" i="1"/>
  <c r="R2553" i="1"/>
  <c r="R2552" i="1"/>
  <c r="R2551" i="1"/>
  <c r="N2553" i="1"/>
  <c r="Q2553" i="1" s="1"/>
  <c r="N2552" i="1"/>
  <c r="Q2552" i="1" s="1"/>
  <c r="N2551" i="1"/>
  <c r="Q2551" i="1" s="1"/>
  <c r="R2550" i="1"/>
  <c r="Q2550" i="1"/>
  <c r="R2549" i="1"/>
  <c r="Q2549" i="1"/>
  <c r="Q2548" i="1"/>
  <c r="R2548" i="1"/>
  <c r="Q3001" i="11"/>
  <c r="R3001" i="11" s="1"/>
  <c r="Q3000" i="11"/>
  <c r="R3000" i="11" s="1"/>
  <c r="Q2999" i="11"/>
  <c r="R2999" i="11" s="1"/>
  <c r="Q2998" i="11"/>
  <c r="R2998" i="11" s="1"/>
  <c r="Q2997" i="11"/>
  <c r="R2997" i="11" s="1"/>
  <c r="Q2996" i="11"/>
  <c r="R2996" i="11" s="1"/>
  <c r="Q2995" i="11"/>
  <c r="R2995" i="11" s="1"/>
  <c r="Q2994" i="11"/>
  <c r="R2994" i="11" s="1"/>
  <c r="Q2993" i="11"/>
  <c r="R2993" i="11" s="1"/>
  <c r="Q2992" i="11"/>
  <c r="R2992" i="11" s="1"/>
  <c r="P2991" i="11"/>
  <c r="R2991" i="11" s="1"/>
  <c r="R2990" i="11"/>
  <c r="P1982" i="1"/>
  <c r="R2547" i="1"/>
  <c r="Q2547" i="1"/>
  <c r="R2546" i="1"/>
  <c r="Q2546" i="1"/>
  <c r="R2545" i="1"/>
  <c r="Q2545" i="1"/>
  <c r="R2544" i="1"/>
  <c r="Q2544" i="1"/>
  <c r="R2543" i="1"/>
  <c r="Q2543" i="1"/>
  <c r="R2542" i="1"/>
  <c r="Q2542" i="1"/>
  <c r="R2541" i="1"/>
  <c r="Q2541" i="1"/>
  <c r="R2540" i="1"/>
  <c r="Q2540" i="1"/>
  <c r="P355" i="1"/>
  <c r="P2507" i="1"/>
  <c r="R2507" i="1" s="1"/>
  <c r="Q2539" i="1"/>
  <c r="P2195" i="1"/>
  <c r="P2349" i="1"/>
  <c r="P2174" i="1"/>
  <c r="P1932" i="1"/>
  <c r="P2012" i="1"/>
  <c r="P2377" i="1"/>
  <c r="N2537" i="1"/>
  <c r="Q2538" i="1"/>
  <c r="P2989" i="11"/>
  <c r="R2989" i="11" s="1"/>
  <c r="P2988" i="11"/>
  <c r="R2988" i="11" s="1"/>
  <c r="P2987" i="11"/>
  <c r="R2987" i="11" s="1"/>
  <c r="P2986" i="11"/>
  <c r="R2986" i="11" s="1"/>
  <c r="P2985" i="11"/>
  <c r="R2985" i="11" s="1"/>
  <c r="P2984" i="11"/>
  <c r="R2984" i="11" s="1"/>
  <c r="P2983" i="11"/>
  <c r="Q2983" i="11" s="1"/>
  <c r="P2982" i="11"/>
  <c r="R2982" i="11" s="1"/>
  <c r="P2981" i="11"/>
  <c r="R2981" i="11" s="1"/>
  <c r="R2980" i="11"/>
  <c r="Q2980" i="11"/>
  <c r="R2979" i="11"/>
  <c r="Q2979" i="11"/>
  <c r="P2978" i="11"/>
  <c r="Q2978" i="11" s="1"/>
  <c r="P2977" i="11"/>
  <c r="Q2977" i="11" s="1"/>
  <c r="P2976" i="11"/>
  <c r="R2976" i="11" s="1"/>
  <c r="Q2975" i="11"/>
  <c r="R2975" i="11" s="1"/>
  <c r="Q2974" i="11"/>
  <c r="R2974" i="11" s="1"/>
  <c r="Q2973" i="11"/>
  <c r="N2973" i="11"/>
  <c r="Q2972" i="11"/>
  <c r="R2972" i="11" s="1"/>
  <c r="Q2971" i="11"/>
  <c r="R2971" i="11" s="1"/>
  <c r="Q2970" i="11"/>
  <c r="R2970" i="11" s="1"/>
  <c r="Q2969" i="11"/>
  <c r="N2969" i="11"/>
  <c r="Q2968" i="11"/>
  <c r="R2968" i="11" s="1"/>
  <c r="Q2967" i="11"/>
  <c r="R2967" i="11" s="1"/>
  <c r="R2536" i="1"/>
  <c r="R2535" i="1"/>
  <c r="Q2535" i="1"/>
  <c r="R2533" i="1"/>
  <c r="Q2533" i="1"/>
  <c r="R2532" i="1"/>
  <c r="Q2532" i="1"/>
  <c r="R2527" i="1"/>
  <c r="Q2527" i="1"/>
  <c r="R2531" i="1"/>
  <c r="Q2531" i="1"/>
  <c r="R2530" i="1"/>
  <c r="Q2530" i="1"/>
  <c r="R2529" i="1"/>
  <c r="Q2529" i="1"/>
  <c r="R2528" i="1"/>
  <c r="Q2528" i="1"/>
  <c r="R2526" i="1"/>
  <c r="Q2526" i="1"/>
  <c r="R2525" i="1"/>
  <c r="Q2525" i="1"/>
  <c r="R2524" i="1"/>
  <c r="Q2524" i="1"/>
  <c r="R2523" i="1"/>
  <c r="R2522" i="1"/>
  <c r="Q2522" i="1"/>
  <c r="R2521" i="1"/>
  <c r="Q2521" i="1"/>
  <c r="R2520" i="1"/>
  <c r="Q2520" i="1"/>
  <c r="R2519" i="1"/>
  <c r="Q2519" i="1"/>
  <c r="R2518" i="1"/>
  <c r="Q2518" i="1"/>
  <c r="R2517" i="1"/>
  <c r="Q2517" i="1"/>
  <c r="R2516" i="1"/>
  <c r="Q2516" i="1"/>
  <c r="R2515" i="1"/>
  <c r="Q2515" i="1"/>
  <c r="R2514" i="1"/>
  <c r="Q2514" i="1"/>
  <c r="N2523" i="1"/>
  <c r="Q2523" i="1" s="1"/>
  <c r="R2966" i="11"/>
  <c r="Q2966" i="11"/>
  <c r="R2965" i="11"/>
  <c r="Q2965" i="11"/>
  <c r="N755" i="1"/>
  <c r="N754" i="1"/>
  <c r="R2513" i="1"/>
  <c r="R2510" i="1"/>
  <c r="R2508" i="1"/>
  <c r="Q2513" i="1"/>
  <c r="Q2510" i="1"/>
  <c r="Q2508" i="1"/>
  <c r="Q2506" i="1"/>
  <c r="R2505" i="1"/>
  <c r="Q2505" i="1"/>
  <c r="R2504" i="1"/>
  <c r="Q2504" i="1"/>
  <c r="R2503" i="1"/>
  <c r="Q2503" i="1"/>
  <c r="R2502" i="1"/>
  <c r="Q2502" i="1"/>
  <c r="R2501" i="1"/>
  <c r="Q2501" i="1"/>
  <c r="R2500" i="1"/>
  <c r="Q2500" i="1"/>
  <c r="R2499" i="1"/>
  <c r="Q2499" i="1"/>
  <c r="R2498" i="1"/>
  <c r="Q2498" i="1"/>
  <c r="R2497" i="1"/>
  <c r="Q2497" i="1"/>
  <c r="R2496" i="1"/>
  <c r="Q2496" i="1"/>
  <c r="R2495" i="1"/>
  <c r="Q2495" i="1"/>
  <c r="R2494" i="1"/>
  <c r="Q2494" i="1"/>
  <c r="R2492" i="1"/>
  <c r="Q2492" i="1"/>
  <c r="R2491" i="1"/>
  <c r="Q2491" i="1"/>
  <c r="R2490" i="1"/>
  <c r="R2489" i="1"/>
  <c r="Q2489" i="1"/>
  <c r="N2490" i="1"/>
  <c r="Q2490" i="1" s="1"/>
  <c r="P2459" i="1"/>
  <c r="R2459" i="1" s="1"/>
  <c r="P2235" i="1"/>
  <c r="P2408" i="1"/>
  <c r="R2408" i="1" s="1"/>
  <c r="P49" i="1"/>
  <c r="P47" i="1"/>
  <c r="P48" i="1"/>
  <c r="P2464" i="1"/>
  <c r="R2464" i="1" s="1"/>
  <c r="P2458" i="1"/>
  <c r="R2458" i="1" s="1"/>
  <c r="P686" i="1"/>
  <c r="P675" i="1"/>
  <c r="Q2488" i="1"/>
  <c r="R2488" i="1"/>
  <c r="Q2487" i="1"/>
  <c r="R2487" i="1"/>
  <c r="Q2486" i="1"/>
  <c r="R2486" i="1"/>
  <c r="Q2485" i="1"/>
  <c r="R2485" i="1"/>
  <c r="R2484" i="1"/>
  <c r="Q2484" i="1"/>
  <c r="R2483" i="1"/>
  <c r="Q2483" i="1"/>
  <c r="R2482" i="1"/>
  <c r="Q2482" i="1"/>
  <c r="R2481" i="1"/>
  <c r="Q2481" i="1"/>
  <c r="R2480" i="1"/>
  <c r="Q2480" i="1"/>
  <c r="R2479" i="1"/>
  <c r="Q2479" i="1"/>
  <c r="R2478" i="1"/>
  <c r="Q2478" i="1"/>
  <c r="R2477" i="1"/>
  <c r="Q2477" i="1"/>
  <c r="R2476" i="1"/>
  <c r="Q2476" i="1"/>
  <c r="R2475" i="1"/>
  <c r="Q2475" i="1"/>
  <c r="R2474" i="1"/>
  <c r="Q2474" i="1"/>
  <c r="R2473" i="1"/>
  <c r="Q2473" i="1"/>
  <c r="R2472" i="1"/>
  <c r="Q2472" i="1"/>
  <c r="R2471" i="1"/>
  <c r="Q2471" i="1"/>
  <c r="R2470" i="1"/>
  <c r="Q2470" i="1"/>
  <c r="R2469" i="1"/>
  <c r="Q2469" i="1"/>
  <c r="R2468" i="1"/>
  <c r="Q2468" i="1"/>
  <c r="R2467" i="1"/>
  <c r="Q2467" i="1"/>
  <c r="R2466" i="1"/>
  <c r="R2465" i="1"/>
  <c r="N2466" i="1"/>
  <c r="Q2466" i="1" s="1"/>
  <c r="Q2465" i="1"/>
  <c r="R2463" i="1"/>
  <c r="Q2463" i="1"/>
  <c r="Q2462" i="1"/>
  <c r="R2462" i="1"/>
  <c r="R2461" i="1"/>
  <c r="Q2461" i="1"/>
  <c r="R2460" i="1"/>
  <c r="Q2460" i="1"/>
  <c r="R2270" i="1"/>
  <c r="Q2270" i="1"/>
  <c r="R2457" i="1"/>
  <c r="Q2457" i="1"/>
  <c r="R2456" i="1"/>
  <c r="Q2456" i="1"/>
  <c r="R2455" i="1"/>
  <c r="Q2455" i="1"/>
  <c r="R2454" i="1"/>
  <c r="Q2454" i="1"/>
  <c r="R2453" i="1"/>
  <c r="Q2453" i="1"/>
  <c r="R2452" i="1"/>
  <c r="Q2452" i="1"/>
  <c r="R2451" i="1"/>
  <c r="Q2451" i="1"/>
  <c r="R2450" i="1"/>
  <c r="Q2450" i="1"/>
  <c r="R2449" i="1"/>
  <c r="Q2449" i="1"/>
  <c r="R2448" i="1"/>
  <c r="Q2448" i="1"/>
  <c r="R2447" i="1"/>
  <c r="Q2447" i="1"/>
  <c r="R2446" i="1"/>
  <c r="Q2446" i="1"/>
  <c r="R2445" i="1"/>
  <c r="Q2445" i="1"/>
  <c r="R2444" i="1"/>
  <c r="Q2444" i="1"/>
  <c r="R2443" i="1"/>
  <c r="Q2443" i="1"/>
  <c r="R2442" i="1"/>
  <c r="Q2442" i="1"/>
  <c r="R2441" i="1"/>
  <c r="Q2441" i="1"/>
  <c r="R2440" i="1"/>
  <c r="Q2440" i="1"/>
  <c r="R2439" i="1"/>
  <c r="Q2439" i="1"/>
  <c r="R2438" i="1"/>
  <c r="Q2438" i="1"/>
  <c r="R2437" i="1"/>
  <c r="Q2437" i="1"/>
  <c r="R2436" i="1"/>
  <c r="Q2436" i="1"/>
  <c r="R2435" i="1"/>
  <c r="Q2435" i="1"/>
  <c r="R2434" i="1"/>
  <c r="Q2434" i="1"/>
  <c r="R2433" i="1"/>
  <c r="Q2433" i="1"/>
  <c r="R2432" i="1"/>
  <c r="Q2432" i="1"/>
  <c r="R2431" i="1"/>
  <c r="Q2431" i="1"/>
  <c r="R2430" i="1"/>
  <c r="Q2430" i="1"/>
  <c r="R2429" i="1"/>
  <c r="Q2429" i="1"/>
  <c r="R2428" i="1"/>
  <c r="Q2428" i="1"/>
  <c r="R2427" i="1"/>
  <c r="Q2427" i="1"/>
  <c r="R2426" i="1"/>
  <c r="Q2426" i="1"/>
  <c r="R2425" i="1"/>
  <c r="Q2425" i="1"/>
  <c r="R2424" i="1"/>
  <c r="Q2424" i="1"/>
  <c r="R2423" i="1"/>
  <c r="Q2423" i="1"/>
  <c r="R2422" i="1"/>
  <c r="Q2422" i="1"/>
  <c r="R2421" i="1"/>
  <c r="Q2421" i="1"/>
  <c r="R2420" i="1"/>
  <c r="Q2420" i="1"/>
  <c r="R2419" i="1"/>
  <c r="Q2419" i="1"/>
  <c r="R2418" i="1"/>
  <c r="Q2418" i="1"/>
  <c r="R2417" i="1"/>
  <c r="Q2417" i="1"/>
  <c r="R2416" i="1"/>
  <c r="Q2416" i="1"/>
  <c r="R2415" i="1"/>
  <c r="Q2415" i="1"/>
  <c r="R2414" i="1"/>
  <c r="Q2414" i="1"/>
  <c r="R2413" i="1"/>
  <c r="Q2413" i="1"/>
  <c r="R2412" i="1"/>
  <c r="R2411" i="1"/>
  <c r="Q2411" i="1"/>
  <c r="R2410" i="1"/>
  <c r="Q2410" i="1"/>
  <c r="R2409" i="1"/>
  <c r="Q2409" i="1"/>
  <c r="R2407" i="1"/>
  <c r="Q2407" i="1"/>
  <c r="R2977" i="11" l="1"/>
  <c r="Q2986" i="11"/>
  <c r="Q3003" i="11"/>
  <c r="R2983" i="11"/>
  <c r="Q2987" i="11"/>
  <c r="Q2982" i="11"/>
  <c r="R2973" i="11"/>
  <c r="R2978" i="11"/>
  <c r="Q2559" i="1"/>
  <c r="Q2558" i="1"/>
  <c r="R2555" i="1"/>
  <c r="Q2537" i="1"/>
  <c r="Q3004" i="11"/>
  <c r="R3002" i="11"/>
  <c r="Q2560" i="1"/>
  <c r="Q2991" i="11"/>
  <c r="R2969" i="11"/>
  <c r="R2539" i="1"/>
  <c r="R2538" i="1"/>
  <c r="R2537" i="1"/>
  <c r="Q2984" i="11"/>
  <c r="Q2988" i="11"/>
  <c r="Q2981" i="11"/>
  <c r="Q2985" i="11"/>
  <c r="Q2989" i="11"/>
  <c r="Q2458" i="1"/>
  <c r="Q2536" i="1"/>
  <c r="Q2507" i="1"/>
  <c r="Q2408" i="1"/>
  <c r="R2506" i="1"/>
  <c r="Q2459" i="1"/>
  <c r="Q2464" i="1"/>
  <c r="N2412" i="1"/>
  <c r="Q2412" i="1" s="1"/>
  <c r="P1825" i="1"/>
  <c r="R1825" i="1" s="1"/>
  <c r="R2406" i="1"/>
  <c r="P2405" i="1"/>
  <c r="R2405" i="1" s="1"/>
  <c r="R2404" i="1"/>
  <c r="R2370" i="1"/>
  <c r="Q2370" i="1"/>
  <c r="P2964" i="11"/>
  <c r="R2964" i="11" s="1"/>
  <c r="P2963" i="11"/>
  <c r="R2963" i="11" s="1"/>
  <c r="P2962" i="11"/>
  <c r="Q2962" i="11" s="1"/>
  <c r="P2961" i="11"/>
  <c r="R2961" i="11" s="1"/>
  <c r="P2960" i="11"/>
  <c r="R2960" i="11" s="1"/>
  <c r="P2959" i="11"/>
  <c r="R2959" i="11" s="1"/>
  <c r="P2958" i="11"/>
  <c r="R2958" i="11" s="1"/>
  <c r="P2957" i="11"/>
  <c r="R2957" i="11" s="1"/>
  <c r="P2956" i="11"/>
  <c r="R2956" i="11" s="1"/>
  <c r="P2955" i="11"/>
  <c r="R2955" i="11" s="1"/>
  <c r="P2954" i="11"/>
  <c r="R2954" i="11" s="1"/>
  <c r="P2953" i="11"/>
  <c r="R2953" i="11" s="1"/>
  <c r="P2952" i="11"/>
  <c r="R2952" i="11" s="1"/>
  <c r="P2951" i="11"/>
  <c r="R2951" i="11" s="1"/>
  <c r="P2950" i="11"/>
  <c r="R2950" i="11" s="1"/>
  <c r="P2949" i="11"/>
  <c r="R2949" i="11" s="1"/>
  <c r="P2948" i="11"/>
  <c r="R2948" i="11" s="1"/>
  <c r="P2947" i="11"/>
  <c r="R2947" i="11" s="1"/>
  <c r="P2946" i="11"/>
  <c r="Q2946" i="11" s="1"/>
  <c r="P2945" i="11"/>
  <c r="R2945" i="11" s="1"/>
  <c r="P2944" i="11"/>
  <c r="R2944" i="11" s="1"/>
  <c r="P2943" i="11"/>
  <c r="R2943" i="11" s="1"/>
  <c r="P2942" i="11"/>
  <c r="R2942" i="11" s="1"/>
  <c r="P2941" i="11"/>
  <c r="R2941" i="11" s="1"/>
  <c r="P2940" i="11"/>
  <c r="R2940" i="11" s="1"/>
  <c r="P2939" i="11"/>
  <c r="R2939" i="11" s="1"/>
  <c r="P2938" i="11"/>
  <c r="R2938" i="11" s="1"/>
  <c r="P2937" i="11"/>
  <c r="R2937" i="11" s="1"/>
  <c r="P2936" i="11"/>
  <c r="R2936" i="11" s="1"/>
  <c r="P2935" i="11"/>
  <c r="R2935" i="11" s="1"/>
  <c r="P2934" i="11"/>
  <c r="R2934" i="11" s="1"/>
  <c r="P2933" i="11"/>
  <c r="R2933" i="11" s="1"/>
  <c r="P2932" i="11"/>
  <c r="R2932" i="11" s="1"/>
  <c r="P2931" i="11"/>
  <c r="R2931" i="11" s="1"/>
  <c r="P2930" i="11"/>
  <c r="R2930" i="11" s="1"/>
  <c r="R2929" i="11"/>
  <c r="N2929" i="11"/>
  <c r="Q2929" i="11" s="1"/>
  <c r="R2928" i="11"/>
  <c r="Q2928" i="11"/>
  <c r="R2927" i="11"/>
  <c r="Q2927" i="11"/>
  <c r="P2926" i="11"/>
  <c r="Q2926" i="11" s="1"/>
  <c r="R2925" i="11"/>
  <c r="Q2925" i="11"/>
  <c r="R2924" i="11"/>
  <c r="Q2924" i="11"/>
  <c r="R2923" i="11"/>
  <c r="Q2923" i="11"/>
  <c r="P2922" i="11"/>
  <c r="R2922" i="11" s="1"/>
  <c r="P2921" i="11"/>
  <c r="R2921" i="11" s="1"/>
  <c r="R2920" i="11"/>
  <c r="Q2920" i="11"/>
  <c r="P2919" i="11"/>
  <c r="R2919" i="11" s="1"/>
  <c r="P2918" i="11"/>
  <c r="R2918" i="11" s="1"/>
  <c r="P2917" i="11"/>
  <c r="R2917" i="11" s="1"/>
  <c r="Q2916" i="11"/>
  <c r="R2916" i="11" s="1"/>
  <c r="P2915" i="11"/>
  <c r="R2915" i="11" s="1"/>
  <c r="N2915" i="11"/>
  <c r="R2914" i="11"/>
  <c r="Q2914" i="11"/>
  <c r="P2913" i="11"/>
  <c r="R2913" i="11" s="1"/>
  <c r="Q2912" i="11"/>
  <c r="R2912" i="11" s="1"/>
  <c r="P2911" i="11"/>
  <c r="Q2911" i="11" s="1"/>
  <c r="P2910" i="11"/>
  <c r="R2910" i="11" s="1"/>
  <c r="P2909" i="11"/>
  <c r="Q2909" i="11" s="1"/>
  <c r="P2908" i="11"/>
  <c r="R2908" i="11" s="1"/>
  <c r="P2907" i="11"/>
  <c r="Q2907" i="11" s="1"/>
  <c r="P2906" i="11"/>
  <c r="Q2906" i="11" s="1"/>
  <c r="R2905" i="11"/>
  <c r="Q2905" i="11"/>
  <c r="R2904" i="11"/>
  <c r="Q2904" i="11"/>
  <c r="P2903" i="11"/>
  <c r="R2903" i="11" s="1"/>
  <c r="Q2902" i="11"/>
  <c r="R2902" i="11" s="1"/>
  <c r="Q2901" i="11"/>
  <c r="R2901" i="11" s="1"/>
  <c r="Q2900" i="11"/>
  <c r="R2900" i="11" s="1"/>
  <c r="Q2899" i="11"/>
  <c r="R2899" i="11" s="1"/>
  <c r="Q2898" i="11"/>
  <c r="R2898" i="11" s="1"/>
  <c r="Q2897" i="11"/>
  <c r="R2897" i="11" s="1"/>
  <c r="Q2896" i="11"/>
  <c r="R2896" i="11" s="1"/>
  <c r="Q2895" i="11"/>
  <c r="R2895" i="11" s="1"/>
  <c r="Q2894" i="11"/>
  <c r="R2894" i="11" s="1"/>
  <c r="Q2893" i="11"/>
  <c r="R2893" i="11" s="1"/>
  <c r="Q2892" i="11"/>
  <c r="R2892" i="11" s="1"/>
  <c r="Q2891" i="11"/>
  <c r="R2891" i="11" s="1"/>
  <c r="Q2890" i="11"/>
  <c r="R2890" i="11" s="1"/>
  <c r="Q2889" i="11"/>
  <c r="R2889" i="11" s="1"/>
  <c r="Q2888" i="11"/>
  <c r="R2888" i="11" s="1"/>
  <c r="Q2887" i="11"/>
  <c r="R2887" i="11" s="1"/>
  <c r="Q2886" i="11"/>
  <c r="R2886" i="11" s="1"/>
  <c r="Q2885" i="11"/>
  <c r="R2885" i="11" s="1"/>
  <c r="Q2884" i="11"/>
  <c r="R2884" i="11" s="1"/>
  <c r="Q2883" i="11"/>
  <c r="R2883" i="11" s="1"/>
  <c r="Q2882" i="11"/>
  <c r="R2882" i="11" s="1"/>
  <c r="Q2881" i="11"/>
  <c r="R2881" i="11" s="1"/>
  <c r="Q2880" i="11"/>
  <c r="R2880" i="11" s="1"/>
  <c r="Q2879" i="11"/>
  <c r="R2879" i="11" s="1"/>
  <c r="Q2878" i="11"/>
  <c r="R2878" i="11" s="1"/>
  <c r="Q2877" i="11"/>
  <c r="R2877" i="11" s="1"/>
  <c r="Q2876" i="11"/>
  <c r="R2876" i="11" s="1"/>
  <c r="Q2875" i="11"/>
  <c r="R2875" i="11" s="1"/>
  <c r="R2874" i="11"/>
  <c r="Q2874" i="11"/>
  <c r="P2873" i="11"/>
  <c r="R2873" i="11" s="1"/>
  <c r="Q2872" i="11"/>
  <c r="R2872" i="11" s="1"/>
  <c r="Q2871" i="11"/>
  <c r="R2871" i="11" s="1"/>
  <c r="Q2870" i="11"/>
  <c r="R2870" i="11" s="1"/>
  <c r="Q2869" i="11"/>
  <c r="R2869" i="11" s="1"/>
  <c r="Q2868" i="11"/>
  <c r="R2868" i="11" s="1"/>
  <c r="Q2867" i="11"/>
  <c r="R2867" i="11" s="1"/>
  <c r="Q2866" i="11"/>
  <c r="R2866" i="11" s="1"/>
  <c r="Q2865" i="11"/>
  <c r="R2865" i="11" s="1"/>
  <c r="Q2864" i="11"/>
  <c r="R2864" i="11" s="1"/>
  <c r="Q2863" i="11"/>
  <c r="R2863" i="11" s="1"/>
  <c r="Q2862" i="11"/>
  <c r="R2862" i="11" s="1"/>
  <c r="Q2861" i="11"/>
  <c r="R2861" i="11" s="1"/>
  <c r="Q2860" i="11"/>
  <c r="R2860" i="11" s="1"/>
  <c r="Q2859" i="11"/>
  <c r="R2859" i="11" s="1"/>
  <c r="Q2858" i="11"/>
  <c r="R2858" i="11" s="1"/>
  <c r="Q2857" i="11"/>
  <c r="R2857" i="11" s="1"/>
  <c r="Q2856" i="11"/>
  <c r="R2856" i="11" s="1"/>
  <c r="Q2855" i="11"/>
  <c r="R2855" i="11" s="1"/>
  <c r="Q2854" i="11"/>
  <c r="R2854" i="11" s="1"/>
  <c r="Q2853" i="11"/>
  <c r="R2853" i="11" s="1"/>
  <c r="Q2852" i="11"/>
  <c r="R2852" i="11" s="1"/>
  <c r="Q2851" i="11"/>
  <c r="R2851" i="11" s="1"/>
  <c r="Q2850" i="11"/>
  <c r="R2850" i="11" s="1"/>
  <c r="Q2849" i="11"/>
  <c r="R2849" i="11" s="1"/>
  <c r="Q2848" i="11"/>
  <c r="R2848" i="11" s="1"/>
  <c r="P2847" i="11"/>
  <c r="R2847" i="11" s="1"/>
  <c r="Q2846" i="11"/>
  <c r="R2846" i="11" s="1"/>
  <c r="Q2845" i="11"/>
  <c r="R2845" i="11" s="1"/>
  <c r="Q2844" i="11"/>
  <c r="N2844" i="11"/>
  <c r="Q2843" i="11"/>
  <c r="R2843" i="11" s="1"/>
  <c r="Q2842" i="11"/>
  <c r="R2842" i="11" s="1"/>
  <c r="Q2841" i="11"/>
  <c r="R2841" i="11" s="1"/>
  <c r="Q2840" i="11"/>
  <c r="N2840" i="11"/>
  <c r="Q2839" i="11"/>
  <c r="N2839" i="11"/>
  <c r="R2838" i="11"/>
  <c r="Q2838" i="11"/>
  <c r="P2837" i="11"/>
  <c r="R2837" i="11" s="1"/>
  <c r="P2836" i="11"/>
  <c r="R2836" i="11" s="1"/>
  <c r="P2835" i="11"/>
  <c r="Q2835" i="11" s="1"/>
  <c r="P2834" i="11"/>
  <c r="R2834" i="11" s="1"/>
  <c r="P2833" i="11"/>
  <c r="Q2833" i="11" s="1"/>
  <c r="R2832" i="11"/>
  <c r="Q2832" i="11"/>
  <c r="R2831" i="11"/>
  <c r="Q2831" i="11"/>
  <c r="P2830" i="11"/>
  <c r="R2830" i="11" s="1"/>
  <c r="P2829" i="11"/>
  <c r="R2829" i="11" s="1"/>
  <c r="P2828" i="11"/>
  <c r="R2828" i="11" s="1"/>
  <c r="P2827" i="11"/>
  <c r="Q2827" i="11" s="1"/>
  <c r="P2826" i="11"/>
  <c r="Q2826" i="11" s="1"/>
  <c r="R2825" i="11"/>
  <c r="R2824" i="11"/>
  <c r="Q2824" i="11"/>
  <c r="P2823" i="11"/>
  <c r="R2823" i="11" s="1"/>
  <c r="R2822" i="11"/>
  <c r="Q2822" i="11"/>
  <c r="P2821" i="11"/>
  <c r="R2821" i="11" s="1"/>
  <c r="P2820" i="11"/>
  <c r="R2820" i="11" s="1"/>
  <c r="P2819" i="11"/>
  <c r="R2819" i="11" s="1"/>
  <c r="P2818" i="11"/>
  <c r="R2818" i="11" s="1"/>
  <c r="P2817" i="11"/>
  <c r="R2817" i="11" s="1"/>
  <c r="P2816" i="11"/>
  <c r="R2816" i="11" s="1"/>
  <c r="R2815" i="11"/>
  <c r="Q2815" i="11"/>
  <c r="R2814" i="11"/>
  <c r="Q2814" i="11"/>
  <c r="R2813" i="11"/>
  <c r="Q2813" i="11"/>
  <c r="R2812" i="11"/>
  <c r="Q2812" i="11"/>
  <c r="R2811" i="11"/>
  <c r="Q2811" i="11"/>
  <c r="R2810" i="11"/>
  <c r="Q2810" i="11"/>
  <c r="R2809" i="11"/>
  <c r="Q2809" i="11"/>
  <c r="R2808" i="11"/>
  <c r="Q2808" i="11"/>
  <c r="R2807" i="11"/>
  <c r="Q2807" i="11"/>
  <c r="R2806" i="11"/>
  <c r="Q2806" i="11"/>
  <c r="R2805" i="11"/>
  <c r="Q2805" i="11"/>
  <c r="R2804" i="11"/>
  <c r="Q2804" i="11"/>
  <c r="R2803" i="11"/>
  <c r="Q2803" i="11"/>
  <c r="R2802" i="11"/>
  <c r="Q2802" i="11"/>
  <c r="R2801" i="11"/>
  <c r="N2801" i="11"/>
  <c r="Q2801" i="11" s="1"/>
  <c r="R2800" i="11"/>
  <c r="N2800" i="11"/>
  <c r="Q2800" i="11" s="1"/>
  <c r="R2799" i="11"/>
  <c r="Q2799" i="11"/>
  <c r="R2798" i="11"/>
  <c r="Q2798" i="11"/>
  <c r="P2797" i="11"/>
  <c r="R2797" i="11" s="1"/>
  <c r="N2797" i="11"/>
  <c r="R2796" i="11"/>
  <c r="Q2796" i="11"/>
  <c r="R2795" i="11"/>
  <c r="Q2795" i="11"/>
  <c r="R2794" i="11"/>
  <c r="Q2794" i="11"/>
  <c r="R2793" i="11"/>
  <c r="Q2793" i="11"/>
  <c r="R2792" i="11"/>
  <c r="Q2792" i="11"/>
  <c r="R2791" i="11"/>
  <c r="Q2791" i="11"/>
  <c r="R2790" i="11"/>
  <c r="Q2790" i="11"/>
  <c r="R2789" i="11"/>
  <c r="Q2789" i="11"/>
  <c r="R2788" i="11"/>
  <c r="Q2788" i="11"/>
  <c r="R2787" i="11"/>
  <c r="Q2787" i="11"/>
  <c r="R2786" i="11"/>
  <c r="Q2786" i="11"/>
  <c r="R2785" i="11"/>
  <c r="N2785" i="11"/>
  <c r="Q2785" i="11" s="1"/>
  <c r="R2784" i="11"/>
  <c r="N2784" i="11"/>
  <c r="Q2784" i="11" s="1"/>
  <c r="R2783" i="11"/>
  <c r="N2783" i="11"/>
  <c r="Q2783" i="11" s="1"/>
  <c r="P2782" i="11"/>
  <c r="R2782" i="11" s="1"/>
  <c r="R2781" i="11"/>
  <c r="Q2781" i="11"/>
  <c r="P2780" i="11"/>
  <c r="R2780" i="11" s="1"/>
  <c r="P2779" i="11"/>
  <c r="R2779" i="11" s="1"/>
  <c r="P2778" i="11"/>
  <c r="R2778" i="11" s="1"/>
  <c r="R2777" i="11"/>
  <c r="Q2777" i="11"/>
  <c r="R2776" i="11"/>
  <c r="Q2776" i="11"/>
  <c r="R2775" i="11"/>
  <c r="Q2775" i="11"/>
  <c r="R2774" i="11"/>
  <c r="Q2774" i="11"/>
  <c r="R2773" i="11"/>
  <c r="Q2773" i="11"/>
  <c r="R2772" i="11"/>
  <c r="Q2772" i="11"/>
  <c r="R2771" i="11"/>
  <c r="Q2771" i="11"/>
  <c r="P2770" i="11"/>
  <c r="R2770" i="11" s="1"/>
  <c r="R2769" i="11"/>
  <c r="Q2769" i="11"/>
  <c r="R2768" i="11"/>
  <c r="Q2768" i="11"/>
  <c r="R2767" i="11"/>
  <c r="Q2767" i="11"/>
  <c r="R2766" i="11"/>
  <c r="Q2766" i="11"/>
  <c r="R2765" i="11"/>
  <c r="Q2765" i="11"/>
  <c r="R2764" i="11"/>
  <c r="Q2764" i="11"/>
  <c r="R2763" i="11"/>
  <c r="Q2763" i="11"/>
  <c r="R2762" i="11"/>
  <c r="Q2762" i="11"/>
  <c r="R2761" i="11"/>
  <c r="Q2761" i="11"/>
  <c r="R2760" i="11"/>
  <c r="Q2760" i="11"/>
  <c r="R2759" i="11"/>
  <c r="Q2759" i="11"/>
  <c r="R2758" i="11"/>
  <c r="Q2758" i="11"/>
  <c r="R2757" i="11"/>
  <c r="Q2757" i="11"/>
  <c r="R2756" i="11"/>
  <c r="Q2756" i="11"/>
  <c r="R2755" i="11"/>
  <c r="Q2755" i="11"/>
  <c r="P2754" i="11"/>
  <c r="Q2754" i="11" s="1"/>
  <c r="R2753" i="11"/>
  <c r="Q2753" i="11"/>
  <c r="P2752" i="11"/>
  <c r="R2752" i="11" s="1"/>
  <c r="R2751" i="11"/>
  <c r="Q2751" i="11"/>
  <c r="R2750" i="11"/>
  <c r="Q2750" i="11"/>
  <c r="P2749" i="11"/>
  <c r="R2749" i="11" s="1"/>
  <c r="R2748" i="11"/>
  <c r="Q2748" i="11"/>
  <c r="R2747" i="11"/>
  <c r="Q2747" i="11"/>
  <c r="R2746" i="11"/>
  <c r="Q2746" i="11"/>
  <c r="R2745" i="11"/>
  <c r="Q2745" i="11"/>
  <c r="P2744" i="11"/>
  <c r="Q2744" i="11" s="1"/>
  <c r="P2743" i="11"/>
  <c r="Q2743" i="11" s="1"/>
  <c r="R2742" i="11"/>
  <c r="Q2742" i="11"/>
  <c r="R2741" i="11"/>
  <c r="Q2741" i="11"/>
  <c r="R2740" i="11"/>
  <c r="Q2740" i="11"/>
  <c r="R2739" i="11"/>
  <c r="Q2739" i="11"/>
  <c r="P2738" i="11"/>
  <c r="Q2738" i="11" s="1"/>
  <c r="P2737" i="11"/>
  <c r="Q2737" i="11" s="1"/>
  <c r="P2736" i="11"/>
  <c r="R2736" i="11" s="1"/>
  <c r="P2735" i="11"/>
  <c r="R2735" i="11" s="1"/>
  <c r="P2734" i="11"/>
  <c r="R2734" i="11" s="1"/>
  <c r="P2733" i="11"/>
  <c r="R2733" i="11" s="1"/>
  <c r="P2732" i="11"/>
  <c r="R2732" i="11" s="1"/>
  <c r="R2731" i="11"/>
  <c r="N2731" i="11"/>
  <c r="R2730" i="11"/>
  <c r="N2730" i="11"/>
  <c r="Q2730" i="11" s="1"/>
  <c r="R2729" i="11"/>
  <c r="N2729" i="11"/>
  <c r="R2728" i="11"/>
  <c r="N2728" i="11"/>
  <c r="Q2728" i="11" s="1"/>
  <c r="R2727" i="11"/>
  <c r="Q2727" i="11"/>
  <c r="R2726" i="11"/>
  <c r="Q2726" i="11"/>
  <c r="R2725" i="11"/>
  <c r="Q2725" i="11"/>
  <c r="R2724" i="11"/>
  <c r="Q2724" i="11"/>
  <c r="R2723" i="11"/>
  <c r="Q2723" i="11"/>
  <c r="P2722" i="11"/>
  <c r="R2722" i="11" s="1"/>
  <c r="P2721" i="11"/>
  <c r="R2721" i="11" s="1"/>
  <c r="R2720" i="11"/>
  <c r="Q2720" i="11"/>
  <c r="R2719" i="11"/>
  <c r="Q2719" i="11"/>
  <c r="R2718" i="11"/>
  <c r="Q2718" i="11"/>
  <c r="P2717" i="11"/>
  <c r="Q2717" i="11" s="1"/>
  <c r="R2716" i="11"/>
  <c r="Q2716" i="11"/>
  <c r="P2715" i="11"/>
  <c r="R2715" i="11" s="1"/>
  <c r="P2714" i="11"/>
  <c r="R2714" i="11" s="1"/>
  <c r="P2713" i="11"/>
  <c r="R2713" i="11" s="1"/>
  <c r="R2712" i="11"/>
  <c r="Q2712" i="11"/>
  <c r="P2711" i="11"/>
  <c r="Q2711" i="11" s="1"/>
  <c r="Q2710" i="11"/>
  <c r="R2710" i="11" s="1"/>
  <c r="R2709" i="11"/>
  <c r="Q2709" i="11"/>
  <c r="R2708" i="11"/>
  <c r="Q2708" i="11"/>
  <c r="P2707" i="11"/>
  <c r="R2707" i="11" s="1"/>
  <c r="Q2706" i="11"/>
  <c r="R2706" i="11" s="1"/>
  <c r="N2706" i="11"/>
  <c r="Q2705" i="11"/>
  <c r="N2705" i="11"/>
  <c r="P2704" i="11"/>
  <c r="Q2704" i="11" s="1"/>
  <c r="Q2703" i="11"/>
  <c r="R2703" i="11" s="1"/>
  <c r="Q2702" i="11"/>
  <c r="R2702" i="11" s="1"/>
  <c r="P2701" i="11"/>
  <c r="R2701" i="11" s="1"/>
  <c r="R2700" i="11"/>
  <c r="Q2700" i="11"/>
  <c r="R2699" i="11"/>
  <c r="Q2698" i="11"/>
  <c r="R2698" i="11" s="1"/>
  <c r="Q2697" i="11"/>
  <c r="R2697" i="11" s="1"/>
  <c r="P2696" i="11"/>
  <c r="R2696" i="11" s="1"/>
  <c r="Q2695" i="11"/>
  <c r="R2695" i="11" s="1"/>
  <c r="Q2694" i="11"/>
  <c r="R2694" i="11" s="1"/>
  <c r="P2693" i="11"/>
  <c r="Q2693" i="11" s="1"/>
  <c r="Q2692" i="11"/>
  <c r="R2692" i="11" s="1"/>
  <c r="R2691" i="11"/>
  <c r="Q2691" i="11"/>
  <c r="R2690" i="11"/>
  <c r="Q2690" i="11"/>
  <c r="P2689" i="11"/>
  <c r="R2689" i="11" s="1"/>
  <c r="P2688" i="11"/>
  <c r="R2688" i="11" s="1"/>
  <c r="Q2687" i="11"/>
  <c r="R2687" i="11" s="1"/>
  <c r="Q2686" i="11"/>
  <c r="R2686" i="11" s="1"/>
  <c r="Q2685" i="11"/>
  <c r="R2685" i="11" s="1"/>
  <c r="P2684" i="11"/>
  <c r="R2684" i="11" s="1"/>
  <c r="Q2683" i="11"/>
  <c r="R2683" i="11" s="1"/>
  <c r="Q2682" i="11"/>
  <c r="R2682" i="11" s="1"/>
  <c r="Q2681" i="11"/>
  <c r="R2681" i="11" s="1"/>
  <c r="R2680" i="11"/>
  <c r="Q2680" i="11"/>
  <c r="P2679" i="11"/>
  <c r="Q2679" i="11" s="1"/>
  <c r="P2678" i="11"/>
  <c r="R2678" i="11" s="1"/>
  <c r="N2678" i="11"/>
  <c r="P2677" i="11"/>
  <c r="R2677" i="11" s="1"/>
  <c r="N2677" i="11"/>
  <c r="Q2676" i="11"/>
  <c r="R2676" i="11" s="1"/>
  <c r="Q2675" i="11"/>
  <c r="R2675" i="11" s="1"/>
  <c r="Q2674" i="11"/>
  <c r="R2674" i="11" s="1"/>
  <c r="Q2673" i="11"/>
  <c r="R2673" i="11" s="1"/>
  <c r="Q2672" i="11"/>
  <c r="R2672" i="11" s="1"/>
  <c r="P2671" i="11"/>
  <c r="N2671" i="11"/>
  <c r="R2670" i="11"/>
  <c r="Q2670" i="11"/>
  <c r="R2669" i="11"/>
  <c r="Q2669" i="11"/>
  <c r="R2668" i="11"/>
  <c r="N2668" i="11"/>
  <c r="Q2668" i="11" s="1"/>
  <c r="R2667" i="11"/>
  <c r="Q2667" i="11"/>
  <c r="R2666" i="11"/>
  <c r="N2666" i="11"/>
  <c r="Q2666" i="11" s="1"/>
  <c r="R2665" i="11"/>
  <c r="Q2665" i="11"/>
  <c r="P2664" i="11"/>
  <c r="R2664" i="11" s="1"/>
  <c r="N2664" i="11"/>
  <c r="R2663" i="11"/>
  <c r="Q2663" i="11"/>
  <c r="P2662" i="11"/>
  <c r="N2662" i="11"/>
  <c r="Q2661" i="11"/>
  <c r="R2661" i="11" s="1"/>
  <c r="Q2660" i="11"/>
  <c r="R2660" i="11" s="1"/>
  <c r="Q2659" i="11"/>
  <c r="R2659" i="11" s="1"/>
  <c r="Q2658" i="11"/>
  <c r="R2658" i="11" s="1"/>
  <c r="Q2657" i="11"/>
  <c r="R2657" i="11" s="1"/>
  <c r="Q2656" i="11"/>
  <c r="R2656" i="11" s="1"/>
  <c r="Q2655" i="11"/>
  <c r="R2655" i="11" s="1"/>
  <c r="Q2654" i="11"/>
  <c r="R2654" i="11" s="1"/>
  <c r="Q2653" i="11"/>
  <c r="R2653" i="11" s="1"/>
  <c r="Q2652" i="11"/>
  <c r="R2652" i="11" s="1"/>
  <c r="Q2651" i="11"/>
  <c r="R2651" i="11" s="1"/>
  <c r="Q2650" i="11"/>
  <c r="R2650" i="11" s="1"/>
  <c r="Q2649" i="11"/>
  <c r="R2649" i="11" s="1"/>
  <c r="Q2648" i="11"/>
  <c r="R2648" i="11" s="1"/>
  <c r="Q2647" i="11"/>
  <c r="R2647" i="11" s="1"/>
  <c r="Q2646" i="11"/>
  <c r="R2646" i="11" s="1"/>
  <c r="Q2645" i="11"/>
  <c r="R2645" i="11" s="1"/>
  <c r="Q2644" i="11"/>
  <c r="R2644" i="11" s="1"/>
  <c r="Q2643" i="11"/>
  <c r="R2643" i="11" s="1"/>
  <c r="Q2642" i="11"/>
  <c r="R2642" i="11" s="1"/>
  <c r="Q2641" i="11"/>
  <c r="R2641" i="11" s="1"/>
  <c r="Q2640" i="11"/>
  <c r="R2640" i="11" s="1"/>
  <c r="Q2639" i="11"/>
  <c r="R2639" i="11" s="1"/>
  <c r="Q2638" i="11"/>
  <c r="N2638" i="11"/>
  <c r="Q2637" i="11"/>
  <c r="N2637" i="11"/>
  <c r="Q2636" i="11"/>
  <c r="R2636" i="11" s="1"/>
  <c r="Q2635" i="11"/>
  <c r="R2635" i="11" s="1"/>
  <c r="Q2634" i="11"/>
  <c r="R2634" i="11" s="1"/>
  <c r="Q2633" i="11"/>
  <c r="N2633" i="11"/>
  <c r="Q2632" i="11"/>
  <c r="N2632" i="11"/>
  <c r="Q2631" i="11"/>
  <c r="R2631" i="11" s="1"/>
  <c r="P2630" i="11"/>
  <c r="Q2630" i="11" s="1"/>
  <c r="R2629" i="11"/>
  <c r="Q2629" i="11"/>
  <c r="R2628" i="11"/>
  <c r="Q2628" i="11"/>
  <c r="R2627" i="11"/>
  <c r="Q2627" i="11"/>
  <c r="R2626" i="11"/>
  <c r="Q2626" i="11"/>
  <c r="R2625" i="11"/>
  <c r="Q2625" i="11"/>
  <c r="R2624" i="11"/>
  <c r="Q2624" i="11"/>
  <c r="R2623" i="11"/>
  <c r="Q2623" i="11"/>
  <c r="R2622" i="11"/>
  <c r="Q2622" i="11"/>
  <c r="R2621" i="11"/>
  <c r="Q2621" i="11"/>
  <c r="R2620" i="11"/>
  <c r="Q2620" i="11"/>
  <c r="R2619" i="11"/>
  <c r="Q2619" i="11"/>
  <c r="Q2618" i="11"/>
  <c r="R2618" i="11" s="1"/>
  <c r="Q2617" i="11"/>
  <c r="R2617" i="11" s="1"/>
  <c r="Q2616" i="11"/>
  <c r="R2616" i="11" s="1"/>
  <c r="Q2615" i="11"/>
  <c r="R2615" i="11" s="1"/>
  <c r="Q2614" i="11"/>
  <c r="R2614" i="11" s="1"/>
  <c r="Q2613" i="11"/>
  <c r="R2613" i="11" s="1"/>
  <c r="Q2612" i="11"/>
  <c r="R2612" i="11" s="1"/>
  <c r="Q2611" i="11"/>
  <c r="R2611" i="11" s="1"/>
  <c r="Q2610" i="11"/>
  <c r="R2610" i="11" s="1"/>
  <c r="Q2609" i="11"/>
  <c r="R2609" i="11" s="1"/>
  <c r="R2608" i="11"/>
  <c r="Q2608" i="11"/>
  <c r="Q2607" i="11"/>
  <c r="R2607" i="11" s="1"/>
  <c r="Q2606" i="11"/>
  <c r="R2606" i="11" s="1"/>
  <c r="P2605" i="11"/>
  <c r="R2605" i="11" s="1"/>
  <c r="Q2604" i="11"/>
  <c r="R2604" i="11" s="1"/>
  <c r="Q2603" i="11"/>
  <c r="R2603" i="11" s="1"/>
  <c r="Q2602" i="11"/>
  <c r="R2602" i="11" s="1"/>
  <c r="Q2601" i="11"/>
  <c r="R2601" i="11" s="1"/>
  <c r="Q2600" i="11"/>
  <c r="R2600" i="11" s="1"/>
  <c r="Q2599" i="11"/>
  <c r="R2599" i="11" s="1"/>
  <c r="Q2598" i="11"/>
  <c r="R2598" i="11" s="1"/>
  <c r="R2597" i="11"/>
  <c r="Q2597" i="11"/>
  <c r="R2596" i="11"/>
  <c r="Q2596" i="11"/>
  <c r="R2595" i="11"/>
  <c r="Q2595" i="11"/>
  <c r="Q2594" i="11"/>
  <c r="R2594" i="11" s="1"/>
  <c r="Q2593" i="11"/>
  <c r="R2593" i="11" s="1"/>
  <c r="Q2592" i="11"/>
  <c r="R2592" i="11" s="1"/>
  <c r="Q2591" i="11"/>
  <c r="R2591" i="11" s="1"/>
  <c r="Q2590" i="11"/>
  <c r="R2590" i="11" s="1"/>
  <c r="Q2589" i="11"/>
  <c r="R2589" i="11" s="1"/>
  <c r="Q2588" i="11"/>
  <c r="R2588" i="11" s="1"/>
  <c r="R2587" i="11"/>
  <c r="Q2587" i="11"/>
  <c r="Q2586" i="11"/>
  <c r="R2586" i="11" s="1"/>
  <c r="Q2585" i="11"/>
  <c r="N2585" i="11"/>
  <c r="Q2584" i="11"/>
  <c r="N2584" i="11"/>
  <c r="P2583" i="11"/>
  <c r="R2583" i="11" s="1"/>
  <c r="P2582" i="11"/>
  <c r="N2582" i="11" s="1"/>
  <c r="Q2582" i="11" s="1"/>
  <c r="P2581" i="11"/>
  <c r="Q2581" i="11" s="1"/>
  <c r="P2580" i="11"/>
  <c r="R2580" i="11" s="1"/>
  <c r="P2579" i="11"/>
  <c r="R2579" i="11" s="1"/>
  <c r="P2578" i="11"/>
  <c r="Q2578" i="11" s="1"/>
  <c r="R2577" i="11"/>
  <c r="N2577" i="11"/>
  <c r="Q2577" i="11" s="1"/>
  <c r="R2576" i="11"/>
  <c r="N2576" i="11"/>
  <c r="Q2576" i="11" s="1"/>
  <c r="R2575" i="11"/>
  <c r="N2575" i="11"/>
  <c r="Q2575" i="11" s="1"/>
  <c r="R2574" i="11"/>
  <c r="N2574" i="11"/>
  <c r="Q2574" i="11" s="1"/>
  <c r="P2573" i="11"/>
  <c r="R2573" i="11" s="1"/>
  <c r="N2573" i="11"/>
  <c r="P2572" i="11"/>
  <c r="R2572" i="11" s="1"/>
  <c r="N2572" i="11"/>
  <c r="P2571" i="11"/>
  <c r="R2571" i="11" s="1"/>
  <c r="N2571" i="11"/>
  <c r="P2570" i="11"/>
  <c r="R2570" i="11" s="1"/>
  <c r="N2570" i="11"/>
  <c r="R2569" i="11"/>
  <c r="N2569" i="11"/>
  <c r="Q2569" i="11" s="1"/>
  <c r="R2568" i="11"/>
  <c r="N2568" i="11"/>
  <c r="Q2568" i="11" s="1"/>
  <c r="R2567" i="11"/>
  <c r="N2567" i="11"/>
  <c r="Q2567" i="11" s="1"/>
  <c r="R2566" i="11"/>
  <c r="N2566" i="11"/>
  <c r="Q2566" i="11" s="1"/>
  <c r="R2565" i="11"/>
  <c r="N2565" i="11"/>
  <c r="Q2565" i="11" s="1"/>
  <c r="R2564" i="11"/>
  <c r="N2564" i="11"/>
  <c r="Q2564" i="11" s="1"/>
  <c r="R2563" i="11"/>
  <c r="N2563" i="11"/>
  <c r="Q2563" i="11" s="1"/>
  <c r="R2562" i="11"/>
  <c r="N2562" i="11"/>
  <c r="Q2562" i="11" s="1"/>
  <c r="R2561" i="11"/>
  <c r="Q2561" i="11"/>
  <c r="N2561" i="11"/>
  <c r="R2560" i="11"/>
  <c r="N2560" i="11"/>
  <c r="Q2560" i="11" s="1"/>
  <c r="R2559" i="11"/>
  <c r="N2559" i="11"/>
  <c r="Q2559" i="11" s="1"/>
  <c r="P2558" i="11"/>
  <c r="R2558" i="11" s="1"/>
  <c r="N2558" i="11"/>
  <c r="P2557" i="11"/>
  <c r="R2557" i="11" s="1"/>
  <c r="N2557" i="11"/>
  <c r="R2556" i="11"/>
  <c r="N2556" i="11"/>
  <c r="Q2556" i="11" s="1"/>
  <c r="P2555" i="11"/>
  <c r="R2555" i="11" s="1"/>
  <c r="N2555" i="11"/>
  <c r="P2554" i="11"/>
  <c r="R2554" i="11" s="1"/>
  <c r="N2554" i="11"/>
  <c r="R2553" i="11"/>
  <c r="Q2553" i="11"/>
  <c r="R2552" i="11"/>
  <c r="Q2552" i="11"/>
  <c r="R2551" i="11"/>
  <c r="Q2551" i="11"/>
  <c r="R2550" i="11"/>
  <c r="Q2550" i="11"/>
  <c r="R2549" i="11"/>
  <c r="Q2549" i="11"/>
  <c r="R2548" i="11"/>
  <c r="Q2548" i="11"/>
  <c r="R2547" i="11"/>
  <c r="Q2547" i="11"/>
  <c r="R2546" i="11"/>
  <c r="Q2546" i="11"/>
  <c r="R2545" i="11"/>
  <c r="Q2545" i="11"/>
  <c r="R2544" i="11"/>
  <c r="P2543" i="11"/>
  <c r="N2543" i="11" s="1"/>
  <c r="Q2543" i="11" s="1"/>
  <c r="P2542" i="11"/>
  <c r="N2542" i="11"/>
  <c r="Q2541" i="11"/>
  <c r="R2541" i="11" s="1"/>
  <c r="P2540" i="11"/>
  <c r="N2540" i="11"/>
  <c r="R2539" i="11"/>
  <c r="Q2539" i="11"/>
  <c r="R2538" i="11"/>
  <c r="Q2538" i="11"/>
  <c r="R2537" i="11"/>
  <c r="Q2537" i="11"/>
  <c r="R2536" i="11"/>
  <c r="Q2536" i="11"/>
  <c r="R2535" i="11"/>
  <c r="Q2535" i="11"/>
  <c r="R2534" i="11"/>
  <c r="Q2534" i="11"/>
  <c r="R2533" i="11"/>
  <c r="Q2533" i="11"/>
  <c r="R2532" i="11"/>
  <c r="Q2532" i="11"/>
  <c r="R2531" i="11"/>
  <c r="Q2531" i="11"/>
  <c r="R2530" i="11"/>
  <c r="Q2530" i="11"/>
  <c r="R2529" i="11"/>
  <c r="Q2529" i="11"/>
  <c r="Q2528" i="11"/>
  <c r="R2528" i="11" s="1"/>
  <c r="Q2527" i="11"/>
  <c r="R2527" i="11" s="1"/>
  <c r="Q2526" i="11"/>
  <c r="R2526" i="11" s="1"/>
  <c r="Q2525" i="11"/>
  <c r="R2525" i="11" s="1"/>
  <c r="Q2524" i="11"/>
  <c r="R2524" i="11" s="1"/>
  <c r="P2523" i="11"/>
  <c r="N2523" i="11"/>
  <c r="R2522" i="11"/>
  <c r="N2522" i="11"/>
  <c r="Q2522" i="11" s="1"/>
  <c r="R2521" i="11"/>
  <c r="N2521" i="11"/>
  <c r="Q2521" i="11" s="1"/>
  <c r="R2520" i="11"/>
  <c r="N2520" i="11"/>
  <c r="Q2520" i="11" s="1"/>
  <c r="R2519" i="11"/>
  <c r="N2519" i="11"/>
  <c r="Q2519" i="11" s="1"/>
  <c r="R2518" i="11"/>
  <c r="N2518" i="11"/>
  <c r="Q2518" i="11" s="1"/>
  <c r="R2517" i="11"/>
  <c r="N2517" i="11"/>
  <c r="Q2517" i="11" s="1"/>
  <c r="R2516" i="11"/>
  <c r="N2516" i="11"/>
  <c r="Q2516" i="11" s="1"/>
  <c r="R2515" i="11"/>
  <c r="N2515" i="11"/>
  <c r="Q2515" i="11" s="1"/>
  <c r="R2514" i="11"/>
  <c r="N2514" i="11"/>
  <c r="Q2514" i="11" s="1"/>
  <c r="R2513" i="11"/>
  <c r="N2513" i="11"/>
  <c r="Q2513" i="11" s="1"/>
  <c r="R2512" i="11"/>
  <c r="N2512" i="11"/>
  <c r="Q2512" i="11" s="1"/>
  <c r="R2511" i="11"/>
  <c r="N2511" i="11"/>
  <c r="Q2511" i="11" s="1"/>
  <c r="R2510" i="11"/>
  <c r="N2510" i="11"/>
  <c r="Q2510" i="11" s="1"/>
  <c r="Q2509" i="11"/>
  <c r="R2509" i="11" s="1"/>
  <c r="Q2508" i="11"/>
  <c r="R2508" i="11" s="1"/>
  <c r="R2507" i="11"/>
  <c r="Q2507" i="11"/>
  <c r="R2506" i="11"/>
  <c r="Q2506" i="11"/>
  <c r="R2505" i="11"/>
  <c r="Q2505" i="11"/>
  <c r="R2504" i="11"/>
  <c r="Q2504" i="11"/>
  <c r="R2503" i="11"/>
  <c r="Q2503" i="11"/>
  <c r="R2502" i="11"/>
  <c r="Q2502" i="11"/>
  <c r="R2501" i="11"/>
  <c r="Q2501" i="11"/>
  <c r="Q2500" i="11"/>
  <c r="R2500" i="11" s="1"/>
  <c r="Q2499" i="11"/>
  <c r="R2499" i="11" s="1"/>
  <c r="R2498" i="11"/>
  <c r="N2498" i="11"/>
  <c r="Q2498" i="11" s="1"/>
  <c r="P2497" i="11"/>
  <c r="R2497" i="11" s="1"/>
  <c r="N2497" i="11"/>
  <c r="Q2496" i="11"/>
  <c r="R2496" i="11" s="1"/>
  <c r="Q2495" i="11"/>
  <c r="R2495" i="11" s="1"/>
  <c r="Q2494" i="11"/>
  <c r="R2494" i="11" s="1"/>
  <c r="P2493" i="11"/>
  <c r="N2493" i="11"/>
  <c r="P2492" i="11"/>
  <c r="R2492" i="11" s="1"/>
  <c r="P2491" i="11"/>
  <c r="R2491" i="11" s="1"/>
  <c r="N2491" i="11"/>
  <c r="P2490" i="11"/>
  <c r="R2490" i="11" s="1"/>
  <c r="P2489" i="11"/>
  <c r="R2489" i="11" s="1"/>
  <c r="N2489" i="11"/>
  <c r="P2488" i="11"/>
  <c r="R2488" i="11" s="1"/>
  <c r="P2487" i="11"/>
  <c r="R2487" i="11" s="1"/>
  <c r="N2487" i="11"/>
  <c r="Q2486" i="11"/>
  <c r="R2486" i="11" s="1"/>
  <c r="Q2485" i="11"/>
  <c r="R2485" i="11" s="1"/>
  <c r="Q2484" i="11"/>
  <c r="R2484" i="11" s="1"/>
  <c r="R2483" i="11"/>
  <c r="Q2482" i="11"/>
  <c r="R2482" i="11" s="1"/>
  <c r="Q2481" i="11"/>
  <c r="R2481" i="11" s="1"/>
  <c r="Q2480" i="11"/>
  <c r="R2480" i="11" s="1"/>
  <c r="Q2479" i="11"/>
  <c r="R2479" i="11" s="1"/>
  <c r="Q2478" i="11"/>
  <c r="R2478" i="11" s="1"/>
  <c r="Q2477" i="11"/>
  <c r="N2477" i="11"/>
  <c r="P2476" i="11"/>
  <c r="R2476" i="11" s="1"/>
  <c r="N2476" i="1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P1419" i="1"/>
  <c r="Q1419" i="1" s="1"/>
  <c r="Q1420" i="1"/>
  <c r="R1420" i="1" s="1"/>
  <c r="Q1421" i="1"/>
  <c r="R1421" i="1" s="1"/>
  <c r="Q1422" i="1"/>
  <c r="R1422" i="1"/>
  <c r="Q1423" i="1"/>
  <c r="R1423" i="1"/>
  <c r="Q1424" i="1"/>
  <c r="R1424" i="1" s="1"/>
  <c r="Q1425" i="1"/>
  <c r="R1425" i="1" s="1"/>
  <c r="Q1426" i="1"/>
  <c r="R1426" i="1"/>
  <c r="P1427" i="1"/>
  <c r="Q1427" i="1" s="1"/>
  <c r="Q1428" i="1"/>
  <c r="R1428" i="1"/>
  <c r="N1429" i="1"/>
  <c r="P1429" i="1"/>
  <c r="Q1430" i="1"/>
  <c r="R1430" i="1" s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P1447" i="1"/>
  <c r="Q1447" i="1" s="1"/>
  <c r="Q1448" i="1"/>
  <c r="R1448" i="1"/>
  <c r="P2475" i="11"/>
  <c r="R2475" i="11" s="1"/>
  <c r="P2474" i="11"/>
  <c r="Q2474" i="11" s="1"/>
  <c r="Q2473" i="11"/>
  <c r="R2473" i="11" s="1"/>
  <c r="Q2472" i="11"/>
  <c r="R2472" i="11" s="1"/>
  <c r="Q2471" i="11"/>
  <c r="R2471" i="11" s="1"/>
  <c r="Q2470" i="11"/>
  <c r="R2470" i="11" s="1"/>
  <c r="Q2469" i="11"/>
  <c r="R2469" i="11" s="1"/>
  <c r="Q2468" i="11"/>
  <c r="R2468" i="11" s="1"/>
  <c r="Q2467" i="11"/>
  <c r="R2467" i="11" s="1"/>
  <c r="Q2466" i="11"/>
  <c r="R2466" i="11" s="1"/>
  <c r="Q2465" i="11"/>
  <c r="R2465" i="11" s="1"/>
  <c r="Q2464" i="11"/>
  <c r="R2464" i="11" s="1"/>
  <c r="Q2463" i="11"/>
  <c r="R2463" i="11" s="1"/>
  <c r="Q2462" i="11"/>
  <c r="R2462" i="11" s="1"/>
  <c r="Q2461" i="11"/>
  <c r="N2461" i="11"/>
  <c r="Q2460" i="11"/>
  <c r="N2460" i="11"/>
  <c r="Q2459" i="11"/>
  <c r="R2459" i="11" s="1"/>
  <c r="Q2458" i="11"/>
  <c r="N2458" i="11"/>
  <c r="R2457" i="11"/>
  <c r="Q2457" i="11"/>
  <c r="R2456" i="11"/>
  <c r="Q2456" i="11"/>
  <c r="R2455" i="11"/>
  <c r="Q2455" i="11"/>
  <c r="R2454" i="11"/>
  <c r="Q2454" i="11"/>
  <c r="R2453" i="11"/>
  <c r="Q2453" i="11"/>
  <c r="Q2452" i="11"/>
  <c r="N2452" i="11"/>
  <c r="P2451" i="11"/>
  <c r="R2451" i="11" s="1"/>
  <c r="R2450" i="11"/>
  <c r="Q2450" i="11"/>
  <c r="R2449" i="11"/>
  <c r="Q2449" i="11"/>
  <c r="R2448" i="11"/>
  <c r="Q2448" i="11"/>
  <c r="R2447" i="11"/>
  <c r="Q2447" i="11"/>
  <c r="R2446" i="11"/>
  <c r="Q2446" i="11"/>
  <c r="Q2445" i="11"/>
  <c r="R2445" i="11" s="1"/>
  <c r="Q2444" i="11"/>
  <c r="R2444" i="11" s="1"/>
  <c r="Q2443" i="11"/>
  <c r="R2443" i="11" s="1"/>
  <c r="Q2442" i="11"/>
  <c r="R2442" i="11" s="1"/>
  <c r="Q2441" i="11"/>
  <c r="R2441" i="11" s="1"/>
  <c r="R2440" i="11"/>
  <c r="Q2440" i="11"/>
  <c r="Q2439" i="11"/>
  <c r="R2439" i="11" s="1"/>
  <c r="P2438" i="11"/>
  <c r="R2438" i="11" s="1"/>
  <c r="P2437" i="11"/>
  <c r="Q2437" i="11" s="1"/>
  <c r="R2436" i="11"/>
  <c r="Q2436" i="11"/>
  <c r="P2435" i="11"/>
  <c r="R2435" i="11" s="1"/>
  <c r="P2434" i="11"/>
  <c r="R2434" i="11" s="1"/>
  <c r="P2433" i="11"/>
  <c r="R2433" i="11" s="1"/>
  <c r="R2432" i="11"/>
  <c r="Q2432" i="11"/>
  <c r="R2431" i="11"/>
  <c r="Q2431" i="11"/>
  <c r="R2430" i="11"/>
  <c r="Q2430" i="11"/>
  <c r="P2429" i="11"/>
  <c r="R2429" i="11" s="1"/>
  <c r="P2428" i="11"/>
  <c r="R2428" i="11" s="1"/>
  <c r="P2427" i="11"/>
  <c r="R2427" i="11" s="1"/>
  <c r="R2426" i="11"/>
  <c r="Q2426" i="11"/>
  <c r="R2425" i="11"/>
  <c r="Q2425" i="11"/>
  <c r="R2424" i="11"/>
  <c r="Q2424" i="11"/>
  <c r="P2423" i="11"/>
  <c r="R2423" i="11" s="1"/>
  <c r="R2422" i="11"/>
  <c r="Q2422" i="11"/>
  <c r="R2421" i="11"/>
  <c r="Q2421" i="11"/>
  <c r="R2420" i="11"/>
  <c r="Q2420" i="11"/>
  <c r="P2419" i="11"/>
  <c r="Q2419" i="11" s="1"/>
  <c r="R2418" i="11"/>
  <c r="Q2418" i="11"/>
  <c r="P2417" i="11"/>
  <c r="R2417" i="11" s="1"/>
  <c r="R2416" i="11"/>
  <c r="Q2416" i="11"/>
  <c r="P2415" i="11"/>
  <c r="Q2415" i="11" s="1"/>
  <c r="R2414" i="11"/>
  <c r="Q2414" i="11"/>
  <c r="R2413" i="11"/>
  <c r="Q2413" i="11"/>
  <c r="R2412" i="11"/>
  <c r="Q2412" i="11"/>
  <c r="P2411" i="11"/>
  <c r="Q2411" i="11" s="1"/>
  <c r="P2410" i="11"/>
  <c r="Q2410" i="11" s="1"/>
  <c r="R2409" i="11"/>
  <c r="Q2409" i="11"/>
  <c r="R2408" i="11"/>
  <c r="Q2408" i="11"/>
  <c r="P2407" i="11"/>
  <c r="R2407" i="11" s="1"/>
  <c r="Q2406" i="11"/>
  <c r="R2406" i="11" s="1"/>
  <c r="Q2405" i="11"/>
  <c r="R2405" i="11" s="1"/>
  <c r="P2404" i="11"/>
  <c r="R2404" i="11" s="1"/>
  <c r="P2403" i="11"/>
  <c r="Q2403" i="11" s="1"/>
  <c r="P2402" i="11"/>
  <c r="Q2402" i="11" s="1"/>
  <c r="R2401" i="11"/>
  <c r="Q2401" i="11"/>
  <c r="P2400" i="11"/>
  <c r="Q2400" i="11" s="1"/>
  <c r="R2399" i="11"/>
  <c r="Q2399" i="11"/>
  <c r="P2398" i="11"/>
  <c r="Q2398" i="11" s="1"/>
  <c r="R2397" i="11"/>
  <c r="Q2397" i="11"/>
  <c r="R2396" i="11"/>
  <c r="Q2396" i="11"/>
  <c r="R2395" i="11"/>
  <c r="Q2395" i="11"/>
  <c r="R2394" i="11"/>
  <c r="Q2394" i="11"/>
  <c r="R2393" i="11"/>
  <c r="P2393" i="11"/>
  <c r="Q2393" i="11" s="1"/>
  <c r="P2392" i="11"/>
  <c r="Q2392" i="11" s="1"/>
  <c r="R2391" i="11"/>
  <c r="Q2391" i="11"/>
  <c r="R2390" i="11"/>
  <c r="Q2390" i="11"/>
  <c r="P2389" i="11"/>
  <c r="R2389" i="11" s="1"/>
  <c r="R2388" i="11"/>
  <c r="Q2388" i="11"/>
  <c r="R2387" i="11"/>
  <c r="Q2387" i="11"/>
  <c r="R2386" i="11"/>
  <c r="Q2386" i="11"/>
  <c r="R2385" i="11"/>
  <c r="Q2385" i="11"/>
  <c r="P2384" i="11"/>
  <c r="R2384" i="11" s="1"/>
  <c r="P2383" i="11"/>
  <c r="R2383" i="11" s="1"/>
  <c r="P2382" i="11"/>
  <c r="R2382" i="11" s="1"/>
  <c r="P2381" i="11"/>
  <c r="R2381" i="11" s="1"/>
  <c r="R2380" i="11"/>
  <c r="Q2380" i="11"/>
  <c r="Q2379" i="11"/>
  <c r="R2379" i="11" s="1"/>
  <c r="Q2378" i="11"/>
  <c r="R2378" i="11" s="1"/>
  <c r="Q2377" i="11"/>
  <c r="R2377" i="11" s="1"/>
  <c r="R2376" i="11"/>
  <c r="Q2376" i="11"/>
  <c r="R2375" i="11"/>
  <c r="Q2375" i="11"/>
  <c r="R2374" i="11"/>
  <c r="Q2374" i="11"/>
  <c r="R2373" i="11"/>
  <c r="Q2373" i="11"/>
  <c r="P2372" i="11"/>
  <c r="R2372" i="11" s="1"/>
  <c r="P2371" i="11"/>
  <c r="Q2371" i="11" s="1"/>
  <c r="P2370" i="11"/>
  <c r="R2370" i="11" s="1"/>
  <c r="P2369" i="11"/>
  <c r="R2369" i="11" s="1"/>
  <c r="N2369" i="11"/>
  <c r="R2368" i="11"/>
  <c r="Q2368" i="11"/>
  <c r="R2367" i="11"/>
  <c r="Q2367" i="11"/>
  <c r="P2366" i="11"/>
  <c r="R2366" i="11" s="1"/>
  <c r="R2365" i="11"/>
  <c r="Q2365" i="11"/>
  <c r="R2364" i="11"/>
  <c r="Q2364" i="11"/>
  <c r="P2363" i="11"/>
  <c r="Q2363" i="11" s="1"/>
  <c r="P2362" i="11"/>
  <c r="R2362" i="11" s="1"/>
  <c r="P2361" i="11"/>
  <c r="R2361" i="11" s="1"/>
  <c r="P2360" i="11"/>
  <c r="Q2360" i="11" s="1"/>
  <c r="P2359" i="11"/>
  <c r="R2359" i="11" s="1"/>
  <c r="P2358" i="11"/>
  <c r="R2358" i="11" s="1"/>
  <c r="R2357" i="11"/>
  <c r="Q2357" i="11"/>
  <c r="P2356" i="11"/>
  <c r="R2356" i="11" s="1"/>
  <c r="P2355" i="11"/>
  <c r="R2355" i="11" s="1"/>
  <c r="R2354" i="11"/>
  <c r="Q2354" i="11"/>
  <c r="R2353" i="11"/>
  <c r="Q2353" i="11"/>
  <c r="R2352" i="11"/>
  <c r="R2351" i="11"/>
  <c r="Q2351" i="11"/>
  <c r="P2350" i="11"/>
  <c r="R2350" i="11" s="1"/>
  <c r="P2349" i="11"/>
  <c r="N2349" i="11"/>
  <c r="P2348" i="11"/>
  <c r="R2348" i="11" s="1"/>
  <c r="N2348" i="11"/>
  <c r="P2347" i="11"/>
  <c r="R2347" i="11" s="1"/>
  <c r="R2346" i="11"/>
  <c r="Q2346" i="11"/>
  <c r="R2345" i="11"/>
  <c r="Q2345" i="11"/>
  <c r="R2344" i="11"/>
  <c r="Q2344" i="11"/>
  <c r="R2343" i="11"/>
  <c r="Q2343" i="11"/>
  <c r="R2342" i="11"/>
  <c r="N2342" i="11"/>
  <c r="Q2342" i="11" s="1"/>
  <c r="R2341" i="11"/>
  <c r="N2341" i="11"/>
  <c r="Q2341" i="11" s="1"/>
  <c r="R2340" i="11"/>
  <c r="N2340" i="11"/>
  <c r="Q2340" i="11" s="1"/>
  <c r="R2339" i="11"/>
  <c r="N2339" i="11"/>
  <c r="Q2339" i="11" s="1"/>
  <c r="R2338" i="11"/>
  <c r="Q2338" i="11"/>
  <c r="R2337" i="11"/>
  <c r="Q2337" i="11"/>
  <c r="P2336" i="11"/>
  <c r="R2336" i="11" s="1"/>
  <c r="P2335" i="11"/>
  <c r="R2335" i="11" s="1"/>
  <c r="R2334" i="11"/>
  <c r="Q2334" i="11"/>
  <c r="R2333" i="11"/>
  <c r="Q2333" i="11"/>
  <c r="P2332" i="11"/>
  <c r="R2332" i="11" s="1"/>
  <c r="P2331" i="11"/>
  <c r="Q2331" i="11" s="1"/>
  <c r="R2330" i="11"/>
  <c r="Q2330" i="11"/>
  <c r="R2329" i="11"/>
  <c r="Q2329" i="11"/>
  <c r="R2328" i="11"/>
  <c r="Q2328" i="11"/>
  <c r="P2327" i="11"/>
  <c r="R2327" i="11" s="1"/>
  <c r="R2326" i="11"/>
  <c r="Q2326" i="11"/>
  <c r="R2325" i="11"/>
  <c r="Q2325" i="11"/>
  <c r="R2324" i="11"/>
  <c r="Q2324" i="11"/>
  <c r="R2323" i="11"/>
  <c r="Q2323" i="11"/>
  <c r="P2322" i="11"/>
  <c r="Q2322" i="11" s="1"/>
  <c r="R2321" i="11"/>
  <c r="Q2321" i="11"/>
  <c r="R2320" i="11"/>
  <c r="Q2320" i="11"/>
  <c r="P2319" i="11"/>
  <c r="R2319" i="11" s="1"/>
  <c r="R2318" i="11"/>
  <c r="Q2318" i="11"/>
  <c r="P2317" i="11"/>
  <c r="Q2317" i="11" s="1"/>
  <c r="R2316" i="11"/>
  <c r="Q2316" i="11"/>
  <c r="P2315" i="11"/>
  <c r="R2315" i="11" s="1"/>
  <c r="R2314" i="11"/>
  <c r="Q2314" i="11"/>
  <c r="R2313" i="11"/>
  <c r="Q2313" i="11"/>
  <c r="R2312" i="11"/>
  <c r="Q2312" i="11"/>
  <c r="R2311" i="11"/>
  <c r="Q2311" i="11"/>
  <c r="R2310" i="11"/>
  <c r="Q2310" i="11"/>
  <c r="R2309" i="11"/>
  <c r="Q2309" i="11"/>
  <c r="R2308" i="11"/>
  <c r="Q2308" i="11"/>
  <c r="R2307" i="11"/>
  <c r="Q2307" i="11"/>
  <c r="P2306" i="11"/>
  <c r="R2306" i="11" s="1"/>
  <c r="Q2305" i="11"/>
  <c r="P2305" i="11"/>
  <c r="R2305" i="11" s="1"/>
  <c r="R2304" i="11"/>
  <c r="Q2304" i="11"/>
  <c r="R2303" i="11"/>
  <c r="Q2303" i="11"/>
  <c r="P2302" i="11"/>
  <c r="Q2302" i="11" s="1"/>
  <c r="R2301" i="11"/>
  <c r="Q2301" i="11"/>
  <c r="R2300" i="11"/>
  <c r="Q2300" i="11"/>
  <c r="R2299" i="11"/>
  <c r="Q2299" i="11"/>
  <c r="R2298" i="11"/>
  <c r="Q2298" i="11"/>
  <c r="R2297" i="11"/>
  <c r="Q2297" i="11"/>
  <c r="R2296" i="11"/>
  <c r="Q2296" i="11"/>
  <c r="P2295" i="11"/>
  <c r="R2295" i="11" s="1"/>
  <c r="R2294" i="11"/>
  <c r="Q2294" i="11"/>
  <c r="P2293" i="11"/>
  <c r="R2293" i="11" s="1"/>
  <c r="R2292" i="11"/>
  <c r="Q2292" i="11"/>
  <c r="R2291" i="11"/>
  <c r="R2290" i="11"/>
  <c r="Q2290" i="11"/>
  <c r="P2289" i="11"/>
  <c r="R2289" i="11" s="1"/>
  <c r="R2288" i="11"/>
  <c r="Q2288" i="11"/>
  <c r="P2287" i="11"/>
  <c r="Q2287" i="11" s="1"/>
  <c r="R2286" i="11"/>
  <c r="Q2286" i="11"/>
  <c r="R2285" i="11"/>
  <c r="Q2285" i="11"/>
  <c r="R2284" i="11"/>
  <c r="Q2284" i="11"/>
  <c r="R2283" i="11"/>
  <c r="Q2283" i="11"/>
  <c r="R2282" i="11"/>
  <c r="Q2282" i="11"/>
  <c r="P2281" i="11"/>
  <c r="Q2281" i="11" s="1"/>
  <c r="P2280" i="11"/>
  <c r="R2280" i="11" s="1"/>
  <c r="R2279" i="11"/>
  <c r="Q2279" i="11"/>
  <c r="R2278" i="11"/>
  <c r="Q2278" i="11"/>
  <c r="Q2277" i="11"/>
  <c r="R2277" i="11" s="1"/>
  <c r="Q2276" i="11"/>
  <c r="R2276" i="11" s="1"/>
  <c r="Q2275" i="11"/>
  <c r="R2275" i="11" s="1"/>
  <c r="Q2274" i="11"/>
  <c r="R2274" i="11" s="1"/>
  <c r="P2273" i="11"/>
  <c r="Q2273" i="11" s="1"/>
  <c r="P2272" i="11"/>
  <c r="R2272" i="11" s="1"/>
  <c r="Q2271" i="11"/>
  <c r="R2271" i="11" s="1"/>
  <c r="Q2270" i="11"/>
  <c r="R2270" i="11" s="1"/>
  <c r="Q2269" i="11"/>
  <c r="R2269" i="11" s="1"/>
  <c r="Q2268" i="11"/>
  <c r="R2268" i="11" s="1"/>
  <c r="Q2267" i="11"/>
  <c r="R2267" i="11" s="1"/>
  <c r="Q2266" i="11"/>
  <c r="R2266" i="11" s="1"/>
  <c r="Q2265" i="11"/>
  <c r="R2265" i="11" s="1"/>
  <c r="Q2264" i="11"/>
  <c r="R2264" i="11" s="1"/>
  <c r="Q2263" i="11"/>
  <c r="R2263" i="11" s="1"/>
  <c r="Q2262" i="11"/>
  <c r="R2262" i="11" s="1"/>
  <c r="Q2261" i="11"/>
  <c r="R2261" i="11" s="1"/>
  <c r="Q2260" i="11"/>
  <c r="R2260" i="11" s="1"/>
  <c r="P2259" i="11"/>
  <c r="R2259" i="11" s="1"/>
  <c r="P2258" i="11"/>
  <c r="R2258" i="11" s="1"/>
  <c r="N2258" i="11"/>
  <c r="P2257" i="11"/>
  <c r="R2257" i="11" s="1"/>
  <c r="N2257" i="11"/>
  <c r="P2256" i="11"/>
  <c r="Q2256" i="11" s="1"/>
  <c r="N2256" i="11"/>
  <c r="P2255" i="11"/>
  <c r="R2255" i="11" s="1"/>
  <c r="N2255" i="11"/>
  <c r="P2254" i="11"/>
  <c r="R2254" i="11" s="1"/>
  <c r="R2253" i="11"/>
  <c r="Q2252" i="11"/>
  <c r="R2252" i="11" s="1"/>
  <c r="P2251" i="11"/>
  <c r="R2251" i="11" s="1"/>
  <c r="P2250" i="11"/>
  <c r="R2250" i="11" s="1"/>
  <c r="N2250" i="11"/>
  <c r="P2249" i="11"/>
  <c r="R2249" i="11" s="1"/>
  <c r="N2249" i="11"/>
  <c r="P2248" i="11"/>
  <c r="R2248" i="11" s="1"/>
  <c r="N2248" i="11"/>
  <c r="P2247" i="11"/>
  <c r="R2247" i="11" s="1"/>
  <c r="N2247" i="11"/>
  <c r="P2246" i="11"/>
  <c r="R2246" i="11" s="1"/>
  <c r="N2246" i="11"/>
  <c r="P2245" i="11"/>
  <c r="R2245" i="11" s="1"/>
  <c r="N2245" i="11"/>
  <c r="P2244" i="11"/>
  <c r="R2244" i="11" s="1"/>
  <c r="N2244" i="11"/>
  <c r="P2243" i="11"/>
  <c r="R2243" i="11" s="1"/>
  <c r="N2243" i="11"/>
  <c r="R2242" i="11"/>
  <c r="N2242" i="11"/>
  <c r="Q2242" i="11" s="1"/>
  <c r="P2241" i="11"/>
  <c r="R2241" i="11" s="1"/>
  <c r="N2241" i="11"/>
  <c r="P2240" i="11"/>
  <c r="R2240" i="11" s="1"/>
  <c r="N2240" i="11"/>
  <c r="R2239" i="11"/>
  <c r="N2239" i="11"/>
  <c r="Q2239" i="11" s="1"/>
  <c r="P2238" i="11"/>
  <c r="R2238" i="11" s="1"/>
  <c r="N2238" i="11"/>
  <c r="R2237" i="11"/>
  <c r="N2237" i="11"/>
  <c r="Q2237" i="11" s="1"/>
  <c r="P2236" i="11"/>
  <c r="R2236" i="11" s="1"/>
  <c r="N2236" i="11"/>
  <c r="R2235" i="11"/>
  <c r="N2235" i="11"/>
  <c r="Q2235" i="11" s="1"/>
  <c r="P2234" i="11"/>
  <c r="R2234" i="11" s="1"/>
  <c r="N2234" i="11"/>
  <c r="R2233" i="11"/>
  <c r="N2233" i="11"/>
  <c r="P2232" i="11"/>
  <c r="Q2232" i="11" s="1"/>
  <c r="R2231" i="11"/>
  <c r="Q2230" i="11"/>
  <c r="R2230" i="11" s="1"/>
  <c r="Q2229" i="11"/>
  <c r="R2229" i="11" s="1"/>
  <c r="Q2228" i="11"/>
  <c r="R2228" i="11" s="1"/>
  <c r="Q2227" i="11"/>
  <c r="R2227" i="11" s="1"/>
  <c r="Q2226" i="11"/>
  <c r="R2226" i="11" s="1"/>
  <c r="Q2225" i="11"/>
  <c r="N2225" i="11"/>
  <c r="Q2224" i="11"/>
  <c r="N2224" i="11"/>
  <c r="Q2223" i="11"/>
  <c r="N2223" i="11"/>
  <c r="Q2222" i="11"/>
  <c r="N2222" i="11"/>
  <c r="Q2221" i="11"/>
  <c r="N2221" i="11"/>
  <c r="Q2220" i="11"/>
  <c r="N2220" i="11"/>
  <c r="R2219" i="11"/>
  <c r="Q2219" i="11"/>
  <c r="Q2218" i="11"/>
  <c r="R2218" i="11" s="1"/>
  <c r="Q2217" i="11"/>
  <c r="R2217" i="11" s="1"/>
  <c r="Q2216" i="11"/>
  <c r="R2216" i="11" s="1"/>
  <c r="Q2215" i="11"/>
  <c r="R2215" i="11" s="1"/>
  <c r="R2214" i="11"/>
  <c r="Q2214" i="11"/>
  <c r="P2213" i="11"/>
  <c r="R2213" i="11" s="1"/>
  <c r="P2212" i="11"/>
  <c r="R2212" i="11" s="1"/>
  <c r="N2212" i="11"/>
  <c r="P2211" i="11"/>
  <c r="R2211" i="11" s="1"/>
  <c r="N2211" i="11"/>
  <c r="R2210" i="11"/>
  <c r="N2210" i="11"/>
  <c r="Q2210" i="11" s="1"/>
  <c r="P2209" i="11"/>
  <c r="R2209" i="11" s="1"/>
  <c r="N2209" i="11"/>
  <c r="Q2208" i="11"/>
  <c r="R2208" i="11" s="1"/>
  <c r="R2207" i="11"/>
  <c r="P2206" i="11"/>
  <c r="R2206" i="11" s="1"/>
  <c r="P2205" i="11"/>
  <c r="R2205" i="11" s="1"/>
  <c r="P2204" i="11"/>
  <c r="R2204" i="11" s="1"/>
  <c r="Q2203" i="11"/>
  <c r="R2203" i="11" s="1"/>
  <c r="P2202" i="11"/>
  <c r="R2202" i="11" s="1"/>
  <c r="R2201" i="11"/>
  <c r="Q2201" i="11"/>
  <c r="Q2200" i="11"/>
  <c r="N2200" i="11"/>
  <c r="Q2199" i="11"/>
  <c r="N2199" i="11"/>
  <c r="Q2198" i="11"/>
  <c r="N2198" i="11"/>
  <c r="Q2197" i="11"/>
  <c r="N2197" i="11"/>
  <c r="Q2196" i="11"/>
  <c r="N2196" i="11"/>
  <c r="Q2195" i="11"/>
  <c r="N2195" i="11"/>
  <c r="Q2194" i="11"/>
  <c r="N2194" i="11"/>
  <c r="Q2193" i="11"/>
  <c r="N2193" i="11"/>
  <c r="Q2192" i="11"/>
  <c r="N2192" i="11"/>
  <c r="Q2191" i="11"/>
  <c r="N2191" i="11"/>
  <c r="Q2190" i="11"/>
  <c r="N2190" i="11"/>
  <c r="Q2189" i="11"/>
  <c r="N2189" i="11"/>
  <c r="Q2188" i="11"/>
  <c r="N2188" i="11"/>
  <c r="Q2187" i="11"/>
  <c r="N2187" i="11"/>
  <c r="Q2186" i="11"/>
  <c r="N2186" i="11"/>
  <c r="Q2185" i="11"/>
  <c r="N2185" i="11"/>
  <c r="Q2184" i="11"/>
  <c r="N2184" i="11"/>
  <c r="Q2183" i="11"/>
  <c r="N2183" i="11"/>
  <c r="Q2182" i="11"/>
  <c r="N2182" i="11"/>
  <c r="Q2181" i="11"/>
  <c r="N2181" i="11"/>
  <c r="Q2180" i="11"/>
  <c r="N2180" i="11"/>
  <c r="R2179" i="11"/>
  <c r="Q2179" i="11"/>
  <c r="R2178" i="11"/>
  <c r="Q2178" i="11"/>
  <c r="R2177" i="11"/>
  <c r="Q2177" i="11"/>
  <c r="P2176" i="11"/>
  <c r="R2176" i="11" s="1"/>
  <c r="P2175" i="11"/>
  <c r="R2175" i="11" s="1"/>
  <c r="R2174" i="11"/>
  <c r="N2174" i="11"/>
  <c r="Q2174" i="11" s="1"/>
  <c r="R2173" i="11"/>
  <c r="N2173" i="11"/>
  <c r="Q2173" i="11" s="1"/>
  <c r="R2172" i="11"/>
  <c r="N2172" i="11"/>
  <c r="Q2172" i="11" s="1"/>
  <c r="R2171" i="11"/>
  <c r="N2171" i="11"/>
  <c r="Q2171" i="11" s="1"/>
  <c r="R2170" i="11"/>
  <c r="N2170" i="11"/>
  <c r="Q2170" i="11" s="1"/>
  <c r="R2169" i="11"/>
  <c r="N2169" i="11"/>
  <c r="Q2169" i="11" s="1"/>
  <c r="R2168" i="11"/>
  <c r="N2168" i="11"/>
  <c r="Q2168" i="11" s="1"/>
  <c r="R2167" i="11"/>
  <c r="N2167" i="11"/>
  <c r="P2166" i="11"/>
  <c r="R2166" i="11" s="1"/>
  <c r="R2165" i="11"/>
  <c r="R2164" i="11"/>
  <c r="Q2164" i="11"/>
  <c r="R2163" i="11"/>
  <c r="N2163" i="11"/>
  <c r="Q2163" i="11" s="1"/>
  <c r="R2162" i="11"/>
  <c r="N2162" i="11"/>
  <c r="Q2162" i="11" s="1"/>
  <c r="R2161" i="11"/>
  <c r="N2161" i="11"/>
  <c r="Q2161" i="11" s="1"/>
  <c r="R2160" i="11"/>
  <c r="N2160" i="11"/>
  <c r="Q2160" i="11" s="1"/>
  <c r="R2159" i="11"/>
  <c r="N2159" i="11"/>
  <c r="Q2159" i="11" s="1"/>
  <c r="R2158" i="11"/>
  <c r="N2158" i="11"/>
  <c r="Q2158" i="11" s="1"/>
  <c r="R2157" i="11"/>
  <c r="N2157" i="11"/>
  <c r="Q2157" i="11" s="1"/>
  <c r="R2156" i="11"/>
  <c r="N2156" i="11"/>
  <c r="Q2156" i="11" s="1"/>
  <c r="Q2155" i="11"/>
  <c r="R2155" i="11" s="1"/>
  <c r="Q2154" i="11"/>
  <c r="R2154" i="11" s="1"/>
  <c r="Q2153" i="11"/>
  <c r="R2153" i="11" s="1"/>
  <c r="Q2152" i="11"/>
  <c r="R2152" i="11" s="1"/>
  <c r="R2151" i="11"/>
  <c r="Q2151" i="11"/>
  <c r="R2150" i="11"/>
  <c r="Q2150" i="11"/>
  <c r="R2149" i="11"/>
  <c r="Q2149" i="11"/>
  <c r="P2148" i="11"/>
  <c r="Q2148" i="11" s="1"/>
  <c r="R2147" i="11"/>
  <c r="Q2147" i="11"/>
  <c r="R2146" i="11"/>
  <c r="P2146" i="11"/>
  <c r="Q2146" i="11" s="1"/>
  <c r="P2145" i="11"/>
  <c r="R2145" i="11" s="1"/>
  <c r="R2144" i="11"/>
  <c r="P2144" i="11"/>
  <c r="Q2144" i="11" s="1"/>
  <c r="P2143" i="11"/>
  <c r="R2143" i="11" s="1"/>
  <c r="N2143" i="11"/>
  <c r="Q2142" i="11"/>
  <c r="R2142" i="11" s="1"/>
  <c r="Q2141" i="11"/>
  <c r="R2141" i="11" s="1"/>
  <c r="Q2140" i="11"/>
  <c r="R2140" i="11" s="1"/>
  <c r="Q2139" i="11"/>
  <c r="R2139" i="11" s="1"/>
  <c r="Q2138" i="11"/>
  <c r="R2138" i="11" s="1"/>
  <c r="P2137" i="11"/>
  <c r="Q2137" i="11" s="1"/>
  <c r="Q2136" i="11"/>
  <c r="N2136" i="11"/>
  <c r="Q2135" i="11"/>
  <c r="N2135" i="11"/>
  <c r="Q2134" i="11"/>
  <c r="N2134" i="11"/>
  <c r="Q2133" i="11"/>
  <c r="N2133" i="11"/>
  <c r="Q2132" i="11"/>
  <c r="N2132" i="11"/>
  <c r="Q2131" i="11"/>
  <c r="N2131" i="11"/>
  <c r="Q2130" i="11"/>
  <c r="R2130" i="11" s="1"/>
  <c r="Q2129" i="11"/>
  <c r="R2129" i="11" s="1"/>
  <c r="Q2128" i="11"/>
  <c r="R2128" i="11" s="1"/>
  <c r="Q2127" i="11"/>
  <c r="R2127" i="11" s="1"/>
  <c r="Q2126" i="11"/>
  <c r="R2126" i="11" s="1"/>
  <c r="P2125" i="11"/>
  <c r="N2125" i="11"/>
  <c r="P2124" i="11"/>
  <c r="R2124" i="11" s="1"/>
  <c r="N2124" i="11"/>
  <c r="P2123" i="11"/>
  <c r="R2123" i="11" s="1"/>
  <c r="P2122" i="11"/>
  <c r="R2122" i="11" s="1"/>
  <c r="P2121" i="11"/>
  <c r="R2121" i="11" s="1"/>
  <c r="R2120" i="11"/>
  <c r="Q2120" i="11"/>
  <c r="P2119" i="11"/>
  <c r="Q2119" i="11" s="1"/>
  <c r="R2118" i="11"/>
  <c r="Q2118" i="11"/>
  <c r="R2117" i="11"/>
  <c r="Q2117" i="11"/>
  <c r="R2116" i="11"/>
  <c r="Q2116" i="11"/>
  <c r="P2115" i="11"/>
  <c r="R2115" i="11" s="1"/>
  <c r="P2114" i="11"/>
  <c r="R2114" i="11" s="1"/>
  <c r="P2113" i="11"/>
  <c r="R2113" i="11" s="1"/>
  <c r="R2112" i="11"/>
  <c r="Q2112" i="11"/>
  <c r="R2111" i="11"/>
  <c r="Q2111" i="11"/>
  <c r="R2110" i="11"/>
  <c r="P2109" i="11"/>
  <c r="R2109" i="11" s="1"/>
  <c r="P2108" i="11"/>
  <c r="R2108" i="11" s="1"/>
  <c r="Q2107" i="11"/>
  <c r="R2107" i="11" s="1"/>
  <c r="P2106" i="11"/>
  <c r="R2106" i="11" s="1"/>
  <c r="P2105" i="11"/>
  <c r="R2105" i="11" s="1"/>
  <c r="P2104" i="11"/>
  <c r="R2104" i="11" s="1"/>
  <c r="P2103" i="11"/>
  <c r="R2103" i="11" s="1"/>
  <c r="R2102" i="11"/>
  <c r="Q2102" i="11"/>
  <c r="R2101" i="11"/>
  <c r="Q2101" i="11"/>
  <c r="P2100" i="11"/>
  <c r="R2100" i="11" s="1"/>
  <c r="P2099" i="11"/>
  <c r="R2099" i="11" s="1"/>
  <c r="P2098" i="11"/>
  <c r="Q2098" i="11" s="1"/>
  <c r="P2097" i="11"/>
  <c r="R2097" i="11" s="1"/>
  <c r="Q2096" i="11"/>
  <c r="R2096" i="11" s="1"/>
  <c r="R2095" i="11"/>
  <c r="N2095" i="11"/>
  <c r="Q2095" i="11" s="1"/>
  <c r="Q2094" i="11"/>
  <c r="R2094" i="11" s="1"/>
  <c r="P2093" i="11"/>
  <c r="R2093" i="11" s="1"/>
  <c r="R2092" i="11"/>
  <c r="Q2092" i="11"/>
  <c r="P2091" i="11"/>
  <c r="R2091" i="11" s="1"/>
  <c r="P2090" i="11"/>
  <c r="Q2090" i="11" s="1"/>
  <c r="P2089" i="11"/>
  <c r="R2089" i="11" s="1"/>
  <c r="P2088" i="11"/>
  <c r="R2088" i="11" s="1"/>
  <c r="N2088" i="11"/>
  <c r="Q2087" i="11"/>
  <c r="N2087" i="11"/>
  <c r="P2086" i="11"/>
  <c r="R2086" i="11" s="1"/>
  <c r="P2085" i="11"/>
  <c r="Q2085" i="11" s="1"/>
  <c r="R2084" i="11"/>
  <c r="Q2084" i="11"/>
  <c r="P2083" i="11"/>
  <c r="Q2083" i="11" s="1"/>
  <c r="Q2082" i="11"/>
  <c r="R2082" i="11" s="1"/>
  <c r="Q2081" i="11"/>
  <c r="R2081" i="11" s="1"/>
  <c r="Q2080" i="11"/>
  <c r="R2080" i="11" s="1"/>
  <c r="Q2079" i="11"/>
  <c r="R2079" i="11" s="1"/>
  <c r="P2078" i="11"/>
  <c r="R2078" i="11" s="1"/>
  <c r="N2078" i="11"/>
  <c r="Q2078" i="11" s="1"/>
  <c r="R2077" i="11"/>
  <c r="N2077" i="11"/>
  <c r="Q2077" i="11" s="1"/>
  <c r="Q2076" i="11"/>
  <c r="N2076" i="11"/>
  <c r="Q2075" i="11"/>
  <c r="N2075" i="11"/>
  <c r="P2074" i="11"/>
  <c r="R2074" i="11" s="1"/>
  <c r="N2074" i="11"/>
  <c r="Q2073" i="11"/>
  <c r="N2073" i="11"/>
  <c r="R2072" i="11"/>
  <c r="Q2072" i="11"/>
  <c r="P2071" i="11"/>
  <c r="R2071" i="11" s="1"/>
  <c r="N2071" i="11"/>
  <c r="P2070" i="11"/>
  <c r="R2070" i="11" s="1"/>
  <c r="N2070" i="11"/>
  <c r="Q2069" i="11"/>
  <c r="N2069" i="11"/>
  <c r="R2068" i="11"/>
  <c r="N2068" i="11"/>
  <c r="Q2068" i="11" s="1"/>
  <c r="P2067" i="11"/>
  <c r="R2067" i="11" s="1"/>
  <c r="R2066" i="11"/>
  <c r="Q2066" i="11"/>
  <c r="R2065" i="11"/>
  <c r="Q2065" i="11"/>
  <c r="R2064" i="11"/>
  <c r="Q2064" i="11"/>
  <c r="R2063" i="11"/>
  <c r="Q2063" i="11"/>
  <c r="R2062" i="11"/>
  <c r="Q2062" i="11"/>
  <c r="R2061" i="11"/>
  <c r="Q2061" i="11"/>
  <c r="R2060" i="11"/>
  <c r="Q2060" i="11"/>
  <c r="P2059" i="11"/>
  <c r="R2059" i="11" s="1"/>
  <c r="P2058" i="11"/>
  <c r="R2058" i="11" s="1"/>
  <c r="R2057" i="11"/>
  <c r="Q2057" i="11"/>
  <c r="P2056" i="11"/>
  <c r="R2056" i="11" s="1"/>
  <c r="R2055" i="11"/>
  <c r="Q2055" i="11"/>
  <c r="P2054" i="11"/>
  <c r="Q2054" i="11" s="1"/>
  <c r="R2053" i="11"/>
  <c r="Q2053" i="11"/>
  <c r="P2052" i="11"/>
  <c r="Q2052" i="11" s="1"/>
  <c r="P2051" i="11"/>
  <c r="R2051" i="11" s="1"/>
  <c r="Q2050" i="11"/>
  <c r="R2050" i="11" s="1"/>
  <c r="Q2049" i="11"/>
  <c r="R2049" i="11" s="1"/>
  <c r="Q2048" i="11"/>
  <c r="R2048" i="11" s="1"/>
  <c r="Q2047" i="11"/>
  <c r="R2047" i="11" s="1"/>
  <c r="N2047" i="11"/>
  <c r="Q2046" i="11"/>
  <c r="N2046" i="11"/>
  <c r="Q2045" i="11"/>
  <c r="R2045" i="11" s="1"/>
  <c r="P2044" i="11"/>
  <c r="R2044" i="11" s="1"/>
  <c r="Q2043" i="11"/>
  <c r="R2043" i="11" s="1"/>
  <c r="Q2042" i="11"/>
  <c r="R2042" i="11" s="1"/>
  <c r="Q2041" i="11"/>
  <c r="R2041" i="11" s="1"/>
  <c r="Q2040" i="11"/>
  <c r="R2040" i="11" s="1"/>
  <c r="Q2039" i="11"/>
  <c r="N2039" i="11"/>
  <c r="Q2038" i="11"/>
  <c r="N2038" i="11"/>
  <c r="Q2037" i="11"/>
  <c r="N2037" i="11"/>
  <c r="Q2036" i="11"/>
  <c r="N2036" i="11"/>
  <c r="Q2035" i="11"/>
  <c r="R2035" i="11" s="1"/>
  <c r="N2035" i="11"/>
  <c r="Q2034" i="11"/>
  <c r="N2034" i="11"/>
  <c r="Q2033" i="11"/>
  <c r="N2033" i="11"/>
  <c r="Q2032" i="11"/>
  <c r="N2032" i="11"/>
  <c r="Q2031" i="11"/>
  <c r="N2031" i="11"/>
  <c r="Q2030" i="11"/>
  <c r="N2030" i="11"/>
  <c r="Q2029" i="11"/>
  <c r="R2029" i="11" s="1"/>
  <c r="Q2028" i="11"/>
  <c r="R2028" i="11" s="1"/>
  <c r="Q2027" i="11"/>
  <c r="R2027" i="11" s="1"/>
  <c r="Q2026" i="11"/>
  <c r="N2026" i="11"/>
  <c r="Q2025" i="11"/>
  <c r="N2025" i="11"/>
  <c r="Q2024" i="11"/>
  <c r="R2024" i="11" s="1"/>
  <c r="Q2023" i="11"/>
  <c r="R2023" i="11" s="1"/>
  <c r="Q2022" i="11"/>
  <c r="R2022" i="11" s="1"/>
  <c r="Q2021" i="11"/>
  <c r="R2021" i="11" s="1"/>
  <c r="Q2020" i="11"/>
  <c r="R2020" i="11" s="1"/>
  <c r="Q2019" i="11"/>
  <c r="R2019" i="11" s="1"/>
  <c r="Q2018" i="11"/>
  <c r="R2018" i="11" s="1"/>
  <c r="Q2017" i="11"/>
  <c r="R2017" i="11" s="1"/>
  <c r="Q2016" i="11"/>
  <c r="R2016" i="11" s="1"/>
  <c r="Q2015" i="11"/>
  <c r="R2015" i="11" s="1"/>
  <c r="Q2014" i="11"/>
  <c r="R2014" i="11" s="1"/>
  <c r="Q2013" i="11"/>
  <c r="R2013" i="11" s="1"/>
  <c r="Q2012" i="11"/>
  <c r="R2012" i="11" s="1"/>
  <c r="Q2011" i="11"/>
  <c r="R2011" i="11" s="1"/>
  <c r="Q2010" i="11"/>
  <c r="R2010" i="11" s="1"/>
  <c r="Q2009" i="11"/>
  <c r="R2009" i="11" s="1"/>
  <c r="Q2008" i="11"/>
  <c r="R2008" i="11" s="1"/>
  <c r="Q2007" i="11"/>
  <c r="R2007" i="11" s="1"/>
  <c r="Q2006" i="11"/>
  <c r="R2006" i="11" s="1"/>
  <c r="Q2005" i="11"/>
  <c r="R2005" i="11" s="1"/>
  <c r="Q2004" i="11"/>
  <c r="R2004" i="11" s="1"/>
  <c r="Q2003" i="11"/>
  <c r="R2003" i="11" s="1"/>
  <c r="Q2002" i="11"/>
  <c r="R2002" i="11" s="1"/>
  <c r="Q2001" i="11"/>
  <c r="R2001" i="11" s="1"/>
  <c r="Q2000" i="11"/>
  <c r="R2000" i="11" s="1"/>
  <c r="Q1999" i="11"/>
  <c r="R1999" i="11" s="1"/>
  <c r="Q1998" i="11"/>
  <c r="R1998" i="11" s="1"/>
  <c r="Q1997" i="11"/>
  <c r="R1997" i="11" s="1"/>
  <c r="Q1996" i="11"/>
  <c r="R1996" i="11" s="1"/>
  <c r="P1995" i="11"/>
  <c r="R1995" i="11" s="1"/>
  <c r="P1994" i="11"/>
  <c r="R1994" i="11" s="1"/>
  <c r="N1994" i="11"/>
  <c r="Q1993" i="11"/>
  <c r="N1993" i="11"/>
  <c r="Q1992" i="11"/>
  <c r="N1992" i="11"/>
  <c r="P1991" i="11"/>
  <c r="N1991" i="11"/>
  <c r="R1990" i="11"/>
  <c r="N1990" i="11"/>
  <c r="Q1990" i="11" s="1"/>
  <c r="R1989" i="11"/>
  <c r="N1989" i="11"/>
  <c r="Q1989" i="11" s="1"/>
  <c r="Q1988" i="11"/>
  <c r="R1988" i="11" s="1"/>
  <c r="P1987" i="11"/>
  <c r="N1987" i="11"/>
  <c r="Q1986" i="11"/>
  <c r="N1986" i="11"/>
  <c r="Q1985" i="11"/>
  <c r="R1985" i="11" s="1"/>
  <c r="Q1984" i="11"/>
  <c r="R1984" i="11" s="1"/>
  <c r="Q1983" i="11"/>
  <c r="R1983" i="11" s="1"/>
  <c r="Q1982" i="11"/>
  <c r="R1982" i="11" s="1"/>
  <c r="Q1981" i="11"/>
  <c r="N1981" i="11"/>
  <c r="Q1980" i="11"/>
  <c r="N1980" i="11"/>
  <c r="Q1979" i="11"/>
  <c r="N1979" i="11"/>
  <c r="P1978" i="11"/>
  <c r="Q1978" i="11" s="1"/>
  <c r="Q1976" i="11"/>
  <c r="R1976" i="11" s="1"/>
  <c r="R1975" i="11"/>
  <c r="P1975" i="11"/>
  <c r="N1975" i="11"/>
  <c r="R1974" i="11"/>
  <c r="Q1973" i="11"/>
  <c r="R1973" i="11" s="1"/>
  <c r="Q1972" i="11"/>
  <c r="R1972" i="11" s="1"/>
  <c r="R1971" i="11"/>
  <c r="N1971" i="11"/>
  <c r="R1970" i="11"/>
  <c r="Q1970" i="11"/>
  <c r="Q1969" i="11"/>
  <c r="R1969" i="11" s="1"/>
  <c r="Q1968" i="11"/>
  <c r="R1968" i="11" s="1"/>
  <c r="Q1967" i="11"/>
  <c r="R1967" i="11" s="1"/>
  <c r="Q1966" i="11"/>
  <c r="R1966" i="11" s="1"/>
  <c r="R1965" i="11"/>
  <c r="N1965" i="11"/>
  <c r="Q1965" i="11" s="1"/>
  <c r="R1964" i="11"/>
  <c r="N1964" i="11"/>
  <c r="Q1964" i="11" s="1"/>
  <c r="P1963" i="11"/>
  <c r="R1963" i="11" s="1"/>
  <c r="R1962" i="11"/>
  <c r="Q1962" i="11"/>
  <c r="P1961" i="11"/>
  <c r="R1961" i="11" s="1"/>
  <c r="Q1960" i="11"/>
  <c r="R1960" i="11" s="1"/>
  <c r="Q1959" i="11"/>
  <c r="R1959" i="11" s="1"/>
  <c r="Q1958" i="11"/>
  <c r="R1958" i="11" s="1"/>
  <c r="Q1957" i="11"/>
  <c r="R1957" i="11" s="1"/>
  <c r="Q1956" i="11"/>
  <c r="R1956" i="11" s="1"/>
  <c r="Q1955" i="11"/>
  <c r="R1955" i="11" s="1"/>
  <c r="Q1954" i="11"/>
  <c r="R1954" i="11" s="1"/>
  <c r="Q1953" i="11"/>
  <c r="R1953" i="11" s="1"/>
  <c r="Q1952" i="11"/>
  <c r="R1952" i="11" s="1"/>
  <c r="Q1951" i="11"/>
  <c r="R1951" i="11" s="1"/>
  <c r="Q1950" i="11"/>
  <c r="R1950" i="11" s="1"/>
  <c r="Q1949" i="11"/>
  <c r="R1949" i="11" s="1"/>
  <c r="Q1948" i="11"/>
  <c r="R1948" i="11" s="1"/>
  <c r="P1947" i="11"/>
  <c r="R1947" i="11" s="1"/>
  <c r="N1947" i="11"/>
  <c r="Q1946" i="11"/>
  <c r="R1946" i="11" s="1"/>
  <c r="Q1945" i="11"/>
  <c r="R1945" i="11" s="1"/>
  <c r="R1944" i="11"/>
  <c r="R1943" i="11"/>
  <c r="Q1943" i="11"/>
  <c r="R1942" i="11"/>
  <c r="Q1942" i="11"/>
  <c r="P1941" i="11"/>
  <c r="R1941" i="11" s="1"/>
  <c r="P1940" i="11"/>
  <c r="R1940" i="11" s="1"/>
  <c r="R1939" i="11"/>
  <c r="Q1939" i="11"/>
  <c r="R1938" i="11"/>
  <c r="Q1938" i="11"/>
  <c r="R1937" i="11"/>
  <c r="Q1937" i="11"/>
  <c r="R1936" i="11"/>
  <c r="Q1936" i="11"/>
  <c r="R1935" i="11"/>
  <c r="Q1935" i="11"/>
  <c r="R1934" i="11"/>
  <c r="Q1934" i="11"/>
  <c r="R1933" i="11"/>
  <c r="Q1933" i="11"/>
  <c r="R1932" i="11"/>
  <c r="Q1932" i="11"/>
  <c r="P1931" i="11"/>
  <c r="Q1931" i="11" s="1"/>
  <c r="Q1930" i="11"/>
  <c r="R1930" i="11" s="1"/>
  <c r="Q1929" i="11"/>
  <c r="R1929" i="11" s="1"/>
  <c r="Q1928" i="11"/>
  <c r="R1928" i="11" s="1"/>
  <c r="Q1927" i="11"/>
  <c r="R1927" i="11" s="1"/>
  <c r="Q1926" i="11"/>
  <c r="R1926" i="11" s="1"/>
  <c r="Q1925" i="11"/>
  <c r="R1925" i="11" s="1"/>
  <c r="Q1924" i="11"/>
  <c r="R1924" i="11" s="1"/>
  <c r="Q1923" i="11"/>
  <c r="R1923" i="11" s="1"/>
  <c r="Q1922" i="11"/>
  <c r="R1922" i="11" s="1"/>
  <c r="Q1921" i="11"/>
  <c r="R1921" i="11" s="1"/>
  <c r="Q1920" i="11"/>
  <c r="R1920" i="11" s="1"/>
  <c r="Q1919" i="11"/>
  <c r="R1919" i="11" s="1"/>
  <c r="Q1918" i="11"/>
  <c r="R1918" i="11" s="1"/>
  <c r="Q1917" i="11"/>
  <c r="R1917" i="11" s="1"/>
  <c r="Q1916" i="11"/>
  <c r="R1916" i="11" s="1"/>
  <c r="Q1915" i="11"/>
  <c r="R1915" i="11" s="1"/>
  <c r="Q1914" i="11"/>
  <c r="R1914" i="11" s="1"/>
  <c r="Q1913" i="11"/>
  <c r="R1913" i="11" s="1"/>
  <c r="Q1912" i="11"/>
  <c r="R1912" i="11" s="1"/>
  <c r="Q1911" i="11"/>
  <c r="R1911" i="11" s="1"/>
  <c r="Q1910" i="11"/>
  <c r="R1910" i="11" s="1"/>
  <c r="Q1909" i="11"/>
  <c r="R1909" i="11" s="1"/>
  <c r="Q1908" i="11"/>
  <c r="R1908" i="11" s="1"/>
  <c r="Q1907" i="11"/>
  <c r="R1907" i="11" s="1"/>
  <c r="Q1906" i="11"/>
  <c r="R1906" i="11" s="1"/>
  <c r="Q1905" i="11"/>
  <c r="R1905" i="11" s="1"/>
  <c r="Q1904" i="11"/>
  <c r="R1904" i="11" s="1"/>
  <c r="Q1903" i="11"/>
  <c r="R1903" i="11" s="1"/>
  <c r="Q1902" i="11"/>
  <c r="R1902" i="11" s="1"/>
  <c r="Q1901" i="11"/>
  <c r="R1901" i="11" s="1"/>
  <c r="Q1900" i="11"/>
  <c r="R1900" i="11" s="1"/>
  <c r="Q1899" i="11"/>
  <c r="R1899" i="11" s="1"/>
  <c r="Q1898" i="11"/>
  <c r="R1898" i="11" s="1"/>
  <c r="Q1897" i="11"/>
  <c r="R1897" i="11" s="1"/>
  <c r="Q1896" i="11"/>
  <c r="R1896" i="11" s="1"/>
  <c r="Q1895" i="11"/>
  <c r="R1895" i="11" s="1"/>
  <c r="Q1894" i="11"/>
  <c r="R1894" i="11" s="1"/>
  <c r="Q1893" i="11"/>
  <c r="R1893" i="11" s="1"/>
  <c r="Q1892" i="11"/>
  <c r="R1892" i="11" s="1"/>
  <c r="Q1891" i="11"/>
  <c r="R1891" i="11" s="1"/>
  <c r="Q1890" i="11"/>
  <c r="R1890" i="11" s="1"/>
  <c r="Q1889" i="11"/>
  <c r="R1889" i="11" s="1"/>
  <c r="Q1888" i="11"/>
  <c r="R1888" i="11" s="1"/>
  <c r="Q1887" i="11"/>
  <c r="R1887" i="11" s="1"/>
  <c r="Q1886" i="11"/>
  <c r="R1886" i="11" s="1"/>
  <c r="Q1885" i="11"/>
  <c r="R1885" i="11" s="1"/>
  <c r="Q1884" i="11"/>
  <c r="R1884" i="11" s="1"/>
  <c r="Q1883" i="11"/>
  <c r="R1883" i="11" s="1"/>
  <c r="Q1882" i="11"/>
  <c r="R1882" i="11" s="1"/>
  <c r="Q1881" i="11"/>
  <c r="R1881" i="11" s="1"/>
  <c r="Q1880" i="11"/>
  <c r="R1880" i="11" s="1"/>
  <c r="Q1879" i="11"/>
  <c r="R1879" i="11" s="1"/>
  <c r="Q1878" i="11"/>
  <c r="R1878" i="11" s="1"/>
  <c r="Q1877" i="11"/>
  <c r="R1877" i="11" s="1"/>
  <c r="Q1876" i="11"/>
  <c r="R1876" i="11" s="1"/>
  <c r="Q1875" i="11"/>
  <c r="R1875" i="11" s="1"/>
  <c r="Q1874" i="11"/>
  <c r="R1874" i="11" s="1"/>
  <c r="R1873" i="11"/>
  <c r="Q1873" i="11"/>
  <c r="P1872" i="11"/>
  <c r="R1872" i="11" s="1"/>
  <c r="Q1871" i="11"/>
  <c r="R1871" i="11" s="1"/>
  <c r="Q1870" i="11"/>
  <c r="R1870" i="11" s="1"/>
  <c r="Q1869" i="11"/>
  <c r="R1869" i="11" s="1"/>
  <c r="Q1868" i="11"/>
  <c r="R1868" i="11" s="1"/>
  <c r="Q1867" i="11"/>
  <c r="R1867" i="11" s="1"/>
  <c r="P1866" i="11"/>
  <c r="R1866" i="11" s="1"/>
  <c r="Q1865" i="11"/>
  <c r="R1865" i="11" s="1"/>
  <c r="Q1864" i="11"/>
  <c r="R1864" i="11" s="1"/>
  <c r="Q1863" i="11"/>
  <c r="R1863" i="11" s="1"/>
  <c r="Q1862" i="11"/>
  <c r="R1862" i="11" s="1"/>
  <c r="P1861" i="11"/>
  <c r="R1861" i="11" s="1"/>
  <c r="P1860" i="11"/>
  <c r="R1860" i="11" s="1"/>
  <c r="P1859" i="11"/>
  <c r="R1859" i="11" s="1"/>
  <c r="N1859" i="11"/>
  <c r="Q1858" i="11"/>
  <c r="R1858" i="11" s="1"/>
  <c r="Q1857" i="11"/>
  <c r="R1857" i="11" s="1"/>
  <c r="Q1856" i="11"/>
  <c r="R1856" i="11" s="1"/>
  <c r="Q1855" i="11"/>
  <c r="R1855" i="11" s="1"/>
  <c r="Q1854" i="11"/>
  <c r="R1854" i="11" s="1"/>
  <c r="Q1853" i="11"/>
  <c r="R1853" i="11" s="1"/>
  <c r="Q1852" i="11"/>
  <c r="R1852" i="11" s="1"/>
  <c r="Q1851" i="11"/>
  <c r="R1851" i="11" s="1"/>
  <c r="Q1850" i="11"/>
  <c r="R1850" i="11" s="1"/>
  <c r="Q1849" i="11"/>
  <c r="R1849" i="11" s="1"/>
  <c r="Q1848" i="11"/>
  <c r="R1848" i="11" s="1"/>
  <c r="Q1847" i="11"/>
  <c r="R1847" i="11" s="1"/>
  <c r="Q1846" i="11"/>
  <c r="R1846" i="11" s="1"/>
  <c r="Q1845" i="11"/>
  <c r="R1845" i="11" s="1"/>
  <c r="Q1844" i="11"/>
  <c r="R1844" i="11" s="1"/>
  <c r="Q1843" i="11"/>
  <c r="R1843" i="11" s="1"/>
  <c r="Q1842" i="11"/>
  <c r="R1842" i="11" s="1"/>
  <c r="Q1841" i="11"/>
  <c r="R1841" i="11" s="1"/>
  <c r="Q1840" i="11"/>
  <c r="R1840" i="11" s="1"/>
  <c r="Q1839" i="11"/>
  <c r="R1839" i="11" s="1"/>
  <c r="Q1838" i="11"/>
  <c r="R1838" i="11" s="1"/>
  <c r="Q1837" i="11"/>
  <c r="R1837" i="11" s="1"/>
  <c r="Q1836" i="11"/>
  <c r="R1836" i="11" s="1"/>
  <c r="Q1835" i="11"/>
  <c r="R1835" i="11" s="1"/>
  <c r="R1834" i="11"/>
  <c r="Q1833" i="11"/>
  <c r="R1833" i="11" s="1"/>
  <c r="Q1832" i="11"/>
  <c r="R1832" i="11" s="1"/>
  <c r="Q1831" i="11"/>
  <c r="R1831" i="11" s="1"/>
  <c r="Q1830" i="11"/>
  <c r="R1830" i="11" s="1"/>
  <c r="Q1829" i="11"/>
  <c r="R1829" i="11" s="1"/>
  <c r="P1828" i="11"/>
  <c r="Q1828" i="11" s="1"/>
  <c r="Q1827" i="11"/>
  <c r="R1827" i="11" s="1"/>
  <c r="Q1826" i="11"/>
  <c r="R1826" i="11" s="1"/>
  <c r="Q1825" i="11"/>
  <c r="R1825" i="11" s="1"/>
  <c r="Q1824" i="11"/>
  <c r="R1824" i="11" s="1"/>
  <c r="Q1823" i="11"/>
  <c r="R1823" i="11" s="1"/>
  <c r="Q1822" i="11"/>
  <c r="R1822" i="11" s="1"/>
  <c r="Q1821" i="11"/>
  <c r="R1821" i="11" s="1"/>
  <c r="Q1820" i="11"/>
  <c r="R1820" i="11" s="1"/>
  <c r="Q1819" i="11"/>
  <c r="R1819" i="11" s="1"/>
  <c r="Q1818" i="11"/>
  <c r="R1818" i="11" s="1"/>
  <c r="Q1817" i="11"/>
  <c r="R1817" i="11" s="1"/>
  <c r="Q1816" i="11"/>
  <c r="R1816" i="11" s="1"/>
  <c r="Q1815" i="11"/>
  <c r="R1815" i="11" s="1"/>
  <c r="Q1814" i="11"/>
  <c r="R1814" i="11" s="1"/>
  <c r="Q1813" i="11"/>
  <c r="R1813" i="11" s="1"/>
  <c r="Q1812" i="11"/>
  <c r="R1812" i="11" s="1"/>
  <c r="Q1811" i="11"/>
  <c r="R1811" i="11" s="1"/>
  <c r="Q1810" i="11"/>
  <c r="R1810" i="11" s="1"/>
  <c r="Q1809" i="11"/>
  <c r="R1809" i="11" s="1"/>
  <c r="Q1808" i="11"/>
  <c r="R1808" i="11" s="1"/>
  <c r="Q1807" i="11"/>
  <c r="R1807" i="11" s="1"/>
  <c r="Q1806" i="11"/>
  <c r="R1806" i="11" s="1"/>
  <c r="Q1805" i="11"/>
  <c r="R1805" i="11" s="1"/>
  <c r="Q1804" i="11"/>
  <c r="R1804" i="11" s="1"/>
  <c r="Q1803" i="11"/>
  <c r="R1803" i="11" s="1"/>
  <c r="Q1802" i="11"/>
  <c r="R1802" i="11" s="1"/>
  <c r="Q1801" i="11"/>
  <c r="R1801" i="11" s="1"/>
  <c r="Q1800" i="11"/>
  <c r="R1800" i="11" s="1"/>
  <c r="Q1799" i="11"/>
  <c r="R1799" i="11" s="1"/>
  <c r="Q1798" i="11"/>
  <c r="R1798" i="11" s="1"/>
  <c r="Q1797" i="11"/>
  <c r="R1797" i="11" s="1"/>
  <c r="Q1796" i="11"/>
  <c r="R1796" i="11" s="1"/>
  <c r="Q1795" i="11"/>
  <c r="R1795" i="11" s="1"/>
  <c r="Q1794" i="11"/>
  <c r="R1794" i="11" s="1"/>
  <c r="Q1793" i="11"/>
  <c r="R1793" i="11" s="1"/>
  <c r="Q1792" i="11"/>
  <c r="R1792" i="11" s="1"/>
  <c r="Q1791" i="11"/>
  <c r="R1791" i="11" s="1"/>
  <c r="Q1790" i="11"/>
  <c r="R1790" i="11" s="1"/>
  <c r="Q1789" i="11"/>
  <c r="R1789" i="11" s="1"/>
  <c r="Q1788" i="11"/>
  <c r="R1788" i="11" s="1"/>
  <c r="Q1787" i="11"/>
  <c r="R1787" i="11" s="1"/>
  <c r="Q1786" i="11"/>
  <c r="R1786" i="11" s="1"/>
  <c r="Q1785" i="11"/>
  <c r="R1785" i="11" s="1"/>
  <c r="Q1784" i="11"/>
  <c r="R1784" i="11" s="1"/>
  <c r="Q1783" i="11"/>
  <c r="R1783" i="11" s="1"/>
  <c r="Q1782" i="11"/>
  <c r="R1782" i="11" s="1"/>
  <c r="Q1781" i="11"/>
  <c r="R1781" i="11" s="1"/>
  <c r="Q1780" i="11"/>
  <c r="R1780" i="11" s="1"/>
  <c r="P1779" i="11"/>
  <c r="R1779" i="11" s="1"/>
  <c r="P1778" i="11"/>
  <c r="R1778" i="11" s="1"/>
  <c r="N1778" i="11"/>
  <c r="P1777" i="11"/>
  <c r="R1777" i="11" s="1"/>
  <c r="N1777" i="11"/>
  <c r="Q1776" i="11"/>
  <c r="R1776" i="11" s="1"/>
  <c r="Q1775" i="11"/>
  <c r="R1775" i="11" s="1"/>
  <c r="Q1774" i="11"/>
  <c r="R1774" i="11" s="1"/>
  <c r="Q1773" i="11"/>
  <c r="R1773" i="11" s="1"/>
  <c r="Q1772" i="11"/>
  <c r="R1772" i="11" s="1"/>
  <c r="Q1771" i="11"/>
  <c r="R1771" i="11" s="1"/>
  <c r="Q1770" i="11"/>
  <c r="R1770" i="11" s="1"/>
  <c r="Q1769" i="11"/>
  <c r="R1769" i="11" s="1"/>
  <c r="Q1768" i="11"/>
  <c r="R1768" i="11" s="1"/>
  <c r="Q1767" i="11"/>
  <c r="R1767" i="11" s="1"/>
  <c r="R1766" i="11"/>
  <c r="Q1766" i="11"/>
  <c r="R1765" i="11"/>
  <c r="Q1765" i="11"/>
  <c r="R1764" i="11"/>
  <c r="Q1764" i="11"/>
  <c r="P1763" i="11"/>
  <c r="R1763" i="11" s="1"/>
  <c r="P1762" i="11"/>
  <c r="Q1762" i="11" s="1"/>
  <c r="R1761" i="11"/>
  <c r="Q1761" i="11"/>
  <c r="R1760" i="11"/>
  <c r="Q1760" i="11"/>
  <c r="P1759" i="11"/>
  <c r="R1759" i="11" s="1"/>
  <c r="P1758" i="11"/>
  <c r="R1758" i="11" s="1"/>
  <c r="P1757" i="11"/>
  <c r="R1757" i="11" s="1"/>
  <c r="R1756" i="11"/>
  <c r="N1756" i="11"/>
  <c r="Q1756" i="11" s="1"/>
  <c r="R1755" i="11"/>
  <c r="Q1755" i="11"/>
  <c r="N1755" i="11"/>
  <c r="R1754" i="11"/>
  <c r="N1754" i="11"/>
  <c r="Q1754" i="11" s="1"/>
  <c r="R1753" i="11"/>
  <c r="N1753" i="11"/>
  <c r="Q1753" i="11" s="1"/>
  <c r="R1752" i="11"/>
  <c r="N1752" i="11"/>
  <c r="Q1752" i="11" s="1"/>
  <c r="Q1751" i="11"/>
  <c r="R1751" i="11" s="1"/>
  <c r="Q1750" i="11"/>
  <c r="R1750" i="11" s="1"/>
  <c r="Q1749" i="11"/>
  <c r="R1749" i="11" s="1"/>
  <c r="P1748" i="11"/>
  <c r="R1748" i="11" s="1"/>
  <c r="R1747" i="11"/>
  <c r="P1747" i="11"/>
  <c r="Q1747" i="11" s="1"/>
  <c r="P1746" i="11"/>
  <c r="R1746" i="11" s="1"/>
  <c r="P1745" i="11"/>
  <c r="Q1745" i="11" s="1"/>
  <c r="P1744" i="11"/>
  <c r="R1744" i="11" s="1"/>
  <c r="P1743" i="11"/>
  <c r="Q1743" i="11" s="1"/>
  <c r="P1742" i="11"/>
  <c r="R1742" i="11" s="1"/>
  <c r="R1741" i="11"/>
  <c r="Q1741" i="11"/>
  <c r="R1740" i="11"/>
  <c r="Q1740" i="11"/>
  <c r="R1739" i="11"/>
  <c r="Q1739" i="11"/>
  <c r="P1738" i="11"/>
  <c r="R1738" i="11" s="1"/>
  <c r="P1737" i="11"/>
  <c r="R1737" i="11" s="1"/>
  <c r="N1737" i="11"/>
  <c r="P1736" i="11"/>
  <c r="R1736" i="11" s="1"/>
  <c r="N1736" i="11"/>
  <c r="Q1736" i="11" s="1"/>
  <c r="Q1735" i="11"/>
  <c r="N1735" i="11"/>
  <c r="Q1734" i="11"/>
  <c r="R1734" i="11" s="1"/>
  <c r="Q1733" i="11"/>
  <c r="N1733" i="11"/>
  <c r="Q1732" i="11"/>
  <c r="R1732" i="11" s="1"/>
  <c r="N1732" i="11"/>
  <c r="Q1731" i="11"/>
  <c r="N1731" i="11"/>
  <c r="Q1730" i="11"/>
  <c r="R1730" i="11" s="1"/>
  <c r="Q1729" i="11"/>
  <c r="R1729" i="11" s="1"/>
  <c r="Q1728" i="11"/>
  <c r="R1728" i="11" s="1"/>
  <c r="Q1727" i="11"/>
  <c r="R1727" i="11" s="1"/>
  <c r="Q1726" i="11"/>
  <c r="R1726" i="11" s="1"/>
  <c r="Q1725" i="11"/>
  <c r="R1725" i="11" s="1"/>
  <c r="R1724" i="11"/>
  <c r="N1724" i="11"/>
  <c r="Q1724" i="11" s="1"/>
  <c r="R1723" i="11"/>
  <c r="N1723" i="11"/>
  <c r="Q1723" i="11" s="1"/>
  <c r="R1722" i="11"/>
  <c r="Q1722" i="11"/>
  <c r="N1722" i="11"/>
  <c r="R1721" i="11"/>
  <c r="N1721" i="11"/>
  <c r="Q1721" i="11" s="1"/>
  <c r="R1720" i="11"/>
  <c r="N1720" i="11"/>
  <c r="Q1720" i="11" s="1"/>
  <c r="R1719" i="11"/>
  <c r="N1719" i="11"/>
  <c r="Q1719" i="11" s="1"/>
  <c r="R1718" i="11"/>
  <c r="N1718" i="11"/>
  <c r="Q1718" i="11" s="1"/>
  <c r="R1717" i="11"/>
  <c r="Q1717" i="11"/>
  <c r="R1716" i="11"/>
  <c r="Q1716" i="11"/>
  <c r="R1715" i="11"/>
  <c r="Q1715" i="11"/>
  <c r="Q1714" i="11"/>
  <c r="R1714" i="11" s="1"/>
  <c r="Q1713" i="11"/>
  <c r="R1713" i="11" s="1"/>
  <c r="Q1712" i="11"/>
  <c r="R1712" i="11" s="1"/>
  <c r="Q1711" i="11"/>
  <c r="R1711" i="11" s="1"/>
  <c r="Q1710" i="11"/>
  <c r="N1710" i="11"/>
  <c r="Q1709" i="11"/>
  <c r="N1709" i="11"/>
  <c r="Q1708" i="11"/>
  <c r="R1708" i="11" s="1"/>
  <c r="Q1707" i="11"/>
  <c r="R1707" i="11" s="1"/>
  <c r="Q1706" i="11"/>
  <c r="R1706" i="11" s="1"/>
  <c r="R1705" i="11"/>
  <c r="Q1705" i="11"/>
  <c r="R1704" i="11"/>
  <c r="N1704" i="11"/>
  <c r="Q1704" i="11" s="1"/>
  <c r="R1703" i="11"/>
  <c r="N1703" i="11"/>
  <c r="Q1703" i="11" s="1"/>
  <c r="Q1702" i="11"/>
  <c r="R1702" i="11" s="1"/>
  <c r="R1701" i="11"/>
  <c r="Q1701" i="11"/>
  <c r="R1700" i="11"/>
  <c r="Q1700" i="11"/>
  <c r="P1699" i="11"/>
  <c r="R1699" i="11" s="1"/>
  <c r="N1699" i="11"/>
  <c r="R1698" i="11"/>
  <c r="Q1698" i="11"/>
  <c r="Q1697" i="11"/>
  <c r="N1697" i="11"/>
  <c r="Q1696" i="11"/>
  <c r="N1696" i="11"/>
  <c r="Q1695" i="11"/>
  <c r="N1695" i="11"/>
  <c r="R1694" i="11"/>
  <c r="Q1694" i="11"/>
  <c r="Q1693" i="11"/>
  <c r="R1693" i="11" s="1"/>
  <c r="Q1692" i="11"/>
  <c r="R1692" i="11" s="1"/>
  <c r="Q1691" i="11"/>
  <c r="R1691" i="11" s="1"/>
  <c r="Q1690" i="11"/>
  <c r="R1690" i="11" s="1"/>
  <c r="R1689" i="11"/>
  <c r="Q1689" i="11"/>
  <c r="R1688" i="11"/>
  <c r="Q1688" i="11"/>
  <c r="R1687" i="11"/>
  <c r="Q1687" i="11"/>
  <c r="R1686" i="11"/>
  <c r="Q1686" i="11"/>
  <c r="P1685" i="11"/>
  <c r="Q1685" i="11" s="1"/>
  <c r="P1684" i="11"/>
  <c r="R1684" i="11" s="1"/>
  <c r="P1683" i="11"/>
  <c r="Q1683" i="11" s="1"/>
  <c r="P1682" i="11"/>
  <c r="R1682" i="11" s="1"/>
  <c r="R1681" i="11"/>
  <c r="Q1681" i="11"/>
  <c r="R1680" i="11"/>
  <c r="Q1680" i="11"/>
  <c r="P1679" i="11"/>
  <c r="R1679" i="11" s="1"/>
  <c r="P1678" i="11"/>
  <c r="R1678" i="11" s="1"/>
  <c r="R1677" i="11"/>
  <c r="Q1677" i="11"/>
  <c r="P1676" i="11"/>
  <c r="R1676" i="11" s="1"/>
  <c r="R1675" i="11"/>
  <c r="Q1675" i="11"/>
  <c r="R1674" i="11"/>
  <c r="Q1674" i="11"/>
  <c r="R1673" i="11"/>
  <c r="Q1673" i="11"/>
  <c r="R1672" i="11"/>
  <c r="P1672" i="11"/>
  <c r="Q1672" i="11" s="1"/>
  <c r="P1671" i="11"/>
  <c r="R1671" i="11" s="1"/>
  <c r="P1670" i="11"/>
  <c r="Q1670" i="11" s="1"/>
  <c r="R1669" i="11"/>
  <c r="Q1669" i="11"/>
  <c r="R1668" i="11"/>
  <c r="Q1668" i="11"/>
  <c r="R1667" i="11"/>
  <c r="Q1667" i="11"/>
  <c r="P1666" i="11"/>
  <c r="Q1666" i="11" s="1"/>
  <c r="P1665" i="11"/>
  <c r="Q1665" i="11" s="1"/>
  <c r="P1664" i="11"/>
  <c r="R1664" i="11" s="1"/>
  <c r="P1663" i="11"/>
  <c r="R1663" i="11" s="1"/>
  <c r="P1662" i="11"/>
  <c r="Q1662" i="11" s="1"/>
  <c r="P1661" i="11"/>
  <c r="N1661" i="11"/>
  <c r="R1660" i="11"/>
  <c r="Q1660" i="11"/>
  <c r="R1659" i="11"/>
  <c r="Q1659" i="11"/>
  <c r="R1658" i="11"/>
  <c r="Q1658" i="11"/>
  <c r="P1657" i="11"/>
  <c r="R1657" i="11" s="1"/>
  <c r="P1656" i="11"/>
  <c r="R1656" i="11" s="1"/>
  <c r="R1655" i="11"/>
  <c r="Q1655" i="11"/>
  <c r="R1654" i="11"/>
  <c r="Q1654" i="11"/>
  <c r="R1653" i="11"/>
  <c r="P1653" i="11"/>
  <c r="Q1653" i="11" s="1"/>
  <c r="P1652" i="11"/>
  <c r="R1652" i="11" s="1"/>
  <c r="P1651" i="11"/>
  <c r="R1651" i="11" s="1"/>
  <c r="P1650" i="11"/>
  <c r="R1650" i="11" s="1"/>
  <c r="R1649" i="11"/>
  <c r="Q1649" i="11"/>
  <c r="R1648" i="11"/>
  <c r="N1648" i="11"/>
  <c r="Q1648" i="11" s="1"/>
  <c r="P1647" i="11"/>
  <c r="R1647" i="11" s="1"/>
  <c r="N1647" i="11"/>
  <c r="R1646" i="11"/>
  <c r="N1646" i="11"/>
  <c r="Q1646" i="11" s="1"/>
  <c r="R1645" i="11"/>
  <c r="N1645" i="11"/>
  <c r="Q1645" i="11" s="1"/>
  <c r="P1644" i="11"/>
  <c r="R1644" i="11" s="1"/>
  <c r="P1643" i="11"/>
  <c r="R1643" i="11" s="1"/>
  <c r="N1643" i="11"/>
  <c r="R1642" i="11"/>
  <c r="N1642" i="11"/>
  <c r="Q1642" i="11" s="1"/>
  <c r="P1641" i="11"/>
  <c r="Q1641" i="11" s="1"/>
  <c r="N1641" i="11"/>
  <c r="R1640" i="11"/>
  <c r="N1640" i="11"/>
  <c r="Q1640" i="11" s="1"/>
  <c r="P1639" i="11"/>
  <c r="R1639" i="11" s="1"/>
  <c r="R1638" i="11"/>
  <c r="Q1638" i="11"/>
  <c r="R1637" i="11"/>
  <c r="Q1637" i="11"/>
  <c r="R1636" i="11"/>
  <c r="Q1636" i="11"/>
  <c r="R1635" i="11"/>
  <c r="Q1635" i="11"/>
  <c r="P1634" i="11"/>
  <c r="R1634" i="11" s="1"/>
  <c r="P1633" i="11"/>
  <c r="R1633" i="11" s="1"/>
  <c r="R1632" i="11"/>
  <c r="Q1632" i="11"/>
  <c r="R1631" i="11"/>
  <c r="Q1631" i="11"/>
  <c r="R1630" i="11"/>
  <c r="N1630" i="11"/>
  <c r="Q1630" i="11" s="1"/>
  <c r="R1629" i="11"/>
  <c r="N1629" i="11"/>
  <c r="Q1629" i="11" s="1"/>
  <c r="R1628" i="11"/>
  <c r="N1628" i="11"/>
  <c r="Q1628" i="11" s="1"/>
  <c r="P1627" i="11"/>
  <c r="R1627" i="11" s="1"/>
  <c r="N1627" i="11"/>
  <c r="P1626" i="11"/>
  <c r="R1626" i="11" s="1"/>
  <c r="N1626" i="11"/>
  <c r="P1625" i="11"/>
  <c r="R1625" i="11" s="1"/>
  <c r="N1625" i="11"/>
  <c r="R1624" i="11"/>
  <c r="N1624" i="11"/>
  <c r="Q1624" i="11" s="1"/>
  <c r="R1623" i="11"/>
  <c r="N1623" i="11"/>
  <c r="Q1623" i="11" s="1"/>
  <c r="P1622" i="11"/>
  <c r="R1622" i="11" s="1"/>
  <c r="N1622" i="11"/>
  <c r="R1621" i="11"/>
  <c r="N1621" i="11"/>
  <c r="Q1621" i="11" s="1"/>
  <c r="R1620" i="11"/>
  <c r="N1620" i="11"/>
  <c r="Q1620" i="11" s="1"/>
  <c r="R1619" i="11"/>
  <c r="N1619" i="11"/>
  <c r="Q1619" i="11" s="1"/>
  <c r="R1618" i="11"/>
  <c r="Q1618" i="11"/>
  <c r="P1617" i="11"/>
  <c r="N1617" i="11"/>
  <c r="R1616" i="11"/>
  <c r="N1616" i="11"/>
  <c r="Q1616" i="11" s="1"/>
  <c r="P1615" i="11"/>
  <c r="R1615" i="11" s="1"/>
  <c r="N1615" i="11"/>
  <c r="P1614" i="11"/>
  <c r="R1614" i="11" s="1"/>
  <c r="N1614" i="11"/>
  <c r="P1613" i="11"/>
  <c r="R1613" i="11" s="1"/>
  <c r="R1612" i="11"/>
  <c r="Q1612" i="11"/>
  <c r="R1611" i="11"/>
  <c r="P1611" i="11"/>
  <c r="Q1611" i="11" s="1"/>
  <c r="R1610" i="11"/>
  <c r="Q1610" i="11"/>
  <c r="R1609" i="11"/>
  <c r="Q1609" i="11"/>
  <c r="R1608" i="11"/>
  <c r="Q1608" i="11"/>
  <c r="R1607" i="11"/>
  <c r="Q1607" i="11"/>
  <c r="R1606" i="11"/>
  <c r="Q1606" i="11"/>
  <c r="R1605" i="11"/>
  <c r="Q1605" i="11"/>
  <c r="R1604" i="11"/>
  <c r="Q1604" i="11"/>
  <c r="R1603" i="11"/>
  <c r="Q1603" i="11"/>
  <c r="R1602" i="11"/>
  <c r="Q1602" i="11"/>
  <c r="P1601" i="11"/>
  <c r="R1601" i="11" s="1"/>
  <c r="Q1600" i="11"/>
  <c r="P1600" i="11"/>
  <c r="R1600" i="11" s="1"/>
  <c r="R1599" i="11"/>
  <c r="Q1599" i="11"/>
  <c r="P1598" i="11"/>
  <c r="R1598" i="11" s="1"/>
  <c r="Q1597" i="11"/>
  <c r="R1597" i="11" s="1"/>
  <c r="Q1596" i="11"/>
  <c r="R1596" i="11" s="1"/>
  <c r="Q1595" i="11"/>
  <c r="R1595" i="11" s="1"/>
  <c r="Q1594" i="11"/>
  <c r="R1594" i="11" s="1"/>
  <c r="Q1593" i="11"/>
  <c r="R1593" i="11" s="1"/>
  <c r="R1592" i="11"/>
  <c r="Q1592" i="11"/>
  <c r="Q1591" i="11"/>
  <c r="R1591" i="11" s="1"/>
  <c r="Q1590" i="11"/>
  <c r="R1590" i="11" s="1"/>
  <c r="Q1589" i="11"/>
  <c r="R1589" i="11" s="1"/>
  <c r="P1588" i="11"/>
  <c r="R1588" i="11" s="1"/>
  <c r="P1587" i="11"/>
  <c r="R1587" i="11" s="1"/>
  <c r="R1586" i="11"/>
  <c r="Q1586" i="11"/>
  <c r="R1585" i="11"/>
  <c r="Q1585" i="11"/>
  <c r="R1584" i="11"/>
  <c r="Q1584" i="11"/>
  <c r="P1583" i="11"/>
  <c r="R1583" i="11" s="1"/>
  <c r="R1582" i="11"/>
  <c r="Q1582" i="11"/>
  <c r="R1581" i="11"/>
  <c r="Q1581" i="11"/>
  <c r="R1580" i="11"/>
  <c r="Q1580" i="11"/>
  <c r="P1579" i="11"/>
  <c r="R1579" i="11" s="1"/>
  <c r="R1578" i="11"/>
  <c r="Q1578" i="11"/>
  <c r="P1577" i="11"/>
  <c r="Q1577" i="11" s="1"/>
  <c r="R1576" i="11"/>
  <c r="Q1576" i="11"/>
  <c r="R1575" i="11"/>
  <c r="Q1575" i="11"/>
  <c r="R1574" i="11"/>
  <c r="Q1574" i="11"/>
  <c r="R1573" i="11"/>
  <c r="Q1573" i="11"/>
  <c r="Q1572" i="11"/>
  <c r="P1572" i="11"/>
  <c r="R1572" i="11" s="1"/>
  <c r="P1571" i="11"/>
  <c r="R1571" i="11" s="1"/>
  <c r="P1570" i="11"/>
  <c r="R1570" i="11" s="1"/>
  <c r="P1569" i="11"/>
  <c r="Q1569" i="11" s="1"/>
  <c r="Q1568" i="11"/>
  <c r="R1568" i="11" s="1"/>
  <c r="Q1567" i="11"/>
  <c r="R1567" i="11" s="1"/>
  <c r="Q1566" i="11"/>
  <c r="R1566" i="11" s="1"/>
  <c r="P1565" i="11"/>
  <c r="Q1565" i="11" s="1"/>
  <c r="P1564" i="11"/>
  <c r="R1564" i="11" s="1"/>
  <c r="P1563" i="11"/>
  <c r="R1563" i="11" s="1"/>
  <c r="N1563" i="11"/>
  <c r="P1562" i="11"/>
  <c r="N1562" i="11"/>
  <c r="Q1561" i="11"/>
  <c r="R1561" i="11" s="1"/>
  <c r="R1560" i="11"/>
  <c r="Q1560" i="11"/>
  <c r="R1559" i="11"/>
  <c r="Q1559" i="11"/>
  <c r="Q1558" i="11"/>
  <c r="R1558" i="11" s="1"/>
  <c r="Q1557" i="11"/>
  <c r="R1557" i="11" s="1"/>
  <c r="Q1556" i="11"/>
  <c r="R1556" i="11" s="1"/>
  <c r="Q1555" i="11"/>
  <c r="R1555" i="11" s="1"/>
  <c r="Q1554" i="11"/>
  <c r="R1554" i="11" s="1"/>
  <c r="Q1553" i="11"/>
  <c r="R1553" i="11" s="1"/>
  <c r="Q1552" i="11"/>
  <c r="R1552" i="11" s="1"/>
  <c r="Q1551" i="11"/>
  <c r="R1551" i="11" s="1"/>
  <c r="Q1550" i="11"/>
  <c r="R1550" i="11" s="1"/>
  <c r="Q1549" i="11"/>
  <c r="R1549" i="11" s="1"/>
  <c r="Q1548" i="11"/>
  <c r="R1548" i="11" s="1"/>
  <c r="P1547" i="11"/>
  <c r="R1547" i="11" s="1"/>
  <c r="Q1546" i="11"/>
  <c r="N1546" i="11"/>
  <c r="Q1545" i="11"/>
  <c r="N1545" i="11"/>
  <c r="P1544" i="11"/>
  <c r="Q1544" i="11" s="1"/>
  <c r="Q1543" i="11"/>
  <c r="R1543" i="11" s="1"/>
  <c r="Q1542" i="11"/>
  <c r="R1542" i="11" s="1"/>
  <c r="Q1541" i="11"/>
  <c r="R1541" i="11" s="1"/>
  <c r="Q1540" i="11"/>
  <c r="R1540" i="11" s="1"/>
  <c r="Q1539" i="11"/>
  <c r="R1539" i="11" s="1"/>
  <c r="Q1538" i="11"/>
  <c r="R1538" i="11" s="1"/>
  <c r="Q1537" i="11"/>
  <c r="R1537" i="11" s="1"/>
  <c r="Q1536" i="11"/>
  <c r="R1536" i="11" s="1"/>
  <c r="Q1535" i="11"/>
  <c r="R1535" i="11" s="1"/>
  <c r="Q1534" i="11"/>
  <c r="R1534" i="11" s="1"/>
  <c r="P1533" i="11"/>
  <c r="R1533" i="11" s="1"/>
  <c r="P1532" i="11"/>
  <c r="R1532" i="11" s="1"/>
  <c r="P1531" i="11"/>
  <c r="R1531" i="11" s="1"/>
  <c r="Q1530" i="11"/>
  <c r="R1530" i="11" s="1"/>
  <c r="Q1529" i="11"/>
  <c r="R1529" i="11" s="1"/>
  <c r="Q1528" i="11"/>
  <c r="R1528" i="11" s="1"/>
  <c r="P1527" i="11"/>
  <c r="R1527" i="11" s="1"/>
  <c r="P1526" i="11"/>
  <c r="Q1526" i="11" s="1"/>
  <c r="Q1525" i="11"/>
  <c r="N1525" i="11"/>
  <c r="Q1524" i="11"/>
  <c r="N1524" i="11"/>
  <c r="P1523" i="11"/>
  <c r="R1523" i="11" s="1"/>
  <c r="P1522" i="11"/>
  <c r="Q1522" i="11" s="1"/>
  <c r="Q1521" i="11"/>
  <c r="R1521" i="11" s="1"/>
  <c r="Q1520" i="11"/>
  <c r="R1520" i="11" s="1"/>
  <c r="Q1519" i="11"/>
  <c r="R1519" i="11" s="1"/>
  <c r="Q1518" i="11"/>
  <c r="R1518" i="11" s="1"/>
  <c r="Q1517" i="11"/>
  <c r="R1517" i="11" s="1"/>
  <c r="Q1516" i="11"/>
  <c r="P1516" i="11"/>
  <c r="R1516" i="11" s="1"/>
  <c r="R1515" i="11"/>
  <c r="N1515" i="11"/>
  <c r="Q1515" i="11" s="1"/>
  <c r="P1514" i="11"/>
  <c r="R1514" i="11" s="1"/>
  <c r="P1513" i="11"/>
  <c r="Q1513" i="11" s="1"/>
  <c r="P1512" i="11"/>
  <c r="R1512" i="11" s="1"/>
  <c r="Q1511" i="11"/>
  <c r="R1511" i="11" s="1"/>
  <c r="Q1510" i="11"/>
  <c r="R1510" i="11" s="1"/>
  <c r="Q1509" i="11"/>
  <c r="R1509" i="11" s="1"/>
  <c r="Q1508" i="11"/>
  <c r="R1508" i="11" s="1"/>
  <c r="P1507" i="11"/>
  <c r="Q1507" i="11" s="1"/>
  <c r="R1506" i="11"/>
  <c r="Q1506" i="11"/>
  <c r="R1505" i="11"/>
  <c r="Q1505" i="11"/>
  <c r="R1504" i="11"/>
  <c r="Q1504" i="11"/>
  <c r="P1503" i="11"/>
  <c r="R1503" i="11" s="1"/>
  <c r="P1502" i="11"/>
  <c r="R1502" i="11" s="1"/>
  <c r="R1501" i="11"/>
  <c r="Q1501" i="11"/>
  <c r="R1500" i="11"/>
  <c r="Q1500" i="11"/>
  <c r="R1499" i="11"/>
  <c r="Q1499" i="11"/>
  <c r="P1498" i="11"/>
  <c r="R1498" i="11" s="1"/>
  <c r="R1497" i="11"/>
  <c r="Q1497" i="11"/>
  <c r="R1496" i="11"/>
  <c r="Q1496" i="11"/>
  <c r="P1495" i="11"/>
  <c r="R1495" i="11" s="1"/>
  <c r="R1494" i="11"/>
  <c r="Q1494" i="11"/>
  <c r="Q1493" i="11"/>
  <c r="R1493" i="11" s="1"/>
  <c r="Q1492" i="11"/>
  <c r="N1492" i="11"/>
  <c r="R1491" i="11"/>
  <c r="Q1491" i="11"/>
  <c r="P1490" i="11"/>
  <c r="Q1490" i="11" s="1"/>
  <c r="P1489" i="11"/>
  <c r="Q1489" i="11" s="1"/>
  <c r="P1488" i="11"/>
  <c r="R1488" i="11" s="1"/>
  <c r="P1487" i="11"/>
  <c r="Q1487" i="11" s="1"/>
  <c r="P1486" i="11"/>
  <c r="R1486" i="11" s="1"/>
  <c r="R1485" i="11"/>
  <c r="Q1485" i="11"/>
  <c r="R1484" i="11"/>
  <c r="Q1484" i="11"/>
  <c r="Q1483" i="11"/>
  <c r="R1483" i="11" s="1"/>
  <c r="N1483" i="11"/>
  <c r="Q1482" i="11"/>
  <c r="N1482" i="11"/>
  <c r="Q1481" i="11"/>
  <c r="R1481" i="11" s="1"/>
  <c r="Q1480" i="11"/>
  <c r="R1480" i="11" s="1"/>
  <c r="Q1479" i="11"/>
  <c r="R1479" i="11" s="1"/>
  <c r="Q1478" i="11"/>
  <c r="R1478" i="11" s="1"/>
  <c r="P1477" i="11"/>
  <c r="R1477" i="11" s="1"/>
  <c r="N1477" i="11"/>
  <c r="Q1476" i="11"/>
  <c r="R1476" i="11" s="1"/>
  <c r="R1475" i="11"/>
  <c r="Q1475" i="11"/>
  <c r="R1474" i="11"/>
  <c r="Q1474" i="11"/>
  <c r="P1473" i="11"/>
  <c r="R1473" i="11" s="1"/>
  <c r="R1472" i="11"/>
  <c r="Q1472" i="11"/>
  <c r="P1471" i="11"/>
  <c r="R1471" i="11" s="1"/>
  <c r="R1470" i="11"/>
  <c r="Q1470" i="11"/>
  <c r="R1469" i="11"/>
  <c r="Q1469" i="11"/>
  <c r="Q1468" i="11"/>
  <c r="R1468" i="11" s="1"/>
  <c r="Q1467" i="11"/>
  <c r="R1467" i="11" s="1"/>
  <c r="N1467" i="11"/>
  <c r="Q1466" i="11"/>
  <c r="N1466" i="11"/>
  <c r="Q1465" i="11"/>
  <c r="R1465" i="11" s="1"/>
  <c r="Q1464" i="11"/>
  <c r="R1464" i="11" s="1"/>
  <c r="Q1463" i="11"/>
  <c r="R1463" i="11" s="1"/>
  <c r="P1462" i="11"/>
  <c r="R1462" i="11" s="1"/>
  <c r="N1462" i="11"/>
  <c r="P1461" i="11"/>
  <c r="R1461" i="11" s="1"/>
  <c r="N1461" i="11"/>
  <c r="P1460" i="11"/>
  <c r="R1460" i="11" s="1"/>
  <c r="N1460" i="11"/>
  <c r="Q1459" i="11"/>
  <c r="R1459" i="11" s="1"/>
  <c r="R1458" i="11"/>
  <c r="Q1458" i="11"/>
  <c r="P1457" i="11"/>
  <c r="R1457" i="11" s="1"/>
  <c r="P1456" i="11"/>
  <c r="R1456" i="11" s="1"/>
  <c r="R1455" i="11"/>
  <c r="N1455" i="11"/>
  <c r="R1454" i="11"/>
  <c r="N1454" i="11"/>
  <c r="Q1454" i="11" s="1"/>
  <c r="P1453" i="11"/>
  <c r="Q1453" i="11" s="1"/>
  <c r="P1452" i="11"/>
  <c r="Q1452" i="11" s="1"/>
  <c r="R1451" i="11"/>
  <c r="Q1451" i="11"/>
  <c r="R1450" i="11"/>
  <c r="Q1450" i="11"/>
  <c r="Q1449" i="11"/>
  <c r="R1449" i="11" s="1"/>
  <c r="Q1448" i="11"/>
  <c r="R1448" i="11" s="1"/>
  <c r="Q1447" i="11"/>
  <c r="N1447" i="11"/>
  <c r="Q1446" i="11"/>
  <c r="N1446" i="11"/>
  <c r="Q1445" i="11"/>
  <c r="N1445" i="11"/>
  <c r="Q1444" i="11"/>
  <c r="N1444" i="11"/>
  <c r="Q1443" i="11"/>
  <c r="N1443" i="11"/>
  <c r="Q1442" i="11"/>
  <c r="N1442" i="11"/>
  <c r="Q1441" i="11"/>
  <c r="N1441" i="11"/>
  <c r="Q1440" i="11"/>
  <c r="N1440" i="11"/>
  <c r="Q1439" i="11"/>
  <c r="N1439" i="11"/>
  <c r="Q1438" i="11"/>
  <c r="N1438" i="11"/>
  <c r="Q1437" i="11"/>
  <c r="N1437" i="11"/>
  <c r="Q1436" i="11"/>
  <c r="N1436" i="11"/>
  <c r="Q1435" i="11"/>
  <c r="N1435" i="11"/>
  <c r="Q1434" i="11"/>
  <c r="N1434" i="11"/>
  <c r="Q1433" i="11"/>
  <c r="N1433" i="11"/>
  <c r="Q1432" i="11"/>
  <c r="R1432" i="11" s="1"/>
  <c r="N1432" i="11"/>
  <c r="Q1431" i="11"/>
  <c r="N1431" i="11"/>
  <c r="R1430" i="11"/>
  <c r="Q1430" i="11"/>
  <c r="R1429" i="11"/>
  <c r="Q1429" i="11"/>
  <c r="Q1428" i="11"/>
  <c r="R1428" i="11" s="1"/>
  <c r="R1427" i="11"/>
  <c r="Q1427" i="11"/>
  <c r="R1426" i="11"/>
  <c r="Q1426" i="11"/>
  <c r="Q1425" i="11"/>
  <c r="R1425" i="11" s="1"/>
  <c r="Q1424" i="11"/>
  <c r="R1424" i="11" s="1"/>
  <c r="Q1423" i="11"/>
  <c r="R1423" i="11" s="1"/>
  <c r="Q1422" i="11"/>
  <c r="R1422" i="11" s="1"/>
  <c r="Q1421" i="11"/>
  <c r="R1421" i="11" s="1"/>
  <c r="Q1420" i="11"/>
  <c r="R1420" i="11" s="1"/>
  <c r="Q1419" i="11"/>
  <c r="R1419" i="11" s="1"/>
  <c r="Q1418" i="11"/>
  <c r="R1418" i="11" s="1"/>
  <c r="Q1417" i="11"/>
  <c r="R1417" i="11" s="1"/>
  <c r="Q1416" i="11"/>
  <c r="R1416" i="11" s="1"/>
  <c r="Q1415" i="11"/>
  <c r="R1415" i="11" s="1"/>
  <c r="Q1414" i="11"/>
  <c r="R1414" i="11" s="1"/>
  <c r="Q1413" i="11"/>
  <c r="R1413" i="11" s="1"/>
  <c r="Q1412" i="11"/>
  <c r="R1412" i="11" s="1"/>
  <c r="Q1411" i="11"/>
  <c r="R1411" i="11" s="1"/>
  <c r="Q1410" i="11"/>
  <c r="R1410" i="11" s="1"/>
  <c r="Q1409" i="11"/>
  <c r="R1409" i="11" s="1"/>
  <c r="Q1408" i="11"/>
  <c r="R1408" i="11" s="1"/>
  <c r="R1407" i="11"/>
  <c r="Q1407" i="11"/>
  <c r="Q1406" i="11"/>
  <c r="R1406" i="11" s="1"/>
  <c r="Q1405" i="11"/>
  <c r="R1405" i="11" s="1"/>
  <c r="Q1404" i="11"/>
  <c r="R1404" i="11" s="1"/>
  <c r="R1403" i="11"/>
  <c r="Q1403" i="11"/>
  <c r="Q1402" i="11"/>
  <c r="R1402" i="11" s="1"/>
  <c r="Q1401" i="11"/>
  <c r="R1401" i="11" s="1"/>
  <c r="R1400" i="11"/>
  <c r="Q1400" i="11"/>
  <c r="R1399" i="11"/>
  <c r="Q1399" i="11"/>
  <c r="R1398" i="11"/>
  <c r="Q1398" i="11"/>
  <c r="Q1397" i="11"/>
  <c r="R1397" i="11" s="1"/>
  <c r="Q1396" i="11"/>
  <c r="R1396" i="11" s="1"/>
  <c r="Q1395" i="11"/>
  <c r="R1395" i="11" s="1"/>
  <c r="N1395" i="11"/>
  <c r="Q1394" i="11"/>
  <c r="R1394" i="11" s="1"/>
  <c r="Q1393" i="11"/>
  <c r="R1393" i="11" s="1"/>
  <c r="Q1392" i="11"/>
  <c r="R1392" i="11" s="1"/>
  <c r="R1391" i="11"/>
  <c r="Q1391" i="11"/>
  <c r="R1390" i="11"/>
  <c r="Q1390" i="11"/>
  <c r="Q1389" i="11"/>
  <c r="R1389" i="11" s="1"/>
  <c r="Q1388" i="11"/>
  <c r="R1388" i="11" s="1"/>
  <c r="Q1387" i="11"/>
  <c r="R1387" i="11" s="1"/>
  <c r="Q1386" i="11"/>
  <c r="R1386" i="11" s="1"/>
  <c r="Q1385" i="11"/>
  <c r="R1385" i="11" s="1"/>
  <c r="Q1384" i="11"/>
  <c r="R1384" i="11" s="1"/>
  <c r="Q1383" i="11"/>
  <c r="R1383" i="11" s="1"/>
  <c r="Q1382" i="11"/>
  <c r="R1382" i="11" s="1"/>
  <c r="Q1381" i="11"/>
  <c r="R1381" i="11" s="1"/>
  <c r="Q1380" i="11"/>
  <c r="R1380" i="11" s="1"/>
  <c r="Q1379" i="11"/>
  <c r="R1379" i="11" s="1"/>
  <c r="Q1378" i="11"/>
  <c r="R1378" i="11" s="1"/>
  <c r="Q1377" i="11"/>
  <c r="R1377" i="11" s="1"/>
  <c r="Q1376" i="11"/>
  <c r="R1376" i="11" s="1"/>
  <c r="Q1375" i="11"/>
  <c r="R1375" i="11" s="1"/>
  <c r="Q1374" i="11"/>
  <c r="R1374" i="11" s="1"/>
  <c r="Q1373" i="11"/>
  <c r="R1373" i="11" s="1"/>
  <c r="Q1372" i="11"/>
  <c r="R1372" i="11" s="1"/>
  <c r="Q1371" i="11"/>
  <c r="R1371" i="11" s="1"/>
  <c r="Q1370" i="11"/>
  <c r="R1370" i="11" s="1"/>
  <c r="Q1369" i="11"/>
  <c r="R1369" i="11" s="1"/>
  <c r="Q1368" i="11"/>
  <c r="R1368" i="11" s="1"/>
  <c r="Q1367" i="11"/>
  <c r="R1367" i="11" s="1"/>
  <c r="Q1366" i="11"/>
  <c r="R1366" i="11" s="1"/>
  <c r="Q1365" i="11"/>
  <c r="R1365" i="11" s="1"/>
  <c r="Q1364" i="11"/>
  <c r="R1364" i="11" s="1"/>
  <c r="Q1363" i="11"/>
  <c r="R1363" i="11" s="1"/>
  <c r="Q1362" i="11"/>
  <c r="R1362" i="11" s="1"/>
  <c r="Q1361" i="11"/>
  <c r="R1361" i="11" s="1"/>
  <c r="Q1360" i="11"/>
  <c r="R1360" i="11" s="1"/>
  <c r="Q1359" i="11"/>
  <c r="R1359" i="11" s="1"/>
  <c r="Q1358" i="11"/>
  <c r="R1358" i="11" s="1"/>
  <c r="Q1357" i="11"/>
  <c r="R1357" i="11" s="1"/>
  <c r="Q1356" i="11"/>
  <c r="R1356" i="11" s="1"/>
  <c r="Q1355" i="11"/>
  <c r="R1355" i="11" s="1"/>
  <c r="Q1354" i="11"/>
  <c r="R1354" i="11" s="1"/>
  <c r="Q1353" i="11"/>
  <c r="R1353" i="11" s="1"/>
  <c r="Q1352" i="11"/>
  <c r="R1352" i="11" s="1"/>
  <c r="Q1351" i="11"/>
  <c r="R1351" i="11" s="1"/>
  <c r="Q1350" i="11"/>
  <c r="R1350" i="11" s="1"/>
  <c r="Q1349" i="11"/>
  <c r="R1349" i="11" s="1"/>
  <c r="Q1348" i="11"/>
  <c r="R1348" i="11" s="1"/>
  <c r="Q1347" i="11"/>
  <c r="N1347" i="11"/>
  <c r="Q1346" i="11"/>
  <c r="N1346" i="11"/>
  <c r="Q1345" i="11"/>
  <c r="R1345" i="11" s="1"/>
  <c r="Q1344" i="11"/>
  <c r="R1344" i="11" s="1"/>
  <c r="Q1343" i="11"/>
  <c r="R1343" i="11" s="1"/>
  <c r="Q1342" i="11"/>
  <c r="R1342" i="11" s="1"/>
  <c r="Q1341" i="11"/>
  <c r="R1341" i="11" s="1"/>
  <c r="Q1340" i="11"/>
  <c r="R1340" i="11" s="1"/>
  <c r="Q1339" i="11"/>
  <c r="R1339" i="11" s="1"/>
  <c r="Q1338" i="11"/>
  <c r="R1338" i="11" s="1"/>
  <c r="Q1337" i="11"/>
  <c r="R1337" i="11" s="1"/>
  <c r="Q1336" i="11"/>
  <c r="R1336" i="11" s="1"/>
  <c r="Q1335" i="11"/>
  <c r="R1335" i="11" s="1"/>
  <c r="Q1334" i="11"/>
  <c r="R1334" i="11" s="1"/>
  <c r="Q1333" i="11"/>
  <c r="R1333" i="11" s="1"/>
  <c r="Q1332" i="11"/>
  <c r="R1332" i="11" s="1"/>
  <c r="Q1331" i="11"/>
  <c r="R1331" i="11" s="1"/>
  <c r="Q1330" i="11"/>
  <c r="R1330" i="11" s="1"/>
  <c r="Q1329" i="11"/>
  <c r="R1329" i="11" s="1"/>
  <c r="Q1328" i="11"/>
  <c r="R1328" i="11" s="1"/>
  <c r="Q1327" i="11"/>
  <c r="N1327" i="11"/>
  <c r="Q1326" i="11"/>
  <c r="R1326" i="11" s="1"/>
  <c r="Q1325" i="11"/>
  <c r="R1325" i="11" s="1"/>
  <c r="Q1324" i="11"/>
  <c r="R1324" i="11" s="1"/>
  <c r="Q1323" i="11"/>
  <c r="R1323" i="11" s="1"/>
  <c r="Q1322" i="11"/>
  <c r="R1322" i="11" s="1"/>
  <c r="R1321" i="11"/>
  <c r="Q1321" i="11"/>
  <c r="P1320" i="11"/>
  <c r="Q1320" i="11" s="1"/>
  <c r="R1319" i="11"/>
  <c r="Q1319" i="11"/>
  <c r="R1318" i="11"/>
  <c r="Q1318" i="11"/>
  <c r="R1317" i="11"/>
  <c r="Q1317" i="11"/>
  <c r="R1316" i="11"/>
  <c r="Q1316" i="11"/>
  <c r="R1315" i="11"/>
  <c r="Q1315" i="11"/>
  <c r="R1314" i="11"/>
  <c r="Q1314" i="11"/>
  <c r="R1313" i="11"/>
  <c r="Q1313" i="11"/>
  <c r="R1312" i="11"/>
  <c r="Q1312" i="11"/>
  <c r="R1311" i="11"/>
  <c r="Q1311" i="11"/>
  <c r="R1310" i="11"/>
  <c r="Q1310" i="11"/>
  <c r="R1309" i="11"/>
  <c r="Q1309" i="11"/>
  <c r="R1308" i="11"/>
  <c r="Q1308" i="11"/>
  <c r="R1307" i="11"/>
  <c r="Q1307" i="11"/>
  <c r="R1306" i="11"/>
  <c r="Q1306" i="11"/>
  <c r="R1305" i="11"/>
  <c r="Q1305" i="11"/>
  <c r="R1304" i="11"/>
  <c r="Q1304" i="11"/>
  <c r="R1303" i="11"/>
  <c r="Q1303" i="11"/>
  <c r="R1302" i="11"/>
  <c r="Q1302" i="11"/>
  <c r="R1301" i="11"/>
  <c r="Q1301" i="11"/>
  <c r="R1300" i="11"/>
  <c r="Q1300" i="11"/>
  <c r="R1299" i="11"/>
  <c r="Q1299" i="11"/>
  <c r="R1298" i="11"/>
  <c r="Q1298" i="11"/>
  <c r="R1297" i="11"/>
  <c r="Q1297" i="11"/>
  <c r="R1296" i="11"/>
  <c r="Q1296" i="11"/>
  <c r="R1295" i="11"/>
  <c r="Q1295" i="11"/>
  <c r="P1294" i="11"/>
  <c r="R1294" i="11" s="1"/>
  <c r="R1293" i="11"/>
  <c r="Q1293" i="11"/>
  <c r="P1292" i="11"/>
  <c r="Q1292" i="11" s="1"/>
  <c r="R1291" i="11"/>
  <c r="Q1291" i="11"/>
  <c r="R1290" i="11"/>
  <c r="Q1290" i="11"/>
  <c r="R1289" i="11"/>
  <c r="Q1289" i="11"/>
  <c r="R1288" i="11"/>
  <c r="Q1288" i="11"/>
  <c r="P362" i="1"/>
  <c r="F4" i="13"/>
  <c r="F5" i="13"/>
  <c r="F6" i="13"/>
  <c r="F7" i="13"/>
  <c r="F8" i="13"/>
  <c r="F3" i="13"/>
  <c r="F9" i="13" l="1"/>
  <c r="Q1652" i="11"/>
  <c r="R1697" i="11"/>
  <c r="R2223" i="11"/>
  <c r="Q1639" i="11"/>
  <c r="R1979" i="11"/>
  <c r="Q1987" i="11"/>
  <c r="R2287" i="11"/>
  <c r="R2926" i="11"/>
  <c r="R2403" i="11"/>
  <c r="R2419" i="11"/>
  <c r="Q2662" i="11"/>
  <c r="Q2241" i="11"/>
  <c r="Q1661" i="11"/>
  <c r="R2184" i="11"/>
  <c r="R2190" i="11"/>
  <c r="R2196" i="11"/>
  <c r="R2360" i="11"/>
  <c r="R2581" i="11"/>
  <c r="Q1617" i="11"/>
  <c r="R2031" i="11"/>
  <c r="Q1643" i="11"/>
  <c r="R1565" i="11"/>
  <c r="R2137" i="11"/>
  <c r="R2180" i="11"/>
  <c r="R2186" i="11"/>
  <c r="R2363" i="11"/>
  <c r="R1524" i="11"/>
  <c r="R1545" i="11"/>
  <c r="Q1759" i="11"/>
  <c r="R1987" i="11"/>
  <c r="R2543" i="11"/>
  <c r="Q2736" i="11"/>
  <c r="Q1563" i="11"/>
  <c r="R1980" i="11"/>
  <c r="Q2051" i="11"/>
  <c r="Q2058" i="11"/>
  <c r="N2259" i="11"/>
  <c r="Q2259" i="11" s="1"/>
  <c r="R2273" i="11"/>
  <c r="R2322" i="11"/>
  <c r="Q2349" i="11"/>
  <c r="N2490" i="11"/>
  <c r="Q2490" i="11" s="1"/>
  <c r="R2737" i="11"/>
  <c r="R2744" i="11"/>
  <c r="R1526" i="11"/>
  <c r="Q1547" i="11"/>
  <c r="Q1634" i="11"/>
  <c r="Q1975" i="11"/>
  <c r="Q2243" i="11"/>
  <c r="R1440" i="11"/>
  <c r="R2054" i="11"/>
  <c r="R2909" i="11"/>
  <c r="R1685" i="11"/>
  <c r="Q2124" i="11"/>
  <c r="R2132" i="11"/>
  <c r="Q2319" i="11"/>
  <c r="R2584" i="11"/>
  <c r="Q2779" i="11"/>
  <c r="R1346" i="11"/>
  <c r="R1978" i="11"/>
  <c r="R1986" i="11"/>
  <c r="R2133" i="11"/>
  <c r="Q2542" i="11"/>
  <c r="Q2817" i="11"/>
  <c r="Q1562" i="11"/>
  <c r="R1569" i="11"/>
  <c r="R1743" i="11"/>
  <c r="R2069" i="11"/>
  <c r="Q2125" i="11"/>
  <c r="R2148" i="11"/>
  <c r="Q2407" i="11"/>
  <c r="Q2572" i="11"/>
  <c r="R2182" i="11"/>
  <c r="Q2540" i="11"/>
  <c r="R2826" i="11"/>
  <c r="R1320" i="11"/>
  <c r="R1466" i="11"/>
  <c r="R1482" i="11"/>
  <c r="R1489" i="11"/>
  <c r="R1513" i="11"/>
  <c r="R1522" i="11"/>
  <c r="Q1598" i="11"/>
  <c r="Q1626" i="11"/>
  <c r="Q1991" i="11"/>
  <c r="Q2044" i="11"/>
  <c r="Q2070" i="11"/>
  <c r="Q2123" i="11"/>
  <c r="R2302" i="11"/>
  <c r="Q2359" i="11"/>
  <c r="R2398" i="11"/>
  <c r="R2437" i="11"/>
  <c r="Q2493" i="11"/>
  <c r="R2540" i="11"/>
  <c r="R2833" i="11"/>
  <c r="R2392" i="11"/>
  <c r="R2411" i="11"/>
  <c r="R2662" i="11"/>
  <c r="R1453" i="11"/>
  <c r="R1991" i="11"/>
  <c r="Q2059" i="11"/>
  <c r="Q2558" i="11"/>
  <c r="Q2571" i="11"/>
  <c r="R2582" i="11"/>
  <c r="R2827" i="11"/>
  <c r="R1666" i="11"/>
  <c r="Q2115" i="11"/>
  <c r="R2136" i="11"/>
  <c r="R2256" i="11"/>
  <c r="R2907" i="11"/>
  <c r="R1661" i="11"/>
  <c r="R2037" i="11"/>
  <c r="Q2166" i="11"/>
  <c r="Q2246" i="11"/>
  <c r="Q2347" i="11"/>
  <c r="Q2554" i="11"/>
  <c r="R2633" i="11"/>
  <c r="R2693" i="11"/>
  <c r="Q2834" i="11"/>
  <c r="R2200" i="11"/>
  <c r="R1292" i="11"/>
  <c r="Q1650" i="11"/>
  <c r="R1662" i="11"/>
  <c r="R1683" i="11"/>
  <c r="R1828" i="11"/>
  <c r="R1931" i="11"/>
  <c r="R2085" i="11"/>
  <c r="Q2258" i="11"/>
  <c r="R2400" i="11"/>
  <c r="R2578" i="11"/>
  <c r="Q2664" i="11"/>
  <c r="R2705" i="11"/>
  <c r="Q2829" i="11"/>
  <c r="R2844" i="11"/>
  <c r="Q2918" i="11"/>
  <c r="R2194" i="11"/>
  <c r="R2317" i="11"/>
  <c r="Q2361" i="11"/>
  <c r="Q2366" i="11"/>
  <c r="Q2523" i="11"/>
  <c r="R1436" i="11"/>
  <c r="Q1462" i="11"/>
  <c r="Q1663" i="11"/>
  <c r="Q1738" i="11"/>
  <c r="Q1757" i="11"/>
  <c r="R2033" i="11"/>
  <c r="R2039" i="11"/>
  <c r="Q2086" i="11"/>
  <c r="Q2435" i="11"/>
  <c r="Q2475" i="11"/>
  <c r="R2523" i="11"/>
  <c r="Q2579" i="11"/>
  <c r="Q2780" i="11"/>
  <c r="Q2797" i="11"/>
  <c r="R2911" i="11"/>
  <c r="R2188" i="11"/>
  <c r="R2026" i="11"/>
  <c r="Q2104" i="11"/>
  <c r="R2134" i="11"/>
  <c r="R2192" i="11"/>
  <c r="R2198" i="11"/>
  <c r="Q2356" i="11"/>
  <c r="Q2362" i="11"/>
  <c r="R2415" i="11"/>
  <c r="Q2429" i="11"/>
  <c r="Q2605" i="11"/>
  <c r="Q2671" i="11"/>
  <c r="Q2715" i="11"/>
  <c r="Q2919" i="11"/>
  <c r="Q1579" i="11"/>
  <c r="R1641" i="11"/>
  <c r="Q1866" i="11"/>
  <c r="Q1994" i="11"/>
  <c r="Q2175" i="11"/>
  <c r="Q2255" i="11"/>
  <c r="R2281" i="11"/>
  <c r="Q2306" i="11"/>
  <c r="R2331" i="11"/>
  <c r="Q2350" i="11"/>
  <c r="R2402" i="11"/>
  <c r="R2671" i="11"/>
  <c r="R2679" i="11"/>
  <c r="R1327" i="11"/>
  <c r="R1665" i="11"/>
  <c r="Q2249" i="11"/>
  <c r="N2976" i="11"/>
  <c r="Q2976" i="11" s="1"/>
  <c r="Q2958" i="11"/>
  <c r="R2185" i="11"/>
  <c r="R2191" i="11"/>
  <c r="R2187" i="11"/>
  <c r="R2193" i="11"/>
  <c r="R1709" i="11"/>
  <c r="Q2950" i="11"/>
  <c r="Q2934" i="11"/>
  <c r="Q2405" i="1"/>
  <c r="Q1825" i="1"/>
  <c r="Q2406" i="1"/>
  <c r="R2946" i="11"/>
  <c r="R1696" i="11"/>
  <c r="Q2952" i="11"/>
  <c r="R1441" i="11"/>
  <c r="R1447" i="11"/>
  <c r="Q2944" i="11"/>
  <c r="Q2932" i="11"/>
  <c r="Q2940" i="11"/>
  <c r="Q2956" i="11"/>
  <c r="Q2964" i="11"/>
  <c r="R1446" i="11"/>
  <c r="R2032" i="11"/>
  <c r="R2038" i="11"/>
  <c r="R1431" i="11"/>
  <c r="R1437" i="11"/>
  <c r="R1443" i="11"/>
  <c r="R2220" i="11"/>
  <c r="R2460" i="11"/>
  <c r="R2034" i="11"/>
  <c r="R2221" i="11"/>
  <c r="R2632" i="11"/>
  <c r="Q2938" i="11"/>
  <c r="R2962" i="11"/>
  <c r="R1735" i="11"/>
  <c r="R2135" i="11"/>
  <c r="Q2234" i="11"/>
  <c r="R2025" i="11"/>
  <c r="R2131" i="11"/>
  <c r="Q2930" i="11"/>
  <c r="Q2936" i="11"/>
  <c r="Q2942" i="11"/>
  <c r="Q2948" i="11"/>
  <c r="Q2954" i="11"/>
  <c r="Q2960" i="11"/>
  <c r="R1442" i="11"/>
  <c r="R1492" i="11"/>
  <c r="R2638" i="11"/>
  <c r="N2176" i="11"/>
  <c r="Q2176" i="11" s="1"/>
  <c r="R1438" i="11"/>
  <c r="R1444" i="11"/>
  <c r="R1733" i="11"/>
  <c r="R2585" i="11"/>
  <c r="Q2963" i="11"/>
  <c r="R1347" i="11"/>
  <c r="R1695" i="11"/>
  <c r="R2840" i="11"/>
  <c r="R1525" i="11"/>
  <c r="R1546" i="11"/>
  <c r="R1710" i="11"/>
  <c r="R2073" i="11"/>
  <c r="R2199" i="11"/>
  <c r="Q2244" i="11"/>
  <c r="Q2933" i="11"/>
  <c r="Q2937" i="11"/>
  <c r="Q2941" i="11"/>
  <c r="Q2945" i="11"/>
  <c r="Q2949" i="11"/>
  <c r="Q2953" i="11"/>
  <c r="Q2957" i="11"/>
  <c r="N2272" i="11"/>
  <c r="Q2272" i="11" s="1"/>
  <c r="R1433" i="11"/>
  <c r="R1439" i="11"/>
  <c r="R1445" i="11"/>
  <c r="R1992" i="11"/>
  <c r="R2183" i="11"/>
  <c r="R2222" i="11"/>
  <c r="R2461" i="11"/>
  <c r="R2477" i="11"/>
  <c r="R1981" i="11"/>
  <c r="R2087" i="11"/>
  <c r="R2189" i="11"/>
  <c r="Q2250" i="11"/>
  <c r="R1434" i="11"/>
  <c r="R1731" i="11"/>
  <c r="R1993" i="11"/>
  <c r="R2030" i="11"/>
  <c r="R2036" i="11"/>
  <c r="R2075" i="11"/>
  <c r="R2195" i="11"/>
  <c r="R1435" i="11"/>
  <c r="R2046" i="11"/>
  <c r="R2076" i="11"/>
  <c r="R2224" i="11"/>
  <c r="Q2931" i="11"/>
  <c r="Q2935" i="11"/>
  <c r="Q2939" i="11"/>
  <c r="Q2943" i="11"/>
  <c r="Q2947" i="11"/>
  <c r="Q2951" i="11"/>
  <c r="Q2955" i="11"/>
  <c r="Q2959" i="11"/>
  <c r="Q2167" i="11"/>
  <c r="Q2233" i="11"/>
  <c r="Q2247" i="11"/>
  <c r="R2637" i="11"/>
  <c r="R2839" i="11"/>
  <c r="R2181" i="11"/>
  <c r="R2197" i="11"/>
  <c r="R2225" i="11"/>
  <c r="R2232" i="11"/>
  <c r="R2452" i="11"/>
  <c r="R2458" i="11"/>
  <c r="Q2404" i="1"/>
  <c r="Q2961" i="11"/>
  <c r="Q2921" i="11"/>
  <c r="Q2922" i="11"/>
  <c r="Q2910" i="11"/>
  <c r="Q2915" i="11"/>
  <c r="R2906" i="11"/>
  <c r="Q2908" i="11"/>
  <c r="Q2913" i="11"/>
  <c r="Q2873" i="11"/>
  <c r="Q2903" i="11"/>
  <c r="Q2837" i="11"/>
  <c r="Q2836" i="11"/>
  <c r="R2835" i="11"/>
  <c r="Q2830" i="11"/>
  <c r="Q2828" i="11"/>
  <c r="Q2823" i="11"/>
  <c r="Q2819" i="11"/>
  <c r="Q2820" i="11"/>
  <c r="Q2821" i="11"/>
  <c r="Q2782" i="11"/>
  <c r="Q2778" i="11"/>
  <c r="Q2770" i="11"/>
  <c r="R2754" i="11"/>
  <c r="Q2749" i="11"/>
  <c r="Q2752" i="11"/>
  <c r="R2743" i="11"/>
  <c r="R2738" i="11"/>
  <c r="Q2735" i="11"/>
  <c r="Q2733" i="11"/>
  <c r="Q2734" i="11"/>
  <c r="Q2721" i="11"/>
  <c r="Q2722" i="11"/>
  <c r="R2717" i="11"/>
  <c r="R2711" i="11"/>
  <c r="Q2713" i="11"/>
  <c r="Q2714" i="11"/>
  <c r="R2704" i="11"/>
  <c r="Q2707" i="11"/>
  <c r="Q2701" i="11"/>
  <c r="Q2684" i="11"/>
  <c r="Q2689" i="11"/>
  <c r="Q2696" i="11"/>
  <c r="Q2688" i="11"/>
  <c r="Q2677" i="11"/>
  <c r="R2630" i="11"/>
  <c r="N2583" i="11"/>
  <c r="Q2583" i="11" s="1"/>
  <c r="R1419" i="1"/>
  <c r="Q2580" i="11"/>
  <c r="Q2557" i="11"/>
  <c r="Q2555" i="11"/>
  <c r="Q2570" i="11"/>
  <c r="Q2573" i="11"/>
  <c r="R1447" i="1"/>
  <c r="Q1429" i="1"/>
  <c r="Q2489" i="11"/>
  <c r="R2493" i="11"/>
  <c r="R2542" i="11"/>
  <c r="Q2476" i="11"/>
  <c r="Q2487" i="11"/>
  <c r="Q2492" i="11"/>
  <c r="Q2497" i="11"/>
  <c r="Q2488" i="11"/>
  <c r="Q2491" i="11"/>
  <c r="R1427" i="1"/>
  <c r="R1429" i="1"/>
  <c r="R2474" i="11"/>
  <c r="Q2451" i="11"/>
  <c r="Q2438" i="11"/>
  <c r="Q2433" i="11"/>
  <c r="Q2434" i="11"/>
  <c r="Q2427" i="11"/>
  <c r="Q2423" i="11"/>
  <c r="Q2417" i="11"/>
  <c r="R2410" i="11"/>
  <c r="Q2404" i="11"/>
  <c r="Q2389" i="11"/>
  <c r="Q2381" i="11"/>
  <c r="Q2382" i="11"/>
  <c r="Q2384" i="11"/>
  <c r="R2371" i="11"/>
  <c r="Q2372" i="11"/>
  <c r="Q2370" i="11"/>
  <c r="Q2369" i="11"/>
  <c r="Q2358" i="11"/>
  <c r="Q2355" i="11"/>
  <c r="Q2348" i="11"/>
  <c r="R2349" i="11"/>
  <c r="Q2335" i="11"/>
  <c r="Q2336" i="11"/>
  <c r="Q2327" i="11"/>
  <c r="Q2332" i="11"/>
  <c r="Q2315" i="11"/>
  <c r="Q2295" i="11"/>
  <c r="Q2293" i="11"/>
  <c r="Q2238" i="11"/>
  <c r="Q2251" i="11"/>
  <c r="Q2245" i="11"/>
  <c r="Q2248" i="11"/>
  <c r="Q2236" i="11"/>
  <c r="Q2240" i="11"/>
  <c r="Q2254" i="11"/>
  <c r="Q2257" i="11"/>
  <c r="Q2289" i="11"/>
  <c r="Q2213" i="11"/>
  <c r="Q2211" i="11"/>
  <c r="Q2212" i="11"/>
  <c r="Q2209" i="11"/>
  <c r="Q2205" i="11"/>
  <c r="Q2206" i="11"/>
  <c r="Q2204" i="11"/>
  <c r="Q2202" i="11"/>
  <c r="N2165" i="11"/>
  <c r="Q2165" i="11" s="1"/>
  <c r="Q2145" i="11"/>
  <c r="Q2143" i="11"/>
  <c r="R2125" i="11"/>
  <c r="Q2121" i="11"/>
  <c r="Q2122" i="11"/>
  <c r="Q2114" i="11"/>
  <c r="R2119" i="11"/>
  <c r="Q2113" i="11"/>
  <c r="Q2106" i="11"/>
  <c r="R2098" i="11"/>
  <c r="Q2100" i="11"/>
  <c r="Q2097" i="11"/>
  <c r="Q2093" i="11"/>
  <c r="Q2091" i="11"/>
  <c r="R2090" i="11"/>
  <c r="Q2089" i="11"/>
  <c r="Q2088" i="11"/>
  <c r="R2083" i="11"/>
  <c r="Q2074" i="11"/>
  <c r="Q2067" i="11"/>
  <c r="Q2071" i="11"/>
  <c r="Q2056" i="11"/>
  <c r="R2052" i="11"/>
  <c r="Q1995" i="11"/>
  <c r="Q1963" i="11"/>
  <c r="Q1961" i="11"/>
  <c r="Q1947" i="11"/>
  <c r="Q1941" i="11"/>
  <c r="Q1872" i="11"/>
  <c r="Q1859" i="11"/>
  <c r="Q1860" i="11"/>
  <c r="Q1861" i="11"/>
  <c r="Q1779" i="11"/>
  <c r="Q1777" i="11"/>
  <c r="R1762" i="11"/>
  <c r="Q1758" i="11"/>
  <c r="Q1763" i="11"/>
  <c r="R1745" i="11"/>
  <c r="Q1737" i="11"/>
  <c r="Q1742" i="11"/>
  <c r="Q1746" i="11"/>
  <c r="Q1744" i="11"/>
  <c r="Q1748" i="11"/>
  <c r="Q1699" i="11"/>
  <c r="Q1682" i="11"/>
  <c r="Q1684" i="11"/>
  <c r="Q1679" i="11"/>
  <c r="Q1678" i="11"/>
  <c r="Q1676" i="11"/>
  <c r="Q1671" i="11"/>
  <c r="R1670" i="11"/>
  <c r="Q1664" i="11"/>
  <c r="Q1651" i="11"/>
  <c r="Q1656" i="11"/>
  <c r="Q1657" i="11"/>
  <c r="Q1647" i="11"/>
  <c r="Q1644" i="11"/>
  <c r="Q1627" i="11"/>
  <c r="Q1625" i="11"/>
  <c r="Q1622" i="11"/>
  <c r="Q1614" i="11"/>
  <c r="Q1615" i="11"/>
  <c r="R1617" i="11"/>
  <c r="Q1601" i="11"/>
  <c r="Q1613" i="11"/>
  <c r="Q1583" i="11"/>
  <c r="Q1570" i="11"/>
  <c r="Q1571" i="11"/>
  <c r="R1577" i="11"/>
  <c r="Q1532" i="11"/>
  <c r="Q1523" i="11"/>
  <c r="Q1564" i="11"/>
  <c r="R1544" i="11"/>
  <c r="Q1527" i="11"/>
  <c r="Q1533" i="11"/>
  <c r="R1562" i="11"/>
  <c r="Q1512" i="11"/>
  <c r="R1507" i="11"/>
  <c r="Q1503" i="11"/>
  <c r="Q1502" i="11"/>
  <c r="Q1498" i="11"/>
  <c r="Q1495" i="11"/>
  <c r="R1490" i="11"/>
  <c r="R1487" i="11"/>
  <c r="Q1486" i="11"/>
  <c r="Q1473" i="11"/>
  <c r="Q1477" i="11"/>
  <c r="Q1456" i="11"/>
  <c r="R1452" i="11"/>
  <c r="Q1457" i="11"/>
  <c r="Q1461" i="11"/>
  <c r="Q1460" i="11"/>
  <c r="Q1294" i="11"/>
  <c r="P2247" i="1"/>
  <c r="P2396" i="1"/>
  <c r="R2396" i="1" s="1"/>
  <c r="R2403" i="1"/>
  <c r="Q2397" i="1"/>
  <c r="R2397" i="1"/>
  <c r="Q2398" i="1"/>
  <c r="R2398" i="1"/>
  <c r="Q2399" i="1"/>
  <c r="R2399" i="1"/>
  <c r="R2400" i="1"/>
  <c r="Q2401" i="1"/>
  <c r="R2401" i="1"/>
  <c r="Q2402" i="1"/>
  <c r="R2402" i="1"/>
  <c r="N511" i="1"/>
  <c r="P2194" i="1"/>
  <c r="Q2396" i="1" l="1"/>
  <c r="Q2403" i="1"/>
  <c r="P1974" i="1"/>
  <c r="P1972" i="1"/>
  <c r="P2038" i="1"/>
  <c r="P1980" i="1"/>
  <c r="R863" i="1"/>
  <c r="Q863" i="1"/>
  <c r="N2357" i="1"/>
  <c r="R2392" i="1"/>
  <c r="Q2393" i="1"/>
  <c r="R2393" i="1"/>
  <c r="R2394" i="1"/>
  <c r="R2395" i="1"/>
  <c r="N2394" i="1"/>
  <c r="Q2394" i="1" s="1"/>
  <c r="N2395" i="1"/>
  <c r="Q2395" i="1" s="1"/>
  <c r="P457" i="1"/>
  <c r="Q2391" i="1"/>
  <c r="P2390" i="1"/>
  <c r="R2390" i="1" s="1"/>
  <c r="R2389" i="1"/>
  <c r="Q2389" i="1"/>
  <c r="R2388" i="1"/>
  <c r="Q2388" i="1"/>
  <c r="R2387" i="1"/>
  <c r="Q2387" i="1"/>
  <c r="R2386" i="1"/>
  <c r="Q2386" i="1"/>
  <c r="R2385" i="1"/>
  <c r="Q2385" i="1"/>
  <c r="R2384" i="1"/>
  <c r="Q2384" i="1"/>
  <c r="R2383" i="1"/>
  <c r="Q2383" i="1"/>
  <c r="R2382" i="1"/>
  <c r="Q2382" i="1"/>
  <c r="R2381" i="1"/>
  <c r="Q2381" i="1"/>
  <c r="R2380" i="1"/>
  <c r="Q2380" i="1"/>
  <c r="R2379" i="1"/>
  <c r="Q2379" i="1"/>
  <c r="R2378" i="1"/>
  <c r="Q2378" i="1"/>
  <c r="R2377" i="1"/>
  <c r="Q2377" i="1"/>
  <c r="R2376" i="1"/>
  <c r="Q2376" i="1"/>
  <c r="R2375" i="1"/>
  <c r="Q2375" i="1"/>
  <c r="R2374" i="1"/>
  <c r="Q2374" i="1"/>
  <c r="R2373" i="1"/>
  <c r="Q2373" i="1"/>
  <c r="P216" i="1"/>
  <c r="P2232" i="1"/>
  <c r="P2233" i="1"/>
  <c r="P2137" i="1"/>
  <c r="P344" i="1"/>
  <c r="R2372" i="1"/>
  <c r="Q2371" i="1"/>
  <c r="R2371" i="1"/>
  <c r="R2367" i="1"/>
  <c r="Q2369" i="1"/>
  <c r="Q2366" i="1"/>
  <c r="R2366" i="1"/>
  <c r="P2179" i="1"/>
  <c r="P2023" i="1"/>
  <c r="Q2362" i="1"/>
  <c r="R2362" i="1"/>
  <c r="Q2363" i="1"/>
  <c r="R2363" i="1"/>
  <c r="Q2364" i="1"/>
  <c r="R2364" i="1"/>
  <c r="Q2365" i="1"/>
  <c r="R2365" i="1"/>
  <c r="R2360" i="1"/>
  <c r="Q2360" i="1"/>
  <c r="P356" i="1"/>
  <c r="R2357" i="1"/>
  <c r="P2193" i="1"/>
  <c r="R2358" i="1"/>
  <c r="R2359" i="1"/>
  <c r="N2359" i="1"/>
  <c r="Q2359" i="1" s="1"/>
  <c r="N2358" i="1"/>
  <c r="Q2358" i="1" s="1"/>
  <c r="Q2356" i="1"/>
  <c r="R2356" i="1"/>
  <c r="Q2355" i="1"/>
  <c r="R2355" i="1"/>
  <c r="Q2354" i="1"/>
  <c r="R2354" i="1"/>
  <c r="R2353" i="1"/>
  <c r="Q2353" i="1"/>
  <c r="R2352" i="1"/>
  <c r="Q2352" i="1"/>
  <c r="R2351" i="1"/>
  <c r="R2350" i="1"/>
  <c r="Q2350" i="1"/>
  <c r="R2349" i="1"/>
  <c r="Q2349" i="1"/>
  <c r="R2348" i="1"/>
  <c r="Q2348" i="1"/>
  <c r="P366" i="1"/>
  <c r="P2261" i="1"/>
  <c r="Q2392" i="1" l="1"/>
  <c r="Q2390" i="1"/>
  <c r="R2391" i="1"/>
  <c r="R2369" i="1"/>
  <c r="Q2367" i="1"/>
  <c r="Q2357" i="1"/>
  <c r="P2156" i="1" l="1"/>
  <c r="P1299" i="1"/>
  <c r="R1299" i="1" s="1"/>
  <c r="P2293" i="1"/>
  <c r="N509" i="1"/>
  <c r="P2162" i="1"/>
  <c r="P2227" i="1"/>
  <c r="P2267" i="1"/>
  <c r="P2214" i="1"/>
  <c r="P82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P158" i="1"/>
  <c r="R2334" i="1"/>
  <c r="Q2334" i="1"/>
  <c r="R2333" i="1"/>
  <c r="Q2333" i="1"/>
  <c r="Q2332" i="1"/>
  <c r="R2332" i="1"/>
  <c r="N1233" i="1"/>
  <c r="R1726" i="1"/>
  <c r="Q1726" i="1"/>
  <c r="R1725" i="1"/>
  <c r="Q1725" i="1"/>
  <c r="R1749" i="1"/>
  <c r="Q1749" i="1"/>
  <c r="R1748" i="1"/>
  <c r="Q1748" i="1"/>
  <c r="R1747" i="1"/>
  <c r="R1746" i="1"/>
  <c r="Q2103" i="1" l="1"/>
  <c r="Q2102" i="1"/>
  <c r="P1742" i="1"/>
  <c r="R2331" i="1"/>
  <c r="Q2331" i="1"/>
  <c r="R2330" i="1"/>
  <c r="Q2330" i="1"/>
  <c r="R2329" i="1"/>
  <c r="Q2329" i="1"/>
  <c r="R2328" i="1"/>
  <c r="Q2328" i="1"/>
  <c r="R2327" i="1"/>
  <c r="Q2327" i="1"/>
  <c r="R2326" i="1"/>
  <c r="Q2326" i="1"/>
  <c r="R2325" i="1"/>
  <c r="Q2325" i="1"/>
  <c r="P2310" i="1"/>
  <c r="R2310" i="1" s="1"/>
  <c r="P2308" i="1"/>
  <c r="R2308" i="1" s="1"/>
  <c r="P2288" i="1"/>
  <c r="R2288" i="1" s="1"/>
  <c r="P2029" i="1"/>
  <c r="R2324" i="1"/>
  <c r="Q2324" i="1"/>
  <c r="R2323" i="1"/>
  <c r="Q2323" i="1"/>
  <c r="R2322" i="1"/>
  <c r="Q2322" i="1"/>
  <c r="R2321" i="1"/>
  <c r="Q2321" i="1"/>
  <c r="R2320" i="1"/>
  <c r="Q2320" i="1"/>
  <c r="R2319" i="1"/>
  <c r="Q2319" i="1"/>
  <c r="R2318" i="1"/>
  <c r="Q2318" i="1"/>
  <c r="R2317" i="1"/>
  <c r="Q2317" i="1"/>
  <c r="R2316" i="1"/>
  <c r="Q2316" i="1"/>
  <c r="R2315" i="1"/>
  <c r="Q2315" i="1"/>
  <c r="R2314" i="1"/>
  <c r="Q2314" i="1"/>
  <c r="N2313" i="1"/>
  <c r="Q2313" i="1" s="1"/>
  <c r="N2312" i="1"/>
  <c r="Q2312" i="1" s="1"/>
  <c r="N2311" i="1"/>
  <c r="Q2311" i="1" s="1"/>
  <c r="R2313" i="1"/>
  <c r="R2312" i="1"/>
  <c r="R2311" i="1"/>
  <c r="P2259" i="1"/>
  <c r="Q2292" i="1"/>
  <c r="P2309" i="1"/>
  <c r="Q2309" i="1" s="1"/>
  <c r="R2307" i="1"/>
  <c r="Q2307" i="1"/>
  <c r="R2306" i="1"/>
  <c r="Q2306" i="1"/>
  <c r="R2305" i="1"/>
  <c r="Q2305" i="1"/>
  <c r="R2304" i="1"/>
  <c r="Q2304" i="1"/>
  <c r="R2303" i="1"/>
  <c r="Q2303" i="1"/>
  <c r="P2298" i="1"/>
  <c r="Q2298" i="1" s="1"/>
  <c r="Q2302" i="1"/>
  <c r="R2302" i="1"/>
  <c r="P345" i="1"/>
  <c r="P764" i="1"/>
  <c r="Q2301" i="1"/>
  <c r="R2301" i="1"/>
  <c r="Q2291" i="1"/>
  <c r="R2291" i="1"/>
  <c r="Q2293" i="1"/>
  <c r="R2293" i="1"/>
  <c r="Q2294" i="1"/>
  <c r="R2294" i="1"/>
  <c r="Q2295" i="1"/>
  <c r="R2295" i="1"/>
  <c r="Q2296" i="1"/>
  <c r="R2296" i="1"/>
  <c r="Q2297" i="1"/>
  <c r="R2297" i="1"/>
  <c r="Q2299" i="1"/>
  <c r="R2299" i="1"/>
  <c r="Q2300" i="1"/>
  <c r="R2300" i="1"/>
  <c r="N336" i="1"/>
  <c r="N337" i="1"/>
  <c r="P2001" i="1"/>
  <c r="P1887" i="1"/>
  <c r="P2230" i="1"/>
  <c r="Q2290" i="1"/>
  <c r="R2290" i="1"/>
  <c r="R2289" i="1"/>
  <c r="Q2289" i="1"/>
  <c r="N335" i="1"/>
  <c r="P1942" i="1"/>
  <c r="N2286" i="1"/>
  <c r="Q2286" i="1" s="1"/>
  <c r="N2285" i="1"/>
  <c r="Q2285" i="1" s="1"/>
  <c r="N2284" i="1"/>
  <c r="Q2284" i="1" s="1"/>
  <c r="R2285" i="1"/>
  <c r="N2283" i="1"/>
  <c r="Q2283" i="1" s="1"/>
  <c r="R2286" i="1"/>
  <c r="R2284" i="1"/>
  <c r="R2283" i="1"/>
  <c r="R2287" i="1"/>
  <c r="Q2287" i="1"/>
  <c r="R2038" i="1"/>
  <c r="R1974" i="1"/>
  <c r="P1973" i="1"/>
  <c r="R1975" i="1"/>
  <c r="R2048" i="1"/>
  <c r="P2268" i="1"/>
  <c r="P745" i="1"/>
  <c r="P2262" i="1"/>
  <c r="N878" i="1"/>
  <c r="P1945" i="1"/>
  <c r="R2282" i="1"/>
  <c r="Q2282" i="1"/>
  <c r="Q2281" i="1"/>
  <c r="R2281" i="1"/>
  <c r="Q2279" i="1"/>
  <c r="R2279" i="1"/>
  <c r="Q2280" i="1"/>
  <c r="R2280" i="1"/>
  <c r="P2223" i="1"/>
  <c r="P2042" i="1"/>
  <c r="R2309" i="1" l="1"/>
  <c r="Q2288" i="1"/>
  <c r="R2292" i="1"/>
  <c r="Q2310" i="1"/>
  <c r="Q2308" i="1"/>
  <c r="R2298" i="1"/>
  <c r="P2269" i="1"/>
  <c r="Q2269" i="1" s="1"/>
  <c r="P716" i="1"/>
  <c r="P713" i="1"/>
  <c r="P732" i="1"/>
  <c r="R2278" i="1"/>
  <c r="Q2278" i="1"/>
  <c r="R2277" i="1"/>
  <c r="Q2277" i="1"/>
  <c r="P2031" i="1"/>
  <c r="Q2276" i="1"/>
  <c r="R2276" i="1"/>
  <c r="Q2275" i="1"/>
  <c r="R2275" i="1"/>
  <c r="Q2274" i="1"/>
  <c r="R2274" i="1"/>
  <c r="Q2273" i="1"/>
  <c r="R2273" i="1"/>
  <c r="Q2272" i="1"/>
  <c r="R2272" i="1"/>
  <c r="Q2271" i="1"/>
  <c r="R2271" i="1"/>
  <c r="P763" i="1"/>
  <c r="P2266" i="1"/>
  <c r="R2268" i="1"/>
  <c r="R2267" i="1"/>
  <c r="Q2267" i="1"/>
  <c r="R2269" i="1" l="1"/>
  <c r="P956" i="1"/>
  <c r="Q2222" i="1"/>
  <c r="P340" i="1"/>
  <c r="P1943" i="1"/>
  <c r="P2041" i="1"/>
  <c r="R2227" i="1"/>
  <c r="Q2230" i="1"/>
  <c r="P2186" i="1"/>
  <c r="Q2266" i="1"/>
  <c r="N65" i="1"/>
  <c r="P65" i="1"/>
  <c r="R2265" i="1"/>
  <c r="Q2265" i="1"/>
  <c r="Q2264" i="1"/>
  <c r="R2264" i="1"/>
  <c r="R2263" i="1"/>
  <c r="Q2263" i="1"/>
  <c r="R2228" i="1"/>
  <c r="Q2228" i="1"/>
  <c r="N2261" i="1"/>
  <c r="Q2261" i="1" s="1"/>
  <c r="Q2262" i="1"/>
  <c r="R2262" i="1"/>
  <c r="R2261" i="1"/>
  <c r="Q2260" i="1"/>
  <c r="R2260" i="1"/>
  <c r="Q2259" i="1"/>
  <c r="R2259" i="1"/>
  <c r="Q2258" i="1"/>
  <c r="R2258" i="1"/>
  <c r="R2257" i="1"/>
  <c r="Q2257" i="1"/>
  <c r="R2256" i="1"/>
  <c r="Q2256" i="1"/>
  <c r="P2226" i="1"/>
  <c r="R2226" i="1" s="1"/>
  <c r="R2255" i="1"/>
  <c r="Q2255" i="1"/>
  <c r="Q2253" i="1"/>
  <c r="R2253" i="1"/>
  <c r="Q2254" i="1"/>
  <c r="P1985" i="1"/>
  <c r="P2026" i="1"/>
  <c r="R2252" i="1"/>
  <c r="Q2252" i="1"/>
  <c r="R2251" i="1"/>
  <c r="Q2251" i="1"/>
  <c r="R2250" i="1"/>
  <c r="Q2250" i="1"/>
  <c r="R2249" i="1"/>
  <c r="Q2249" i="1"/>
  <c r="R2248" i="1"/>
  <c r="Q2248" i="1"/>
  <c r="N1153" i="1"/>
  <c r="R1106" i="1"/>
  <c r="Q1106" i="1"/>
  <c r="R1189" i="1"/>
  <c r="Q1189" i="1"/>
  <c r="R2225" i="1"/>
  <c r="Q2225" i="1"/>
  <c r="R2247" i="1"/>
  <c r="Q2247" i="1"/>
  <c r="R2246" i="1"/>
  <c r="Q2246" i="1"/>
  <c r="R2245" i="1"/>
  <c r="Q2245" i="1"/>
  <c r="R2244" i="1"/>
  <c r="Q2244" i="1"/>
  <c r="R2243" i="1"/>
  <c r="Q2243" i="1"/>
  <c r="R2242" i="1"/>
  <c r="Q2242" i="1"/>
  <c r="R2241" i="1"/>
  <c r="Q2241" i="1"/>
  <c r="R2240" i="1"/>
  <c r="Q2240" i="1"/>
  <c r="R2239" i="1"/>
  <c r="Q2239" i="1"/>
  <c r="R2238" i="1"/>
  <c r="Q2238" i="1"/>
  <c r="R2237" i="1"/>
  <c r="Q2237" i="1"/>
  <c r="R2236" i="1"/>
  <c r="Q2236" i="1"/>
  <c r="R2235" i="1"/>
  <c r="Q2235" i="1"/>
  <c r="R2234" i="1"/>
  <c r="Q2234" i="1"/>
  <c r="R2233" i="1"/>
  <c r="Q2233" i="1"/>
  <c r="R2232" i="1"/>
  <c r="Q2232" i="1"/>
  <c r="R2231" i="1"/>
  <c r="Q2231" i="1"/>
  <c r="R2229" i="1"/>
  <c r="Q2229" i="1"/>
  <c r="Q2227" i="1" l="1"/>
  <c r="R2230" i="1"/>
  <c r="R2266" i="1"/>
  <c r="Q2226" i="1"/>
  <c r="R2254" i="1"/>
  <c r="P2168" i="1"/>
  <c r="Q2212" i="1"/>
  <c r="P2206" i="1"/>
  <c r="R2206" i="1" s="1"/>
  <c r="P2213" i="1"/>
  <c r="R2213" i="1" s="1"/>
  <c r="R2224" i="1"/>
  <c r="Q2224" i="1"/>
  <c r="N1024" i="1"/>
  <c r="N1023" i="1"/>
  <c r="R1039" i="1"/>
  <c r="Q1039" i="1"/>
  <c r="R2201" i="1"/>
  <c r="Q2201" i="1"/>
  <c r="R2223" i="1"/>
  <c r="Q2223" i="1"/>
  <c r="R2222" i="1"/>
  <c r="R2221" i="1"/>
  <c r="Q2221" i="1"/>
  <c r="R2220" i="1"/>
  <c r="Q2220" i="1"/>
  <c r="R2219" i="1"/>
  <c r="Q2219" i="1"/>
  <c r="R2218" i="1"/>
  <c r="Q2218" i="1"/>
  <c r="R2217" i="1"/>
  <c r="Q2217" i="1"/>
  <c r="R2216" i="1"/>
  <c r="Q2216" i="1"/>
  <c r="R2215" i="1"/>
  <c r="Q2215" i="1"/>
  <c r="R2214" i="1"/>
  <c r="Q2214" i="1"/>
  <c r="R2211" i="1"/>
  <c r="Q2211" i="1"/>
  <c r="R2210" i="1"/>
  <c r="Q2210" i="1"/>
  <c r="R2209" i="1"/>
  <c r="Q2209" i="1"/>
  <c r="R2208" i="1"/>
  <c r="Q2208" i="1"/>
  <c r="R2207" i="1"/>
  <c r="Q2207" i="1"/>
  <c r="R2205" i="1"/>
  <c r="Q2205" i="1"/>
  <c r="R2204" i="1"/>
  <c r="Q2204" i="1"/>
  <c r="R2203" i="1"/>
  <c r="Q2203" i="1"/>
  <c r="R2202" i="1"/>
  <c r="Q2202" i="1"/>
  <c r="Q2198" i="1"/>
  <c r="Q2213" i="1" l="1"/>
  <c r="R2212" i="1"/>
  <c r="Q2206" i="1"/>
  <c r="R2049" i="1" l="1"/>
  <c r="R2167" i="1"/>
  <c r="R2161" i="1"/>
  <c r="R2004" i="1"/>
  <c r="P762" i="1"/>
  <c r="P2199" i="1"/>
  <c r="R2199" i="1" s="1"/>
  <c r="P2200" i="1"/>
  <c r="R2200" i="1" s="1"/>
  <c r="Q2200" i="1" l="1"/>
  <c r="Q2199" i="1"/>
  <c r="R2003" i="1"/>
  <c r="Q2162" i="1"/>
  <c r="R2168" i="1"/>
  <c r="P2184" i="1"/>
  <c r="Q2184" i="1" s="1"/>
  <c r="R12" i="1"/>
  <c r="P742" i="1"/>
  <c r="P740" i="1"/>
  <c r="Q2029" i="1"/>
  <c r="P744" i="1"/>
  <c r="P695" i="1"/>
  <c r="P2028" i="1"/>
  <c r="R2028" i="1" s="1"/>
  <c r="P1997" i="1"/>
  <c r="P1996" i="1"/>
  <c r="P2047" i="1"/>
  <c r="R2047" i="1" s="1"/>
  <c r="R2198" i="1"/>
  <c r="R2197" i="1"/>
  <c r="R2196" i="1"/>
  <c r="R2195" i="1"/>
  <c r="R2194" i="1"/>
  <c r="Q2194" i="1"/>
  <c r="R2193" i="1"/>
  <c r="Q2193" i="1"/>
  <c r="Q2192" i="1"/>
  <c r="R2192" i="1"/>
  <c r="Q2191" i="1"/>
  <c r="R2191" i="1"/>
  <c r="Q2190" i="1"/>
  <c r="R2190" i="1"/>
  <c r="Q2189" i="1"/>
  <c r="R2189" i="1"/>
  <c r="R2188" i="1"/>
  <c r="Q2188" i="1"/>
  <c r="R1861" i="1"/>
  <c r="Q1861" i="1"/>
  <c r="R1860" i="1"/>
  <c r="Q1860" i="1"/>
  <c r="R1859" i="1"/>
  <c r="Q1859" i="1"/>
  <c r="R1858" i="1"/>
  <c r="Q1858" i="1"/>
  <c r="P1856" i="1"/>
  <c r="Q1856" i="1" s="1"/>
  <c r="P1992" i="1"/>
  <c r="P484" i="1"/>
  <c r="P761" i="1"/>
  <c r="P760" i="1"/>
  <c r="P759" i="1"/>
  <c r="R2187" i="1"/>
  <c r="Q2187" i="1"/>
  <c r="R2186" i="1"/>
  <c r="Q2186" i="1"/>
  <c r="R2185" i="1"/>
  <c r="Q2185" i="1"/>
  <c r="R2183" i="1"/>
  <c r="Q2183" i="1"/>
  <c r="R2182" i="1"/>
  <c r="Q2182" i="1"/>
  <c r="R2181" i="1"/>
  <c r="Q2181" i="1"/>
  <c r="R2180" i="1"/>
  <c r="Q2180" i="1"/>
  <c r="R2179" i="1"/>
  <c r="Q2179" i="1"/>
  <c r="R2178" i="1"/>
  <c r="Q2178" i="1"/>
  <c r="R2177" i="1"/>
  <c r="Q2177" i="1"/>
  <c r="R2176" i="1"/>
  <c r="Q2176" i="1"/>
  <c r="Q2175" i="1"/>
  <c r="R2175" i="1"/>
  <c r="R2174" i="1"/>
  <c r="Q2174" i="1"/>
  <c r="R2173" i="1"/>
  <c r="Q2173" i="1"/>
  <c r="R2172" i="1"/>
  <c r="Q2172" i="1"/>
  <c r="R2171" i="1"/>
  <c r="Q2171" i="1"/>
  <c r="R2170" i="1"/>
  <c r="Q2170" i="1"/>
  <c r="R2169" i="1"/>
  <c r="Q2169" i="1"/>
  <c r="Q2167" i="1"/>
  <c r="R2166" i="1"/>
  <c r="Q2166" i="1"/>
  <c r="P1979" i="1"/>
  <c r="P363" i="1"/>
  <c r="R2026" i="1"/>
  <c r="P1358" i="1"/>
  <c r="P2020" i="1"/>
  <c r="R2020" i="1" s="1"/>
  <c r="P710" i="1"/>
  <c r="P736" i="1"/>
  <c r="P733" i="1"/>
  <c r="P743" i="1"/>
  <c r="R743" i="1" s="1"/>
  <c r="R2165" i="1"/>
  <c r="Q2165" i="1"/>
  <c r="P2039" i="1"/>
  <c r="Q2039" i="1" s="1"/>
  <c r="P375" i="1"/>
  <c r="Q2157" i="1"/>
  <c r="R2157" i="1"/>
  <c r="Q2158" i="1"/>
  <c r="R2158" i="1"/>
  <c r="Q2159" i="1"/>
  <c r="R2159" i="1"/>
  <c r="Q2160" i="1"/>
  <c r="R2160" i="1"/>
  <c r="Q2161" i="1"/>
  <c r="R2163" i="1"/>
  <c r="Q2164" i="1"/>
  <c r="R2164" i="1"/>
  <c r="R1863" i="1"/>
  <c r="Q1863" i="1"/>
  <c r="R2156" i="1"/>
  <c r="Q2156" i="1"/>
  <c r="R2155" i="1"/>
  <c r="Q2155" i="1"/>
  <c r="R2154" i="1"/>
  <c r="Q2154" i="1"/>
  <c r="R2153" i="1"/>
  <c r="N2153" i="1"/>
  <c r="Q2153" i="1" s="1"/>
  <c r="R2152" i="1"/>
  <c r="Q2152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R1759" i="1"/>
  <c r="Q1759" i="1"/>
  <c r="P456" i="1"/>
  <c r="P1301" i="1"/>
  <c r="Q2027" i="1"/>
  <c r="R2151" i="1"/>
  <c r="Q2151" i="1"/>
  <c r="R2150" i="1"/>
  <c r="Q2150" i="1"/>
  <c r="R2149" i="1"/>
  <c r="Q2149" i="1"/>
  <c r="R2148" i="1"/>
  <c r="Q2148" i="1"/>
  <c r="R2147" i="1"/>
  <c r="Q2147" i="1"/>
  <c r="R2146" i="1"/>
  <c r="Q2146" i="1"/>
  <c r="R2145" i="1"/>
  <c r="Q2145" i="1"/>
  <c r="R2144" i="1"/>
  <c r="Q2144" i="1"/>
  <c r="R2143" i="1"/>
  <c r="Q2143" i="1"/>
  <c r="R2142" i="1"/>
  <c r="Q2142" i="1"/>
  <c r="R2141" i="1"/>
  <c r="Q2141" i="1"/>
  <c r="R2140" i="1"/>
  <c r="Q2140" i="1"/>
  <c r="R2139" i="1"/>
  <c r="Q2139" i="1"/>
  <c r="R2138" i="1"/>
  <c r="Q2138" i="1"/>
  <c r="R2137" i="1"/>
  <c r="Q2137" i="1"/>
  <c r="R2136" i="1"/>
  <c r="Q2136" i="1"/>
  <c r="R2135" i="1"/>
  <c r="Q2135" i="1"/>
  <c r="R2134" i="1"/>
  <c r="Q2134" i="1"/>
  <c r="R2133" i="1"/>
  <c r="Q2133" i="1"/>
  <c r="R2132" i="1"/>
  <c r="Q2132" i="1"/>
  <c r="R2131" i="1"/>
  <c r="Q2131" i="1"/>
  <c r="R2130" i="1"/>
  <c r="Q2130" i="1"/>
  <c r="R2129" i="1"/>
  <c r="Q2129" i="1"/>
  <c r="R2128" i="1"/>
  <c r="Q2128" i="1"/>
  <c r="R2127" i="1"/>
  <c r="Q2127" i="1"/>
  <c r="R2126" i="1"/>
  <c r="Q2126" i="1"/>
  <c r="R2125" i="1"/>
  <c r="Q2125" i="1"/>
  <c r="R2124" i="1"/>
  <c r="Q2124" i="1"/>
  <c r="R2123" i="1"/>
  <c r="Q2123" i="1"/>
  <c r="R2122" i="1"/>
  <c r="Q2122" i="1"/>
  <c r="R2121" i="1"/>
  <c r="Q2121" i="1"/>
  <c r="R2120" i="1"/>
  <c r="Q2120" i="1"/>
  <c r="R2119" i="1"/>
  <c r="Q2119" i="1"/>
  <c r="R2118" i="1"/>
  <c r="Q2118" i="1"/>
  <c r="R2117" i="1"/>
  <c r="Q2117" i="1"/>
  <c r="R2116" i="1"/>
  <c r="Q2116" i="1"/>
  <c r="R2115" i="1"/>
  <c r="Q2115" i="1"/>
  <c r="R2114" i="1"/>
  <c r="Q2114" i="1"/>
  <c r="R2113" i="1"/>
  <c r="Q2113" i="1"/>
  <c r="R2112" i="1"/>
  <c r="Q2112" i="1"/>
  <c r="R2111" i="1"/>
  <c r="Q2111" i="1"/>
  <c r="R2110" i="1"/>
  <c r="Q2110" i="1"/>
  <c r="R2109" i="1"/>
  <c r="Q2109" i="1"/>
  <c r="R2108" i="1"/>
  <c r="Q2108" i="1"/>
  <c r="R2107" i="1"/>
  <c r="Q2107" i="1"/>
  <c r="R2106" i="1"/>
  <c r="Q2106" i="1"/>
  <c r="R2105" i="1"/>
  <c r="Q2105" i="1"/>
  <c r="R2104" i="1"/>
  <c r="Q2104" i="1"/>
  <c r="R2103" i="1"/>
  <c r="R2102" i="1"/>
  <c r="R2101" i="1"/>
  <c r="R2100" i="1"/>
  <c r="R2099" i="1"/>
  <c r="R2098" i="1"/>
  <c r="Q2098" i="1"/>
  <c r="R2097" i="1"/>
  <c r="Q2097" i="1"/>
  <c r="R2096" i="1"/>
  <c r="Q2096" i="1"/>
  <c r="R2095" i="1"/>
  <c r="Q2095" i="1"/>
  <c r="R2094" i="1"/>
  <c r="Q2094" i="1"/>
  <c r="R2093" i="1"/>
  <c r="Q2093" i="1"/>
  <c r="R2092" i="1"/>
  <c r="Q2092" i="1"/>
  <c r="R2091" i="1"/>
  <c r="Q2091" i="1"/>
  <c r="R2090" i="1"/>
  <c r="Q2090" i="1"/>
  <c r="R2089" i="1"/>
  <c r="Q2089" i="1"/>
  <c r="R2088" i="1"/>
  <c r="Q2088" i="1"/>
  <c r="R2087" i="1"/>
  <c r="Q2087" i="1"/>
  <c r="R2086" i="1"/>
  <c r="Q2086" i="1"/>
  <c r="R2085" i="1"/>
  <c r="Q2085" i="1"/>
  <c r="R2084" i="1"/>
  <c r="Q2084" i="1"/>
  <c r="R2083" i="1"/>
  <c r="Q2083" i="1"/>
  <c r="R2082" i="1"/>
  <c r="Q2082" i="1"/>
  <c r="R2081" i="1"/>
  <c r="Q2081" i="1"/>
  <c r="R2080" i="1"/>
  <c r="Q2080" i="1"/>
  <c r="R2079" i="1"/>
  <c r="Q2079" i="1"/>
  <c r="R2078" i="1"/>
  <c r="Q2078" i="1"/>
  <c r="R2077" i="1"/>
  <c r="Q2077" i="1"/>
  <c r="R2076" i="1"/>
  <c r="R2075" i="1"/>
  <c r="R2074" i="1"/>
  <c r="Q2074" i="1"/>
  <c r="R2073" i="1"/>
  <c r="Q2073" i="1"/>
  <c r="R2072" i="1"/>
  <c r="Q2072" i="1"/>
  <c r="R2071" i="1"/>
  <c r="Q2071" i="1"/>
  <c r="R2070" i="1"/>
  <c r="Q2070" i="1"/>
  <c r="R2069" i="1"/>
  <c r="Q2069" i="1"/>
  <c r="R2068" i="1"/>
  <c r="Q2068" i="1"/>
  <c r="R2067" i="1"/>
  <c r="Q2067" i="1"/>
  <c r="R2066" i="1"/>
  <c r="R2065" i="1"/>
  <c r="Q2065" i="1"/>
  <c r="R2064" i="1"/>
  <c r="Q2064" i="1"/>
  <c r="R2063" i="1"/>
  <c r="Q2063" i="1"/>
  <c r="R2062" i="1"/>
  <c r="Q2062" i="1"/>
  <c r="R2061" i="1"/>
  <c r="Q2061" i="1"/>
  <c r="R2060" i="1"/>
  <c r="Q2060" i="1"/>
  <c r="R2059" i="1"/>
  <c r="R2058" i="1"/>
  <c r="R2057" i="1"/>
  <c r="Q2057" i="1"/>
  <c r="R2056" i="1"/>
  <c r="Q2056" i="1"/>
  <c r="R2055" i="1"/>
  <c r="Q2055" i="1"/>
  <c r="R2054" i="1"/>
  <c r="Q2054" i="1"/>
  <c r="R2053" i="1"/>
  <c r="Q2053" i="1"/>
  <c r="R2052" i="1"/>
  <c r="Q2052" i="1"/>
  <c r="R2051" i="1"/>
  <c r="Q2051" i="1"/>
  <c r="R2050" i="1"/>
  <c r="Q2050" i="1"/>
  <c r="Q2101" i="1"/>
  <c r="Q2100" i="1"/>
  <c r="Q2099" i="1"/>
  <c r="N2076" i="1"/>
  <c r="Q2076" i="1" s="1"/>
  <c r="N2075" i="1"/>
  <c r="Q2075" i="1" s="1"/>
  <c r="K2103" i="1"/>
  <c r="K2101" i="1"/>
  <c r="K2100" i="1"/>
  <c r="K2099" i="1"/>
  <c r="K2076" i="1"/>
  <c r="K2075" i="1"/>
  <c r="P1363" i="1"/>
  <c r="P361" i="1"/>
  <c r="Q2049" i="1"/>
  <c r="Q2048" i="1"/>
  <c r="Q2046" i="1"/>
  <c r="R2046" i="1"/>
  <c r="R2045" i="1"/>
  <c r="Q2045" i="1"/>
  <c r="Q2044" i="1"/>
  <c r="R2044" i="1"/>
  <c r="Q2043" i="1"/>
  <c r="R2043" i="1"/>
  <c r="Q2042" i="1"/>
  <c r="R2042" i="1"/>
  <c r="Q2041" i="1"/>
  <c r="R2041" i="1"/>
  <c r="Q2040" i="1"/>
  <c r="R2040" i="1"/>
  <c r="Q2038" i="1"/>
  <c r="Q2037" i="1"/>
  <c r="R2037" i="1"/>
  <c r="Q2036" i="1"/>
  <c r="R2036" i="1"/>
  <c r="Q2035" i="1"/>
  <c r="R2035" i="1"/>
  <c r="Q2034" i="1"/>
  <c r="R2034" i="1"/>
  <c r="Q2033" i="1"/>
  <c r="R2033" i="1"/>
  <c r="Q2032" i="1"/>
  <c r="R2032" i="1"/>
  <c r="P1807" i="1"/>
  <c r="P1294" i="1"/>
  <c r="P1875" i="1"/>
  <c r="P249" i="1"/>
  <c r="R249" i="1" s="1"/>
  <c r="P741" i="1"/>
  <c r="N853" i="1"/>
  <c r="N852" i="1"/>
  <c r="Q852" i="1" s="1"/>
  <c r="N851" i="1"/>
  <c r="Q851" i="1" s="1"/>
  <c r="N850" i="1"/>
  <c r="Q850" i="1" s="1"/>
  <c r="N849" i="1"/>
  <c r="Q849" i="1" s="1"/>
  <c r="N848" i="1"/>
  <c r="Q848" i="1" s="1"/>
  <c r="N847" i="1"/>
  <c r="Q847" i="1" s="1"/>
  <c r="N846" i="1"/>
  <c r="Q846" i="1" s="1"/>
  <c r="N845" i="1"/>
  <c r="Q845" i="1" s="1"/>
  <c r="N844" i="1"/>
  <c r="Q844" i="1" s="1"/>
  <c r="N843" i="1"/>
  <c r="Q843" i="1" s="1"/>
  <c r="N842" i="1"/>
  <c r="Q842" i="1" s="1"/>
  <c r="N841" i="1"/>
  <c r="Q841" i="1" s="1"/>
  <c r="R852" i="1"/>
  <c r="R851" i="1"/>
  <c r="R850" i="1"/>
  <c r="R849" i="1"/>
  <c r="R848" i="1"/>
  <c r="R847" i="1"/>
  <c r="R846" i="1"/>
  <c r="R845" i="1"/>
  <c r="R844" i="1"/>
  <c r="R843" i="1"/>
  <c r="R842" i="1"/>
  <c r="R841" i="1"/>
  <c r="P829" i="1"/>
  <c r="R2019" i="1"/>
  <c r="R2021" i="1"/>
  <c r="R2022" i="1"/>
  <c r="R2023" i="1"/>
  <c r="R2024" i="1"/>
  <c r="R2025" i="1"/>
  <c r="R2030" i="1"/>
  <c r="R2031" i="1"/>
  <c r="Q2031" i="1"/>
  <c r="Q2030" i="1"/>
  <c r="Q2025" i="1"/>
  <c r="Q2024" i="1"/>
  <c r="Q2023" i="1"/>
  <c r="Q2022" i="1"/>
  <c r="Q2021" i="1"/>
  <c r="Q2019" i="1"/>
  <c r="N744" i="1"/>
  <c r="P737" i="1"/>
  <c r="Q2028" i="1" l="1"/>
  <c r="Q2047" i="1"/>
  <c r="R2184" i="1"/>
  <c r="R2029" i="1"/>
  <c r="R2162" i="1"/>
  <c r="Q2026" i="1"/>
  <c r="R2039" i="1"/>
  <c r="R2027" i="1"/>
  <c r="Q743" i="1"/>
  <c r="P367" i="1"/>
  <c r="P1835" i="1"/>
  <c r="R695" i="1" l="1"/>
  <c r="P1852" i="1"/>
  <c r="R1852" i="1" s="1"/>
  <c r="R1384" i="1"/>
  <c r="R250" i="1"/>
  <c r="R753" i="1"/>
  <c r="R1984" i="1"/>
  <c r="R744" i="1"/>
  <c r="R694" i="1"/>
  <c r="R366" i="1"/>
  <c r="R1295" i="1"/>
  <c r="R1385" i="1"/>
  <c r="R1884" i="1"/>
  <c r="R1943" i="1"/>
  <c r="R1300" i="1"/>
  <c r="R1363" i="1"/>
  <c r="R335" i="1"/>
  <c r="R745" i="1"/>
  <c r="R1301" i="1"/>
  <c r="R1944" i="1"/>
  <c r="R1945" i="1"/>
  <c r="R1377" i="1"/>
  <c r="R1296" i="1"/>
  <c r="R1412" i="1"/>
  <c r="R1302" i="1"/>
  <c r="R1946" i="1"/>
  <c r="Q1946" i="1"/>
  <c r="Q1302" i="1"/>
  <c r="Q1412" i="1"/>
  <c r="Q1296" i="1"/>
  <c r="Q1377" i="1"/>
  <c r="Q1945" i="1"/>
  <c r="Q1944" i="1"/>
  <c r="Q1301" i="1"/>
  <c r="Q745" i="1"/>
  <c r="Q335" i="1"/>
  <c r="Q1363" i="1"/>
  <c r="Q1300" i="1"/>
  <c r="Q1943" i="1"/>
  <c r="Q1884" i="1"/>
  <c r="Q1385" i="1"/>
  <c r="Q1295" i="1"/>
  <c r="Q366" i="1"/>
  <c r="Q694" i="1"/>
  <c r="Q744" i="1"/>
  <c r="Q1984" i="1"/>
  <c r="Q753" i="1"/>
  <c r="Q250" i="1"/>
  <c r="Q1384" i="1"/>
  <c r="P739" i="1"/>
  <c r="Q739" i="1" s="1"/>
  <c r="P341" i="1"/>
  <c r="P342" i="1"/>
  <c r="Q342" i="1" s="1"/>
  <c r="R345" i="1"/>
  <c r="R344" i="1"/>
  <c r="P343" i="1"/>
  <c r="Q742" i="1"/>
  <c r="P1769" i="1"/>
  <c r="R1769" i="1" s="1"/>
  <c r="R1239" i="1"/>
  <c r="Q1294" i="1"/>
  <c r="N1846" i="1"/>
  <c r="Q1881" i="1"/>
  <c r="P1886" i="1"/>
  <c r="R377" i="1"/>
  <c r="Q377" i="1"/>
  <c r="R707" i="1"/>
  <c r="Q707" i="1"/>
  <c r="R1942" i="1"/>
  <c r="Q1942" i="1"/>
  <c r="R1981" i="1"/>
  <c r="Q1981" i="1"/>
  <c r="R1980" i="1"/>
  <c r="Q1980" i="1"/>
  <c r="R1376" i="1"/>
  <c r="Q1376" i="1"/>
  <c r="R741" i="1"/>
  <c r="Q741" i="1"/>
  <c r="R448" i="1"/>
  <c r="Q448" i="1"/>
  <c r="R2011" i="1"/>
  <c r="Q2011" i="1"/>
  <c r="R1998" i="1"/>
  <c r="Q1998" i="1"/>
  <c r="R1870" i="1"/>
  <c r="Q1870" i="1"/>
  <c r="R1360" i="1"/>
  <c r="Q1360" i="1"/>
  <c r="R447" i="1"/>
  <c r="Q447" i="1"/>
  <c r="R825" i="1"/>
  <c r="Q825" i="1"/>
  <c r="N484" i="1"/>
  <c r="Q484" i="1" s="1"/>
  <c r="P972" i="1"/>
  <c r="P977" i="1"/>
  <c r="N1366" i="1"/>
  <c r="P1846" i="1"/>
  <c r="P1845" i="1"/>
  <c r="N1237" i="1"/>
  <c r="Q1237" i="1" s="1"/>
  <c r="R1237" i="1"/>
  <c r="R1236" i="1"/>
  <c r="Q1236" i="1"/>
  <c r="R1235" i="1"/>
  <c r="P693" i="1"/>
  <c r="Q693" i="1" s="1"/>
  <c r="Q1992" i="1"/>
  <c r="R511" i="1"/>
  <c r="R510" i="1"/>
  <c r="R1868" i="1"/>
  <c r="Q1868" i="1"/>
  <c r="Q1867" i="1"/>
  <c r="R1867" i="1"/>
  <c r="Q1941" i="1"/>
  <c r="R1941" i="1"/>
  <c r="Q1862" i="1"/>
  <c r="R1862" i="1"/>
  <c r="Q1864" i="1"/>
  <c r="R1864" i="1"/>
  <c r="Q1865" i="1"/>
  <c r="R1865" i="1"/>
  <c r="Q1866" i="1"/>
  <c r="R1866" i="1"/>
  <c r="Q1997" i="1"/>
  <c r="R1997" i="1"/>
  <c r="R365" i="1"/>
  <c r="Q1996" i="1"/>
  <c r="R1996" i="1"/>
  <c r="N343" i="1"/>
  <c r="N341" i="1"/>
  <c r="N340" i="1"/>
  <c r="N365" i="1"/>
  <c r="Q365" i="1" s="1"/>
  <c r="Q376" i="1"/>
  <c r="R376" i="1"/>
  <c r="Q740" i="1"/>
  <c r="R740" i="1"/>
  <c r="R764" i="1"/>
  <c r="Q764" i="1"/>
  <c r="R759" i="1"/>
  <c r="R760" i="1"/>
  <c r="Q761" i="1"/>
  <c r="R761" i="1"/>
  <c r="R762" i="1"/>
  <c r="R763" i="1"/>
  <c r="R1836" i="1"/>
  <c r="R1843" i="1"/>
  <c r="Q1843" i="1"/>
  <c r="R1842" i="1"/>
  <c r="Q1842" i="1"/>
  <c r="R1841" i="1"/>
  <c r="Q1841" i="1"/>
  <c r="R1840" i="1"/>
  <c r="Q1840" i="1"/>
  <c r="R1839" i="1"/>
  <c r="Q1839" i="1"/>
  <c r="R1838" i="1"/>
  <c r="Q1838" i="1"/>
  <c r="R1837" i="1"/>
  <c r="Q1837" i="1"/>
  <c r="Q1836" i="1"/>
  <c r="R509" i="1"/>
  <c r="Q509" i="1"/>
  <c r="P1935" i="1"/>
  <c r="P1978" i="1"/>
  <c r="R1978" i="1" s="1"/>
  <c r="P1977" i="1"/>
  <c r="P1971" i="1"/>
  <c r="P1969" i="1"/>
  <c r="P1968" i="1"/>
  <c r="P1964" i="1"/>
  <c r="P1963" i="1"/>
  <c r="P1976" i="1"/>
  <c r="Q251" i="1"/>
  <c r="Q1939" i="1"/>
  <c r="R1939" i="1"/>
  <c r="Q1940" i="1"/>
  <c r="R1940" i="1"/>
  <c r="R1938" i="1"/>
  <c r="Q1938" i="1"/>
  <c r="Q345" i="1" l="1"/>
  <c r="Q341" i="1"/>
  <c r="Q510" i="1"/>
  <c r="Q695" i="1"/>
  <c r="R1294" i="1"/>
  <c r="Q340" i="1"/>
  <c r="R340" i="1"/>
  <c r="R693" i="1"/>
  <c r="Q343" i="1"/>
  <c r="R484" i="1"/>
  <c r="Q344" i="1"/>
  <c r="R343" i="1"/>
  <c r="R342" i="1"/>
  <c r="R341" i="1"/>
  <c r="R742" i="1"/>
  <c r="Q1239" i="1"/>
  <c r="R1881" i="1"/>
  <c r="Q1235" i="1"/>
  <c r="R1992" i="1"/>
  <c r="R739" i="1"/>
  <c r="Q511" i="1"/>
  <c r="P360" i="1"/>
  <c r="Q629" i="1"/>
  <c r="R629" i="1"/>
  <c r="P478" i="1"/>
  <c r="R494" i="1"/>
  <c r="Q494" i="1"/>
  <c r="Q375" i="1" l="1"/>
  <c r="R375" i="1"/>
  <c r="Q446" i="1"/>
  <c r="R446" i="1"/>
  <c r="Q1758" i="1"/>
  <c r="R1758" i="1"/>
  <c r="R373" i="1"/>
  <c r="Q374" i="1"/>
  <c r="R374" i="1"/>
  <c r="Q1299" i="1"/>
  <c r="Q738" i="1"/>
  <c r="R738" i="1"/>
  <c r="Q1754" i="1"/>
  <c r="R1754" i="1"/>
  <c r="N373" i="1"/>
  <c r="Q373" i="1" s="1"/>
  <c r="P1885" i="1"/>
  <c r="P245" i="1"/>
  <c r="Q57" i="1" l="1"/>
  <c r="Q445" i="1"/>
  <c r="R445" i="1"/>
  <c r="Q249" i="1"/>
  <c r="Q2004" i="1"/>
  <c r="Q444" i="1"/>
  <c r="R444" i="1"/>
  <c r="P1933" i="1"/>
  <c r="Q1857" i="1"/>
  <c r="R737" i="1"/>
  <c r="R372" i="1"/>
  <c r="Q372" i="1"/>
  <c r="R758" i="1"/>
  <c r="R442" i="1"/>
  <c r="R443" i="1"/>
  <c r="Q758" i="1"/>
  <c r="Q442" i="1"/>
  <c r="Q443" i="1"/>
  <c r="R1983" i="1"/>
  <c r="R706" i="1"/>
  <c r="Q1983" i="1"/>
  <c r="Q706" i="1"/>
  <c r="N245" i="1"/>
  <c r="P285" i="1"/>
  <c r="N346" i="1"/>
  <c r="Q737" i="1" l="1"/>
  <c r="R1857" i="1"/>
  <c r="P349" i="1"/>
  <c r="R63" i="1"/>
  <c r="Q63" i="1"/>
  <c r="R62" i="1"/>
  <c r="Q62" i="1"/>
  <c r="N478" i="1"/>
  <c r="Q736" i="1"/>
  <c r="R736" i="1"/>
  <c r="Q705" i="1"/>
  <c r="R705" i="1"/>
  <c r="Q1999" i="1"/>
  <c r="R1999" i="1"/>
  <c r="R441" i="1"/>
  <c r="Q441" i="1"/>
  <c r="P1234" i="1"/>
  <c r="R1224" i="1"/>
  <c r="P354" i="1"/>
  <c r="P704" i="1"/>
  <c r="R704" i="1" s="1"/>
  <c r="R878" i="1"/>
  <c r="P309" i="1"/>
  <c r="P248" i="1"/>
  <c r="R248" i="1" s="1"/>
  <c r="P202" i="1"/>
  <c r="Q205" i="1"/>
  <c r="P174" i="1"/>
  <c r="N972" i="1"/>
  <c r="N1757" i="1"/>
  <c r="Q1757" i="1" s="1"/>
  <c r="N1756" i="1"/>
  <c r="Q1756" i="1" s="1"/>
  <c r="N1755" i="1"/>
  <c r="Q1755" i="1" s="1"/>
  <c r="R1756" i="1"/>
  <c r="R1755" i="1"/>
  <c r="Q1979" i="1"/>
  <c r="R1979" i="1"/>
  <c r="Q440" i="1"/>
  <c r="R440" i="1"/>
  <c r="R1757" i="1"/>
  <c r="Q755" i="1"/>
  <c r="R755" i="1"/>
  <c r="Q756" i="1"/>
  <c r="R756" i="1"/>
  <c r="Q757" i="1"/>
  <c r="R757" i="1"/>
  <c r="R754" i="1"/>
  <c r="Q754" i="1"/>
  <c r="P1197" i="1"/>
  <c r="R1197" i="1" s="1"/>
  <c r="P1223" i="1"/>
  <c r="R1223" i="1" s="1"/>
  <c r="R1218" i="1"/>
  <c r="R1219" i="1"/>
  <c r="R1220" i="1"/>
  <c r="R1221" i="1"/>
  <c r="R1222" i="1"/>
  <c r="R1225" i="1"/>
  <c r="R1226" i="1"/>
  <c r="R1227" i="1"/>
  <c r="R1228" i="1"/>
  <c r="N1223" i="1"/>
  <c r="Q1218" i="1"/>
  <c r="Q1219" i="1"/>
  <c r="Q1220" i="1"/>
  <c r="Q1221" i="1"/>
  <c r="Q1222" i="1"/>
  <c r="Q1226" i="1"/>
  <c r="Q1227" i="1"/>
  <c r="R1217" i="1"/>
  <c r="Q1217" i="1"/>
  <c r="R1216" i="1"/>
  <c r="Q1216" i="1"/>
  <c r="R1215" i="1"/>
  <c r="Q1215" i="1"/>
  <c r="R1214" i="1"/>
  <c r="Q1214" i="1"/>
  <c r="R1213" i="1"/>
  <c r="Q1213" i="1"/>
  <c r="R1212" i="1"/>
  <c r="Q1212" i="1"/>
  <c r="R1211" i="1"/>
  <c r="Q1211" i="1"/>
  <c r="R1210" i="1"/>
  <c r="Q1210" i="1"/>
  <c r="R1209" i="1"/>
  <c r="Q1209" i="1"/>
  <c r="R1208" i="1"/>
  <c r="Q1208" i="1"/>
  <c r="R1207" i="1"/>
  <c r="Q1207" i="1"/>
  <c r="R1206" i="1"/>
  <c r="Q1206" i="1"/>
  <c r="R1205" i="1"/>
  <c r="Q1205" i="1"/>
  <c r="R1204" i="1"/>
  <c r="Q1204" i="1"/>
  <c r="R1203" i="1"/>
  <c r="Q1203" i="1"/>
  <c r="R1202" i="1"/>
  <c r="Q1202" i="1"/>
  <c r="R1201" i="1"/>
  <c r="Q1201" i="1"/>
  <c r="R1200" i="1"/>
  <c r="Q1200" i="1"/>
  <c r="R1199" i="1"/>
  <c r="Q1199" i="1"/>
  <c r="R1198" i="1"/>
  <c r="Q1198" i="1"/>
  <c r="P352" i="1"/>
  <c r="P247" i="1"/>
  <c r="R1397" i="1"/>
  <c r="Q1397" i="1"/>
  <c r="R1396" i="1"/>
  <c r="Q1396" i="1"/>
  <c r="R1395" i="1"/>
  <c r="Q1395" i="1"/>
  <c r="R1394" i="1"/>
  <c r="Q1394" i="1"/>
  <c r="N1388" i="1"/>
  <c r="Q704" i="1" l="1"/>
  <c r="Q1197" i="1"/>
  <c r="Q878" i="1"/>
  <c r="Q1224" i="1"/>
  <c r="Q1223" i="1"/>
  <c r="Q371" i="1"/>
  <c r="R371" i="1"/>
  <c r="Q439" i="1"/>
  <c r="R439" i="1"/>
  <c r="R254" i="1"/>
  <c r="Q254" i="1"/>
  <c r="R1366" i="1"/>
  <c r="P483" i="1"/>
  <c r="Q370" i="1"/>
  <c r="R370" i="1"/>
  <c r="Q1365" i="1"/>
  <c r="R1365" i="1"/>
  <c r="Q1375" i="1"/>
  <c r="R1375" i="1"/>
  <c r="Q1234" i="1"/>
  <c r="R1234" i="1"/>
  <c r="R1736" i="1"/>
  <c r="R1745" i="1"/>
  <c r="R1362" i="1"/>
  <c r="R437" i="1"/>
  <c r="R28" i="1"/>
  <c r="R703" i="1"/>
  <c r="P353" i="1"/>
  <c r="P967" i="1"/>
  <c r="P735" i="1"/>
  <c r="P438" i="1"/>
  <c r="P1874" i="1"/>
  <c r="P1873" i="1"/>
  <c r="N1874" i="1"/>
  <c r="Q703" i="1"/>
  <c r="R1887" i="1"/>
  <c r="R1886" i="1"/>
  <c r="R1358" i="1"/>
  <c r="Q1358" i="1"/>
  <c r="P1993" i="1"/>
  <c r="P246" i="1"/>
  <c r="Q1366" i="1" l="1"/>
  <c r="R1071" i="1"/>
  <c r="Q28" i="1"/>
  <c r="Q437" i="1"/>
  <c r="Q363" i="1"/>
  <c r="R363" i="1"/>
  <c r="Q483" i="1"/>
  <c r="R483" i="1"/>
  <c r="Q436" i="1"/>
  <c r="R436" i="1"/>
  <c r="Q364" i="1"/>
  <c r="R364" i="1"/>
  <c r="Q438" i="1"/>
  <c r="R438" i="1"/>
  <c r="P292" i="1"/>
  <c r="P1872" i="1"/>
  <c r="N1845" i="1"/>
  <c r="P1730" i="1"/>
  <c r="R1856" i="1" l="1"/>
  <c r="Q1071" i="1"/>
  <c r="R1899" i="1"/>
  <c r="Q1899" i="1"/>
  <c r="Q1362" i="1"/>
  <c r="Q1875" i="1"/>
  <c r="R1875" i="1"/>
  <c r="Q285" i="1"/>
  <c r="R285" i="1"/>
  <c r="Q395" i="1"/>
  <c r="R395" i="1"/>
  <c r="Q1978" i="1"/>
  <c r="P1720" i="1"/>
  <c r="Q1750" i="1" l="1"/>
  <c r="R1752" i="1"/>
  <c r="Q1752" i="1"/>
  <c r="R1750" i="1"/>
  <c r="R1744" i="1"/>
  <c r="R1743" i="1"/>
  <c r="R1742" i="1"/>
  <c r="Q1742" i="1"/>
  <c r="R1741" i="1"/>
  <c r="Q1741" i="1"/>
  <c r="R1740" i="1"/>
  <c r="Q1740" i="1"/>
  <c r="R1738" i="1"/>
  <c r="Q1738" i="1"/>
  <c r="R1737" i="1"/>
  <c r="Q1737" i="1"/>
  <c r="Q1736" i="1"/>
  <c r="R1735" i="1"/>
  <c r="Q1735" i="1"/>
  <c r="R1734" i="1"/>
  <c r="Q1734" i="1"/>
  <c r="R1733" i="1"/>
  <c r="Q1733" i="1"/>
  <c r="R1732" i="1"/>
  <c r="Q1732" i="1"/>
  <c r="R1731" i="1"/>
  <c r="Q1731" i="1"/>
  <c r="R1739" i="1"/>
  <c r="Q1739" i="1"/>
  <c r="N1720" i="1"/>
  <c r="R1730" i="1"/>
  <c r="Q1730" i="1"/>
  <c r="R1729" i="1"/>
  <c r="Q1729" i="1"/>
  <c r="R1728" i="1"/>
  <c r="R1727" i="1"/>
  <c r="Q1727" i="1"/>
  <c r="R1724" i="1"/>
  <c r="Q1724" i="1"/>
  <c r="R1723" i="1"/>
  <c r="Q1723" i="1"/>
  <c r="R1722" i="1"/>
  <c r="Q1722" i="1"/>
  <c r="R1721" i="1"/>
  <c r="Q1721" i="1"/>
  <c r="R1720" i="1"/>
  <c r="Q1720" i="1" l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P1851" i="1"/>
  <c r="Q1851" i="1" s="1"/>
  <c r="Q360" i="1"/>
  <c r="R360" i="1"/>
  <c r="Q361" i="1"/>
  <c r="R361" i="1"/>
  <c r="R362" i="1"/>
  <c r="Q1994" i="1"/>
  <c r="R1994" i="1"/>
  <c r="Q1995" i="1"/>
  <c r="R1995" i="1"/>
  <c r="Q1977" i="1"/>
  <c r="R1977" i="1"/>
  <c r="N362" i="1"/>
  <c r="Q362" i="1" s="1"/>
  <c r="Q1885" i="1"/>
  <c r="R1885" i="1"/>
  <c r="R369" i="1"/>
  <c r="Q369" i="1"/>
  <c r="Q1298" i="1"/>
  <c r="P295" i="1"/>
  <c r="P702" i="1"/>
  <c r="R702" i="1" s="1"/>
  <c r="R1851" i="1" l="1"/>
  <c r="Q702" i="1"/>
  <c r="P1819" i="1"/>
  <c r="P818" i="1"/>
  <c r="Q435" i="1"/>
  <c r="R435" i="1"/>
  <c r="P1183" i="1"/>
  <c r="R57" i="1" l="1"/>
  <c r="R56" i="1"/>
  <c r="Q56" i="1"/>
  <c r="R67" i="1"/>
  <c r="Q67" i="1"/>
  <c r="R735" i="1" l="1"/>
  <c r="R701" i="1"/>
  <c r="Q701" i="1"/>
  <c r="Q735" i="1" l="1"/>
  <c r="P334" i="1"/>
  <c r="Q675" i="1"/>
  <c r="Q1152" i="1"/>
  <c r="R700" i="1" l="1"/>
  <c r="Q700" i="1"/>
  <c r="R51" i="1"/>
  <c r="Q51" i="1"/>
  <c r="R50" i="1"/>
  <c r="Q50" i="1"/>
  <c r="R1869" i="1"/>
  <c r="Q1869" i="1"/>
  <c r="R1850" i="1"/>
  <c r="Q1850" i="1"/>
  <c r="R434" i="1"/>
  <c r="Q434" i="1"/>
  <c r="R49" i="1"/>
  <c r="Q49" i="1"/>
  <c r="R1976" i="1"/>
  <c r="Q1976" i="1"/>
  <c r="R1753" i="1"/>
  <c r="Q1753" i="1"/>
  <c r="R1297" i="1"/>
  <c r="Q1297" i="1"/>
  <c r="R368" i="1"/>
  <c r="Q368" i="1"/>
  <c r="R2012" i="1"/>
  <c r="Q2012" i="1"/>
  <c r="R692" i="1"/>
  <c r="Q692" i="1"/>
  <c r="Q2003" i="1"/>
  <c r="R2002" i="1"/>
  <c r="Q2002" i="1"/>
  <c r="P29" i="1"/>
  <c r="P346" i="1"/>
  <c r="P1718" i="1"/>
  <c r="Q1718" i="1" s="1"/>
  <c r="R1719" i="1"/>
  <c r="Q1719" i="1"/>
  <c r="Q336" i="1"/>
  <c r="Q1975" i="1"/>
  <c r="Q1876" i="1"/>
  <c r="R1876" i="1"/>
  <c r="Q1877" i="1"/>
  <c r="R1877" i="1"/>
  <c r="Q1099" i="1"/>
  <c r="R1099" i="1"/>
  <c r="R1136" i="1"/>
  <c r="Q1136" i="1"/>
  <c r="R1137" i="1"/>
  <c r="Q1137" i="1"/>
  <c r="R1718" i="1" l="1"/>
  <c r="N1974" i="1"/>
  <c r="Q1974" i="1" s="1"/>
  <c r="N1973" i="1"/>
  <c r="Q1973" i="1" s="1"/>
  <c r="N1972" i="1"/>
  <c r="Q1972" i="1" s="1"/>
  <c r="R1835" i="1"/>
  <c r="Q1835" i="1"/>
  <c r="R2001" i="1"/>
  <c r="Q2001" i="1"/>
  <c r="N2000" i="1"/>
  <c r="Q2000" i="1" s="1"/>
  <c r="R1973" i="1"/>
  <c r="R1972" i="1"/>
  <c r="R2010" i="1"/>
  <c r="Q2010" i="1"/>
  <c r="R1383" i="1"/>
  <c r="Q1383" i="1"/>
  <c r="R2000" i="1"/>
  <c r="Q1184" i="1"/>
  <c r="R1184" i="1"/>
  <c r="Q1182" i="1"/>
  <c r="R1182" i="1"/>
  <c r="R1181" i="1"/>
  <c r="Q1181" i="1"/>
  <c r="Q1148" i="1"/>
  <c r="R1148" i="1"/>
  <c r="Q1147" i="1"/>
  <c r="R1147" i="1"/>
  <c r="Q30" i="1"/>
  <c r="Q1381" i="1"/>
  <c r="Q1849" i="1"/>
  <c r="Q1971" i="1"/>
  <c r="Q2008" i="1"/>
  <c r="Q2009" i="1"/>
  <c r="Q734" i="1"/>
  <c r="Q15" i="1"/>
  <c r="Q1382" i="1"/>
  <c r="Q74" i="1"/>
  <c r="Q73" i="1"/>
  <c r="Q815" i="1"/>
  <c r="Q699" i="1"/>
  <c r="P691" i="1" l="1"/>
  <c r="R30" i="1"/>
  <c r="R15" i="1"/>
  <c r="R1382" i="1"/>
  <c r="R74" i="1"/>
  <c r="R73" i="1"/>
  <c r="R815" i="1"/>
  <c r="R699" i="1"/>
  <c r="R1381" i="1"/>
  <c r="R1849" i="1"/>
  <c r="R1971" i="1"/>
  <c r="R2008" i="1"/>
  <c r="R2009" i="1"/>
  <c r="R734" i="1"/>
  <c r="R1846" i="1"/>
  <c r="Q1846" i="1"/>
  <c r="R1834" i="1"/>
  <c r="Q1834" i="1"/>
  <c r="R1845" i="1"/>
  <c r="Q1845" i="1"/>
  <c r="R1070" i="1"/>
  <c r="Q1070" i="1"/>
  <c r="R48" i="1"/>
  <c r="P1965" i="1"/>
  <c r="R968" i="1"/>
  <c r="Q968" i="1"/>
  <c r="Q967" i="1"/>
  <c r="Q48" i="1" l="1"/>
  <c r="R698" i="1"/>
  <c r="Q698" i="1"/>
  <c r="R485" i="1"/>
  <c r="N485" i="1"/>
  <c r="Q485" i="1" s="1"/>
  <c r="R1371" i="1" l="1"/>
  <c r="Q1371" i="1"/>
  <c r="R1370" i="1"/>
  <c r="Q1370" i="1"/>
  <c r="R1369" i="1"/>
  <c r="Q1369" i="1"/>
  <c r="P697" i="1"/>
  <c r="P696" i="1"/>
  <c r="Q1832" i="1"/>
  <c r="R1832" i="1"/>
  <c r="Q1833" i="1"/>
  <c r="R1833" i="1"/>
  <c r="P244" i="1"/>
  <c r="Q1932" i="1" l="1"/>
  <c r="R1364" i="1"/>
  <c r="Q1364" i="1"/>
  <c r="R877" i="1"/>
  <c r="Q877" i="1"/>
  <c r="R876" i="1"/>
  <c r="Q876" i="1"/>
  <c r="R875" i="1"/>
  <c r="Q875" i="1"/>
  <c r="R874" i="1"/>
  <c r="Q874" i="1"/>
  <c r="R873" i="1"/>
  <c r="Q873" i="1"/>
  <c r="R872" i="1"/>
  <c r="Q872" i="1"/>
  <c r="R871" i="1"/>
  <c r="Q871" i="1"/>
  <c r="R870" i="1"/>
  <c r="Q870" i="1"/>
  <c r="R862" i="1"/>
  <c r="Q862" i="1"/>
  <c r="R861" i="1"/>
  <c r="Q861" i="1"/>
  <c r="R860" i="1"/>
  <c r="Q860" i="1"/>
  <c r="R859" i="1"/>
  <c r="Q859" i="1"/>
  <c r="R858" i="1"/>
  <c r="Q858" i="1"/>
  <c r="R869" i="1"/>
  <c r="Q869" i="1"/>
  <c r="R868" i="1"/>
  <c r="Q868" i="1"/>
  <c r="R867" i="1"/>
  <c r="Q867" i="1"/>
  <c r="R866" i="1"/>
  <c r="Q866" i="1"/>
  <c r="R865" i="1"/>
  <c r="Q865" i="1"/>
  <c r="R857" i="1"/>
  <c r="Q857" i="1"/>
  <c r="R856" i="1"/>
  <c r="Q856" i="1"/>
  <c r="Q853" i="1"/>
  <c r="R853" i="1"/>
  <c r="R840" i="1"/>
  <c r="Q840" i="1"/>
  <c r="R839" i="1"/>
  <c r="Q839" i="1"/>
  <c r="R838" i="1"/>
  <c r="Q838" i="1"/>
  <c r="R837" i="1"/>
  <c r="Q837" i="1"/>
  <c r="R836" i="1"/>
  <c r="Q836" i="1"/>
  <c r="R835" i="1"/>
  <c r="Q835" i="1"/>
  <c r="R834" i="1"/>
  <c r="Q834" i="1"/>
  <c r="R833" i="1"/>
  <c r="Q833" i="1"/>
  <c r="R832" i="1"/>
  <c r="Q832" i="1"/>
  <c r="R831" i="1"/>
  <c r="Q831" i="1"/>
  <c r="N829" i="1"/>
  <c r="Q829" i="1" s="1"/>
  <c r="Q828" i="1"/>
  <c r="Q827" i="1"/>
  <c r="R830" i="1"/>
  <c r="Q830" i="1"/>
  <c r="R829" i="1"/>
  <c r="R828" i="1"/>
  <c r="R827" i="1"/>
  <c r="R826" i="1"/>
  <c r="Q826" i="1"/>
  <c r="P293" i="1" l="1"/>
  <c r="P351" i="1"/>
  <c r="P350" i="1"/>
  <c r="R72" i="1"/>
  <c r="Q72" i="1"/>
  <c r="R71" i="1"/>
  <c r="Q71" i="1"/>
  <c r="R70" i="1"/>
  <c r="Q70" i="1"/>
  <c r="R29" i="1"/>
  <c r="Q29" i="1"/>
  <c r="R1990" i="1"/>
  <c r="Q1990" i="1"/>
  <c r="R1989" i="1"/>
  <c r="Q1989" i="1"/>
  <c r="R1988" i="1"/>
  <c r="Q1988" i="1"/>
  <c r="R1993" i="1"/>
  <c r="Q1993" i="1"/>
  <c r="R1970" i="1"/>
  <c r="Q1970" i="1"/>
  <c r="R691" i="1"/>
  <c r="Q691" i="1"/>
  <c r="R690" i="1"/>
  <c r="Q690" i="1"/>
  <c r="Q245" i="1"/>
  <c r="R245" i="1"/>
  <c r="R733" i="1"/>
  <c r="Q733" i="1"/>
  <c r="R1380" i="1"/>
  <c r="Q1380" i="1"/>
  <c r="R1361" i="1"/>
  <c r="Q1361" i="1"/>
  <c r="R1386" i="1"/>
  <c r="Q1386" i="1"/>
  <c r="P204" i="1"/>
  <c r="Q204" i="1" s="1"/>
  <c r="P188" i="1"/>
  <c r="P198" i="1"/>
  <c r="P196" i="1"/>
  <c r="P195" i="1"/>
  <c r="P189" i="1"/>
  <c r="P186" i="1"/>
  <c r="Q248" i="1"/>
  <c r="R247" i="1"/>
  <c r="Q247" i="1"/>
  <c r="R246" i="1"/>
  <c r="Q246" i="1"/>
  <c r="R244" i="1"/>
  <c r="Q244" i="1"/>
  <c r="P814" i="1"/>
  <c r="R1896" i="1"/>
  <c r="Q1896" i="1"/>
  <c r="R1898" i="1"/>
  <c r="Q1898" i="1"/>
  <c r="R1937" i="1"/>
  <c r="Q1937" i="1"/>
  <c r="Q1874" i="1"/>
  <c r="R1874" i="1"/>
  <c r="R1873" i="1"/>
  <c r="N1873" i="1"/>
  <c r="Q1873" i="1" s="1"/>
  <c r="R1969" i="1"/>
  <c r="Q1969" i="1"/>
  <c r="R433" i="1"/>
  <c r="Q433" i="1"/>
  <c r="R697" i="1"/>
  <c r="Q697" i="1"/>
  <c r="R359" i="1"/>
  <c r="Q359" i="1"/>
  <c r="R1936" i="1"/>
  <c r="Q1936" i="1"/>
  <c r="P357" i="1"/>
  <c r="P184" i="1"/>
  <c r="P201" i="1"/>
  <c r="P1097" i="1"/>
  <c r="P6" i="1" l="1"/>
  <c r="P798" i="1"/>
  <c r="P910" i="1"/>
  <c r="P1871" i="1"/>
  <c r="P347" i="1"/>
  <c r="P296" i="1"/>
  <c r="P808" i="1"/>
  <c r="P11" i="1"/>
  <c r="R11" i="1" s="1"/>
  <c r="R1770" i="1"/>
  <c r="Q1770" i="1"/>
  <c r="R9" i="1"/>
  <c r="Q9" i="1"/>
  <c r="R1968" i="1"/>
  <c r="Q1968" i="1"/>
  <c r="Q334" i="1" l="1"/>
  <c r="R334" i="1"/>
  <c r="Q2007" i="1"/>
  <c r="R2007" i="1"/>
  <c r="R432" i="1"/>
  <c r="Q432" i="1"/>
  <c r="Q27" i="1" l="1"/>
  <c r="R27" i="1"/>
  <c r="P291" i="1"/>
  <c r="R1233" i="1"/>
  <c r="Q1233" i="1"/>
  <c r="R69" i="1"/>
  <c r="Q69" i="1"/>
  <c r="R68" i="1"/>
  <c r="Q68" i="1"/>
  <c r="R66" i="1"/>
  <c r="Q66" i="1"/>
  <c r="R1831" i="1"/>
  <c r="Q1831" i="1"/>
  <c r="R1830" i="1"/>
  <c r="Q1830" i="1"/>
  <c r="R1829" i="1"/>
  <c r="Q1829" i="1"/>
  <c r="R1828" i="1"/>
  <c r="Q1828" i="1"/>
  <c r="R1827" i="1"/>
  <c r="Q1827" i="1"/>
  <c r="R1826" i="1"/>
  <c r="Q1826" i="1"/>
  <c r="R1824" i="1"/>
  <c r="Q1824" i="1"/>
  <c r="P1068" i="1" l="1"/>
  <c r="R1848" i="1"/>
  <c r="Q1848" i="1"/>
  <c r="R1388" i="1"/>
  <c r="Q1388" i="1"/>
  <c r="R1393" i="1"/>
  <c r="Q1393" i="1"/>
  <c r="R1392" i="1"/>
  <c r="Q1392" i="1"/>
  <c r="R1391" i="1"/>
  <c r="Q1391" i="1"/>
  <c r="R1390" i="1"/>
  <c r="Q1390" i="1"/>
  <c r="R1389" i="1"/>
  <c r="Q1389" i="1"/>
  <c r="R1387" i="1"/>
  <c r="Q1387" i="1"/>
  <c r="R294" i="1"/>
  <c r="Q294" i="1"/>
  <c r="R293" i="1"/>
  <c r="Q293" i="1"/>
  <c r="P1135" i="1"/>
  <c r="Q292" i="1"/>
  <c r="R292" i="1"/>
  <c r="R1882" i="1"/>
  <c r="Q1882" i="1"/>
  <c r="R980" i="1"/>
  <c r="Q980" i="1"/>
  <c r="R2006" i="1"/>
  <c r="Q2006" i="1"/>
  <c r="Q12" i="1" l="1"/>
  <c r="R47" i="1"/>
  <c r="P908" i="1" l="1"/>
  <c r="P1549" i="1"/>
  <c r="P628" i="1"/>
  <c r="P381" i="1"/>
  <c r="R1292" i="1"/>
  <c r="P318" i="1"/>
  <c r="R2005" i="1" l="1"/>
  <c r="Q2005" i="1"/>
  <c r="Q333" i="1"/>
  <c r="R333" i="1" s="1"/>
  <c r="Q1847" i="1"/>
  <c r="R1847" i="1"/>
  <c r="N1521" i="1"/>
  <c r="N261" i="1"/>
  <c r="N983" i="1"/>
  <c r="N982" i="1"/>
  <c r="R908" i="1"/>
  <c r="Q908" i="1"/>
  <c r="P907" i="1"/>
  <c r="N461" i="1"/>
  <c r="N709" i="1"/>
  <c r="P22" i="1"/>
  <c r="P976" i="1"/>
  <c r="N976" i="1" s="1"/>
  <c r="P966" i="1"/>
  <c r="N966" i="1" s="1"/>
  <c r="P971" i="1"/>
  <c r="N971" i="1" s="1"/>
  <c r="R297" i="1" l="1"/>
  <c r="Q297" i="1"/>
  <c r="R1872" i="1"/>
  <c r="Q1872" i="1"/>
  <c r="Q1368" i="1"/>
  <c r="R1368" i="1"/>
  <c r="P1880" i="1"/>
  <c r="P450" i="1" l="1"/>
  <c r="P689" i="1"/>
  <c r="P312" i="1" l="1"/>
  <c r="R65" i="1"/>
  <c r="R64" i="1"/>
  <c r="Q61" i="1"/>
  <c r="P60" i="1"/>
  <c r="R60" i="1" s="1"/>
  <c r="R59" i="1"/>
  <c r="R58" i="1"/>
  <c r="Q58" i="1"/>
  <c r="R55" i="1"/>
  <c r="R54" i="1"/>
  <c r="Q53" i="1"/>
  <c r="P52" i="1"/>
  <c r="Q52" i="1" s="1"/>
  <c r="P811" i="1"/>
  <c r="R823" i="1"/>
  <c r="Q823" i="1"/>
  <c r="R822" i="1"/>
  <c r="Q822" i="1"/>
  <c r="R821" i="1"/>
  <c r="Q821" i="1"/>
  <c r="R820" i="1"/>
  <c r="Q820" i="1"/>
  <c r="R819" i="1"/>
  <c r="Q819" i="1"/>
  <c r="R818" i="1"/>
  <c r="Q818" i="1"/>
  <c r="R817" i="1"/>
  <c r="Q817" i="1"/>
  <c r="R816" i="1"/>
  <c r="Q816" i="1"/>
  <c r="R450" i="1"/>
  <c r="Q450" i="1"/>
  <c r="R696" i="1"/>
  <c r="Q696" i="1"/>
  <c r="R1378" i="1"/>
  <c r="Q1378" i="1"/>
  <c r="R296" i="1"/>
  <c r="Q296" i="1"/>
  <c r="R1069" i="1"/>
  <c r="Q1069" i="1"/>
  <c r="R1068" i="1"/>
  <c r="Q1068" i="1"/>
  <c r="R1067" i="1"/>
  <c r="Q1067" i="1"/>
  <c r="R1066" i="1"/>
  <c r="Q1066" i="1"/>
  <c r="R1065" i="1"/>
  <c r="Q1065" i="1"/>
  <c r="R457" i="1"/>
  <c r="Q457" i="1"/>
  <c r="Q1292" i="1"/>
  <c r="R689" i="1"/>
  <c r="Q689" i="1"/>
  <c r="R1379" i="1"/>
  <c r="Q1379" i="1"/>
  <c r="R1880" i="1"/>
  <c r="Q1880" i="1"/>
  <c r="R1935" i="1"/>
  <c r="Q1935" i="1"/>
  <c r="R299" i="1"/>
  <c r="Q299" i="1"/>
  <c r="R976" i="1"/>
  <c r="R966" i="1"/>
  <c r="Q969" i="1"/>
  <c r="R969" i="1"/>
  <c r="R967" i="1"/>
  <c r="Q977" i="1"/>
  <c r="N975" i="1"/>
  <c r="R979" i="1"/>
  <c r="R977" i="1"/>
  <c r="P975" i="1"/>
  <c r="R974" i="1"/>
  <c r="Q972" i="1"/>
  <c r="Q971" i="1"/>
  <c r="Q974" i="1"/>
  <c r="R972" i="1"/>
  <c r="P970" i="1"/>
  <c r="R971" i="1"/>
  <c r="P1177" i="1"/>
  <c r="R61" i="1" l="1"/>
  <c r="Q60" i="1"/>
  <c r="Q65" i="1"/>
  <c r="Q64" i="1"/>
  <c r="Q59" i="1"/>
  <c r="R53" i="1"/>
  <c r="Q55" i="1"/>
  <c r="R52" i="1"/>
  <c r="Q54" i="1"/>
  <c r="Q966" i="1"/>
  <c r="Q976" i="1"/>
  <c r="P453" i="1"/>
  <c r="Q453" i="1" s="1"/>
  <c r="P1855" i="1" l="1"/>
  <c r="P906" i="1" l="1"/>
  <c r="R1964" i="1"/>
  <c r="Q1964" i="1"/>
  <c r="R8" i="1"/>
  <c r="Q8" i="1"/>
  <c r="R367" i="1"/>
  <c r="Q367" i="1"/>
  <c r="P1818" i="1"/>
  <c r="R1818" i="1" s="1"/>
  <c r="R1823" i="1"/>
  <c r="Q1823" i="1"/>
  <c r="R1822" i="1"/>
  <c r="Q1822" i="1"/>
  <c r="R1821" i="1"/>
  <c r="Q1821" i="1"/>
  <c r="R1820" i="1"/>
  <c r="Q1820" i="1"/>
  <c r="R1819" i="1"/>
  <c r="Q1819" i="1"/>
  <c r="Q1818" i="1" l="1"/>
  <c r="P1947" i="1"/>
  <c r="P1545" i="1" l="1"/>
  <c r="P14" i="1"/>
  <c r="P905" i="1" l="1"/>
  <c r="P903" i="1"/>
  <c r="P1521" i="1" l="1"/>
  <c r="N1489" i="1"/>
  <c r="N1549" i="1"/>
  <c r="N1546" i="1"/>
  <c r="R916" i="1" l="1"/>
  <c r="Q916" i="1"/>
  <c r="Q824" i="1"/>
  <c r="R824" i="1"/>
  <c r="R7" i="1"/>
  <c r="Q7" i="1"/>
  <c r="N357" i="1"/>
  <c r="Q357" i="1" s="1"/>
  <c r="N353" i="1"/>
  <c r="Q353" i="1" s="1"/>
  <c r="R358" i="1"/>
  <c r="Q358" i="1"/>
  <c r="N355" i="1"/>
  <c r="Q355" i="1" s="1"/>
  <c r="R357" i="1"/>
  <c r="R356" i="1"/>
  <c r="Q356" i="1"/>
  <c r="N354" i="1"/>
  <c r="Q354" i="1" s="1"/>
  <c r="N352" i="1"/>
  <c r="Q352" i="1" s="1"/>
  <c r="R355" i="1"/>
  <c r="R354" i="1"/>
  <c r="R353" i="1"/>
  <c r="R352" i="1"/>
  <c r="R351" i="1"/>
  <c r="Q351" i="1"/>
  <c r="R350" i="1"/>
  <c r="Q350" i="1"/>
  <c r="R349" i="1"/>
  <c r="Q349" i="1"/>
  <c r="R348" i="1"/>
  <c r="Q348" i="1"/>
  <c r="R347" i="1"/>
  <c r="Q347" i="1"/>
  <c r="Q346" i="1"/>
  <c r="R346" i="1"/>
  <c r="R1871" i="1"/>
  <c r="Q1871" i="1"/>
  <c r="R1132" i="1"/>
  <c r="Q1132" i="1"/>
  <c r="R1093" i="1"/>
  <c r="Q1093" i="1"/>
  <c r="R1176" i="1"/>
  <c r="Q1176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P1844" i="1"/>
  <c r="P1546" i="1"/>
  <c r="P1522" i="1"/>
  <c r="P752" i="1" l="1"/>
  <c r="P298" i="1"/>
  <c r="N688" i="1"/>
  <c r="P688" i="1"/>
  <c r="R6" i="1"/>
  <c r="Q6" i="1"/>
  <c r="R1932" i="1"/>
  <c r="Q1293" i="1"/>
  <c r="R1293" i="1"/>
  <c r="P902" i="1"/>
  <c r="P1911" i="1"/>
  <c r="Q312" i="1" l="1"/>
  <c r="P311" i="1"/>
  <c r="R1883" i="1"/>
  <c r="Q1883" i="1"/>
  <c r="R1986" i="1"/>
  <c r="Q1986" i="1"/>
  <c r="R1985" i="1"/>
  <c r="Q1985" i="1"/>
  <c r="R1933" i="1"/>
  <c r="Q1933" i="1"/>
  <c r="R1987" i="1"/>
  <c r="Q1987" i="1"/>
  <c r="R1934" i="1"/>
  <c r="Q1934" i="1"/>
  <c r="Q291" i="1"/>
  <c r="P1252" i="1"/>
  <c r="P1550" i="1"/>
  <c r="P1290" i="1"/>
  <c r="R1290" i="1" s="1"/>
  <c r="P901" i="1"/>
  <c r="P178" i="1"/>
  <c r="P486" i="1"/>
  <c r="Q486" i="1" s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1963" i="1"/>
  <c r="Q1963" i="1"/>
  <c r="R455" i="1"/>
  <c r="Q455" i="1"/>
  <c r="R454" i="1"/>
  <c r="Q454" i="1"/>
  <c r="R453" i="1"/>
  <c r="R338" i="1"/>
  <c r="Q338" i="1"/>
  <c r="R337" i="1"/>
  <c r="Q337" i="1"/>
  <c r="R336" i="1"/>
  <c r="P240" i="1"/>
  <c r="P643" i="1"/>
  <c r="P627" i="1"/>
  <c r="R486" i="1" l="1"/>
  <c r="R312" i="1"/>
  <c r="R291" i="1"/>
  <c r="R688" i="1"/>
  <c r="Q688" i="1"/>
  <c r="R687" i="1"/>
  <c r="Q687" i="1"/>
  <c r="R298" i="1"/>
  <c r="Q298" i="1"/>
  <c r="R311" i="1"/>
  <c r="Q311" i="1"/>
  <c r="P1961" i="1"/>
  <c r="P1962" i="1"/>
  <c r="R456" i="1"/>
  <c r="Q456" i="1"/>
  <c r="P1323" i="1"/>
  <c r="P1489" i="1"/>
  <c r="P631" i="1" l="1"/>
  <c r="R631" i="1" s="1"/>
  <c r="R1407" i="1"/>
  <c r="Q1407" i="1"/>
  <c r="R1406" i="1"/>
  <c r="Q1406" i="1"/>
  <c r="R1402" i="1"/>
  <c r="Q1402" i="1"/>
  <c r="N1401" i="1"/>
  <c r="Q1401" i="1" s="1"/>
  <c r="R1405" i="1"/>
  <c r="Q1405" i="1"/>
  <c r="R1404" i="1"/>
  <c r="Q1404" i="1"/>
  <c r="R1403" i="1"/>
  <c r="Q1403" i="1"/>
  <c r="R1401" i="1"/>
  <c r="P1528" i="1"/>
  <c r="P1544" i="1"/>
  <c r="R1844" i="1"/>
  <c r="Q1844" i="1"/>
  <c r="R309" i="1"/>
  <c r="Q309" i="1"/>
  <c r="P1400" i="1"/>
  <c r="R1400" i="1" s="1"/>
  <c r="P1409" i="1"/>
  <c r="P5" i="1"/>
  <c r="Q479" i="1" l="1"/>
  <c r="Q631" i="1"/>
  <c r="Q1400" i="1"/>
  <c r="P963" i="1"/>
  <c r="P1543" i="1"/>
  <c r="P1527" i="1"/>
  <c r="R290" i="1"/>
  <c r="Q290" i="1"/>
  <c r="R289" i="1"/>
  <c r="Q289" i="1"/>
  <c r="R288" i="1"/>
  <c r="Q288" i="1"/>
  <c r="P1810" i="1"/>
  <c r="R673" i="1"/>
  <c r="R672" i="1"/>
  <c r="Q671" i="1"/>
  <c r="R670" i="1"/>
  <c r="R686" i="1"/>
  <c r="Q686" i="1"/>
  <c r="R1947" i="1"/>
  <c r="Q1947" i="1"/>
  <c r="R5" i="1"/>
  <c r="Q5" i="1"/>
  <c r="N890" i="1"/>
  <c r="Q890" i="1" s="1"/>
  <c r="N889" i="1"/>
  <c r="Q889" i="1" s="1"/>
  <c r="N888" i="1"/>
  <c r="Q888" i="1" s="1"/>
  <c r="N887" i="1"/>
  <c r="Q887" i="1" s="1"/>
  <c r="N886" i="1"/>
  <c r="Q886" i="1" s="1"/>
  <c r="N885" i="1"/>
  <c r="Q885" i="1" s="1"/>
  <c r="N884" i="1"/>
  <c r="Q884" i="1" s="1"/>
  <c r="N883" i="1"/>
  <c r="Q883" i="1" s="1"/>
  <c r="N882" i="1"/>
  <c r="Q882" i="1" s="1"/>
  <c r="N881" i="1"/>
  <c r="Q881" i="1" s="1"/>
  <c r="N880" i="1"/>
  <c r="Q880" i="1" s="1"/>
  <c r="N879" i="1"/>
  <c r="P805" i="1"/>
  <c r="R1982" i="1"/>
  <c r="Q1982" i="1"/>
  <c r="R1768" i="1"/>
  <c r="Q1768" i="1"/>
  <c r="R913" i="1"/>
  <c r="Q913" i="1"/>
  <c r="R912" i="1"/>
  <c r="Q912" i="1"/>
  <c r="R911" i="1"/>
  <c r="Q911" i="1"/>
  <c r="R910" i="1"/>
  <c r="Q910" i="1"/>
  <c r="R909" i="1"/>
  <c r="Q909" i="1"/>
  <c r="R907" i="1"/>
  <c r="Q907" i="1"/>
  <c r="R906" i="1"/>
  <c r="Q906" i="1"/>
  <c r="R905" i="1"/>
  <c r="Q905" i="1"/>
  <c r="R904" i="1"/>
  <c r="Q904" i="1"/>
  <c r="R903" i="1"/>
  <c r="Q903" i="1"/>
  <c r="R902" i="1"/>
  <c r="Q902" i="1"/>
  <c r="R901" i="1"/>
  <c r="Q901" i="1"/>
  <c r="P1374" i="1"/>
  <c r="R1879" i="1"/>
  <c r="Q1879" i="1"/>
  <c r="Q11" i="1"/>
  <c r="R899" i="1"/>
  <c r="Q899" i="1"/>
  <c r="R898" i="1"/>
  <c r="Q898" i="1"/>
  <c r="R897" i="1"/>
  <c r="Q897" i="1"/>
  <c r="R896" i="1"/>
  <c r="Q896" i="1"/>
  <c r="R895" i="1"/>
  <c r="Q895" i="1"/>
  <c r="R894" i="1"/>
  <c r="Q894" i="1"/>
  <c r="R893" i="1"/>
  <c r="Q893" i="1"/>
  <c r="R892" i="1"/>
  <c r="Q892" i="1"/>
  <c r="R891" i="1"/>
  <c r="Q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Q879" i="1" l="1"/>
  <c r="R671" i="1"/>
  <c r="Q672" i="1"/>
  <c r="Q673" i="1"/>
  <c r="Q670" i="1"/>
  <c r="R498" i="1" l="1"/>
  <c r="Q498" i="1"/>
  <c r="R497" i="1"/>
  <c r="Q497" i="1"/>
  <c r="R496" i="1"/>
  <c r="Q496" i="1"/>
  <c r="R495" i="1"/>
  <c r="Q495" i="1"/>
  <c r="P1287" i="11"/>
  <c r="Q1290" i="1"/>
  <c r="R479" i="1"/>
  <c r="P1240" i="1"/>
  <c r="R481" i="1" l="1"/>
  <c r="R482" i="1"/>
  <c r="Q323" i="1"/>
  <c r="R332" i="1"/>
  <c r="Q328" i="1"/>
  <c r="R327" i="1"/>
  <c r="Q329" i="1"/>
  <c r="R324" i="1"/>
  <c r="Q324" i="1"/>
  <c r="R329" i="1"/>
  <c r="R321" i="1"/>
  <c r="Q321" i="1"/>
  <c r="R325" i="1"/>
  <c r="Q325" i="1"/>
  <c r="R328" i="1"/>
  <c r="R331" i="1"/>
  <c r="Q331" i="1"/>
  <c r="Q332" i="1"/>
  <c r="R326" i="1"/>
  <c r="Q326" i="1"/>
  <c r="R323" i="1"/>
  <c r="R322" i="1"/>
  <c r="Q322" i="1"/>
  <c r="R330" i="1"/>
  <c r="Q330" i="1"/>
  <c r="R1931" i="1"/>
  <c r="Q1931" i="1"/>
  <c r="R915" i="1"/>
  <c r="Q915" i="1"/>
  <c r="R914" i="1"/>
  <c r="Q914" i="1"/>
  <c r="P199" i="1"/>
  <c r="P1000" i="1"/>
  <c r="P989" i="1"/>
  <c r="P1130" i="1"/>
  <c r="P1174" i="1"/>
  <c r="R1965" i="1"/>
  <c r="Q1965" i="1"/>
  <c r="R946" i="1"/>
  <c r="Q946" i="1"/>
  <c r="P790" i="1"/>
  <c r="P781" i="1"/>
  <c r="P1246" i="1"/>
  <c r="P682" i="1"/>
  <c r="P681" i="1"/>
  <c r="P677" i="1"/>
  <c r="P676" i="1"/>
  <c r="P685" i="1"/>
  <c r="R685" i="1" s="1"/>
  <c r="R1399" i="1"/>
  <c r="Q1399" i="1"/>
  <c r="R1367" i="1"/>
  <c r="Q1367" i="1"/>
  <c r="R1287" i="11"/>
  <c r="P1286" i="11"/>
  <c r="R1286" i="11" s="1"/>
  <c r="N1286" i="11"/>
  <c r="P1285" i="11"/>
  <c r="R1285" i="11" s="1"/>
  <c r="N1285" i="11"/>
  <c r="R1284" i="11"/>
  <c r="N1284" i="11"/>
  <c r="Q1284" i="11" s="1"/>
  <c r="P1283" i="11"/>
  <c r="R1283" i="11" s="1"/>
  <c r="N1283" i="11"/>
  <c r="P1282" i="11"/>
  <c r="R1282" i="11" s="1"/>
  <c r="N1282" i="11"/>
  <c r="P1281" i="11"/>
  <c r="R1281" i="11" s="1"/>
  <c r="N1281" i="11"/>
  <c r="R1280" i="11"/>
  <c r="N1280" i="11"/>
  <c r="Q1280" i="11" s="1"/>
  <c r="P1279" i="11"/>
  <c r="R1279" i="11" s="1"/>
  <c r="N1279" i="11"/>
  <c r="R1278" i="11"/>
  <c r="N1278" i="11"/>
  <c r="Q1278" i="11" s="1"/>
  <c r="R1277" i="11"/>
  <c r="N1277" i="11"/>
  <c r="Q1277" i="11" s="1"/>
  <c r="P1276" i="11"/>
  <c r="R1276" i="11" s="1"/>
  <c r="N1276" i="11"/>
  <c r="P1275" i="11"/>
  <c r="R1275" i="11" s="1"/>
  <c r="N1275" i="11"/>
  <c r="P1274" i="11"/>
  <c r="R1274" i="11" s="1"/>
  <c r="N1274" i="11"/>
  <c r="P1273" i="11"/>
  <c r="R1273" i="11" s="1"/>
  <c r="N1273" i="11"/>
  <c r="P1272" i="11"/>
  <c r="R1272" i="11" s="1"/>
  <c r="N1272" i="11"/>
  <c r="P1271" i="11"/>
  <c r="R1271" i="11" s="1"/>
  <c r="N1271" i="11"/>
  <c r="P1270" i="11"/>
  <c r="N1270" i="11"/>
  <c r="P1269" i="11"/>
  <c r="R1269" i="11" s="1"/>
  <c r="N1269" i="11"/>
  <c r="R1268" i="11"/>
  <c r="N1268" i="11"/>
  <c r="Q1268" i="11" s="1"/>
  <c r="R1267" i="11"/>
  <c r="N1267" i="11"/>
  <c r="P1266" i="11"/>
  <c r="R1266" i="11" s="1"/>
  <c r="N1266" i="11"/>
  <c r="P1265" i="11"/>
  <c r="R1265" i="11" s="1"/>
  <c r="R286" i="1"/>
  <c r="Q286" i="1"/>
  <c r="R1961" i="1"/>
  <c r="N1961" i="1"/>
  <c r="Q1961" i="1" s="1"/>
  <c r="R1962" i="1"/>
  <c r="Q1962" i="1"/>
  <c r="R1264" i="11"/>
  <c r="Q1264" i="11"/>
  <c r="R1263" i="11"/>
  <c r="Q1263" i="11"/>
  <c r="R1262" i="11"/>
  <c r="Q1262" i="11"/>
  <c r="R1261" i="11"/>
  <c r="Q1261" i="11"/>
  <c r="R1260" i="11"/>
  <c r="N1260" i="11"/>
  <c r="Q1260" i="11" s="1"/>
  <c r="R1259" i="11"/>
  <c r="Q1259" i="11"/>
  <c r="R1258" i="11"/>
  <c r="Q1258" i="11"/>
  <c r="R1257" i="11"/>
  <c r="Q1257" i="11"/>
  <c r="R1256" i="11"/>
  <c r="Q1256" i="11"/>
  <c r="R1255" i="11"/>
  <c r="Q1255" i="11"/>
  <c r="R1254" i="11"/>
  <c r="Q1254" i="11"/>
  <c r="R1253" i="11"/>
  <c r="Q1253" i="11"/>
  <c r="R1252" i="11"/>
  <c r="Q1252" i="11"/>
  <c r="P1251" i="11"/>
  <c r="R1251" i="11" s="1"/>
  <c r="N1251" i="11"/>
  <c r="R1250" i="11"/>
  <c r="Q1250" i="11"/>
  <c r="R1249" i="11"/>
  <c r="Q1249" i="11"/>
  <c r="R1248" i="11"/>
  <c r="Q1248" i="11"/>
  <c r="R1247" i="11"/>
  <c r="Q1247" i="11"/>
  <c r="R1246" i="11"/>
  <c r="Q1246" i="11"/>
  <c r="P1245" i="11"/>
  <c r="R1245" i="11" s="1"/>
  <c r="R1244" i="11"/>
  <c r="Q1244" i="11"/>
  <c r="R1243" i="11"/>
  <c r="Q1243" i="11"/>
  <c r="R1242" i="11"/>
  <c r="Q1242" i="11"/>
  <c r="R1241" i="11"/>
  <c r="Q1241" i="11"/>
  <c r="R1240" i="11"/>
  <c r="Q1240" i="11"/>
  <c r="R1239" i="11"/>
  <c r="Q1239" i="11"/>
  <c r="P1238" i="11"/>
  <c r="R1238" i="11" s="1"/>
  <c r="R1237" i="11"/>
  <c r="Q1237" i="11"/>
  <c r="R1236" i="11"/>
  <c r="Q1236" i="11"/>
  <c r="P1235" i="11"/>
  <c r="R1235" i="11" s="1"/>
  <c r="P1234" i="11"/>
  <c r="R1234" i="11" s="1"/>
  <c r="P1233" i="11"/>
  <c r="R1233" i="11" s="1"/>
  <c r="R1232" i="11"/>
  <c r="Q1232" i="11"/>
  <c r="R1231" i="11"/>
  <c r="Q1231" i="11"/>
  <c r="R1230" i="11"/>
  <c r="Q1230" i="11"/>
  <c r="R1229" i="11"/>
  <c r="Q1229" i="11"/>
  <c r="P1228" i="11"/>
  <c r="R1228" i="11" s="1"/>
  <c r="R1227" i="11"/>
  <c r="Q1227" i="11"/>
  <c r="P1226" i="11"/>
  <c r="Q1226" i="11" s="1"/>
  <c r="P1225" i="11"/>
  <c r="R1225" i="11" s="1"/>
  <c r="N1225" i="11"/>
  <c r="P1224" i="11"/>
  <c r="R1224" i="11" s="1"/>
  <c r="N1224" i="11"/>
  <c r="R1223" i="11"/>
  <c r="Q1223" i="11"/>
  <c r="P1222" i="11"/>
  <c r="R1222" i="11" s="1"/>
  <c r="Q1221" i="11"/>
  <c r="R1221" i="11" s="1"/>
  <c r="R1220" i="11"/>
  <c r="Q1220" i="11"/>
  <c r="P1219" i="11"/>
  <c r="R1219" i="11" s="1"/>
  <c r="R1218" i="11"/>
  <c r="Q1218" i="11"/>
  <c r="R1217" i="11"/>
  <c r="Q1217" i="11"/>
  <c r="R1216" i="11"/>
  <c r="Q1216" i="11"/>
  <c r="R1215" i="11"/>
  <c r="Q1215" i="11"/>
  <c r="R1214" i="11"/>
  <c r="Q1214" i="11"/>
  <c r="R1213" i="11"/>
  <c r="Q1213" i="11"/>
  <c r="P1212" i="11"/>
  <c r="Q1212" i="11" s="1"/>
  <c r="R1211" i="11"/>
  <c r="Q1211" i="11"/>
  <c r="R1210" i="11"/>
  <c r="Q1210" i="11"/>
  <c r="R1209" i="11"/>
  <c r="Q1209" i="11"/>
  <c r="R1208" i="11"/>
  <c r="Q1208" i="11"/>
  <c r="R1207" i="11"/>
  <c r="Q1207" i="11"/>
  <c r="R1206" i="11"/>
  <c r="Q1206" i="11"/>
  <c r="R1205" i="11"/>
  <c r="Q1205" i="11"/>
  <c r="R1204" i="11"/>
  <c r="Q1204" i="11"/>
  <c r="R1203" i="11"/>
  <c r="Q1203" i="11"/>
  <c r="R1202" i="11"/>
  <c r="Q1202" i="11"/>
  <c r="R1201" i="11"/>
  <c r="Q1201" i="11"/>
  <c r="R1200" i="11"/>
  <c r="P1199" i="11"/>
  <c r="Q1199" i="11" s="1"/>
  <c r="R1198" i="11"/>
  <c r="Q1198" i="11"/>
  <c r="P1197" i="11"/>
  <c r="R1197" i="11" s="1"/>
  <c r="P1196" i="11"/>
  <c r="R1196" i="11" s="1"/>
  <c r="P1195" i="11"/>
  <c r="R1195" i="11" s="1"/>
  <c r="R1194" i="11"/>
  <c r="Q1194" i="11"/>
  <c r="R1193" i="11"/>
  <c r="Q1193" i="11"/>
  <c r="R1192" i="11"/>
  <c r="Q1192" i="11"/>
  <c r="Q1191" i="11"/>
  <c r="R1191" i="11" s="1"/>
  <c r="R1190" i="11"/>
  <c r="Q1190" i="11"/>
  <c r="R1189" i="11"/>
  <c r="Q1189" i="11"/>
  <c r="P1188" i="11"/>
  <c r="Q1188" i="11" s="1"/>
  <c r="R1187" i="11"/>
  <c r="R1186" i="11"/>
  <c r="P1185" i="11"/>
  <c r="R1185" i="11" s="1"/>
  <c r="R1184" i="11"/>
  <c r="Q1184" i="11"/>
  <c r="R1183" i="11"/>
  <c r="Q1183" i="11"/>
  <c r="R1182" i="11"/>
  <c r="Q1182" i="11"/>
  <c r="P1181" i="11"/>
  <c r="R1181" i="11" s="1"/>
  <c r="R1180" i="11"/>
  <c r="Q1180" i="11"/>
  <c r="P1179" i="11"/>
  <c r="R1179" i="11" s="1"/>
  <c r="N1179" i="11"/>
  <c r="R1178" i="11"/>
  <c r="N1178" i="11"/>
  <c r="Q1178" i="11" s="1"/>
  <c r="R1177" i="11"/>
  <c r="Q1177" i="11"/>
  <c r="R1176" i="11"/>
  <c r="Q1176" i="11"/>
  <c r="R1175" i="11"/>
  <c r="Q1175" i="11"/>
  <c r="P1174" i="11"/>
  <c r="R1174" i="11" s="1"/>
  <c r="P1173" i="11"/>
  <c r="R1173" i="11" s="1"/>
  <c r="R1172" i="11"/>
  <c r="Q1172" i="11"/>
  <c r="P1171" i="11"/>
  <c r="R1171" i="11" s="1"/>
  <c r="Q1170" i="11"/>
  <c r="R1170" i="11" s="1"/>
  <c r="Q1169" i="11"/>
  <c r="R1169" i="11" s="1"/>
  <c r="Q1168" i="11"/>
  <c r="R1168" i="11" s="1"/>
  <c r="Q1167" i="11"/>
  <c r="R1167" i="11" s="1"/>
  <c r="Q1166" i="11"/>
  <c r="R1166" i="11" s="1"/>
  <c r="P1165" i="11"/>
  <c r="R1165" i="11" s="1"/>
  <c r="R1164" i="11"/>
  <c r="Q1163" i="11"/>
  <c r="R1163" i="11" s="1"/>
  <c r="R1162" i="11"/>
  <c r="R1161" i="11"/>
  <c r="Q1161" i="11"/>
  <c r="Q1160" i="11"/>
  <c r="R1160" i="11" s="1"/>
  <c r="Q1159" i="11"/>
  <c r="R1159" i="11" s="1"/>
  <c r="R1158" i="11"/>
  <c r="Q1158" i="11"/>
  <c r="R1157" i="11"/>
  <c r="Q1157" i="11"/>
  <c r="R1156" i="11"/>
  <c r="Q1156" i="11"/>
  <c r="R1155" i="11"/>
  <c r="Q1155" i="11"/>
  <c r="Q1154" i="11"/>
  <c r="R1154" i="11" s="1"/>
  <c r="Q1153" i="11"/>
  <c r="R1153" i="11" s="1"/>
  <c r="Q1152" i="11"/>
  <c r="R1152" i="11" s="1"/>
  <c r="Q1151" i="11"/>
  <c r="R1151" i="11" s="1"/>
  <c r="Q1150" i="11"/>
  <c r="R1150" i="11" s="1"/>
  <c r="P1149" i="11"/>
  <c r="R1149" i="11" s="1"/>
  <c r="Q1148" i="11"/>
  <c r="R1148" i="11" s="1"/>
  <c r="P1147" i="11"/>
  <c r="R1147" i="11" s="1"/>
  <c r="Q1146" i="11"/>
  <c r="N1146" i="11"/>
  <c r="R1145" i="11"/>
  <c r="Q1145" i="11"/>
  <c r="P1144" i="11"/>
  <c r="R1144" i="11" s="1"/>
  <c r="R1143" i="11"/>
  <c r="Q1143" i="11"/>
  <c r="R1142" i="11"/>
  <c r="Q1142" i="11"/>
  <c r="R1141" i="11"/>
  <c r="Q1141" i="11"/>
  <c r="R1140" i="11"/>
  <c r="Q1140" i="11"/>
  <c r="R1139" i="11"/>
  <c r="Q1139" i="11"/>
  <c r="Q1138" i="11"/>
  <c r="R1138" i="11" s="1"/>
  <c r="P1137" i="11"/>
  <c r="R1137" i="11" s="1"/>
  <c r="Q1136" i="11"/>
  <c r="R1136" i="11" s="1"/>
  <c r="Q1135" i="11"/>
  <c r="R1135" i="11" s="1"/>
  <c r="Q1134" i="11"/>
  <c r="R1134" i="11" s="1"/>
  <c r="Q1133" i="11"/>
  <c r="R1133" i="11" s="1"/>
  <c r="Q1132" i="11"/>
  <c r="R1132" i="11" s="1"/>
  <c r="Q1131" i="11"/>
  <c r="R1131" i="11" s="1"/>
  <c r="Q1130" i="11"/>
  <c r="R1130" i="11" s="1"/>
  <c r="Q1129" i="11"/>
  <c r="R1129" i="11" s="1"/>
  <c r="Q1128" i="11"/>
  <c r="R1128" i="11" s="1"/>
  <c r="Q1127" i="11"/>
  <c r="R1127" i="11" s="1"/>
  <c r="Q1126" i="11"/>
  <c r="R1126" i="11" s="1"/>
  <c r="Q1125" i="11"/>
  <c r="R1125" i="11" s="1"/>
  <c r="Q1124" i="11"/>
  <c r="R1124" i="11" s="1"/>
  <c r="Q1123" i="11"/>
  <c r="R1123" i="11" s="1"/>
  <c r="Q1122" i="11"/>
  <c r="R1122" i="11" s="1"/>
  <c r="Q1121" i="11"/>
  <c r="R1121" i="11" s="1"/>
  <c r="Q1120" i="11"/>
  <c r="R1120" i="11" s="1"/>
  <c r="Q1119" i="11"/>
  <c r="R1119" i="11" s="1"/>
  <c r="Q1118" i="11"/>
  <c r="R1118" i="11" s="1"/>
  <c r="Q1117" i="11"/>
  <c r="R1117" i="11" s="1"/>
  <c r="Q1116" i="11"/>
  <c r="R1116" i="11" s="1"/>
  <c r="Q1115" i="11"/>
  <c r="R1115" i="11" s="1"/>
  <c r="P1114" i="11"/>
  <c r="R1114" i="11" s="1"/>
  <c r="R1113" i="11"/>
  <c r="Q1113" i="11"/>
  <c r="Q1112" i="11"/>
  <c r="R1112" i="11" s="1"/>
  <c r="Q1111" i="11"/>
  <c r="R1111" i="11" s="1"/>
  <c r="P1110" i="11"/>
  <c r="R1110" i="11" s="1"/>
  <c r="N1110" i="11"/>
  <c r="P1109" i="11"/>
  <c r="R1109" i="11" s="1"/>
  <c r="N1109" i="11"/>
  <c r="Q1108" i="11"/>
  <c r="R1108" i="11" s="1"/>
  <c r="Q1107" i="11"/>
  <c r="R1107" i="11" s="1"/>
  <c r="Q1106" i="11"/>
  <c r="N1106" i="11"/>
  <c r="Q1105" i="11"/>
  <c r="N1105" i="11"/>
  <c r="Q1104" i="11"/>
  <c r="N1104" i="11"/>
  <c r="Q1103" i="11"/>
  <c r="R1103" i="11" s="1"/>
  <c r="Q1102" i="11"/>
  <c r="R1102" i="11" s="1"/>
  <c r="Q1101" i="11"/>
  <c r="R1101" i="11" s="1"/>
  <c r="Q1100" i="11"/>
  <c r="R1100" i="11" s="1"/>
  <c r="Q1099" i="11"/>
  <c r="R1099" i="11" s="1"/>
  <c r="Q1098" i="11"/>
  <c r="R1098" i="11" s="1"/>
  <c r="Q1097" i="11"/>
  <c r="R1097" i="11" s="1"/>
  <c r="Q1096" i="11"/>
  <c r="R1096" i="11" s="1"/>
  <c r="Q1095" i="11"/>
  <c r="R1095" i="11" s="1"/>
  <c r="R1094" i="11"/>
  <c r="P1093" i="11"/>
  <c r="N1093" i="11"/>
  <c r="P1092" i="11"/>
  <c r="R1092" i="11" s="1"/>
  <c r="R1091" i="11"/>
  <c r="Q1091" i="11"/>
  <c r="R1090" i="11"/>
  <c r="Q1090" i="11"/>
  <c r="Q1089" i="11"/>
  <c r="R1089" i="11" s="1"/>
  <c r="Q1088" i="11"/>
  <c r="R1088" i="11" s="1"/>
  <c r="Q1087" i="11"/>
  <c r="R1087" i="11" s="1"/>
  <c r="Q1086" i="11"/>
  <c r="R1086" i="11" s="1"/>
  <c r="Q1085" i="11"/>
  <c r="R1085" i="11" s="1"/>
  <c r="Q1084" i="11"/>
  <c r="R1084" i="11" s="1"/>
  <c r="Q1083" i="11"/>
  <c r="R1083" i="11" s="1"/>
  <c r="Q1082" i="11"/>
  <c r="R1082" i="11" s="1"/>
  <c r="Q1081" i="11"/>
  <c r="R1081" i="11" s="1"/>
  <c r="Q1080" i="11"/>
  <c r="R1080" i="11" s="1"/>
  <c r="Q1079" i="11"/>
  <c r="R1079" i="11" s="1"/>
  <c r="Q1078" i="11"/>
  <c r="R1078" i="11" s="1"/>
  <c r="Q1077" i="11"/>
  <c r="R1077" i="11" s="1"/>
  <c r="R1076" i="11"/>
  <c r="N1076" i="11"/>
  <c r="Q1076" i="11" s="1"/>
  <c r="P1075" i="11"/>
  <c r="R1075" i="11" s="1"/>
  <c r="P1074" i="11"/>
  <c r="R1074" i="11" s="1"/>
  <c r="N1074" i="11"/>
  <c r="P1073" i="11"/>
  <c r="R1073" i="11" s="1"/>
  <c r="N1073" i="11"/>
  <c r="R1072" i="11"/>
  <c r="N1072" i="11"/>
  <c r="Q1072" i="11" s="1"/>
  <c r="R1071" i="11"/>
  <c r="N1071" i="11"/>
  <c r="Q1071" i="11" s="1"/>
  <c r="P1070" i="11"/>
  <c r="R1070" i="11" s="1"/>
  <c r="N1070" i="11"/>
  <c r="Q1069" i="11"/>
  <c r="N1069" i="11"/>
  <c r="P1068" i="11"/>
  <c r="R1068" i="11" s="1"/>
  <c r="N1068" i="11"/>
  <c r="R1067" i="11"/>
  <c r="N1067" i="11"/>
  <c r="Q1067" i="11" s="1"/>
  <c r="R1066" i="11"/>
  <c r="Q1066" i="11"/>
  <c r="R1065" i="11"/>
  <c r="Q1065" i="11"/>
  <c r="R1064" i="11"/>
  <c r="Q1064" i="11"/>
  <c r="Q1063" i="11"/>
  <c r="R1063" i="11" s="1"/>
  <c r="Q1062" i="11"/>
  <c r="R1062" i="11" s="1"/>
  <c r="P1061" i="11"/>
  <c r="R1061" i="11" s="1"/>
  <c r="Q1060" i="11"/>
  <c r="R1060" i="11" s="1"/>
  <c r="Q1059" i="11"/>
  <c r="R1059" i="11" s="1"/>
  <c r="Q1058" i="11"/>
  <c r="R1058" i="11" s="1"/>
  <c r="Q1057" i="11"/>
  <c r="R1057" i="11" s="1"/>
  <c r="Q1056" i="11"/>
  <c r="R1056" i="11" s="1"/>
  <c r="Q1055" i="11"/>
  <c r="R1055" i="11" s="1"/>
  <c r="Q1054" i="11"/>
  <c r="R1054" i="11" s="1"/>
  <c r="Q1053" i="11"/>
  <c r="R1053" i="11" s="1"/>
  <c r="Q1052" i="11"/>
  <c r="R1052" i="11" s="1"/>
  <c r="Q1051" i="11"/>
  <c r="N1051" i="11"/>
  <c r="Q1050" i="11"/>
  <c r="N1050" i="11"/>
  <c r="Q1049" i="11"/>
  <c r="N1049" i="11"/>
  <c r="Q1048" i="11"/>
  <c r="N1048" i="11"/>
  <c r="P1047" i="11"/>
  <c r="Q1047" i="11" s="1"/>
  <c r="Q1046" i="11"/>
  <c r="N1046" i="11"/>
  <c r="Q1045" i="11"/>
  <c r="N1045" i="11"/>
  <c r="Q1044" i="11"/>
  <c r="N1044" i="11"/>
  <c r="Q1043" i="11"/>
  <c r="N1043" i="11"/>
  <c r="Q1042" i="11"/>
  <c r="N1042" i="11"/>
  <c r="Q1041" i="11"/>
  <c r="N1041" i="11"/>
  <c r="Q1040" i="11"/>
  <c r="N1040" i="11"/>
  <c r="Q1039" i="11"/>
  <c r="N1039" i="11"/>
  <c r="Q1038" i="11"/>
  <c r="N1038" i="11"/>
  <c r="Q1037" i="11"/>
  <c r="N1037" i="11"/>
  <c r="Q1036" i="11"/>
  <c r="N1036" i="11"/>
  <c r="Q1035" i="11"/>
  <c r="N1035" i="11"/>
  <c r="Q1034" i="11"/>
  <c r="N1034" i="11"/>
  <c r="Q1033" i="11"/>
  <c r="N1033" i="11"/>
  <c r="Q1032" i="11"/>
  <c r="N1032" i="11"/>
  <c r="Q1031" i="11"/>
  <c r="R1031" i="11" s="1"/>
  <c r="R1030" i="11"/>
  <c r="Q1030" i="11"/>
  <c r="Q1029" i="11"/>
  <c r="R1029" i="11" s="1"/>
  <c r="Q1028" i="11"/>
  <c r="R1028" i="11" s="1"/>
  <c r="Q1027" i="11"/>
  <c r="R1027" i="11" s="1"/>
  <c r="Q1026" i="11"/>
  <c r="R1026" i="11" s="1"/>
  <c r="R1025" i="11"/>
  <c r="Q1025" i="11"/>
  <c r="P1024" i="11"/>
  <c r="R1024" i="11" s="1"/>
  <c r="N1024" i="11"/>
  <c r="Q1023" i="11"/>
  <c r="R1023" i="11" s="1"/>
  <c r="Q1022" i="11"/>
  <c r="R1022" i="11" s="1"/>
  <c r="Q1021" i="11"/>
  <c r="N1021" i="11"/>
  <c r="Q1020" i="11"/>
  <c r="N1020" i="11"/>
  <c r="Q1019" i="11"/>
  <c r="R1019" i="11" s="1"/>
  <c r="Q1018" i="11"/>
  <c r="R1018" i="11" s="1"/>
  <c r="Q1017" i="11"/>
  <c r="R1017" i="11" s="1"/>
  <c r="Q1016" i="11"/>
  <c r="R1016" i="11" s="1"/>
  <c r="Q1015" i="11"/>
  <c r="R1015" i="11" s="1"/>
  <c r="Q1014" i="11"/>
  <c r="R1014" i="11" s="1"/>
  <c r="Q1013" i="11"/>
  <c r="R1013" i="11" s="1"/>
  <c r="Q1012" i="11"/>
  <c r="R1012" i="11" s="1"/>
  <c r="P1011" i="11"/>
  <c r="R1011" i="11" s="1"/>
  <c r="Q1010" i="11"/>
  <c r="R1010" i="11" s="1"/>
  <c r="Q1009" i="11"/>
  <c r="R1009" i="11" s="1"/>
  <c r="Q1008" i="11"/>
  <c r="R1008" i="11" s="1"/>
  <c r="Q1007" i="11"/>
  <c r="R1007" i="11" s="1"/>
  <c r="Q1006" i="11"/>
  <c r="R1006" i="11" s="1"/>
  <c r="Q1005" i="11"/>
  <c r="R1005" i="11" s="1"/>
  <c r="Q1004" i="11"/>
  <c r="R1004" i="11" s="1"/>
  <c r="Q1003" i="11"/>
  <c r="R1003" i="11" s="1"/>
  <c r="Q1002" i="11"/>
  <c r="R1002" i="11" s="1"/>
  <c r="Q1001" i="11"/>
  <c r="R1001" i="11" s="1"/>
  <c r="R1000" i="11"/>
  <c r="Q1000" i="11"/>
  <c r="R999" i="11"/>
  <c r="N999" i="11"/>
  <c r="Q999" i="11" s="1"/>
  <c r="Q998" i="11"/>
  <c r="N998" i="11"/>
  <c r="Q997" i="11"/>
  <c r="R997" i="11" s="1"/>
  <c r="Q996" i="11"/>
  <c r="R996" i="11" s="1"/>
  <c r="Q995" i="11"/>
  <c r="R995" i="11" s="1"/>
  <c r="Q994" i="11"/>
  <c r="R994" i="11" s="1"/>
  <c r="Q993" i="11"/>
  <c r="R993" i="11" s="1"/>
  <c r="Q992" i="11"/>
  <c r="R992" i="11" s="1"/>
  <c r="Q991" i="11"/>
  <c r="R991" i="11" s="1"/>
  <c r="Q990" i="11"/>
  <c r="R990" i="11" s="1"/>
  <c r="Q989" i="11"/>
  <c r="R989" i="11" s="1"/>
  <c r="Q988" i="11"/>
  <c r="R988" i="11" s="1"/>
  <c r="Q987" i="11"/>
  <c r="R987" i="11" s="1"/>
  <c r="Q986" i="11"/>
  <c r="R986" i="11" s="1"/>
  <c r="Q985" i="11"/>
  <c r="R985" i="11" s="1"/>
  <c r="Q984" i="11"/>
  <c r="R984" i="11" s="1"/>
  <c r="Q983" i="11"/>
  <c r="R983" i="11" s="1"/>
  <c r="Q982" i="11"/>
  <c r="R982" i="11" s="1"/>
  <c r="Q981" i="11"/>
  <c r="R981" i="11" s="1"/>
  <c r="Q980" i="11"/>
  <c r="R980" i="11" s="1"/>
  <c r="R979" i="11"/>
  <c r="R978" i="11"/>
  <c r="Q977" i="11"/>
  <c r="R977" i="11" s="1"/>
  <c r="Q976" i="11"/>
  <c r="R976" i="11" s="1"/>
  <c r="R975" i="11"/>
  <c r="R974" i="11"/>
  <c r="Q973" i="11"/>
  <c r="R973" i="11" s="1"/>
  <c r="Q972" i="11"/>
  <c r="R972" i="11" s="1"/>
  <c r="Q971" i="11"/>
  <c r="R971" i="11" s="1"/>
  <c r="Q970" i="11"/>
  <c r="R970" i="11" s="1"/>
  <c r="Q969" i="11"/>
  <c r="R969" i="11" s="1"/>
  <c r="Q968" i="11"/>
  <c r="R968" i="11" s="1"/>
  <c r="Q967" i="11"/>
  <c r="R967" i="11" s="1"/>
  <c r="Q966" i="11"/>
  <c r="R966" i="11" s="1"/>
  <c r="Q965" i="11"/>
  <c r="R965" i="11" s="1"/>
  <c r="R964" i="11"/>
  <c r="Q963" i="11"/>
  <c r="R963" i="11" s="1"/>
  <c r="Q962" i="11"/>
  <c r="N962" i="11"/>
  <c r="Q961" i="11"/>
  <c r="N961" i="11"/>
  <c r="Q960" i="11"/>
  <c r="R960" i="11" s="1"/>
  <c r="Q959" i="11"/>
  <c r="R959" i="11" s="1"/>
  <c r="Q958" i="11"/>
  <c r="R958" i="11" s="1"/>
  <c r="Q957" i="11"/>
  <c r="R957" i="11" s="1"/>
  <c r="Q956" i="11"/>
  <c r="R956" i="11" s="1"/>
  <c r="Q955" i="11"/>
  <c r="R955" i="11" s="1"/>
  <c r="Q954" i="11"/>
  <c r="R954" i="11" s="1"/>
  <c r="R953" i="11"/>
  <c r="Q953" i="11"/>
  <c r="Q952" i="11"/>
  <c r="R952" i="11" s="1"/>
  <c r="Q951" i="11"/>
  <c r="R951" i="11" s="1"/>
  <c r="Q950" i="11"/>
  <c r="N950" i="11"/>
  <c r="P949" i="11"/>
  <c r="R949" i="11" s="1"/>
  <c r="N949" i="11"/>
  <c r="P948" i="11"/>
  <c r="R948" i="11" s="1"/>
  <c r="N948" i="11"/>
  <c r="Q947" i="11"/>
  <c r="N947" i="11"/>
  <c r="Q946" i="11"/>
  <c r="N946" i="11"/>
  <c r="Q945" i="11"/>
  <c r="N945" i="11"/>
  <c r="Q944" i="11"/>
  <c r="N944" i="11"/>
  <c r="Q943" i="11"/>
  <c r="N943" i="11"/>
  <c r="Q942" i="11"/>
  <c r="N942" i="11"/>
  <c r="Q941" i="11"/>
  <c r="R941" i="11" s="1"/>
  <c r="Q940" i="11"/>
  <c r="R940" i="11" s="1"/>
  <c r="Q939" i="11"/>
  <c r="R939" i="11" s="1"/>
  <c r="R938" i="11"/>
  <c r="Q938" i="11"/>
  <c r="Q937" i="11"/>
  <c r="R937" i="11" s="1"/>
  <c r="P936" i="11"/>
  <c r="R936" i="11" s="1"/>
  <c r="Q935" i="11"/>
  <c r="R935" i="11" s="1"/>
  <c r="Q934" i="11"/>
  <c r="N934" i="11"/>
  <c r="Q933" i="11"/>
  <c r="N933" i="11"/>
  <c r="Q932" i="11"/>
  <c r="R932" i="11" s="1"/>
  <c r="R931" i="11"/>
  <c r="Q931" i="11"/>
  <c r="R930" i="11"/>
  <c r="Q930" i="11"/>
  <c r="Q929" i="11"/>
  <c r="N929" i="11"/>
  <c r="Q928" i="11"/>
  <c r="R928" i="11" s="1"/>
  <c r="Q927" i="11"/>
  <c r="R927" i="11" s="1"/>
  <c r="Q926" i="11"/>
  <c r="R926" i="11" s="1"/>
  <c r="Q925" i="11"/>
  <c r="R925" i="11" s="1"/>
  <c r="Q924" i="11"/>
  <c r="R924" i="11" s="1"/>
  <c r="R923" i="11"/>
  <c r="Q923" i="11"/>
  <c r="Q922" i="11"/>
  <c r="N922" i="11"/>
  <c r="Q921" i="11"/>
  <c r="R921" i="11" s="1"/>
  <c r="Q920" i="11"/>
  <c r="R920" i="11" s="1"/>
  <c r="Q919" i="11"/>
  <c r="R919" i="11" s="1"/>
  <c r="Q918" i="11"/>
  <c r="N918" i="11"/>
  <c r="Q917" i="11"/>
  <c r="R917" i="11" s="1"/>
  <c r="P916" i="11"/>
  <c r="Q916" i="11" s="1"/>
  <c r="P915" i="11"/>
  <c r="R915" i="11" s="1"/>
  <c r="P914" i="11"/>
  <c r="Q914" i="11" s="1"/>
  <c r="P913" i="11"/>
  <c r="R913" i="11" s="1"/>
  <c r="P912" i="11"/>
  <c r="R912" i="11" s="1"/>
  <c r="P911" i="11"/>
  <c r="R911" i="11" s="1"/>
  <c r="P910" i="11"/>
  <c r="R910" i="11" s="1"/>
  <c r="R909" i="11"/>
  <c r="Q909" i="11"/>
  <c r="P908" i="11"/>
  <c r="R908" i="11" s="1"/>
  <c r="Q907" i="11"/>
  <c r="R907" i="11" s="1"/>
  <c r="Q906" i="11"/>
  <c r="R906" i="11" s="1"/>
  <c r="Q905" i="11"/>
  <c r="R905" i="11" s="1"/>
  <c r="Q904" i="11"/>
  <c r="R904" i="11" s="1"/>
  <c r="Q903" i="11"/>
  <c r="R903" i="11" s="1"/>
  <c r="Q902" i="11"/>
  <c r="N902" i="11"/>
  <c r="Q901" i="11"/>
  <c r="N901" i="11"/>
  <c r="P900" i="11"/>
  <c r="R900" i="11" s="1"/>
  <c r="N900" i="11"/>
  <c r="R899" i="11"/>
  <c r="N899" i="11"/>
  <c r="Q899" i="11" s="1"/>
  <c r="Q898" i="11"/>
  <c r="N898" i="11"/>
  <c r="Q897" i="11"/>
  <c r="R897" i="11" s="1"/>
  <c r="Q896" i="11"/>
  <c r="R896" i="11" s="1"/>
  <c r="Q895" i="11"/>
  <c r="R895" i="11" s="1"/>
  <c r="R894" i="11"/>
  <c r="Q894" i="11"/>
  <c r="Q893" i="11"/>
  <c r="R893" i="11" s="1"/>
  <c r="Q892" i="11"/>
  <c r="R892" i="11" s="1"/>
  <c r="Q891" i="11"/>
  <c r="R891" i="11" s="1"/>
  <c r="Q890" i="11"/>
  <c r="N890" i="11"/>
  <c r="Q889" i="11"/>
  <c r="N889" i="11"/>
  <c r="Q888" i="11"/>
  <c r="R888" i="11" s="1"/>
  <c r="R887" i="11"/>
  <c r="P886" i="11"/>
  <c r="N886" i="11"/>
  <c r="R885" i="11"/>
  <c r="N885" i="11"/>
  <c r="Q885" i="11" s="1"/>
  <c r="R884" i="11"/>
  <c r="Q884" i="11"/>
  <c r="Q883" i="11"/>
  <c r="R883" i="11" s="1"/>
  <c r="Q882" i="11"/>
  <c r="R882" i="11" s="1"/>
  <c r="Q881" i="11"/>
  <c r="R881" i="11" s="1"/>
  <c r="Q880" i="11"/>
  <c r="R880" i="11" s="1"/>
  <c r="Q879" i="11"/>
  <c r="R879" i="11" s="1"/>
  <c r="Q878" i="11"/>
  <c r="R878" i="11" s="1"/>
  <c r="Q877" i="11"/>
  <c r="R877" i="11" s="1"/>
  <c r="Q876" i="11"/>
  <c r="R876" i="11" s="1"/>
  <c r="Q875" i="11"/>
  <c r="R875" i="11" s="1"/>
  <c r="Q874" i="11"/>
  <c r="R874" i="11" s="1"/>
  <c r="Q873" i="11"/>
  <c r="R873" i="11" s="1"/>
  <c r="Q872" i="11"/>
  <c r="R872" i="11" s="1"/>
  <c r="Q871" i="11"/>
  <c r="R871" i="11" s="1"/>
  <c r="Q870" i="11"/>
  <c r="R870" i="11" s="1"/>
  <c r="Q869" i="11"/>
  <c r="R869" i="11" s="1"/>
  <c r="Q868" i="11"/>
  <c r="N868" i="11"/>
  <c r="Q867" i="11"/>
  <c r="N867" i="11"/>
  <c r="Q866" i="11"/>
  <c r="N866" i="11"/>
  <c r="Q865" i="11"/>
  <c r="R865" i="11" s="1"/>
  <c r="R864" i="11"/>
  <c r="P863" i="11"/>
  <c r="R863" i="11" s="1"/>
  <c r="P862" i="11"/>
  <c r="R862" i="11" s="1"/>
  <c r="P861" i="11"/>
  <c r="Q861" i="11" s="1"/>
  <c r="Q860" i="11"/>
  <c r="R860" i="11" s="1"/>
  <c r="Q859" i="11"/>
  <c r="N859" i="11"/>
  <c r="Q858" i="11"/>
  <c r="R858" i="11" s="1"/>
  <c r="Q857" i="11"/>
  <c r="N857" i="11"/>
  <c r="Q856" i="11"/>
  <c r="N856" i="11"/>
  <c r="Q855" i="11"/>
  <c r="R855" i="11" s="1"/>
  <c r="R854" i="11"/>
  <c r="N854" i="11"/>
  <c r="Q854" i="11" s="1"/>
  <c r="R853" i="11"/>
  <c r="N853" i="11"/>
  <c r="Q853" i="11" s="1"/>
  <c r="Q852" i="11"/>
  <c r="N852" i="11"/>
  <c r="R851" i="11"/>
  <c r="Q851" i="11"/>
  <c r="R850" i="11"/>
  <c r="Q850" i="11"/>
  <c r="P849" i="11"/>
  <c r="R849" i="11" s="1"/>
  <c r="R848" i="11"/>
  <c r="Q848" i="11"/>
  <c r="R847" i="11"/>
  <c r="Q847" i="11"/>
  <c r="R846" i="11"/>
  <c r="N846" i="11"/>
  <c r="Q846" i="11" s="1"/>
  <c r="R845" i="11"/>
  <c r="N845" i="11"/>
  <c r="Q845" i="11" s="1"/>
  <c r="R844" i="11"/>
  <c r="N844" i="11"/>
  <c r="Q844" i="11" s="1"/>
  <c r="R843" i="11"/>
  <c r="N843" i="11"/>
  <c r="Q843" i="11" s="1"/>
  <c r="R842" i="11"/>
  <c r="N842" i="11"/>
  <c r="Q842" i="11" s="1"/>
  <c r="R841" i="11"/>
  <c r="N841" i="11"/>
  <c r="Q841" i="11" s="1"/>
  <c r="R840" i="11"/>
  <c r="N840" i="11"/>
  <c r="Q840" i="11" s="1"/>
  <c r="R839" i="11"/>
  <c r="Q839" i="11"/>
  <c r="R838" i="11"/>
  <c r="Q838" i="11"/>
  <c r="R837" i="11"/>
  <c r="Q837" i="11"/>
  <c r="R836" i="11"/>
  <c r="Q836" i="11"/>
  <c r="R835" i="11"/>
  <c r="Q835" i="11"/>
  <c r="R834" i="11"/>
  <c r="Q834" i="11"/>
  <c r="R833" i="11"/>
  <c r="Q833" i="11"/>
  <c r="R832" i="11"/>
  <c r="Q832" i="11"/>
  <c r="R831" i="11"/>
  <c r="Q831" i="11"/>
  <c r="R830" i="11"/>
  <c r="Q830" i="11"/>
  <c r="R829" i="11"/>
  <c r="Q829" i="11"/>
  <c r="R828" i="11"/>
  <c r="Q828" i="11"/>
  <c r="R827" i="11"/>
  <c r="Q827" i="11"/>
  <c r="R826" i="11"/>
  <c r="Q826" i="11"/>
  <c r="R825" i="11"/>
  <c r="Q825" i="11"/>
  <c r="R824" i="11"/>
  <c r="Q824" i="11"/>
  <c r="P823" i="11"/>
  <c r="R823" i="11" s="1"/>
  <c r="Q822" i="11"/>
  <c r="N822" i="11"/>
  <c r="R821" i="11"/>
  <c r="N821" i="11"/>
  <c r="Q821" i="11" s="1"/>
  <c r="R820" i="11"/>
  <c r="Q820" i="11"/>
  <c r="R819" i="11"/>
  <c r="Q819" i="11"/>
  <c r="Q818" i="11"/>
  <c r="R818" i="11" s="1"/>
  <c r="R817" i="11"/>
  <c r="Q817" i="11"/>
  <c r="Q816" i="11"/>
  <c r="N816" i="11"/>
  <c r="Q815" i="11"/>
  <c r="N815" i="11"/>
  <c r="Q814" i="11"/>
  <c r="R814" i="11" s="1"/>
  <c r="P813" i="11"/>
  <c r="R813" i="11" s="1"/>
  <c r="Q812" i="11"/>
  <c r="R812" i="11" s="1"/>
  <c r="S811" i="11"/>
  <c r="Q811" i="11"/>
  <c r="N811" i="11"/>
  <c r="Q810" i="11"/>
  <c r="N810" i="11"/>
  <c r="Q809" i="11"/>
  <c r="N809" i="11"/>
  <c r="Q808" i="11"/>
  <c r="N808" i="11"/>
  <c r="Q807" i="11"/>
  <c r="N807" i="11"/>
  <c r="Q806" i="11"/>
  <c r="R806" i="11" s="1"/>
  <c r="Q805" i="11"/>
  <c r="R805" i="11" s="1"/>
  <c r="Q804" i="11"/>
  <c r="N804" i="11"/>
  <c r="Q803" i="11"/>
  <c r="N803" i="11"/>
  <c r="Q802" i="11"/>
  <c r="N802" i="11"/>
  <c r="Q801" i="11"/>
  <c r="N801" i="11"/>
  <c r="Q800" i="11"/>
  <c r="N800" i="11"/>
  <c r="Q799" i="11"/>
  <c r="N799" i="11"/>
  <c r="Q798" i="11"/>
  <c r="N798" i="11"/>
  <c r="Q797" i="11"/>
  <c r="N797" i="11"/>
  <c r="Q796" i="11"/>
  <c r="N796" i="11"/>
  <c r="Q795" i="11"/>
  <c r="N795" i="11"/>
  <c r="Q794" i="11"/>
  <c r="N794" i="11"/>
  <c r="Q793" i="11"/>
  <c r="N793" i="11"/>
  <c r="Q792" i="11"/>
  <c r="N792" i="11"/>
  <c r="Q791" i="11"/>
  <c r="N791" i="11"/>
  <c r="Q790" i="11"/>
  <c r="N790" i="11"/>
  <c r="Q789" i="11"/>
  <c r="N789" i="11"/>
  <c r="Q788" i="11"/>
  <c r="N788" i="11"/>
  <c r="Q787" i="11"/>
  <c r="R787" i="11" s="1"/>
  <c r="Q786" i="11"/>
  <c r="R786" i="11" s="1"/>
  <c r="Q785" i="11"/>
  <c r="N785" i="11"/>
  <c r="Q784" i="11"/>
  <c r="N784" i="11"/>
  <c r="Q783" i="11"/>
  <c r="R783" i="11" s="1"/>
  <c r="Q782" i="11"/>
  <c r="N782" i="11"/>
  <c r="Q781" i="11"/>
  <c r="N781" i="11"/>
  <c r="Q780" i="11"/>
  <c r="N780" i="11"/>
  <c r="Q779" i="11"/>
  <c r="R779" i="11" s="1"/>
  <c r="Q778" i="11"/>
  <c r="R778" i="11" s="1"/>
  <c r="Q777" i="11"/>
  <c r="R777" i="11" s="1"/>
  <c r="Q776" i="11"/>
  <c r="R776" i="11" s="1"/>
  <c r="Q775" i="11"/>
  <c r="R775" i="11" s="1"/>
  <c r="R774" i="11"/>
  <c r="Q773" i="11"/>
  <c r="R773" i="11" s="1"/>
  <c r="Q772" i="11"/>
  <c r="R772" i="11" s="1"/>
  <c r="P771" i="11"/>
  <c r="R771" i="11" s="1"/>
  <c r="R770" i="11"/>
  <c r="Q769" i="11"/>
  <c r="R769" i="11" s="1"/>
  <c r="Q768" i="11"/>
  <c r="R768" i="11" s="1"/>
  <c r="Q767" i="11"/>
  <c r="R767" i="11" s="1"/>
  <c r="Q766" i="11"/>
  <c r="R766" i="11" s="1"/>
  <c r="Q765" i="11"/>
  <c r="N765" i="11"/>
  <c r="Q764" i="11"/>
  <c r="N764" i="11"/>
  <c r="Q763" i="11"/>
  <c r="N763" i="11"/>
  <c r="Q762" i="11"/>
  <c r="N762" i="11"/>
  <c r="Q761" i="11"/>
  <c r="R761" i="11" s="1"/>
  <c r="Q760" i="11"/>
  <c r="N760" i="11"/>
  <c r="Q759" i="11"/>
  <c r="N759" i="11"/>
  <c r="Q758" i="11"/>
  <c r="R758" i="11" s="1"/>
  <c r="M758" i="11"/>
  <c r="Q757" i="11"/>
  <c r="R757" i="11" s="1"/>
  <c r="M757" i="11"/>
  <c r="Q756" i="11"/>
  <c r="R756" i="11" s="1"/>
  <c r="M756" i="11"/>
  <c r="Q755" i="11"/>
  <c r="R755" i="11" s="1"/>
  <c r="M755" i="11"/>
  <c r="Q754" i="11"/>
  <c r="R754" i="11" s="1"/>
  <c r="M754" i="11"/>
  <c r="Q753" i="11"/>
  <c r="R753" i="11" s="1"/>
  <c r="M753" i="11"/>
  <c r="Q752" i="11"/>
  <c r="N752" i="11"/>
  <c r="Q751" i="11"/>
  <c r="R751" i="11" s="1"/>
  <c r="R750" i="11"/>
  <c r="Q749" i="11"/>
  <c r="R749" i="11" s="1"/>
  <c r="Q748" i="11"/>
  <c r="R748" i="11" s="1"/>
  <c r="Q747" i="11"/>
  <c r="N747" i="11"/>
  <c r="Q746" i="11"/>
  <c r="N746" i="11"/>
  <c r="Q745" i="11"/>
  <c r="N745" i="11"/>
  <c r="Q744" i="11"/>
  <c r="Q743" i="11"/>
  <c r="N743" i="11"/>
  <c r="Q742" i="11"/>
  <c r="N742" i="11"/>
  <c r="N744" i="11" s="1"/>
  <c r="Q741" i="11"/>
  <c r="N741" i="11"/>
  <c r="Q740" i="11"/>
  <c r="N740" i="11"/>
  <c r="Q739" i="11"/>
  <c r="R739" i="11" s="1"/>
  <c r="Q738" i="11"/>
  <c r="R738" i="11" s="1"/>
  <c r="Q737" i="11"/>
  <c r="R737" i="11" s="1"/>
  <c r="P736" i="11"/>
  <c r="R736" i="11" s="1"/>
  <c r="P735" i="11"/>
  <c r="R735" i="11" s="1"/>
  <c r="P734" i="11"/>
  <c r="R734" i="11" s="1"/>
  <c r="P733" i="11"/>
  <c r="R733" i="11" s="1"/>
  <c r="P732" i="11"/>
  <c r="N732" i="11" s="1"/>
  <c r="Q732" i="11" s="1"/>
  <c r="P731" i="11"/>
  <c r="R731" i="11" s="1"/>
  <c r="Q730" i="11"/>
  <c r="N730" i="11"/>
  <c r="Q729" i="11"/>
  <c r="N729" i="11"/>
  <c r="Q728" i="11"/>
  <c r="N728" i="11"/>
  <c r="Q727" i="11"/>
  <c r="N727" i="11"/>
  <c r="Q726" i="11"/>
  <c r="N726" i="11"/>
  <c r="Q725" i="11"/>
  <c r="N725" i="11"/>
  <c r="Q724" i="11"/>
  <c r="N724" i="11"/>
  <c r="Q723" i="11"/>
  <c r="N723" i="11"/>
  <c r="Q722" i="11"/>
  <c r="N722" i="11"/>
  <c r="Q721" i="11"/>
  <c r="R721" i="11" s="1"/>
  <c r="P720" i="11"/>
  <c r="R720" i="11" s="1"/>
  <c r="Q719" i="11"/>
  <c r="N719" i="11"/>
  <c r="Q718" i="11"/>
  <c r="N718" i="11"/>
  <c r="Q717" i="11"/>
  <c r="N717" i="11"/>
  <c r="Q716" i="11"/>
  <c r="N716" i="11"/>
  <c r="Q715" i="11"/>
  <c r="N715" i="11"/>
  <c r="Q714" i="11"/>
  <c r="N714" i="11"/>
  <c r="Q713" i="11"/>
  <c r="N713" i="11"/>
  <c r="Q712" i="11"/>
  <c r="N712" i="11"/>
  <c r="R711" i="11"/>
  <c r="N711" i="11"/>
  <c r="Q711" i="11" s="1"/>
  <c r="R710" i="11"/>
  <c r="N710" i="11"/>
  <c r="Q710" i="11" s="1"/>
  <c r="Q709" i="11"/>
  <c r="N709" i="11"/>
  <c r="Q708" i="11"/>
  <c r="N708" i="11"/>
  <c r="Q707" i="11"/>
  <c r="N707" i="11"/>
  <c r="Q706" i="11"/>
  <c r="R706" i="11" s="1"/>
  <c r="Q705" i="11"/>
  <c r="R705" i="11" s="1"/>
  <c r="Q704" i="11"/>
  <c r="Q703" i="11"/>
  <c r="R703" i="11" s="1"/>
  <c r="Q702" i="11"/>
  <c r="R702" i="11" s="1"/>
  <c r="Q701" i="11"/>
  <c r="R701" i="11" s="1"/>
  <c r="Q700" i="11"/>
  <c r="R700" i="11" s="1"/>
  <c r="Q699" i="11"/>
  <c r="R699" i="11" s="1"/>
  <c r="Q698" i="11"/>
  <c r="P697" i="11"/>
  <c r="R697" i="11" s="1"/>
  <c r="Q696" i="11"/>
  <c r="N696" i="11"/>
  <c r="Q695" i="11"/>
  <c r="N695" i="11"/>
  <c r="Q694" i="11"/>
  <c r="N694" i="11"/>
  <c r="Q693" i="11"/>
  <c r="N693" i="11"/>
  <c r="Q692" i="11"/>
  <c r="N692" i="11"/>
  <c r="Q691" i="11"/>
  <c r="N691" i="11"/>
  <c r="Q690" i="11"/>
  <c r="R690" i="11" s="1"/>
  <c r="Q689" i="11"/>
  <c r="R689" i="11" s="1"/>
  <c r="Q687" i="11"/>
  <c r="R687" i="11" s="1"/>
  <c r="Q686" i="11"/>
  <c r="R686" i="11" s="1"/>
  <c r="Q685" i="11"/>
  <c r="N685" i="11"/>
  <c r="Q684" i="11"/>
  <c r="N684" i="11"/>
  <c r="Q683" i="11"/>
  <c r="R683" i="11" s="1"/>
  <c r="Q682" i="11"/>
  <c r="R682" i="11" s="1"/>
  <c r="Q681" i="11"/>
  <c r="R681" i="11" s="1"/>
  <c r="Q680" i="11"/>
  <c r="R680" i="11" s="1"/>
  <c r="Q679" i="11"/>
  <c r="R679" i="11" s="1"/>
  <c r="Q678" i="11"/>
  <c r="R678" i="11" s="1"/>
  <c r="Q677" i="11"/>
  <c r="R677" i="11" s="1"/>
  <c r="Q676" i="11"/>
  <c r="R676" i="11" s="1"/>
  <c r="R675" i="11"/>
  <c r="Q675" i="11"/>
  <c r="Q674" i="11"/>
  <c r="N674" i="11"/>
  <c r="Q673" i="11"/>
  <c r="N673" i="11"/>
  <c r="Q672" i="11"/>
  <c r="N672" i="11"/>
  <c r="Q671" i="11"/>
  <c r="N671" i="11"/>
  <c r="Q670" i="11"/>
  <c r="N670" i="11"/>
  <c r="Q669" i="11"/>
  <c r="N669" i="11"/>
  <c r="Q668" i="11"/>
  <c r="N668" i="11"/>
  <c r="R667" i="11"/>
  <c r="Q667" i="11"/>
  <c r="Q666" i="11"/>
  <c r="N666" i="11"/>
  <c r="Q665" i="11"/>
  <c r="N665" i="11"/>
  <c r="Q664" i="11"/>
  <c r="N664" i="11"/>
  <c r="Q663" i="11"/>
  <c r="N663" i="11"/>
  <c r="Q662" i="11"/>
  <c r="R662" i="11" s="1"/>
  <c r="P661" i="11"/>
  <c r="Q661" i="11" s="1"/>
  <c r="R660" i="11"/>
  <c r="Q660" i="11"/>
  <c r="Q659" i="11"/>
  <c r="N659" i="11"/>
  <c r="Q658" i="11"/>
  <c r="N658" i="11"/>
  <c r="Q657" i="11"/>
  <c r="R657" i="11" s="1"/>
  <c r="Q656" i="11"/>
  <c r="R656" i="11" s="1"/>
  <c r="Q655" i="11"/>
  <c r="N655" i="11"/>
  <c r="Q654" i="11"/>
  <c r="N654" i="11"/>
  <c r="Q653" i="11"/>
  <c r="N653" i="11"/>
  <c r="Q652" i="11"/>
  <c r="N652" i="11"/>
  <c r="Q651" i="11"/>
  <c r="N651" i="11"/>
  <c r="Q650" i="11"/>
  <c r="N650" i="11"/>
  <c r="P649" i="11"/>
  <c r="Q649" i="11" s="1"/>
  <c r="Q648" i="11"/>
  <c r="R648" i="11" s="1"/>
  <c r="Q647" i="11"/>
  <c r="R647" i="11" s="1"/>
  <c r="Q646" i="11"/>
  <c r="R646" i="11" s="1"/>
  <c r="Q645" i="11"/>
  <c r="R645" i="11" s="1"/>
  <c r="Q644" i="11"/>
  <c r="R644" i="11" s="1"/>
  <c r="R643" i="11"/>
  <c r="Q643" i="11"/>
  <c r="R642" i="11"/>
  <c r="Q642" i="11"/>
  <c r="P641" i="11"/>
  <c r="R641" i="11" s="1"/>
  <c r="N641" i="11"/>
  <c r="P640" i="11"/>
  <c r="R640" i="11" s="1"/>
  <c r="P639" i="11"/>
  <c r="R639" i="11" s="1"/>
  <c r="Q638" i="11"/>
  <c r="N638" i="11"/>
  <c r="Q637" i="11"/>
  <c r="N637" i="11"/>
  <c r="Q636" i="11"/>
  <c r="R636" i="11" s="1"/>
  <c r="Q635" i="11"/>
  <c r="R635" i="11" s="1"/>
  <c r="Q634" i="11"/>
  <c r="R634" i="11" s="1"/>
  <c r="Q633" i="11"/>
  <c r="R633" i="11" s="1"/>
  <c r="Q632" i="11"/>
  <c r="R632" i="11" s="1"/>
  <c r="Q631" i="11"/>
  <c r="R631" i="11" s="1"/>
  <c r="Q630" i="11"/>
  <c r="N630" i="11"/>
  <c r="Q629" i="11"/>
  <c r="N629" i="11"/>
  <c r="Q628" i="11"/>
  <c r="N628" i="11"/>
  <c r="Q627" i="11"/>
  <c r="N627" i="11"/>
  <c r="Q626" i="11"/>
  <c r="N626" i="11"/>
  <c r="Q625" i="11"/>
  <c r="N625" i="11"/>
  <c r="Q624" i="11"/>
  <c r="R624" i="11" s="1"/>
  <c r="Q623" i="11"/>
  <c r="R623" i="11" s="1"/>
  <c r="Q622" i="11"/>
  <c r="N622" i="11"/>
  <c r="Q621" i="11"/>
  <c r="N621" i="11"/>
  <c r="R620" i="11"/>
  <c r="Q620" i="11"/>
  <c r="R619" i="11"/>
  <c r="Q619" i="11"/>
  <c r="P618" i="11"/>
  <c r="R618" i="11" s="1"/>
  <c r="Q617" i="11"/>
  <c r="R617" i="11" s="1"/>
  <c r="Q616" i="11"/>
  <c r="R616" i="11" s="1"/>
  <c r="Q615" i="11"/>
  <c r="R615" i="11" s="1"/>
  <c r="Q614" i="11"/>
  <c r="R614" i="11" s="1"/>
  <c r="Q613" i="11"/>
  <c r="R613" i="11" s="1"/>
  <c r="Q612" i="11"/>
  <c r="R612" i="11" s="1"/>
  <c r="Q611" i="11"/>
  <c r="R611" i="11" s="1"/>
  <c r="P610" i="11"/>
  <c r="R610" i="11" s="1"/>
  <c r="Q609" i="11"/>
  <c r="N609" i="11"/>
  <c r="Q608" i="11"/>
  <c r="N608" i="11"/>
  <c r="Q607" i="11"/>
  <c r="N607" i="11"/>
  <c r="R606" i="11"/>
  <c r="N606" i="11"/>
  <c r="Q606" i="11" s="1"/>
  <c r="R605" i="11"/>
  <c r="N605" i="11"/>
  <c r="Q605" i="11" s="1"/>
  <c r="R604" i="11"/>
  <c r="N604" i="11"/>
  <c r="Q604" i="11" s="1"/>
  <c r="R603" i="11"/>
  <c r="N603" i="11"/>
  <c r="Q603" i="11" s="1"/>
  <c r="Q602" i="11"/>
  <c r="R602" i="11" s="1"/>
  <c r="Q601" i="11"/>
  <c r="R601" i="11" s="1"/>
  <c r="Q600" i="11"/>
  <c r="R600" i="11" s="1"/>
  <c r="Q599" i="11"/>
  <c r="R599" i="11" s="1"/>
  <c r="Q598" i="11"/>
  <c r="Q597" i="11"/>
  <c r="R596" i="11"/>
  <c r="N596" i="11"/>
  <c r="N597" i="11" s="1"/>
  <c r="R595" i="11"/>
  <c r="N595" i="11"/>
  <c r="Q595" i="11" s="1"/>
  <c r="Q594" i="11"/>
  <c r="R594" i="11" s="1"/>
  <c r="Q593" i="11"/>
  <c r="R593" i="11" s="1"/>
  <c r="R592" i="11"/>
  <c r="N592" i="11"/>
  <c r="Q592" i="11" s="1"/>
  <c r="Q591" i="11"/>
  <c r="N591" i="11"/>
  <c r="Q590" i="11"/>
  <c r="R590" i="11" s="1"/>
  <c r="Q589" i="11"/>
  <c r="N589" i="11"/>
  <c r="Q588" i="11"/>
  <c r="R588" i="11" s="1"/>
  <c r="Q587" i="11"/>
  <c r="R587" i="11" s="1"/>
  <c r="Q586" i="11"/>
  <c r="R586" i="11" s="1"/>
  <c r="Q585" i="11"/>
  <c r="R585" i="11" s="1"/>
  <c r="Q584" i="11"/>
  <c r="R584" i="11" s="1"/>
  <c r="Q583" i="11"/>
  <c r="R583" i="11" s="1"/>
  <c r="Q582" i="11"/>
  <c r="R582" i="11" s="1"/>
  <c r="Q581" i="11"/>
  <c r="R581" i="11" s="1"/>
  <c r="Q580" i="11"/>
  <c r="R580" i="11" s="1"/>
  <c r="Q579" i="11"/>
  <c r="R579" i="11" s="1"/>
  <c r="Q578" i="11"/>
  <c r="R578" i="11" s="1"/>
  <c r="Q577" i="11"/>
  <c r="R577" i="11" s="1"/>
  <c r="Q576" i="11"/>
  <c r="R576" i="11" s="1"/>
  <c r="Q575" i="11"/>
  <c r="R575" i="11" s="1"/>
  <c r="Q574" i="11"/>
  <c r="R574" i="11" s="1"/>
  <c r="Q573" i="11"/>
  <c r="R573" i="11" s="1"/>
  <c r="Q572" i="11"/>
  <c r="R572" i="11" s="1"/>
  <c r="Q571" i="11"/>
  <c r="R571" i="11" s="1"/>
  <c r="Q570" i="11"/>
  <c r="R570" i="11" s="1"/>
  <c r="Q569" i="11"/>
  <c r="R569" i="11" s="1"/>
  <c r="Q568" i="11"/>
  <c r="R568" i="11" s="1"/>
  <c r="Q567" i="11"/>
  <c r="R567" i="11" s="1"/>
  <c r="Q566" i="11"/>
  <c r="R566" i="11" s="1"/>
  <c r="Q565" i="11"/>
  <c r="N565" i="11"/>
  <c r="Q564" i="11"/>
  <c r="N564" i="11"/>
  <c r="Q563" i="11"/>
  <c r="N563" i="11"/>
  <c r="Q562" i="11"/>
  <c r="N562" i="11"/>
  <c r="P561" i="11"/>
  <c r="R561" i="11" s="1"/>
  <c r="N561" i="11"/>
  <c r="Q560" i="11"/>
  <c r="N560" i="11"/>
  <c r="Q559" i="11"/>
  <c r="N559" i="11"/>
  <c r="Q558" i="11"/>
  <c r="N558" i="11"/>
  <c r="Q557" i="11"/>
  <c r="N557" i="11"/>
  <c r="Q556" i="11"/>
  <c r="N556" i="11"/>
  <c r="Q555" i="11"/>
  <c r="N555" i="11"/>
  <c r="Q554" i="11"/>
  <c r="N554" i="11"/>
  <c r="Q553" i="11"/>
  <c r="R553" i="11" s="1"/>
  <c r="Q552" i="11"/>
  <c r="N552" i="11"/>
  <c r="Q551" i="11"/>
  <c r="R551" i="11" s="1"/>
  <c r="P550" i="11"/>
  <c r="R550" i="11" s="1"/>
  <c r="P549" i="11"/>
  <c r="R549" i="11" s="1"/>
  <c r="N549" i="11"/>
  <c r="Q548" i="11"/>
  <c r="N548" i="11"/>
  <c r="Q547" i="11"/>
  <c r="N547" i="11"/>
  <c r="Q546" i="11"/>
  <c r="N546" i="11"/>
  <c r="Q545" i="11"/>
  <c r="N545" i="11"/>
  <c r="P544" i="11"/>
  <c r="Q544" i="11" s="1"/>
  <c r="Q543" i="11"/>
  <c r="N543" i="11"/>
  <c r="Q542" i="11"/>
  <c r="N542" i="11"/>
  <c r="Q541" i="11"/>
  <c r="R541" i="11" s="1"/>
  <c r="R540" i="11"/>
  <c r="Q540" i="11"/>
  <c r="Q539" i="11"/>
  <c r="R539" i="11" s="1"/>
  <c r="Q538" i="11"/>
  <c r="N538" i="11"/>
  <c r="Q537" i="11"/>
  <c r="N537" i="11"/>
  <c r="Q536" i="11"/>
  <c r="N536" i="11"/>
  <c r="R535" i="11"/>
  <c r="Q535" i="11"/>
  <c r="Q534" i="11"/>
  <c r="R534" i="11" s="1"/>
  <c r="Q533" i="11"/>
  <c r="N533" i="11"/>
  <c r="Q532" i="11"/>
  <c r="N532" i="11"/>
  <c r="Q531" i="11"/>
  <c r="N531" i="11"/>
  <c r="P530" i="11"/>
  <c r="Q530" i="11" s="1"/>
  <c r="Q529" i="11"/>
  <c r="R529" i="11" s="1"/>
  <c r="Q528" i="11"/>
  <c r="R528" i="11" s="1"/>
  <c r="Q527" i="11"/>
  <c r="R527" i="11" s="1"/>
  <c r="Q526" i="11"/>
  <c r="R526" i="11" s="1"/>
  <c r="Q525" i="11"/>
  <c r="N525" i="11"/>
  <c r="Q524" i="11"/>
  <c r="N524" i="11"/>
  <c r="Q523" i="11"/>
  <c r="R523" i="11" s="1"/>
  <c r="Q522" i="11"/>
  <c r="R522" i="11" s="1"/>
  <c r="Q521" i="11"/>
  <c r="R521" i="11" s="1"/>
  <c r="R520" i="11"/>
  <c r="Q520" i="11"/>
  <c r="Q519" i="11"/>
  <c r="R519" i="11" s="1"/>
  <c r="Q518" i="11"/>
  <c r="R518" i="11" s="1"/>
  <c r="Q517" i="11"/>
  <c r="R517" i="11" s="1"/>
  <c r="Q516" i="11"/>
  <c r="R516" i="11" s="1"/>
  <c r="R515" i="11"/>
  <c r="N515" i="11"/>
  <c r="Q515" i="11" s="1"/>
  <c r="Q514" i="11"/>
  <c r="R514" i="11" s="1"/>
  <c r="Q513" i="11"/>
  <c r="R513" i="11" s="1"/>
  <c r="Q512" i="11"/>
  <c r="N512" i="11"/>
  <c r="Q511" i="11"/>
  <c r="N511" i="11"/>
  <c r="Q510" i="11"/>
  <c r="R510" i="11" s="1"/>
  <c r="P509" i="11"/>
  <c r="R509" i="11" s="1"/>
  <c r="Q508" i="11"/>
  <c r="Q507" i="11"/>
  <c r="N507" i="11"/>
  <c r="N508" i="11" s="1"/>
  <c r="R506" i="11"/>
  <c r="Q506" i="11"/>
  <c r="R505" i="11"/>
  <c r="Q505" i="11"/>
  <c r="R504" i="11"/>
  <c r="Q504" i="11"/>
  <c r="R503" i="11"/>
  <c r="Q503" i="11"/>
  <c r="R502" i="11"/>
  <c r="Q502" i="11"/>
  <c r="R501" i="11"/>
  <c r="Q501" i="11"/>
  <c r="Q500" i="11"/>
  <c r="R500" i="11" s="1"/>
  <c r="Q499" i="11"/>
  <c r="R499" i="11" s="1"/>
  <c r="Q498" i="11"/>
  <c r="R498" i="11" s="1"/>
  <c r="R497" i="11"/>
  <c r="Q497" i="11"/>
  <c r="R496" i="11"/>
  <c r="Q496" i="11"/>
  <c r="R495" i="11"/>
  <c r="Q495" i="11"/>
  <c r="R494" i="11"/>
  <c r="Q494" i="11"/>
  <c r="R493" i="11"/>
  <c r="Q493" i="11"/>
  <c r="Q492" i="11"/>
  <c r="R492" i="11" s="1"/>
  <c r="Q491" i="11"/>
  <c r="N491" i="11"/>
  <c r="Q490" i="11"/>
  <c r="N490" i="11"/>
  <c r="Q489" i="11"/>
  <c r="N489" i="11"/>
  <c r="Q488" i="11"/>
  <c r="N488" i="11"/>
  <c r="Q487" i="11"/>
  <c r="N487" i="11"/>
  <c r="Q486" i="11"/>
  <c r="N486" i="11"/>
  <c r="Q485" i="11"/>
  <c r="R485" i="11" s="1"/>
  <c r="Q481" i="11"/>
  <c r="N481" i="11"/>
  <c r="Q480" i="11"/>
  <c r="R480" i="11" s="1"/>
  <c r="Q479" i="11"/>
  <c r="R479" i="11" s="1"/>
  <c r="Q478" i="11"/>
  <c r="R478" i="11" s="1"/>
  <c r="Q477" i="11"/>
  <c r="R477" i="11" s="1"/>
  <c r="R476" i="11"/>
  <c r="Q476" i="11"/>
  <c r="R475" i="11"/>
  <c r="Q475" i="11"/>
  <c r="R474" i="11"/>
  <c r="R473" i="11"/>
  <c r="R472" i="11"/>
  <c r="R471" i="11"/>
  <c r="Q471" i="11"/>
  <c r="R470" i="11"/>
  <c r="Q470" i="11"/>
  <c r="P469" i="11"/>
  <c r="R469" i="11" s="1"/>
  <c r="N469" i="11"/>
  <c r="P468" i="11"/>
  <c r="R468" i="11" s="1"/>
  <c r="N468" i="11"/>
  <c r="P467" i="11"/>
  <c r="R467" i="11" s="1"/>
  <c r="P466" i="11"/>
  <c r="R466" i="11" s="1"/>
  <c r="P465" i="11"/>
  <c r="R465" i="11" s="1"/>
  <c r="P464" i="11"/>
  <c r="R464" i="11" s="1"/>
  <c r="P463" i="11"/>
  <c r="R463" i="11" s="1"/>
  <c r="P462" i="11"/>
  <c r="R462" i="11" s="1"/>
  <c r="P461" i="11"/>
  <c r="R461" i="11" s="1"/>
  <c r="P460" i="11"/>
  <c r="R460" i="11" s="1"/>
  <c r="N460" i="11"/>
  <c r="R459" i="11"/>
  <c r="R458" i="11"/>
  <c r="Q457" i="11"/>
  <c r="N457" i="11"/>
  <c r="Q456" i="11"/>
  <c r="N456" i="11"/>
  <c r="Q455" i="11"/>
  <c r="N455" i="11"/>
  <c r="Q454" i="11"/>
  <c r="R454" i="11" s="1"/>
  <c r="Q453" i="11"/>
  <c r="R453" i="11" s="1"/>
  <c r="Q452" i="11"/>
  <c r="N452" i="11"/>
  <c r="Q451" i="11"/>
  <c r="N451" i="11"/>
  <c r="Q450" i="11"/>
  <c r="O450" i="11"/>
  <c r="N450" i="11"/>
  <c r="Q449" i="11"/>
  <c r="R449" i="11" s="1"/>
  <c r="Q448" i="11"/>
  <c r="R448" i="11" s="1"/>
  <c r="Q447" i="11"/>
  <c r="R447" i="11" s="1"/>
  <c r="Q446" i="11"/>
  <c r="R446" i="11" s="1"/>
  <c r="Q445" i="11"/>
  <c r="R445" i="11" s="1"/>
  <c r="Q444" i="11"/>
  <c r="R444" i="11" s="1"/>
  <c r="Q443" i="11"/>
  <c r="R443" i="11" s="1"/>
  <c r="Q442" i="11"/>
  <c r="R442" i="11" s="1"/>
  <c r="Q441" i="11"/>
  <c r="R441" i="11" s="1"/>
  <c r="Q440" i="11"/>
  <c r="R440" i="11" s="1"/>
  <c r="Q439" i="11"/>
  <c r="R439" i="11" s="1"/>
  <c r="Q438" i="11"/>
  <c r="R438" i="11" s="1"/>
  <c r="Q437" i="11"/>
  <c r="R437" i="11" s="1"/>
  <c r="Q436" i="11"/>
  <c r="N436" i="11"/>
  <c r="Q435" i="11"/>
  <c r="O435" i="11"/>
  <c r="O436" i="11" s="1"/>
  <c r="N435" i="11"/>
  <c r="Q434" i="11"/>
  <c r="O434" i="11"/>
  <c r="N434" i="11"/>
  <c r="Q433" i="11"/>
  <c r="N433" i="11"/>
  <c r="Q432" i="11"/>
  <c r="N432" i="11"/>
  <c r="Q431" i="11"/>
  <c r="R431" i="11" s="1"/>
  <c r="Q430" i="11"/>
  <c r="R430" i="11" s="1"/>
  <c r="Q429" i="11"/>
  <c r="R429" i="11" s="1"/>
  <c r="O429" i="11"/>
  <c r="O431" i="11" s="1"/>
  <c r="Q428" i="11"/>
  <c r="R428" i="11" s="1"/>
  <c r="Q427" i="11"/>
  <c r="R427" i="11" s="1"/>
  <c r="Q426" i="11"/>
  <c r="R426" i="11" s="1"/>
  <c r="Q425" i="11"/>
  <c r="R425" i="11" s="1"/>
  <c r="Q424" i="11"/>
  <c r="R424" i="11" s="1"/>
  <c r="Q423" i="11"/>
  <c r="R423" i="11" s="1"/>
  <c r="Q422" i="11"/>
  <c r="R422" i="11" s="1"/>
  <c r="Q421" i="11"/>
  <c r="R421" i="11" s="1"/>
  <c r="Q420" i="11"/>
  <c r="R420" i="11" s="1"/>
  <c r="Q419" i="11"/>
  <c r="R419" i="11" s="1"/>
  <c r="Q418" i="11"/>
  <c r="R418" i="11" s="1"/>
  <c r="Q417" i="11"/>
  <c r="R417" i="11" s="1"/>
  <c r="Q416" i="11"/>
  <c r="R416" i="11" s="1"/>
  <c r="Q415" i="11"/>
  <c r="R415" i="11" s="1"/>
  <c r="Q414" i="11"/>
  <c r="N414" i="11"/>
  <c r="Q413" i="11"/>
  <c r="R413" i="11" s="1"/>
  <c r="Q412" i="11"/>
  <c r="R412" i="11" s="1"/>
  <c r="Q411" i="11"/>
  <c r="R411" i="11" s="1"/>
  <c r="Q410" i="11"/>
  <c r="R410" i="11" s="1"/>
  <c r="Q409" i="11"/>
  <c r="R409" i="11" s="1"/>
  <c r="R408" i="11"/>
  <c r="Q408" i="11"/>
  <c r="Q407" i="11"/>
  <c r="R407" i="11" s="1"/>
  <c r="R406" i="11"/>
  <c r="Q406" i="11"/>
  <c r="R405" i="11"/>
  <c r="Q405" i="11"/>
  <c r="Q404" i="11"/>
  <c r="R404" i="11" s="1"/>
  <c r="Q403" i="11"/>
  <c r="R403" i="11" s="1"/>
  <c r="Q402" i="11"/>
  <c r="R402" i="11" s="1"/>
  <c r="Q401" i="11"/>
  <c r="R401" i="11" s="1"/>
  <c r="Q400" i="11"/>
  <c r="R400" i="11" s="1"/>
  <c r="R399" i="11"/>
  <c r="Q399" i="11"/>
  <c r="Q398" i="11"/>
  <c r="R398" i="11" s="1"/>
  <c r="Q397" i="11"/>
  <c r="N397" i="11"/>
  <c r="Q396" i="11"/>
  <c r="R396" i="11" s="1"/>
  <c r="Q395" i="11"/>
  <c r="R395" i="11" s="1"/>
  <c r="Q394" i="11"/>
  <c r="R394" i="11" s="1"/>
  <c r="Q393" i="11"/>
  <c r="R393" i="11" s="1"/>
  <c r="Q392" i="11"/>
  <c r="R392" i="11" s="1"/>
  <c r="Q391" i="11"/>
  <c r="R391" i="11" s="1"/>
  <c r="O391" i="11"/>
  <c r="Q390" i="11"/>
  <c r="N390" i="11"/>
  <c r="Q389" i="11"/>
  <c r="R389" i="11" s="1"/>
  <c r="Q388" i="11"/>
  <c r="R388" i="11" s="1"/>
  <c r="Q387" i="11"/>
  <c r="R387" i="11" s="1"/>
  <c r="Q386" i="11"/>
  <c r="R386" i="11" s="1"/>
  <c r="Q385" i="11"/>
  <c r="R385" i="11" s="1"/>
  <c r="Q384" i="11"/>
  <c r="R384" i="11" s="1"/>
  <c r="Q383" i="11"/>
  <c r="R383" i="11" s="1"/>
  <c r="Q382" i="11"/>
  <c r="R382" i="11" s="1"/>
  <c r="Q381" i="11"/>
  <c r="R381" i="11" s="1"/>
  <c r="Q380" i="11"/>
  <c r="R380" i="11" s="1"/>
  <c r="Q379" i="11"/>
  <c r="R379" i="11" s="1"/>
  <c r="Q378" i="11"/>
  <c r="R378" i="11" s="1"/>
  <c r="Q377" i="11"/>
  <c r="R377" i="11" s="1"/>
  <c r="Q376" i="11"/>
  <c r="R376" i="11" s="1"/>
  <c r="Q375" i="11"/>
  <c r="R375" i="11" s="1"/>
  <c r="Q374" i="11"/>
  <c r="R374" i="11" s="1"/>
  <c r="Q373" i="11"/>
  <c r="R373" i="11" s="1"/>
  <c r="Q372" i="11"/>
  <c r="R372" i="11" s="1"/>
  <c r="Q371" i="11"/>
  <c r="R371" i="11" s="1"/>
  <c r="Q370" i="11"/>
  <c r="R370" i="11" s="1"/>
  <c r="Q369" i="11"/>
  <c r="R369" i="11" s="1"/>
  <c r="Q368" i="11"/>
  <c r="R368" i="11" s="1"/>
  <c r="R367" i="11"/>
  <c r="Q366" i="11"/>
  <c r="R366" i="11" s="1"/>
  <c r="Q365" i="11"/>
  <c r="R365" i="11" s="1"/>
  <c r="Q364" i="11"/>
  <c r="R364" i="11" s="1"/>
  <c r="Q363" i="11"/>
  <c r="R363" i="11" s="1"/>
  <c r="Q362" i="11"/>
  <c r="R362" i="11" s="1"/>
  <c r="Q361" i="11"/>
  <c r="R361" i="11" s="1"/>
  <c r="Q360" i="11"/>
  <c r="N360" i="11"/>
  <c r="Q359" i="11"/>
  <c r="N359" i="11"/>
  <c r="Q358" i="11"/>
  <c r="R358" i="11" s="1"/>
  <c r="Q357" i="11"/>
  <c r="R357" i="11" s="1"/>
  <c r="Q356" i="11"/>
  <c r="R356" i="11" s="1"/>
  <c r="R355" i="11"/>
  <c r="Q355" i="11"/>
  <c r="Q354" i="11"/>
  <c r="N354" i="11"/>
  <c r="Q353" i="11"/>
  <c r="O353" i="11"/>
  <c r="O354" i="11" s="1"/>
  <c r="N353" i="11"/>
  <c r="Q352" i="11"/>
  <c r="N352" i="11"/>
  <c r="Q351" i="11"/>
  <c r="N351" i="11"/>
  <c r="Q350" i="11"/>
  <c r="N350" i="11"/>
  <c r="Q349" i="11"/>
  <c r="N349" i="11"/>
  <c r="Q348" i="11"/>
  <c r="N348" i="11"/>
  <c r="Q347" i="11"/>
  <c r="N347" i="11"/>
  <c r="Q346" i="11"/>
  <c r="N346" i="11"/>
  <c r="Q345" i="11"/>
  <c r="N345" i="11"/>
  <c r="Q344" i="11"/>
  <c r="N344" i="11"/>
  <c r="Q343" i="11"/>
  <c r="N343" i="11"/>
  <c r="Q342" i="11"/>
  <c r="N342" i="11"/>
  <c r="Q341" i="11"/>
  <c r="N341" i="11"/>
  <c r="Q340" i="11"/>
  <c r="N340" i="11"/>
  <c r="Q339" i="11"/>
  <c r="N339" i="11"/>
  <c r="Q338" i="11"/>
  <c r="N338" i="11"/>
  <c r="Q337" i="11"/>
  <c r="N337" i="11"/>
  <c r="Q336" i="11"/>
  <c r="N336" i="11"/>
  <c r="Q335" i="11"/>
  <c r="N335" i="11"/>
  <c r="Q334" i="11"/>
  <c r="N334" i="11"/>
  <c r="Q333" i="11"/>
  <c r="N333" i="11"/>
  <c r="P748" i="1"/>
  <c r="P284" i="1"/>
  <c r="Q1033" i="1"/>
  <c r="R1033" i="1" s="1"/>
  <c r="N1265" i="11" l="1"/>
  <c r="Q1265" i="11" s="1"/>
  <c r="Q1270" i="11"/>
  <c r="Q1282" i="11"/>
  <c r="Q1281" i="11"/>
  <c r="Q1271" i="11"/>
  <c r="R1270" i="11"/>
  <c r="Q1283" i="11"/>
  <c r="Q1093" i="11"/>
  <c r="Q1276" i="11"/>
  <c r="Q1285" i="11"/>
  <c r="Q1274" i="11"/>
  <c r="R1106" i="11"/>
  <c r="Q1269" i="11"/>
  <c r="R795" i="11"/>
  <c r="R803" i="11"/>
  <c r="R1146" i="11"/>
  <c r="Q481" i="1"/>
  <c r="R630" i="11"/>
  <c r="Q327" i="1"/>
  <c r="Q685" i="1"/>
  <c r="R1050" i="11"/>
  <c r="Q1279" i="11"/>
  <c r="Q1273" i="11"/>
  <c r="Q1275" i="11"/>
  <c r="Q1286" i="11"/>
  <c r="Q482" i="1"/>
  <c r="Q1196" i="11"/>
  <c r="R1188" i="11"/>
  <c r="Q1251" i="11"/>
  <c r="R942" i="11"/>
  <c r="R946" i="11"/>
  <c r="R950" i="11"/>
  <c r="Q1224" i="11"/>
  <c r="R1034" i="11"/>
  <c r="R1069" i="11"/>
  <c r="R1104" i="11"/>
  <c r="R1212" i="11"/>
  <c r="Q1144" i="11"/>
  <c r="R1105" i="11"/>
  <c r="Q1110" i="11"/>
  <c r="Q1179" i="11"/>
  <c r="Q1173" i="11"/>
  <c r="Q1234" i="11"/>
  <c r="R784" i="11"/>
  <c r="R789" i="11"/>
  <c r="R889" i="11"/>
  <c r="Q936" i="11"/>
  <c r="Q1092" i="11"/>
  <c r="Q1222" i="11"/>
  <c r="R765" i="11"/>
  <c r="R802" i="11"/>
  <c r="R947" i="11"/>
  <c r="R1021" i="11"/>
  <c r="R1032" i="11"/>
  <c r="R1040" i="11"/>
  <c r="Q1185" i="11"/>
  <c r="Q1219" i="11"/>
  <c r="Q1228" i="11"/>
  <c r="R1045" i="11"/>
  <c r="Q1070" i="11"/>
  <c r="Q1109" i="11"/>
  <c r="Q1225" i="11"/>
  <c r="R1093" i="11"/>
  <c r="Q1165" i="11"/>
  <c r="Q1195" i="11"/>
  <c r="R944" i="11"/>
  <c r="Q1074" i="11"/>
  <c r="Q1149" i="11"/>
  <c r="Q1233" i="11"/>
  <c r="Q1245" i="11"/>
  <c r="R945" i="11"/>
  <c r="R998" i="11"/>
  <c r="R1226" i="11"/>
  <c r="Q1238" i="11"/>
  <c r="Q1235" i="11"/>
  <c r="R1199" i="11"/>
  <c r="Q1181" i="11"/>
  <c r="Q1174" i="11"/>
  <c r="Q1171" i="11"/>
  <c r="Q1137" i="11"/>
  <c r="Q1114" i="11"/>
  <c r="Q1075" i="11"/>
  <c r="Q1073" i="11"/>
  <c r="Q771" i="11"/>
  <c r="R1048" i="11"/>
  <c r="R670" i="11"/>
  <c r="R1037" i="11"/>
  <c r="R1049" i="11"/>
  <c r="R609" i="11"/>
  <c r="R732" i="11"/>
  <c r="R1020" i="11"/>
  <c r="R962" i="11"/>
  <c r="R1046" i="11"/>
  <c r="R1035" i="11"/>
  <c r="R1039" i="11"/>
  <c r="R1038" i="11"/>
  <c r="Q1011" i="11"/>
  <c r="R1042" i="11"/>
  <c r="Q1061" i="11"/>
  <c r="R336" i="11"/>
  <c r="R348" i="11"/>
  <c r="R352" i="11"/>
  <c r="R627" i="11"/>
  <c r="R1036" i="11"/>
  <c r="R1043" i="11"/>
  <c r="Q1024" i="11"/>
  <c r="R1051" i="11"/>
  <c r="R943" i="11"/>
  <c r="R961" i="11"/>
  <c r="R1033" i="11"/>
  <c r="R1044" i="11"/>
  <c r="R1047" i="11"/>
  <c r="R334" i="11"/>
  <c r="R338" i="11"/>
  <c r="R346" i="11"/>
  <c r="R350" i="11"/>
  <c r="R359" i="11"/>
  <c r="R560" i="11"/>
  <c r="R1041" i="11"/>
  <c r="Q1068" i="11"/>
  <c r="Q949" i="11"/>
  <c r="Q948" i="11"/>
  <c r="Q561" i="11"/>
  <c r="R530" i="11"/>
  <c r="Q640" i="11"/>
  <c r="R650" i="11"/>
  <c r="R665" i="11"/>
  <c r="R691" i="11"/>
  <c r="R741" i="11"/>
  <c r="R816" i="11"/>
  <c r="R562" i="11"/>
  <c r="R922" i="11"/>
  <c r="R450" i="11"/>
  <c r="R546" i="11"/>
  <c r="R653" i="11"/>
  <c r="R658" i="11"/>
  <c r="R918" i="11"/>
  <c r="R934" i="11"/>
  <c r="R715" i="11"/>
  <c r="R728" i="11"/>
  <c r="R810" i="11"/>
  <c r="R815" i="11"/>
  <c r="R794" i="11"/>
  <c r="R347" i="11"/>
  <c r="R555" i="11"/>
  <c r="R626" i="11"/>
  <c r="R654" i="11"/>
  <c r="R714" i="11"/>
  <c r="R746" i="11"/>
  <c r="R791" i="11"/>
  <c r="R857" i="11"/>
  <c r="Q913" i="11"/>
  <c r="R929" i="11"/>
  <c r="R933" i="11"/>
  <c r="R726" i="11"/>
  <c r="R637" i="11"/>
  <c r="R669" i="11"/>
  <c r="R762" i="11"/>
  <c r="Q910" i="11"/>
  <c r="R914" i="11"/>
  <c r="R538" i="11"/>
  <c r="R557" i="11"/>
  <c r="R666" i="11"/>
  <c r="R716" i="11"/>
  <c r="R804" i="11"/>
  <c r="R809" i="11"/>
  <c r="R693" i="11"/>
  <c r="R709" i="11"/>
  <c r="R745" i="11"/>
  <c r="R780" i="11"/>
  <c r="Q908" i="11"/>
  <c r="Q911" i="11"/>
  <c r="R916" i="11"/>
  <c r="Q912" i="11"/>
  <c r="Q915" i="11"/>
  <c r="R548" i="11"/>
  <c r="R708" i="11"/>
  <c r="R724" i="11"/>
  <c r="N731" i="11"/>
  <c r="Q731" i="11" s="1"/>
  <c r="N734" i="11"/>
  <c r="Q734" i="11" s="1"/>
  <c r="R743" i="11"/>
  <c r="R785" i="11"/>
  <c r="R801" i="11"/>
  <c r="Q813" i="11"/>
  <c r="R822" i="11"/>
  <c r="R781" i="11"/>
  <c r="Q823" i="11"/>
  <c r="R651" i="11"/>
  <c r="R901" i="11"/>
  <c r="Q720" i="11"/>
  <c r="R508" i="11"/>
  <c r="R512" i="11"/>
  <c r="R608" i="11"/>
  <c r="Q641" i="11"/>
  <c r="R652" i="11"/>
  <c r="R655" i="11"/>
  <c r="R673" i="11"/>
  <c r="R684" i="11"/>
  <c r="R717" i="11"/>
  <c r="R759" i="11"/>
  <c r="R763" i="11"/>
  <c r="R808" i="11"/>
  <c r="R902" i="11"/>
  <c r="R537" i="11"/>
  <c r="R547" i="11"/>
  <c r="R556" i="11"/>
  <c r="R625" i="11"/>
  <c r="R629" i="11"/>
  <c r="R718" i="11"/>
  <c r="R723" i="11"/>
  <c r="R764" i="11"/>
  <c r="R712" i="11"/>
  <c r="R491" i="11"/>
  <c r="R638" i="11"/>
  <c r="R663" i="11"/>
  <c r="R671" i="11"/>
  <c r="R692" i="11"/>
  <c r="R696" i="11"/>
  <c r="R722" i="11"/>
  <c r="R747" i="11"/>
  <c r="R811" i="11"/>
  <c r="Q863" i="11"/>
  <c r="Q886" i="11"/>
  <c r="R890" i="11"/>
  <c r="Q900" i="11"/>
  <c r="R340" i="11"/>
  <c r="R333" i="11"/>
  <c r="R337" i="11"/>
  <c r="R345" i="11"/>
  <c r="R434" i="11"/>
  <c r="R456" i="11"/>
  <c r="R533" i="11"/>
  <c r="R659" i="11"/>
  <c r="R664" i="11"/>
  <c r="R740" i="11"/>
  <c r="R760" i="11"/>
  <c r="R790" i="11"/>
  <c r="R797" i="11"/>
  <c r="R859" i="11"/>
  <c r="R868" i="11"/>
  <c r="R886" i="11"/>
  <c r="R898" i="11"/>
  <c r="R457" i="11"/>
  <c r="R524" i="11"/>
  <c r="Q639" i="11"/>
  <c r="R668" i="11"/>
  <c r="R672" i="11"/>
  <c r="Q697" i="11"/>
  <c r="R719" i="11"/>
  <c r="R727" i="11"/>
  <c r="N733" i="11"/>
  <c r="Q733" i="11" s="1"/>
  <c r="R782" i="11"/>
  <c r="R798" i="11"/>
  <c r="R852" i="11"/>
  <c r="R856" i="11"/>
  <c r="R435" i="11"/>
  <c r="R628" i="11"/>
  <c r="R788" i="11"/>
  <c r="R792" i="11"/>
  <c r="R799" i="11"/>
  <c r="R866" i="11"/>
  <c r="R339" i="11"/>
  <c r="R343" i="11"/>
  <c r="R433" i="11"/>
  <c r="R544" i="11"/>
  <c r="R621" i="11"/>
  <c r="R694" i="11"/>
  <c r="R807" i="11"/>
  <c r="R861" i="11"/>
  <c r="R360" i="11"/>
  <c r="R414" i="11"/>
  <c r="R486" i="11"/>
  <c r="R490" i="11"/>
  <c r="R558" i="11"/>
  <c r="R674" i="11"/>
  <c r="R685" i="11"/>
  <c r="R695" i="11"/>
  <c r="R725" i="11"/>
  <c r="R744" i="11"/>
  <c r="R752" i="11"/>
  <c r="R793" i="11"/>
  <c r="R796" i="11"/>
  <c r="R800" i="11"/>
  <c r="R867" i="11"/>
  <c r="Q862" i="11"/>
  <c r="Q849" i="11"/>
  <c r="R742" i="11"/>
  <c r="R661" i="11"/>
  <c r="R649" i="11"/>
  <c r="R344" i="11"/>
  <c r="R351" i="11"/>
  <c r="R354" i="11"/>
  <c r="R397" i="11"/>
  <c r="R436" i="11"/>
  <c r="R511" i="11"/>
  <c r="R525" i="11"/>
  <c r="R543" i="11"/>
  <c r="R552" i="11"/>
  <c r="R559" i="11"/>
  <c r="R565" i="11"/>
  <c r="R591" i="11"/>
  <c r="R455" i="11"/>
  <c r="R487" i="11"/>
  <c r="R341" i="11"/>
  <c r="R451" i="11"/>
  <c r="Q460" i="11"/>
  <c r="R488" i="11"/>
  <c r="R507" i="11"/>
  <c r="R531" i="11"/>
  <c r="R536" i="11"/>
  <c r="R545" i="11"/>
  <c r="R563" i="11"/>
  <c r="Q596" i="11"/>
  <c r="R335" i="11"/>
  <c r="R342" i="11"/>
  <c r="R349" i="11"/>
  <c r="R353" i="11"/>
  <c r="R390" i="11"/>
  <c r="R432" i="11"/>
  <c r="R481" i="11"/>
  <c r="R532" i="11"/>
  <c r="R554" i="11"/>
  <c r="R622" i="11"/>
  <c r="R452" i="11"/>
  <c r="R489" i="11"/>
  <c r="R542" i="11"/>
  <c r="R564" i="11"/>
  <c r="R589" i="11"/>
  <c r="R607" i="11"/>
  <c r="Q610" i="11"/>
  <c r="Q618" i="11"/>
  <c r="N598" i="11"/>
  <c r="R598" i="11" s="1"/>
  <c r="R597" i="11"/>
  <c r="Q549" i="11"/>
  <c r="Q509" i="11"/>
  <c r="R295" i="1"/>
  <c r="Q295" i="1"/>
  <c r="N736" i="11" l="1"/>
  <c r="Q736" i="11" s="1"/>
  <c r="N735" i="11"/>
  <c r="Q735" i="11" s="1"/>
  <c r="Q781" i="1"/>
  <c r="P789" i="1"/>
  <c r="N789" i="1" s="1"/>
  <c r="Q789" i="1" s="1"/>
  <c r="R781" i="1"/>
  <c r="P780" i="1"/>
  <c r="N780" i="1" s="1"/>
  <c r="P813" i="1"/>
  <c r="N813" i="1" s="1"/>
  <c r="R811" i="1"/>
  <c r="R808" i="1"/>
  <c r="Q808" i="1"/>
  <c r="R805" i="1"/>
  <c r="Q805" i="1"/>
  <c r="R798" i="1"/>
  <c r="Q798" i="1"/>
  <c r="P807" i="1"/>
  <c r="N807" i="1" s="1"/>
  <c r="P804" i="1"/>
  <c r="N804" i="1" s="1"/>
  <c r="P810" i="1"/>
  <c r="N810" i="1" s="1"/>
  <c r="P797" i="1"/>
  <c r="N797" i="1" s="1"/>
  <c r="Q14" i="1"/>
  <c r="R449" i="1"/>
  <c r="Q449" i="1"/>
  <c r="R677" i="1"/>
  <c r="R676" i="1"/>
  <c r="P982" i="1"/>
  <c r="P13" i="1"/>
  <c r="R752" i="1"/>
  <c r="R975" i="1"/>
  <c r="Q975" i="1"/>
  <c r="Q970" i="1"/>
  <c r="R678" i="1"/>
  <c r="R679" i="1"/>
  <c r="R680" i="1"/>
  <c r="R681" i="1"/>
  <c r="R682" i="1"/>
  <c r="R683" i="1"/>
  <c r="R684" i="1"/>
  <c r="Q684" i="1"/>
  <c r="Q683" i="1"/>
  <c r="Q682" i="1"/>
  <c r="Q681" i="1"/>
  <c r="Q680" i="1"/>
  <c r="Q679" i="1"/>
  <c r="Q678" i="1"/>
  <c r="P1291" i="1"/>
  <c r="R1291" i="1" s="1"/>
  <c r="R1411" i="1"/>
  <c r="Q1411" i="1"/>
  <c r="R1410" i="1"/>
  <c r="Q1410" i="1"/>
  <c r="R1409" i="1"/>
  <c r="Q1409" i="1"/>
  <c r="R572" i="1"/>
  <c r="Q572" i="1"/>
  <c r="R571" i="1"/>
  <c r="Q571" i="1"/>
  <c r="R318" i="1"/>
  <c r="Q452" i="1"/>
  <c r="R1240" i="1"/>
  <c r="Q1240" i="1"/>
  <c r="P392" i="1"/>
  <c r="P474" i="1"/>
  <c r="P1553" i="1"/>
  <c r="P1497" i="1"/>
  <c r="P164" i="1"/>
  <c r="P170" i="1"/>
  <c r="R1359" i="1"/>
  <c r="Q1359" i="1"/>
  <c r="P1241" i="1"/>
  <c r="P177" i="1"/>
  <c r="P210" i="1"/>
  <c r="P213" i="1"/>
  <c r="R452" i="1" l="1"/>
  <c r="R789" i="1"/>
  <c r="R813" i="1"/>
  <c r="Q813" i="1"/>
  <c r="Q811" i="1"/>
  <c r="Q677" i="1"/>
  <c r="R14" i="1"/>
  <c r="Q676" i="1"/>
  <c r="Q752" i="1"/>
  <c r="R970" i="1"/>
  <c r="Q318" i="1"/>
  <c r="R207" i="1"/>
  <c r="Q207" i="1"/>
  <c r="R206" i="1"/>
  <c r="Q206" i="1"/>
  <c r="P182" i="1"/>
  <c r="P181" i="1"/>
  <c r="P183" i="1"/>
  <c r="P176" i="1"/>
  <c r="P175" i="1"/>
  <c r="P185" i="1"/>
  <c r="N174" i="1"/>
  <c r="Q174" i="1" s="1"/>
  <c r="R174" i="1"/>
  <c r="R173" i="1"/>
  <c r="Q173" i="1"/>
  <c r="R751" i="1"/>
  <c r="Q751" i="1"/>
  <c r="P750" i="1"/>
  <c r="P388" i="1" l="1"/>
  <c r="R1193" i="1"/>
  <c r="P424" i="1"/>
  <c r="P423" i="1"/>
  <c r="Q240" i="1"/>
  <c r="R963" i="1"/>
  <c r="Q963" i="1"/>
  <c r="Q13" i="1"/>
  <c r="Q1123" i="1"/>
  <c r="Q1131" i="1"/>
  <c r="Q1129" i="1"/>
  <c r="P1127" i="1"/>
  <c r="R1127" i="1" s="1"/>
  <c r="P1126" i="1"/>
  <c r="Q1126" i="1" s="1"/>
  <c r="P1125" i="1"/>
  <c r="Q1125" i="1" s="1"/>
  <c r="P1124" i="1"/>
  <c r="R1124" i="1" s="1"/>
  <c r="R1154" i="1"/>
  <c r="Q1154" i="1"/>
  <c r="R1131" i="1"/>
  <c r="R1130" i="1"/>
  <c r="Q1130" i="1"/>
  <c r="R1153" i="1"/>
  <c r="Q1153" i="1"/>
  <c r="R1129" i="1"/>
  <c r="R1128" i="1"/>
  <c r="Q1128" i="1"/>
  <c r="P1118" i="1"/>
  <c r="R1118" i="1" s="1"/>
  <c r="P1117" i="1"/>
  <c r="R1117" i="1" s="1"/>
  <c r="P1116" i="1"/>
  <c r="R1116" i="1" s="1"/>
  <c r="P1115" i="1"/>
  <c r="Q1115" i="1" s="1"/>
  <c r="P1114" i="1"/>
  <c r="R1114" i="1" s="1"/>
  <c r="P1113" i="1"/>
  <c r="R1113" i="1" s="1"/>
  <c r="R1152" i="1"/>
  <c r="R1123" i="1"/>
  <c r="R1122" i="1"/>
  <c r="Q1122" i="1"/>
  <c r="R1151" i="1"/>
  <c r="Q1151" i="1"/>
  <c r="R1150" i="1"/>
  <c r="Q1150" i="1"/>
  <c r="R1149" i="1"/>
  <c r="Q1149" i="1"/>
  <c r="R1146" i="1"/>
  <c r="Q1146" i="1"/>
  <c r="R1145" i="1"/>
  <c r="Q1145" i="1"/>
  <c r="R1144" i="1"/>
  <c r="Q1144" i="1"/>
  <c r="R1143" i="1"/>
  <c r="Q1143" i="1"/>
  <c r="R1142" i="1"/>
  <c r="Q1142" i="1"/>
  <c r="R1141" i="1"/>
  <c r="Q1141" i="1"/>
  <c r="R1140" i="1"/>
  <c r="Q1140" i="1"/>
  <c r="R1139" i="1"/>
  <c r="Q1139" i="1"/>
  <c r="R1138" i="1"/>
  <c r="Q1138" i="1"/>
  <c r="R1135" i="1"/>
  <c r="Q1135" i="1"/>
  <c r="R1134" i="1"/>
  <c r="Q1134" i="1"/>
  <c r="R1133" i="1"/>
  <c r="Q1133" i="1"/>
  <c r="R1121" i="1"/>
  <c r="Q1121" i="1"/>
  <c r="R1120" i="1"/>
  <c r="Q1120" i="1"/>
  <c r="R1119" i="1"/>
  <c r="Q1119" i="1"/>
  <c r="Q1084" i="1"/>
  <c r="Q1090" i="1"/>
  <c r="Q1092" i="1"/>
  <c r="Q1167" i="1"/>
  <c r="Q1173" i="1"/>
  <c r="Q1175" i="1"/>
  <c r="R1195" i="1"/>
  <c r="Q1195" i="1"/>
  <c r="R1175" i="1"/>
  <c r="P1171" i="1"/>
  <c r="R1171" i="1" s="1"/>
  <c r="P1170" i="1"/>
  <c r="R1170" i="1" s="1"/>
  <c r="P1169" i="1"/>
  <c r="R1169" i="1" s="1"/>
  <c r="P1168" i="1"/>
  <c r="Q1168" i="1" s="1"/>
  <c r="R1174" i="1"/>
  <c r="Q1174" i="1"/>
  <c r="R1194" i="1"/>
  <c r="Q1194" i="1"/>
  <c r="R1173" i="1"/>
  <c r="R1172" i="1"/>
  <c r="Q1172" i="1"/>
  <c r="R1167" i="1"/>
  <c r="R1166" i="1"/>
  <c r="Q1166" i="1"/>
  <c r="R1192" i="1"/>
  <c r="Q1192" i="1"/>
  <c r="R1191" i="1"/>
  <c r="Q1191" i="1"/>
  <c r="R1190" i="1"/>
  <c r="Q1190" i="1"/>
  <c r="R1188" i="1"/>
  <c r="Q1188" i="1"/>
  <c r="R1187" i="1"/>
  <c r="Q1187" i="1"/>
  <c r="R1186" i="1"/>
  <c r="Q1186" i="1"/>
  <c r="R1185" i="1"/>
  <c r="Q1185" i="1"/>
  <c r="R1183" i="1"/>
  <c r="Q1183" i="1"/>
  <c r="R1180" i="1"/>
  <c r="Q1180" i="1"/>
  <c r="R1179" i="1"/>
  <c r="Q1179" i="1"/>
  <c r="R1178" i="1"/>
  <c r="Q1178" i="1"/>
  <c r="R1177" i="1"/>
  <c r="Q1177" i="1"/>
  <c r="R1165" i="1"/>
  <c r="Q1165" i="1"/>
  <c r="R1164" i="1"/>
  <c r="Q1164" i="1"/>
  <c r="R1163" i="1"/>
  <c r="Q1163" i="1"/>
  <c r="R1162" i="1"/>
  <c r="Q1162" i="1"/>
  <c r="R1161" i="1"/>
  <c r="Q1161" i="1"/>
  <c r="Q1193" i="1"/>
  <c r="P1160" i="1"/>
  <c r="Q1160" i="1" s="1"/>
  <c r="P1159" i="1"/>
  <c r="Q1159" i="1" s="1"/>
  <c r="P1158" i="1"/>
  <c r="Q1158" i="1" s="1"/>
  <c r="P1157" i="1"/>
  <c r="R1157" i="1" s="1"/>
  <c r="P1156" i="1"/>
  <c r="Q1156" i="1" s="1"/>
  <c r="P1155" i="1"/>
  <c r="R1155" i="1" s="1"/>
  <c r="P1088" i="1"/>
  <c r="R1088" i="1" s="1"/>
  <c r="P1087" i="1"/>
  <c r="Q1087" i="1" s="1"/>
  <c r="P1086" i="1"/>
  <c r="R1086" i="1" s="1"/>
  <c r="P1085" i="1"/>
  <c r="R1085" i="1" s="1"/>
  <c r="P1077" i="1"/>
  <c r="R1077" i="1" s="1"/>
  <c r="P1076" i="1"/>
  <c r="R1076" i="1" s="1"/>
  <c r="P1075" i="1"/>
  <c r="R1075" i="1" s="1"/>
  <c r="P1074" i="1"/>
  <c r="R1074" i="1" s="1"/>
  <c r="P1073" i="1"/>
  <c r="Q1073" i="1" s="1"/>
  <c r="P1072" i="1"/>
  <c r="R1072" i="1" s="1"/>
  <c r="R1112" i="1"/>
  <c r="Q1112" i="1"/>
  <c r="R1092" i="1"/>
  <c r="R1091" i="1"/>
  <c r="Q1091" i="1"/>
  <c r="R1111" i="1"/>
  <c r="R1090" i="1"/>
  <c r="R1089" i="1"/>
  <c r="Q1089" i="1"/>
  <c r="R1110" i="1"/>
  <c r="R1084" i="1"/>
  <c r="R1083" i="1"/>
  <c r="Q1083" i="1"/>
  <c r="R1109" i="1"/>
  <c r="Q1109" i="1"/>
  <c r="R1108" i="1"/>
  <c r="Q1108" i="1"/>
  <c r="R1107" i="1"/>
  <c r="Q1107" i="1"/>
  <c r="R1105" i="1"/>
  <c r="Q1105" i="1"/>
  <c r="R1104" i="1"/>
  <c r="Q1104" i="1"/>
  <c r="R1103" i="1"/>
  <c r="Q1103" i="1"/>
  <c r="R1102" i="1"/>
  <c r="Q1102" i="1"/>
  <c r="R1101" i="1"/>
  <c r="Q1101" i="1"/>
  <c r="R1100" i="1"/>
  <c r="Q1100" i="1"/>
  <c r="R1098" i="1"/>
  <c r="Q1098" i="1"/>
  <c r="R1097" i="1"/>
  <c r="Q1097" i="1"/>
  <c r="R1096" i="1"/>
  <c r="Q1096" i="1"/>
  <c r="R1095" i="1"/>
  <c r="Q1095" i="1"/>
  <c r="R1094" i="1"/>
  <c r="Q1094" i="1"/>
  <c r="R1082" i="1"/>
  <c r="Q1082" i="1"/>
  <c r="R1081" i="1"/>
  <c r="Q1081" i="1"/>
  <c r="R1080" i="1"/>
  <c r="Q1080" i="1"/>
  <c r="R1079" i="1"/>
  <c r="Q1079" i="1"/>
  <c r="R1078" i="1"/>
  <c r="Q1078" i="1"/>
  <c r="Q1111" i="1"/>
  <c r="P382" i="1"/>
  <c r="P380" i="1"/>
  <c r="P386" i="1"/>
  <c r="R313" i="1"/>
  <c r="Q313" i="1"/>
  <c r="R750" i="1"/>
  <c r="Q750" i="1"/>
  <c r="R1289" i="1"/>
  <c r="N1289" i="1"/>
  <c r="Q1289" i="1" s="1"/>
  <c r="R1288" i="1"/>
  <c r="N1288" i="1"/>
  <c r="Q1288" i="1" s="1"/>
  <c r="R1287" i="1"/>
  <c r="N1287" i="1"/>
  <c r="Q1287" i="1" s="1"/>
  <c r="R1286" i="1"/>
  <c r="N1286" i="1"/>
  <c r="Q1286" i="1" s="1"/>
  <c r="R1285" i="1"/>
  <c r="N1285" i="1"/>
  <c r="Q1285" i="1" s="1"/>
  <c r="R1284" i="1"/>
  <c r="N1284" i="1"/>
  <c r="Q1284" i="1" s="1"/>
  <c r="R1283" i="1"/>
  <c r="N1283" i="1"/>
  <c r="Q1283" i="1" s="1"/>
  <c r="R1282" i="1"/>
  <c r="N1282" i="1"/>
  <c r="Q1282" i="1" s="1"/>
  <c r="R1281" i="1"/>
  <c r="N1281" i="1"/>
  <c r="Q1281" i="1" s="1"/>
  <c r="R1280" i="1"/>
  <c r="N1280" i="1"/>
  <c r="Q1280" i="1" s="1"/>
  <c r="R1279" i="1"/>
  <c r="N1279" i="1"/>
  <c r="Q1279" i="1" s="1"/>
  <c r="R1278" i="1"/>
  <c r="N1278" i="1"/>
  <c r="Q1278" i="1" s="1"/>
  <c r="R1277" i="1"/>
  <c r="N1277" i="1"/>
  <c r="Q1277" i="1" s="1"/>
  <c r="R1276" i="1"/>
  <c r="N1276" i="1"/>
  <c r="Q1276" i="1" s="1"/>
  <c r="R1275" i="1"/>
  <c r="N1275" i="1"/>
  <c r="Q1275" i="1" s="1"/>
  <c r="R1274" i="1"/>
  <c r="N1274" i="1"/>
  <c r="Q1274" i="1" s="1"/>
  <c r="R1273" i="1"/>
  <c r="N1273" i="1"/>
  <c r="Q1273" i="1" s="1"/>
  <c r="R1272" i="1"/>
  <c r="N1272" i="1"/>
  <c r="Q1272" i="1" s="1"/>
  <c r="R1271" i="1"/>
  <c r="N1271" i="1"/>
  <c r="Q1271" i="1" s="1"/>
  <c r="R1270" i="1"/>
  <c r="N1270" i="1"/>
  <c r="Q1270" i="1" s="1"/>
  <c r="R1269" i="1"/>
  <c r="N1269" i="1"/>
  <c r="Q1269" i="1" s="1"/>
  <c r="R1268" i="1"/>
  <c r="N1268" i="1"/>
  <c r="Q1268" i="1" s="1"/>
  <c r="R1267" i="1"/>
  <c r="N1267" i="1"/>
  <c r="Q1267" i="1" s="1"/>
  <c r="R1266" i="1"/>
  <c r="N1266" i="1"/>
  <c r="Q1266" i="1" s="1"/>
  <c r="R1265" i="1"/>
  <c r="N1265" i="1"/>
  <c r="Q1265" i="1" s="1"/>
  <c r="R1264" i="1"/>
  <c r="N1264" i="1"/>
  <c r="Q1264" i="1" s="1"/>
  <c r="R1263" i="1"/>
  <c r="N1263" i="1"/>
  <c r="Q1263" i="1" s="1"/>
  <c r="R1262" i="1"/>
  <c r="N1262" i="1"/>
  <c r="Q1262" i="1" s="1"/>
  <c r="R1261" i="1"/>
  <c r="N1261" i="1"/>
  <c r="Q1261" i="1" s="1"/>
  <c r="R1260" i="1"/>
  <c r="N1260" i="1"/>
  <c r="Q1260" i="1" s="1"/>
  <c r="R1259" i="1"/>
  <c r="N1259" i="1"/>
  <c r="Q1259" i="1" s="1"/>
  <c r="R1258" i="1"/>
  <c r="N1258" i="1"/>
  <c r="Q1258" i="1" s="1"/>
  <c r="R1257" i="1"/>
  <c r="N1257" i="1"/>
  <c r="Q1257" i="1" s="1"/>
  <c r="R1256" i="1"/>
  <c r="N1256" i="1"/>
  <c r="Q1256" i="1" s="1"/>
  <c r="R1255" i="1"/>
  <c r="N1255" i="1"/>
  <c r="Q1255" i="1" s="1"/>
  <c r="R1254" i="1"/>
  <c r="N1254" i="1"/>
  <c r="Q1254" i="1" s="1"/>
  <c r="R1253" i="1"/>
  <c r="N1253" i="1"/>
  <c r="Q1253" i="1" s="1"/>
  <c r="R1252" i="1"/>
  <c r="N1252" i="1"/>
  <c r="Q1252" i="1" s="1"/>
  <c r="R1251" i="1"/>
  <c r="N1251" i="1"/>
  <c r="Q1251" i="1" s="1"/>
  <c r="R1250" i="1"/>
  <c r="N1250" i="1"/>
  <c r="Q1250" i="1" s="1"/>
  <c r="R1249" i="1"/>
  <c r="N1249" i="1"/>
  <c r="Q1249" i="1" s="1"/>
  <c r="R1248" i="1"/>
  <c r="N1248" i="1"/>
  <c r="Q1248" i="1" s="1"/>
  <c r="R1247" i="1"/>
  <c r="N1247" i="1"/>
  <c r="Q1247" i="1" s="1"/>
  <c r="R1246" i="1"/>
  <c r="N1246" i="1"/>
  <c r="Q1246" i="1" s="1"/>
  <c r="R1245" i="1"/>
  <c r="N1245" i="1"/>
  <c r="Q1245" i="1" s="1"/>
  <c r="R1244" i="1"/>
  <c r="N1244" i="1"/>
  <c r="Q1244" i="1" s="1"/>
  <c r="R1243" i="1"/>
  <c r="N1243" i="1"/>
  <c r="Q1243" i="1" s="1"/>
  <c r="N1242" i="1"/>
  <c r="Q1242" i="1" s="1"/>
  <c r="R1242" i="1"/>
  <c r="R1241" i="1"/>
  <c r="Q1241" i="1"/>
  <c r="R478" i="1"/>
  <c r="Q478" i="1"/>
  <c r="Q1055" i="1"/>
  <c r="R1055" i="1" s="1"/>
  <c r="Q1053" i="1"/>
  <c r="R1054" i="1"/>
  <c r="Q1054" i="1"/>
  <c r="P462" i="1"/>
  <c r="R13" i="1" l="1"/>
  <c r="Q1110" i="1"/>
  <c r="Q1075" i="1"/>
  <c r="Q1116" i="1"/>
  <c r="Q1074" i="1"/>
  <c r="Q1088" i="1"/>
  <c r="R1073" i="1"/>
  <c r="R1126" i="1"/>
  <c r="Q1157" i="1"/>
  <c r="R1125" i="1"/>
  <c r="R1168" i="1"/>
  <c r="R1115" i="1"/>
  <c r="R1158" i="1"/>
  <c r="Q1169" i="1"/>
  <c r="Q1127" i="1"/>
  <c r="Q1124" i="1"/>
  <c r="Q1117" i="1"/>
  <c r="Q1114" i="1"/>
  <c r="Q1118" i="1"/>
  <c r="Q1113" i="1"/>
  <c r="R1160" i="1"/>
  <c r="Q1170" i="1"/>
  <c r="R1156" i="1"/>
  <c r="R1159" i="1"/>
  <c r="R1087" i="1"/>
  <c r="Q1171" i="1"/>
  <c r="Q1076" i="1"/>
  <c r="Q1155" i="1"/>
  <c r="Q1086" i="1"/>
  <c r="Q1085" i="1"/>
  <c r="Q1077" i="1"/>
  <c r="Q1072" i="1"/>
  <c r="R1053" i="1"/>
  <c r="P955" i="1"/>
  <c r="P1715" i="1"/>
  <c r="R675" i="1"/>
  <c r="R1487" i="1"/>
  <c r="Q1487" i="1"/>
  <c r="R1556" i="1"/>
  <c r="Q1556" i="1"/>
  <c r="R1855" i="1"/>
  <c r="Q1855" i="1"/>
  <c r="R1949" i="1"/>
  <c r="Q1948" i="1"/>
  <c r="Q1291" i="1"/>
  <c r="R1948" i="1" l="1"/>
  <c r="Q732" i="1" l="1"/>
  <c r="R308" i="1"/>
  <c r="Q308" i="1"/>
  <c r="P983" i="1"/>
  <c r="P389" i="1"/>
  <c r="P1496" i="1"/>
  <c r="P416" i="1"/>
  <c r="P415" i="1"/>
  <c r="P1716" i="1"/>
  <c r="R391" i="1"/>
  <c r="Q391" i="1"/>
  <c r="R390" i="1"/>
  <c r="Q390" i="1"/>
  <c r="P749" i="1"/>
  <c r="P475" i="1"/>
  <c r="Q1050" i="1"/>
  <c r="R1052" i="1"/>
  <c r="Q1052" i="1"/>
  <c r="R1051" i="1"/>
  <c r="Q1051" i="1"/>
  <c r="P962" i="1"/>
  <c r="R962" i="1" s="1"/>
  <c r="P1552" i="1"/>
  <c r="P747" i="1"/>
  <c r="P729" i="1"/>
  <c r="P776" i="1"/>
  <c r="P785" i="1"/>
  <c r="P772" i="1"/>
  <c r="R398" i="1"/>
  <c r="Q398" i="1"/>
  <c r="R480" i="1"/>
  <c r="R1050" i="1" l="1"/>
  <c r="R732" i="1"/>
  <c r="Q962" i="1"/>
  <c r="Q480" i="1"/>
  <c r="Q1929" i="1"/>
  <c r="P1373" i="1"/>
  <c r="N1503" i="1"/>
  <c r="R1930" i="1"/>
  <c r="R1920" i="1"/>
  <c r="N1920" i="1"/>
  <c r="Q1920" i="1" s="1"/>
  <c r="R1919" i="1"/>
  <c r="N1919" i="1"/>
  <c r="Q1919" i="1" s="1"/>
  <c r="R1918" i="1"/>
  <c r="N1918" i="1"/>
  <c r="Q1918" i="1" s="1"/>
  <c r="R1917" i="1"/>
  <c r="N1917" i="1"/>
  <c r="Q1917" i="1" s="1"/>
  <c r="R1916" i="1"/>
  <c r="N1916" i="1"/>
  <c r="Q1916" i="1" s="1"/>
  <c r="R1915" i="1"/>
  <c r="N1915" i="1"/>
  <c r="Q1915" i="1" s="1"/>
  <c r="R1914" i="1"/>
  <c r="N1914" i="1"/>
  <c r="Q1914" i="1" s="1"/>
  <c r="R1913" i="1"/>
  <c r="N1913" i="1"/>
  <c r="Q1913" i="1" s="1"/>
  <c r="R1912" i="1"/>
  <c r="N1912" i="1"/>
  <c r="Q1912" i="1" s="1"/>
  <c r="R1911" i="1"/>
  <c r="N1911" i="1"/>
  <c r="Q1911" i="1" s="1"/>
  <c r="R1910" i="1"/>
  <c r="N1910" i="1"/>
  <c r="Q1910" i="1" s="1"/>
  <c r="R1909" i="1"/>
  <c r="N1909" i="1"/>
  <c r="Q1909" i="1" s="1"/>
  <c r="N1908" i="1"/>
  <c r="Q1908" i="1" s="1"/>
  <c r="N1907" i="1"/>
  <c r="Q1907" i="1" s="1"/>
  <c r="N1906" i="1"/>
  <c r="Q1906" i="1" s="1"/>
  <c r="N1905" i="1"/>
  <c r="Q1905" i="1" s="1"/>
  <c r="R1908" i="1"/>
  <c r="R1907" i="1"/>
  <c r="R1906" i="1"/>
  <c r="R1905" i="1"/>
  <c r="R1904" i="1"/>
  <c r="Q1904" i="1"/>
  <c r="R1903" i="1"/>
  <c r="Q1903" i="1"/>
  <c r="R1902" i="1"/>
  <c r="Q1902" i="1"/>
  <c r="R1901" i="1"/>
  <c r="Q1901" i="1"/>
  <c r="R1897" i="1"/>
  <c r="Q1897" i="1"/>
  <c r="R1895" i="1"/>
  <c r="Q1895" i="1"/>
  <c r="R1894" i="1"/>
  <c r="Q1894" i="1"/>
  <c r="Q1893" i="1"/>
  <c r="N1522" i="1"/>
  <c r="N1548" i="1"/>
  <c r="R1557" i="1"/>
  <c r="Q1557" i="1"/>
  <c r="P919" i="1"/>
  <c r="P1854" i="1"/>
  <c r="P711" i="1"/>
  <c r="Q731" i="1"/>
  <c r="P408" i="1"/>
  <c r="P407" i="1"/>
  <c r="Q807" i="1"/>
  <c r="Q804" i="1"/>
  <c r="Q810" i="1"/>
  <c r="R797" i="1"/>
  <c r="P812" i="1"/>
  <c r="N812" i="1" s="1"/>
  <c r="R1929" i="1" l="1"/>
  <c r="Q1930" i="1"/>
  <c r="R1893" i="1"/>
  <c r="R804" i="1"/>
  <c r="R731" i="1"/>
  <c r="Q812" i="1"/>
  <c r="R812" i="1"/>
  <c r="R810" i="1"/>
  <c r="R807" i="1"/>
  <c r="Q797" i="1"/>
  <c r="Q785" i="1"/>
  <c r="R780" i="1"/>
  <c r="Q780" i="1"/>
  <c r="P788" i="1"/>
  <c r="N788" i="1" s="1"/>
  <c r="R776" i="1"/>
  <c r="R769" i="1"/>
  <c r="R674" i="1"/>
  <c r="Q674" i="1"/>
  <c r="P1408" i="1"/>
  <c r="R240" i="1"/>
  <c r="P1888" i="1"/>
  <c r="R477" i="1"/>
  <c r="Q477" i="1"/>
  <c r="P806" i="1"/>
  <c r="N806" i="1" s="1"/>
  <c r="P803" i="1"/>
  <c r="N803" i="1" s="1"/>
  <c r="P809" i="1"/>
  <c r="N809" i="1" s="1"/>
  <c r="P796" i="1"/>
  <c r="N796" i="1" s="1"/>
  <c r="P779" i="1"/>
  <c r="N779" i="1" s="1"/>
  <c r="P1811" i="1"/>
  <c r="N1716" i="1"/>
  <c r="Q730" i="1"/>
  <c r="R730" i="1"/>
  <c r="Q729" i="1"/>
  <c r="R729" i="1"/>
  <c r="R1807" i="1"/>
  <c r="Q1807" i="1"/>
  <c r="R1373" i="1"/>
  <c r="Q788" i="1" l="1"/>
  <c r="R785" i="1"/>
  <c r="R788" i="1"/>
  <c r="Q776" i="1"/>
  <c r="Q769" i="1"/>
  <c r="N1373" i="1"/>
  <c r="N1374" i="1" s="1"/>
  <c r="P728" i="1"/>
  <c r="R998" i="1"/>
  <c r="Q998" i="1"/>
  <c r="R997" i="1"/>
  <c r="Q997" i="1"/>
  <c r="P1501" i="1"/>
  <c r="N1501" i="1" s="1"/>
  <c r="R408" i="1"/>
  <c r="R407" i="1"/>
  <c r="R918" i="1"/>
  <c r="Q918" i="1"/>
  <c r="R384" i="1"/>
  <c r="Q384" i="1"/>
  <c r="P944" i="1"/>
  <c r="P954" i="1"/>
  <c r="P431" i="1"/>
  <c r="R431" i="1" s="1"/>
  <c r="P430" i="1"/>
  <c r="R430" i="1" s="1"/>
  <c r="P155" i="1"/>
  <c r="P131" i="1"/>
  <c r="P429" i="1"/>
  <c r="N429" i="1" s="1"/>
  <c r="P428" i="1"/>
  <c r="R428" i="1" s="1"/>
  <c r="P427" i="1"/>
  <c r="R427" i="1" s="1"/>
  <c r="P426" i="1"/>
  <c r="N426" i="1" s="1"/>
  <c r="P406" i="1"/>
  <c r="R406" i="1" s="1"/>
  <c r="P405" i="1"/>
  <c r="N405" i="1" s="1"/>
  <c r="P404" i="1"/>
  <c r="R404" i="1" s="1"/>
  <c r="P403" i="1"/>
  <c r="N403" i="1" s="1"/>
  <c r="P419" i="1"/>
  <c r="P420" i="1"/>
  <c r="N407" i="1" l="1"/>
  <c r="Q1373" i="1"/>
  <c r="N427" i="1"/>
  <c r="N428" i="1"/>
  <c r="N430" i="1" s="1"/>
  <c r="Q429" i="1"/>
  <c r="Q426" i="1"/>
  <c r="R429" i="1"/>
  <c r="R426" i="1"/>
  <c r="N406" i="1"/>
  <c r="Q406" i="1" s="1"/>
  <c r="N404" i="1"/>
  <c r="Q403" i="1"/>
  <c r="R403" i="1" s="1"/>
  <c r="Q405" i="1"/>
  <c r="R405" i="1"/>
  <c r="P421" i="1"/>
  <c r="P422" i="1"/>
  <c r="R422" i="1" s="1"/>
  <c r="R424" i="1"/>
  <c r="R423" i="1"/>
  <c r="P417" i="1"/>
  <c r="R417" i="1" s="1"/>
  <c r="P418" i="1"/>
  <c r="N418" i="1"/>
  <c r="N417" i="1"/>
  <c r="Q407" i="1" l="1"/>
  <c r="Q430" i="1"/>
  <c r="N431" i="1"/>
  <c r="Q431" i="1" s="1"/>
  <c r="Q427" i="1"/>
  <c r="Q428" i="1"/>
  <c r="N408" i="1"/>
  <c r="Q404" i="1"/>
  <c r="R419" i="1"/>
  <c r="N419" i="1"/>
  <c r="Q419" i="1" s="1"/>
  <c r="N420" i="1"/>
  <c r="N422" i="1"/>
  <c r="Q422" i="1" s="1"/>
  <c r="R421" i="1"/>
  <c r="N421" i="1"/>
  <c r="Q421" i="1" s="1"/>
  <c r="R420" i="1"/>
  <c r="Q417" i="1"/>
  <c r="Q408" i="1" l="1"/>
  <c r="N424" i="1"/>
  <c r="Q424" i="1" s="1"/>
  <c r="N423" i="1"/>
  <c r="Q420" i="1"/>
  <c r="Q423" i="1" l="1"/>
  <c r="R728" i="1"/>
  <c r="P726" i="1"/>
  <c r="R196" i="1"/>
  <c r="Q196" i="1"/>
  <c r="Q796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Q332" i="11"/>
  <c r="R332" i="11" s="1"/>
  <c r="Q331" i="11"/>
  <c r="R331" i="11" s="1"/>
  <c r="Q330" i="11"/>
  <c r="N330" i="11"/>
  <c r="Q329" i="11"/>
  <c r="N329" i="11"/>
  <c r="Q328" i="11"/>
  <c r="N328" i="11"/>
  <c r="Q327" i="11"/>
  <c r="N327" i="11"/>
  <c r="Q326" i="11"/>
  <c r="N326" i="11"/>
  <c r="Q325" i="11"/>
  <c r="R325" i="11" s="1"/>
  <c r="Q324" i="11"/>
  <c r="R324" i="11" s="1"/>
  <c r="Q323" i="11"/>
  <c r="R323" i="11" s="1"/>
  <c r="Q322" i="11"/>
  <c r="R322" i="11" s="1"/>
  <c r="Q321" i="11"/>
  <c r="R321" i="11" s="1"/>
  <c r="Q320" i="11"/>
  <c r="N320" i="11"/>
  <c r="Q319" i="11"/>
  <c r="N319" i="11"/>
  <c r="Q318" i="11"/>
  <c r="R318" i="11" s="1"/>
  <c r="Q317" i="11"/>
  <c r="R317" i="11" s="1"/>
  <c r="Q316" i="11"/>
  <c r="R316" i="11" s="1"/>
  <c r="Q315" i="11"/>
  <c r="R315" i="11" s="1"/>
  <c r="Q314" i="11"/>
  <c r="N314" i="11"/>
  <c r="Q313" i="11"/>
  <c r="N313" i="11"/>
  <c r="Q312" i="11"/>
  <c r="N312" i="11"/>
  <c r="Q311" i="11"/>
  <c r="N311" i="11"/>
  <c r="Q310" i="11"/>
  <c r="N310" i="11"/>
  <c r="Q309" i="11"/>
  <c r="N309" i="11"/>
  <c r="Q308" i="11"/>
  <c r="N308" i="11"/>
  <c r="Q307" i="11"/>
  <c r="N307" i="11"/>
  <c r="Q306" i="11"/>
  <c r="R306" i="11" s="1"/>
  <c r="Q305" i="11"/>
  <c r="R305" i="11" s="1"/>
  <c r="Q304" i="11"/>
  <c r="R304" i="11" s="1"/>
  <c r="P303" i="11"/>
  <c r="Q303" i="11" s="1"/>
  <c r="Q302" i="11"/>
  <c r="R302" i="11" s="1"/>
  <c r="P301" i="11"/>
  <c r="R301" i="11" s="1"/>
  <c r="Q300" i="11"/>
  <c r="R300" i="11" s="1"/>
  <c r="R299" i="11"/>
  <c r="N299" i="11"/>
  <c r="Q299" i="11" s="1"/>
  <c r="R298" i="11"/>
  <c r="N298" i="11"/>
  <c r="Q298" i="11" s="1"/>
  <c r="Q297" i="11"/>
  <c r="R297" i="11" s="1"/>
  <c r="Q296" i="11"/>
  <c r="R296" i="11" s="1"/>
  <c r="Q295" i="11"/>
  <c r="R295" i="11" s="1"/>
  <c r="Q294" i="11"/>
  <c r="R294" i="11" s="1"/>
  <c r="Q293" i="11"/>
  <c r="N293" i="11"/>
  <c r="Q292" i="11"/>
  <c r="N292" i="11"/>
  <c r="P291" i="11"/>
  <c r="R291" i="11" s="1"/>
  <c r="N291" i="11"/>
  <c r="Q290" i="11"/>
  <c r="R290" i="11" s="1"/>
  <c r="Q289" i="11"/>
  <c r="R289" i="11" s="1"/>
  <c r="Q288" i="11"/>
  <c r="R288" i="11" s="1"/>
  <c r="Q287" i="11"/>
  <c r="N287" i="11"/>
  <c r="Q286" i="11"/>
  <c r="N286" i="11"/>
  <c r="Q285" i="11"/>
  <c r="R284" i="11"/>
  <c r="N284" i="11"/>
  <c r="Q284" i="11" s="1"/>
  <c r="Q283" i="11"/>
  <c r="R283" i="11" s="1"/>
  <c r="Q282" i="11"/>
  <c r="R282" i="11" s="1"/>
  <c r="Q281" i="11"/>
  <c r="R281" i="11" s="1"/>
  <c r="Q280" i="11"/>
  <c r="R280" i="11" s="1"/>
  <c r="Q279" i="11"/>
  <c r="N279" i="11"/>
  <c r="Q278" i="11"/>
  <c r="N278" i="11"/>
  <c r="Q277" i="11"/>
  <c r="N277" i="11"/>
  <c r="R276" i="11"/>
  <c r="Q275" i="11"/>
  <c r="R275" i="11" s="1"/>
  <c r="R274" i="11"/>
  <c r="Q274" i="11"/>
  <c r="Q273" i="11"/>
  <c r="R273" i="11" s="1"/>
  <c r="Q272" i="11"/>
  <c r="R272" i="11" s="1"/>
  <c r="Q271" i="11"/>
  <c r="R271" i="11" s="1"/>
  <c r="P270" i="11"/>
  <c r="R270" i="11" s="1"/>
  <c r="Q269" i="11"/>
  <c r="R269" i="11" s="1"/>
  <c r="Q268" i="11"/>
  <c r="R268" i="11" s="1"/>
  <c r="P267" i="11"/>
  <c r="R267" i="11" s="1"/>
  <c r="Q266" i="11"/>
  <c r="R266" i="11" s="1"/>
  <c r="Q265" i="11"/>
  <c r="R265" i="11" s="1"/>
  <c r="Q264" i="11"/>
  <c r="N264" i="11"/>
  <c r="Q263" i="11"/>
  <c r="N263" i="11"/>
  <c r="Q262" i="11"/>
  <c r="N262" i="11"/>
  <c r="Q261" i="11"/>
  <c r="N261" i="11"/>
  <c r="Q260" i="11"/>
  <c r="R260" i="11" s="1"/>
  <c r="Q259" i="11"/>
  <c r="N259" i="11"/>
  <c r="Q258" i="11"/>
  <c r="N258" i="11"/>
  <c r="Q257" i="11"/>
  <c r="N257" i="11"/>
  <c r="Q256" i="11"/>
  <c r="R256" i="11" s="1"/>
  <c r="Q255" i="11"/>
  <c r="R255" i="11" s="1"/>
  <c r="Q254" i="11"/>
  <c r="Q253" i="11"/>
  <c r="R253" i="11" s="1"/>
  <c r="Q252" i="11"/>
  <c r="R252" i="11" s="1"/>
  <c r="Q251" i="11"/>
  <c r="R251" i="11" s="1"/>
  <c r="Q250" i="11"/>
  <c r="R250" i="11" s="1"/>
  <c r="R249" i="11"/>
  <c r="Q249" i="11"/>
  <c r="Q248" i="11"/>
  <c r="N248" i="11"/>
  <c r="Q247" i="11"/>
  <c r="N247" i="11"/>
  <c r="Q246" i="11"/>
  <c r="R246" i="11" s="1"/>
  <c r="Q245" i="11"/>
  <c r="N245" i="11"/>
  <c r="Q244" i="11"/>
  <c r="N244" i="11"/>
  <c r="Q243" i="11"/>
  <c r="N243" i="11"/>
  <c r="Q242" i="11"/>
  <c r="Q241" i="11"/>
  <c r="Q240" i="11"/>
  <c r="Q239" i="11"/>
  <c r="Q238" i="11"/>
  <c r="Q237" i="11"/>
  <c r="Q236" i="11"/>
  <c r="Q235" i="11"/>
  <c r="Q234" i="11"/>
  <c r="Q233" i="11"/>
  <c r="Q232" i="11"/>
  <c r="R231" i="11"/>
  <c r="N231" i="11"/>
  <c r="R230" i="11"/>
  <c r="Q230" i="11"/>
  <c r="Q229" i="11"/>
  <c r="N229" i="11"/>
  <c r="Q228" i="11"/>
  <c r="N228" i="11"/>
  <c r="Q227" i="11"/>
  <c r="N227" i="11"/>
  <c r="Q226" i="11"/>
  <c r="N226" i="11"/>
  <c r="Q225" i="11"/>
  <c r="R225" i="11" s="1"/>
  <c r="Q224" i="11"/>
  <c r="R224" i="11" s="1"/>
  <c r="Q223" i="11"/>
  <c r="R223" i="11" s="1"/>
  <c r="R222" i="11"/>
  <c r="N222" i="11"/>
  <c r="R221" i="11"/>
  <c r="Q221" i="11"/>
  <c r="M221" i="11"/>
  <c r="Q220" i="11"/>
  <c r="N220" i="11"/>
  <c r="Q219" i="11"/>
  <c r="R219" i="11" s="1"/>
  <c r="Q218" i="11"/>
  <c r="R218" i="11" s="1"/>
  <c r="R217" i="11"/>
  <c r="Q217" i="11"/>
  <c r="R216" i="11"/>
  <c r="Q216" i="11"/>
  <c r="R215" i="11"/>
  <c r="Q215" i="11"/>
  <c r="Q214" i="11"/>
  <c r="R214" i="11" s="1"/>
  <c r="Q213" i="11"/>
  <c r="N213" i="11"/>
  <c r="Q212" i="11"/>
  <c r="N212" i="11"/>
  <c r="Q211" i="11"/>
  <c r="N211" i="11"/>
  <c r="Q210" i="11"/>
  <c r="N210" i="11"/>
  <c r="Q209" i="11"/>
  <c r="N209" i="11"/>
  <c r="Q208" i="11"/>
  <c r="Q207" i="11"/>
  <c r="Q206" i="11"/>
  <c r="R206" i="11" s="1"/>
  <c r="Q205" i="11"/>
  <c r="N205" i="11"/>
  <c r="Q204" i="11"/>
  <c r="N204" i="11"/>
  <c r="Q203" i="11"/>
  <c r="N203" i="11"/>
  <c r="Q202" i="11"/>
  <c r="R202" i="11" s="1"/>
  <c r="R201" i="11"/>
  <c r="N201" i="11"/>
  <c r="Q201" i="11" s="1"/>
  <c r="Q200" i="11"/>
  <c r="N200" i="11"/>
  <c r="Q199" i="11"/>
  <c r="R199" i="11" s="1"/>
  <c r="Q198" i="11"/>
  <c r="R198" i="11" s="1"/>
  <c r="R197" i="11"/>
  <c r="Q196" i="11"/>
  <c r="R196" i="11" s="1"/>
  <c r="Q195" i="11"/>
  <c r="R195" i="11" s="1"/>
  <c r="Q194" i="11"/>
  <c r="R194" i="11" s="1"/>
  <c r="Q193" i="11"/>
  <c r="R193" i="11" s="1"/>
  <c r="H193" i="11"/>
  <c r="H194" i="11" s="1"/>
  <c r="R192" i="11"/>
  <c r="N192" i="11"/>
  <c r="Q192" i="11" s="1"/>
  <c r="Q191" i="11"/>
  <c r="N191" i="11"/>
  <c r="Q190" i="11"/>
  <c r="N190" i="11"/>
  <c r="Q189" i="11"/>
  <c r="N189" i="11"/>
  <c r="Q188" i="11"/>
  <c r="N188" i="11"/>
  <c r="Q187" i="11"/>
  <c r="N187" i="11"/>
  <c r="Q186" i="11"/>
  <c r="N186" i="11"/>
  <c r="Q185" i="11"/>
  <c r="R185" i="11" s="1"/>
  <c r="Q184" i="11"/>
  <c r="R184" i="11" s="1"/>
  <c r="Q183" i="11"/>
  <c r="R183" i="11" s="1"/>
  <c r="Q182" i="11"/>
  <c r="R182" i="11" s="1"/>
  <c r="P181" i="11"/>
  <c r="R181" i="11" s="1"/>
  <c r="N181" i="11"/>
  <c r="Q180" i="11"/>
  <c r="R180" i="11" s="1"/>
  <c r="Q179" i="11"/>
  <c r="R179" i="11" s="1"/>
  <c r="Q178" i="11"/>
  <c r="R178" i="11" s="1"/>
  <c r="Q177" i="11"/>
  <c r="R177" i="11" s="1"/>
  <c r="Q176" i="11"/>
  <c r="R176" i="11" s="1"/>
  <c r="Q175" i="11"/>
  <c r="R175" i="11" s="1"/>
  <c r="Q174" i="11"/>
  <c r="R174" i="11" s="1"/>
  <c r="Q173" i="11"/>
  <c r="R173" i="11" s="1"/>
  <c r="Q172" i="11"/>
  <c r="R172" i="11" s="1"/>
  <c r="Q171" i="11"/>
  <c r="R171" i="11" s="1"/>
  <c r="Q170" i="11"/>
  <c r="R170" i="11" s="1"/>
  <c r="Q169" i="11"/>
  <c r="R169" i="11" s="1"/>
  <c r="Q168" i="11"/>
  <c r="R168" i="11" s="1"/>
  <c r="Q167" i="11"/>
  <c r="R167" i="11" s="1"/>
  <c r="Q166" i="11"/>
  <c r="R166" i="11" s="1"/>
  <c r="P165" i="11"/>
  <c r="R165" i="11" s="1"/>
  <c r="P164" i="11"/>
  <c r="R164" i="11" s="1"/>
  <c r="P163" i="11"/>
  <c r="R163" i="11" s="1"/>
  <c r="N163" i="11"/>
  <c r="Q162" i="11"/>
  <c r="N162" i="11"/>
  <c r="Q161" i="11"/>
  <c r="R161" i="11" s="1"/>
  <c r="Q160" i="11"/>
  <c r="R160" i="11" s="1"/>
  <c r="Q159" i="11"/>
  <c r="R159" i="11" s="1"/>
  <c r="Q158" i="11"/>
  <c r="R158" i="11" s="1"/>
  <c r="Q157" i="11"/>
  <c r="R157" i="11" s="1"/>
  <c r="Q156" i="11"/>
  <c r="R156" i="11" s="1"/>
  <c r="Q155" i="11"/>
  <c r="R155" i="11" s="1"/>
  <c r="Q154" i="11"/>
  <c r="R154" i="11" s="1"/>
  <c r="Q153" i="11"/>
  <c r="R153" i="11" s="1"/>
  <c r="Q152" i="11"/>
  <c r="R152" i="11" s="1"/>
  <c r="Q136" i="11"/>
  <c r="R136" i="11" s="1"/>
  <c r="Q137" i="11"/>
  <c r="R137" i="11" s="1"/>
  <c r="Q138" i="11"/>
  <c r="R138" i="11" s="1"/>
  <c r="N139" i="11"/>
  <c r="Q139" i="11"/>
  <c r="Q140" i="11"/>
  <c r="R140" i="11" s="1"/>
  <c r="N141" i="11"/>
  <c r="Q141" i="11"/>
  <c r="Q142" i="11"/>
  <c r="R142" i="11" s="1"/>
  <c r="Q143" i="11"/>
  <c r="R143" i="11"/>
  <c r="N144" i="11"/>
  <c r="Q144" i="11"/>
  <c r="Q145" i="11"/>
  <c r="R145" i="11" s="1"/>
  <c r="Q146" i="11"/>
  <c r="R146" i="11" s="1"/>
  <c r="N147" i="11"/>
  <c r="P147" i="11"/>
  <c r="R147" i="11" s="1"/>
  <c r="N148" i="11"/>
  <c r="Q148" i="11"/>
  <c r="Q149" i="11"/>
  <c r="R149" i="11" s="1"/>
  <c r="N150" i="11"/>
  <c r="Q150" i="11"/>
  <c r="Q151" i="11"/>
  <c r="G117" i="11"/>
  <c r="H117" i="11"/>
  <c r="Q117" i="11"/>
  <c r="R117" i="11" s="1"/>
  <c r="M118" i="11"/>
  <c r="Q118" i="11"/>
  <c r="R118" i="11"/>
  <c r="M119" i="11"/>
  <c r="Q119" i="11"/>
  <c r="R119" i="11"/>
  <c r="M120" i="11"/>
  <c r="Q120" i="11"/>
  <c r="R120" i="11"/>
  <c r="M121" i="11"/>
  <c r="Q121" i="11"/>
  <c r="R121" i="11"/>
  <c r="M122" i="11"/>
  <c r="Q122" i="11"/>
  <c r="R122" i="11"/>
  <c r="M123" i="11"/>
  <c r="Q123" i="11"/>
  <c r="R123" i="11"/>
  <c r="M124" i="11"/>
  <c r="Q124" i="11"/>
  <c r="R124" i="11"/>
  <c r="M125" i="11"/>
  <c r="Q125" i="11"/>
  <c r="R125" i="11"/>
  <c r="M126" i="11"/>
  <c r="Q126" i="11"/>
  <c r="R126" i="11"/>
  <c r="N127" i="11"/>
  <c r="P127" i="11"/>
  <c r="R127" i="11" s="1"/>
  <c r="N128" i="11"/>
  <c r="P128" i="11"/>
  <c r="R128" i="11" s="1"/>
  <c r="Q129" i="11"/>
  <c r="R129" i="11" s="1"/>
  <c r="Q130" i="11"/>
  <c r="R130" i="11" s="1"/>
  <c r="Q131" i="11"/>
  <c r="R131" i="11" s="1"/>
  <c r="Q132" i="11"/>
  <c r="R132" i="11" s="1"/>
  <c r="Q133" i="11"/>
  <c r="R133" i="11" s="1"/>
  <c r="Q134" i="11"/>
  <c r="R134" i="11" s="1"/>
  <c r="Q135" i="11"/>
  <c r="R135" i="11" s="1"/>
  <c r="N115" i="11"/>
  <c r="Q115" i="11"/>
  <c r="Q116" i="11"/>
  <c r="Q111" i="11"/>
  <c r="R111" i="11" s="1"/>
  <c r="Q112" i="11"/>
  <c r="R112" i="11" s="1"/>
  <c r="Q113" i="11"/>
  <c r="R113" i="11" s="1"/>
  <c r="Q114" i="11"/>
  <c r="R114" i="11" s="1"/>
  <c r="P90" i="11"/>
  <c r="R90" i="11" s="1"/>
  <c r="Q91" i="11"/>
  <c r="R91" i="11" s="1"/>
  <c r="Q92" i="11"/>
  <c r="R92" i="11" s="1"/>
  <c r="J93" i="11"/>
  <c r="Q93" i="11"/>
  <c r="R93" i="11" s="1"/>
  <c r="Q94" i="11"/>
  <c r="R94" i="11" s="1"/>
  <c r="Q95" i="11"/>
  <c r="R95" i="11" s="1"/>
  <c r="Q96" i="11"/>
  <c r="R96" i="11" s="1"/>
  <c r="Q97" i="11"/>
  <c r="R97" i="11" s="1"/>
  <c r="Q98" i="11"/>
  <c r="R98" i="11" s="1"/>
  <c r="Q99" i="11"/>
  <c r="R99" i="11" s="1"/>
  <c r="Q100" i="11"/>
  <c r="R100" i="11" s="1"/>
  <c r="Q101" i="11"/>
  <c r="R101" i="11" s="1"/>
  <c r="Q102" i="11"/>
  <c r="R102" i="11" s="1"/>
  <c r="Q103" i="11"/>
  <c r="R103" i="11" s="1"/>
  <c r="Q104" i="11"/>
  <c r="R104" i="11" s="1"/>
  <c r="Q105" i="11"/>
  <c r="R105" i="11" s="1"/>
  <c r="Q106" i="11"/>
  <c r="R106" i="11" s="1"/>
  <c r="Q107" i="11"/>
  <c r="R107" i="11" s="1"/>
  <c r="Q108" i="11"/>
  <c r="R108" i="11" s="1"/>
  <c r="N109" i="11"/>
  <c r="Q109" i="11"/>
  <c r="N110" i="11"/>
  <c r="Q110" i="11"/>
  <c r="N83" i="11"/>
  <c r="N84" i="11" s="1"/>
  <c r="Q83" i="11"/>
  <c r="N85" i="11"/>
  <c r="R86" i="11"/>
  <c r="Q87" i="11"/>
  <c r="R87" i="11" s="1"/>
  <c r="Q88" i="11"/>
  <c r="R88" i="11" s="1"/>
  <c r="Q89" i="11"/>
  <c r="R89" i="11" s="1"/>
  <c r="Q82" i="11"/>
  <c r="R82" i="11" s="1"/>
  <c r="Q81" i="11"/>
  <c r="R81" i="11" s="1"/>
  <c r="Q80" i="11"/>
  <c r="N80" i="11"/>
  <c r="Q79" i="11"/>
  <c r="N79" i="11"/>
  <c r="Q78" i="11"/>
  <c r="N78" i="11"/>
  <c r="Q77" i="11"/>
  <c r="R77" i="11" s="1"/>
  <c r="Q76" i="11"/>
  <c r="N76" i="11"/>
  <c r="Q75" i="11"/>
  <c r="N75" i="11"/>
  <c r="Q74" i="11"/>
  <c r="N74" i="11"/>
  <c r="Q73" i="11"/>
  <c r="R73" i="11" s="1"/>
  <c r="Q72" i="11"/>
  <c r="R72" i="11" s="1"/>
  <c r="Q71" i="11"/>
  <c r="R71" i="11" s="1"/>
  <c r="Q70" i="11"/>
  <c r="R70" i="11" s="1"/>
  <c r="Q69" i="11"/>
  <c r="R69" i="11" s="1"/>
  <c r="Q68" i="11"/>
  <c r="R68" i="11" s="1"/>
  <c r="Q67" i="11"/>
  <c r="R67" i="11" s="1"/>
  <c r="Q66" i="11"/>
  <c r="R66" i="11" s="1"/>
  <c r="Q65" i="11"/>
  <c r="R65" i="11" s="1"/>
  <c r="Q64" i="11"/>
  <c r="N64" i="11"/>
  <c r="Q63" i="11"/>
  <c r="N63" i="11"/>
  <c r="Q62" i="11"/>
  <c r="N62" i="11"/>
  <c r="Q61" i="11"/>
  <c r="N61" i="11"/>
  <c r="Q60" i="11"/>
  <c r="N60" i="11"/>
  <c r="Q59" i="11"/>
  <c r="N59" i="11"/>
  <c r="Q58" i="11"/>
  <c r="N58" i="11"/>
  <c r="Q57" i="11"/>
  <c r="N57" i="11"/>
  <c r="Q56" i="11"/>
  <c r="N56" i="11"/>
  <c r="Q55" i="11"/>
  <c r="N55" i="11"/>
  <c r="Q54" i="11"/>
  <c r="N54" i="11"/>
  <c r="Q53" i="11"/>
  <c r="N53" i="11"/>
  <c r="Q52" i="11"/>
  <c r="R52" i="11" s="1"/>
  <c r="Q51" i="11"/>
  <c r="R51" i="11" s="1"/>
  <c r="P50" i="11"/>
  <c r="R50" i="11" s="1"/>
  <c r="Q49" i="11"/>
  <c r="R49" i="11" s="1"/>
  <c r="Q48" i="11"/>
  <c r="R48" i="11" s="1"/>
  <c r="Q47" i="11"/>
  <c r="R47" i="11" s="1"/>
  <c r="R46" i="11"/>
  <c r="Q45" i="11"/>
  <c r="R45" i="11" s="1"/>
  <c r="Q44" i="11"/>
  <c r="R44" i="11" s="1"/>
  <c r="Q43" i="11"/>
  <c r="R43" i="11" s="1"/>
  <c r="Q42" i="11"/>
  <c r="R42" i="11" s="1"/>
  <c r="Q41" i="11"/>
  <c r="R41" i="11" s="1"/>
  <c r="Q40" i="11"/>
  <c r="R40" i="11" s="1"/>
  <c r="Q39" i="11"/>
  <c r="R39" i="11" s="1"/>
  <c r="Q38" i="11"/>
  <c r="R38" i="11" s="1"/>
  <c r="Q37" i="11"/>
  <c r="R37" i="11" s="1"/>
  <c r="R36" i="11"/>
  <c r="Q35" i="11"/>
  <c r="N35" i="11"/>
  <c r="Q34" i="11"/>
  <c r="R34" i="11" s="1"/>
  <c r="Q33" i="11"/>
  <c r="R33" i="11" s="1"/>
  <c r="Q32" i="11"/>
  <c r="N32" i="11"/>
  <c r="Q31" i="11"/>
  <c r="R31" i="11" s="1"/>
  <c r="Q30" i="11"/>
  <c r="R30" i="11" s="1"/>
  <c r="Q29" i="11"/>
  <c r="R29" i="11" s="1"/>
  <c r="Q28" i="11"/>
  <c r="R28" i="11" s="1"/>
  <c r="Q27" i="11"/>
  <c r="N27" i="11"/>
  <c r="G27" i="11"/>
  <c r="Q26" i="11"/>
  <c r="R26" i="11" s="1"/>
  <c r="Q25" i="11"/>
  <c r="R25" i="11" s="1"/>
  <c r="Q24" i="11"/>
  <c r="R24" i="11" s="1"/>
  <c r="Q23" i="11"/>
  <c r="R23" i="11" s="1"/>
  <c r="Q22" i="11"/>
  <c r="R22" i="11" s="1"/>
  <c r="Q21" i="11"/>
  <c r="R21" i="11" s="1"/>
  <c r="Q20" i="11"/>
  <c r="R20" i="11" s="1"/>
  <c r="Q19" i="11"/>
  <c r="R19" i="11" s="1"/>
  <c r="P18" i="11"/>
  <c r="S18" i="11" s="1"/>
  <c r="P17" i="11"/>
  <c r="N17" i="11"/>
  <c r="P16" i="11"/>
  <c r="R16" i="11" s="1"/>
  <c r="Q15" i="11"/>
  <c r="R15" i="11" s="1"/>
  <c r="R14" i="11"/>
  <c r="Q14" i="11"/>
  <c r="Q13" i="11"/>
  <c r="R13" i="11" s="1"/>
  <c r="Q12" i="11"/>
  <c r="R12" i="11" s="1"/>
  <c r="Q11" i="11"/>
  <c r="R11" i="11" s="1"/>
  <c r="Q9" i="11"/>
  <c r="R9" i="11" s="1"/>
  <c r="Q10" i="11"/>
  <c r="R10" i="11" s="1"/>
  <c r="Q3" i="11"/>
  <c r="R6" i="11"/>
  <c r="P7" i="11"/>
  <c r="Q7" i="11" s="1"/>
  <c r="Q8" i="11"/>
  <c r="R5" i="11"/>
  <c r="N5" i="11"/>
  <c r="Q5" i="11" s="1"/>
  <c r="R4" i="11"/>
  <c r="N4" i="11"/>
  <c r="Q4" i="11" s="1"/>
  <c r="N4" i="1"/>
  <c r="R4" i="1"/>
  <c r="Q512" i="1"/>
  <c r="R512" i="1" s="1"/>
  <c r="Q551" i="1"/>
  <c r="R551" i="1" s="1"/>
  <c r="Q513" i="1"/>
  <c r="R513" i="1" s="1"/>
  <c r="P550" i="1"/>
  <c r="Q550" i="1" s="1"/>
  <c r="Q514" i="1"/>
  <c r="R514" i="1"/>
  <c r="Q515" i="1"/>
  <c r="R515" i="1"/>
  <c r="Q516" i="1"/>
  <c r="R516" i="1"/>
  <c r="Q517" i="1"/>
  <c r="R517" i="1" s="1"/>
  <c r="Q573" i="1"/>
  <c r="Q1853" i="1"/>
  <c r="R1853" i="1"/>
  <c r="O115" i="11"/>
  <c r="O116" i="11" s="1"/>
  <c r="O152" i="11"/>
  <c r="Q1588" i="1"/>
  <c r="Q1589" i="1"/>
  <c r="R1589" i="1"/>
  <c r="Q1590" i="1"/>
  <c r="R1590" i="1"/>
  <c r="Q1591" i="1"/>
  <c r="R1591" i="1"/>
  <c r="Q1592" i="1"/>
  <c r="R1592" i="1" s="1"/>
  <c r="Q1593" i="1"/>
  <c r="R1593" i="1" s="1"/>
  <c r="Q1594" i="1"/>
  <c r="R1594" i="1" s="1"/>
  <c r="R1595" i="1"/>
  <c r="Q1596" i="1"/>
  <c r="R1596" i="1" s="1"/>
  <c r="Q1575" i="1"/>
  <c r="R1575" i="1" s="1"/>
  <c r="Q1576" i="1"/>
  <c r="R1576" i="1" s="1"/>
  <c r="Q1577" i="1"/>
  <c r="R1577" i="1" s="1"/>
  <c r="Q1578" i="1"/>
  <c r="R1578" i="1" s="1"/>
  <c r="Q1579" i="1"/>
  <c r="R1579" i="1" s="1"/>
  <c r="P1597" i="1"/>
  <c r="Q1597" i="1" s="1"/>
  <c r="Q1598" i="1"/>
  <c r="R1598" i="1" s="1"/>
  <c r="P1599" i="1"/>
  <c r="Q1599" i="1" s="1"/>
  <c r="P1600" i="1"/>
  <c r="P1601" i="1"/>
  <c r="Q1602" i="1"/>
  <c r="R1602" i="1" s="1"/>
  <c r="Q1603" i="1"/>
  <c r="R1603" i="1" s="1"/>
  <c r="Q1604" i="1"/>
  <c r="R1604" i="1" s="1"/>
  <c r="Q1605" i="1"/>
  <c r="R1605" i="1" s="1"/>
  <c r="Q1606" i="1"/>
  <c r="R1606" i="1" s="1"/>
  <c r="N1580" i="1"/>
  <c r="Q1580" i="1"/>
  <c r="N1581" i="1"/>
  <c r="Q1581" i="1"/>
  <c r="N1582" i="1"/>
  <c r="Q1582" i="1"/>
  <c r="N1583" i="1"/>
  <c r="Q1583" i="1"/>
  <c r="Q1607" i="1"/>
  <c r="R1607" i="1" s="1"/>
  <c r="Q1608" i="1"/>
  <c r="R1608" i="1" s="1"/>
  <c r="Q1609" i="1"/>
  <c r="R1609" i="1" s="1"/>
  <c r="Q1610" i="1"/>
  <c r="R1610" i="1" s="1"/>
  <c r="Q1611" i="1"/>
  <c r="R1611" i="1" s="1"/>
  <c r="Q1612" i="1"/>
  <c r="R1612" i="1" s="1"/>
  <c r="Q1613" i="1"/>
  <c r="R1613" i="1" s="1"/>
  <c r="Q1614" i="1"/>
  <c r="R1614" i="1" s="1"/>
  <c r="Q1615" i="1"/>
  <c r="R1615" i="1" s="1"/>
  <c r="Q1616" i="1"/>
  <c r="R1616" i="1" s="1"/>
  <c r="Q1584" i="1"/>
  <c r="R1584" i="1" s="1"/>
  <c r="P1585" i="1"/>
  <c r="R1585" i="1" s="1"/>
  <c r="P1586" i="1"/>
  <c r="R1586" i="1" s="1"/>
  <c r="N1587" i="1"/>
  <c r="P1587" i="1"/>
  <c r="R1587" i="1" s="1"/>
  <c r="Q1587" i="1"/>
  <c r="Q1878" i="1"/>
  <c r="R1878" i="1"/>
  <c r="Q10" i="1"/>
  <c r="R10" i="1"/>
  <c r="P746" i="1"/>
  <c r="R746" i="1" s="1"/>
  <c r="Q3" i="1"/>
  <c r="R3" i="1"/>
  <c r="Q1617" i="1"/>
  <c r="R1617" i="1" s="1"/>
  <c r="P409" i="1"/>
  <c r="P410" i="1"/>
  <c r="Q410" i="1" s="1"/>
  <c r="P411" i="1"/>
  <c r="P412" i="1"/>
  <c r="N413" i="1"/>
  <c r="P413" i="1"/>
  <c r="R413" i="1" s="1"/>
  <c r="N414" i="1"/>
  <c r="P414" i="1"/>
  <c r="Q415" i="1"/>
  <c r="N416" i="1"/>
  <c r="R416" i="1"/>
  <c r="Q1618" i="1"/>
  <c r="R1618" i="1" s="1"/>
  <c r="Q1619" i="1"/>
  <c r="R1619" i="1" s="1"/>
  <c r="Q1620" i="1"/>
  <c r="R1620" i="1" s="1"/>
  <c r="P1621" i="1"/>
  <c r="Q1621" i="1" s="1"/>
  <c r="Q1622" i="1"/>
  <c r="R1622" i="1"/>
  <c r="Q1623" i="1"/>
  <c r="R1623" i="1" s="1"/>
  <c r="Q1624" i="1"/>
  <c r="R1624" i="1" s="1"/>
  <c r="Q1625" i="1"/>
  <c r="R1625" i="1" s="1"/>
  <c r="Q1626" i="1"/>
  <c r="R1626" i="1" s="1"/>
  <c r="Q1627" i="1"/>
  <c r="R1627" i="1" s="1"/>
  <c r="N241" i="1"/>
  <c r="Q241" i="1"/>
  <c r="N242" i="1"/>
  <c r="Q242" i="1" s="1"/>
  <c r="R242" i="1"/>
  <c r="N243" i="1"/>
  <c r="Q243" i="1" s="1"/>
  <c r="R243" i="1"/>
  <c r="Q1950" i="1"/>
  <c r="Q1951" i="1"/>
  <c r="R1951" i="1" s="1"/>
  <c r="P1952" i="1"/>
  <c r="Q1952" i="1" s="1"/>
  <c r="Q1953" i="1"/>
  <c r="R1953" i="1"/>
  <c r="Q1954" i="1"/>
  <c r="R1954" i="1"/>
  <c r="Q1955" i="1"/>
  <c r="R1955" i="1"/>
  <c r="Q1956" i="1"/>
  <c r="R1956" i="1" s="1"/>
  <c r="Q1957" i="1"/>
  <c r="R1957" i="1" s="1"/>
  <c r="Q1958" i="1"/>
  <c r="R1958" i="1"/>
  <c r="Q1959" i="1"/>
  <c r="R1959" i="1" s="1"/>
  <c r="Q1960" i="1"/>
  <c r="R1960" i="1" s="1"/>
  <c r="Q319" i="1"/>
  <c r="R319" i="1"/>
  <c r="N518" i="1"/>
  <c r="P518" i="1"/>
  <c r="R518" i="1" s="1"/>
  <c r="Q519" i="1"/>
  <c r="R519" i="1" s="1"/>
  <c r="Q552" i="1"/>
  <c r="R552" i="1" s="1"/>
  <c r="Q520" i="1"/>
  <c r="R520" i="1"/>
  <c r="Q521" i="1"/>
  <c r="R521" i="1"/>
  <c r="Q522" i="1"/>
  <c r="R522" i="1" s="1"/>
  <c r="Q523" i="1"/>
  <c r="R523" i="1" s="1"/>
  <c r="Q524" i="1"/>
  <c r="R524" i="1"/>
  <c r="Q525" i="1"/>
  <c r="R525" i="1"/>
  <c r="Q526" i="1"/>
  <c r="R526" i="1" s="1"/>
  <c r="Q527" i="1"/>
  <c r="R527" i="1" s="1"/>
  <c r="Q528" i="1"/>
  <c r="R528" i="1"/>
  <c r="Q529" i="1"/>
  <c r="R529" i="1"/>
  <c r="Q530" i="1"/>
  <c r="R530" i="1" s="1"/>
  <c r="Q531" i="1"/>
  <c r="R531" i="1" s="1"/>
  <c r="Q532" i="1"/>
  <c r="R532" i="1"/>
  <c r="Q533" i="1"/>
  <c r="R533" i="1"/>
  <c r="N564" i="1"/>
  <c r="Q564" i="1"/>
  <c r="Q565" i="1"/>
  <c r="R565" i="1" s="1"/>
  <c r="Q534" i="1"/>
  <c r="R534" i="1" s="1"/>
  <c r="Q535" i="1"/>
  <c r="R535" i="1" s="1"/>
  <c r="Q536" i="1"/>
  <c r="R536" i="1"/>
  <c r="Q537" i="1"/>
  <c r="R537" i="1"/>
  <c r="Q553" i="1"/>
  <c r="R553" i="1" s="1"/>
  <c r="Q554" i="1"/>
  <c r="R554" i="1" s="1"/>
  <c r="Q555" i="1"/>
  <c r="R555" i="1"/>
  <c r="Q556" i="1"/>
  <c r="R556" i="1"/>
  <c r="Q557" i="1"/>
  <c r="R557" i="1"/>
  <c r="Q566" i="1"/>
  <c r="R566" i="1" s="1"/>
  <c r="Q567" i="1"/>
  <c r="R567" i="1" s="1"/>
  <c r="Q558" i="1"/>
  <c r="R558" i="1"/>
  <c r="Q561" i="1"/>
  <c r="R561" i="1" s="1"/>
  <c r="Q559" i="1"/>
  <c r="R559" i="1"/>
  <c r="Q562" i="1"/>
  <c r="R562" i="1"/>
  <c r="Q560" i="1"/>
  <c r="R560" i="1"/>
  <c r="Q563" i="1"/>
  <c r="R563" i="1"/>
  <c r="Q568" i="1"/>
  <c r="R568" i="1" s="1"/>
  <c r="Q569" i="1"/>
  <c r="R569" i="1"/>
  <c r="Q570" i="1"/>
  <c r="R570" i="1"/>
  <c r="Q538" i="1"/>
  <c r="R538" i="1" s="1"/>
  <c r="Q539" i="1"/>
  <c r="R539" i="1" s="1"/>
  <c r="Q540" i="1"/>
  <c r="R540" i="1"/>
  <c r="Q541" i="1"/>
  <c r="R541" i="1"/>
  <c r="Q542" i="1"/>
  <c r="R542" i="1" s="1"/>
  <c r="Q543" i="1"/>
  <c r="R543" i="1" s="1"/>
  <c r="Q544" i="1"/>
  <c r="R544" i="1"/>
  <c r="Q545" i="1"/>
  <c r="R545" i="1"/>
  <c r="Q546" i="1"/>
  <c r="R546" i="1" s="1"/>
  <c r="Q547" i="1"/>
  <c r="R547" i="1" s="1"/>
  <c r="Q548" i="1"/>
  <c r="R548" i="1" s="1"/>
  <c r="Q1056" i="1"/>
  <c r="Q1057" i="1"/>
  <c r="R1057" i="1" s="1"/>
  <c r="Q1058" i="1"/>
  <c r="R1058" i="1" s="1"/>
  <c r="Q1059" i="1"/>
  <c r="R1059" i="1" s="1"/>
  <c r="Q1060" i="1"/>
  <c r="R1060" i="1" s="1"/>
  <c r="Q1061" i="1"/>
  <c r="R1061" i="1" s="1"/>
  <c r="Q549" i="1"/>
  <c r="R549" i="1" s="1"/>
  <c r="Q1558" i="1"/>
  <c r="R1558" i="1" s="1"/>
  <c r="Q1563" i="1"/>
  <c r="R1563" i="1" s="1"/>
  <c r="Q1564" i="1"/>
  <c r="R1564" i="1" s="1"/>
  <c r="Q1565" i="1"/>
  <c r="R1565" i="1" s="1"/>
  <c r="Q1566" i="1"/>
  <c r="R1566" i="1" s="1"/>
  <c r="Q1567" i="1"/>
  <c r="R1567" i="1" s="1"/>
  <c r="Q1568" i="1"/>
  <c r="R1568" i="1" s="1"/>
  <c r="Q1569" i="1"/>
  <c r="R1569" i="1" s="1"/>
  <c r="Q1570" i="1"/>
  <c r="R1570" i="1" s="1"/>
  <c r="Q1571" i="1"/>
  <c r="R1571" i="1" s="1"/>
  <c r="Q1572" i="1"/>
  <c r="R1572" i="1" s="1"/>
  <c r="Q1573" i="1"/>
  <c r="R1573" i="1" s="1"/>
  <c r="Q1574" i="1"/>
  <c r="R1574" i="1" s="1"/>
  <c r="Q1562" i="1"/>
  <c r="R1562" i="1" s="1"/>
  <c r="Q1559" i="1"/>
  <c r="R1559" i="1" s="1"/>
  <c r="Q1560" i="1"/>
  <c r="R1560" i="1" s="1"/>
  <c r="Q1561" i="1"/>
  <c r="R1561" i="1" s="1"/>
  <c r="Q301" i="1"/>
  <c r="R301" i="1"/>
  <c r="N1303" i="1"/>
  <c r="Q1303" i="1"/>
  <c r="N1304" i="1"/>
  <c r="Q1304" i="1"/>
  <c r="N1305" i="1"/>
  <c r="Q1305" i="1"/>
  <c r="N1306" i="1"/>
  <c r="Q1306" i="1"/>
  <c r="N1307" i="1"/>
  <c r="Q1307" i="1"/>
  <c r="N1308" i="1"/>
  <c r="Q1308" i="1"/>
  <c r="N1309" i="1"/>
  <c r="Q1309" i="1"/>
  <c r="N1310" i="1"/>
  <c r="Q1310" i="1"/>
  <c r="N1311" i="1"/>
  <c r="Q1311" i="1"/>
  <c r="N1328" i="1"/>
  <c r="Q1328" i="1"/>
  <c r="N1312" i="1"/>
  <c r="Q1312" i="1"/>
  <c r="N1329" i="1"/>
  <c r="Q1329" i="1"/>
  <c r="N1313" i="1"/>
  <c r="Q1313" i="1"/>
  <c r="N1330" i="1"/>
  <c r="Q1330" i="1"/>
  <c r="N1314" i="1"/>
  <c r="Q1314" i="1"/>
  <c r="N1331" i="1"/>
  <c r="Q1331" i="1"/>
  <c r="N1315" i="1"/>
  <c r="Q1315" i="1"/>
  <c r="N1332" i="1"/>
  <c r="Q1332" i="1"/>
  <c r="N1316" i="1"/>
  <c r="Q1316" i="1"/>
  <c r="N1333" i="1"/>
  <c r="Q1333" i="1"/>
  <c r="N1317" i="1"/>
  <c r="Q1317" i="1"/>
  <c r="N1334" i="1"/>
  <c r="Q1334" i="1"/>
  <c r="N1318" i="1"/>
  <c r="Q1318" i="1"/>
  <c r="N1335" i="1"/>
  <c r="Q1335" i="1"/>
  <c r="N1319" i="1"/>
  <c r="Q1319" i="1"/>
  <c r="N1336" i="1"/>
  <c r="Q1336" i="1"/>
  <c r="N1320" i="1"/>
  <c r="Q1320" i="1"/>
  <c r="N1337" i="1"/>
  <c r="Q1337" i="1"/>
  <c r="N1321" i="1"/>
  <c r="Q1321" i="1"/>
  <c r="N1338" i="1"/>
  <c r="Q1338" i="1"/>
  <c r="N1322" i="1"/>
  <c r="Q1322" i="1"/>
  <c r="N1339" i="1"/>
  <c r="Q1339" i="1"/>
  <c r="R1323" i="1"/>
  <c r="N1327" i="1"/>
  <c r="P1327" i="1"/>
  <c r="R1327" i="1" s="1"/>
  <c r="Q1340" i="1"/>
  <c r="R1340" i="1" s="1"/>
  <c r="N1324" i="1"/>
  <c r="Q1324" i="1"/>
  <c r="N1325" i="1"/>
  <c r="Q1325" i="1"/>
  <c r="N1326" i="1"/>
  <c r="Q1326" i="1"/>
  <c r="P952" i="1"/>
  <c r="Q952" i="1" s="1"/>
  <c r="P953" i="1"/>
  <c r="R953" i="1" s="1"/>
  <c r="Q954" i="1"/>
  <c r="R955" i="1"/>
  <c r="Q956" i="1"/>
  <c r="R956" i="1"/>
  <c r="P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R1635" i="1" s="1"/>
  <c r="Q1636" i="1"/>
  <c r="R1636" i="1" s="1"/>
  <c r="Q1637" i="1"/>
  <c r="R1637" i="1" s="1"/>
  <c r="Q1638" i="1"/>
  <c r="R1638" i="1" s="1"/>
  <c r="Q1639" i="1"/>
  <c r="R1639" i="1" s="1"/>
  <c r="Q1640" i="1"/>
  <c r="R1640" i="1" s="1"/>
  <c r="Q1641" i="1"/>
  <c r="R1641" i="1" s="1"/>
  <c r="Q1642" i="1"/>
  <c r="R1642" i="1" s="1"/>
  <c r="Q1643" i="1"/>
  <c r="R1643" i="1" s="1"/>
  <c r="Q1644" i="1"/>
  <c r="R1644" i="1" s="1"/>
  <c r="Q1645" i="1"/>
  <c r="R1645" i="1" s="1"/>
  <c r="Q1646" i="1"/>
  <c r="R1646" i="1" s="1"/>
  <c r="Q1647" i="1"/>
  <c r="R1647" i="1" s="1"/>
  <c r="Q1648" i="1"/>
  <c r="R1648" i="1" s="1"/>
  <c r="Q1649" i="1"/>
  <c r="R1649" i="1" s="1"/>
  <c r="Q1650" i="1"/>
  <c r="R1650" i="1" s="1"/>
  <c r="Q1651" i="1"/>
  <c r="R1651" i="1" s="1"/>
  <c r="Q1652" i="1"/>
  <c r="R1652" i="1"/>
  <c r="Q1653" i="1"/>
  <c r="R1653" i="1"/>
  <c r="Q1654" i="1"/>
  <c r="R1654" i="1"/>
  <c r="Q1684" i="1"/>
  <c r="R1684" i="1"/>
  <c r="Q1685" i="1"/>
  <c r="R1685" i="1"/>
  <c r="R1686" i="1"/>
  <c r="Q1687" i="1"/>
  <c r="R1687" i="1"/>
  <c r="Q1688" i="1"/>
  <c r="R1688" i="1"/>
  <c r="Q1689" i="1"/>
  <c r="R1689" i="1"/>
  <c r="R1690" i="1"/>
  <c r="Q1691" i="1"/>
  <c r="R1691" i="1"/>
  <c r="Q1692" i="1"/>
  <c r="R1692" i="1"/>
  <c r="Q1693" i="1"/>
  <c r="R1693" i="1"/>
  <c r="Q1694" i="1"/>
  <c r="R1694" i="1"/>
  <c r="Q1695" i="1"/>
  <c r="R1695" i="1"/>
  <c r="Q1655" i="1"/>
  <c r="R1655" i="1"/>
  <c r="Q1656" i="1"/>
  <c r="R1656" i="1"/>
  <c r="Q1657" i="1"/>
  <c r="R1657" i="1"/>
  <c r="Q1696" i="1"/>
  <c r="R1696" i="1"/>
  <c r="Q1658" i="1"/>
  <c r="R1658" i="1"/>
  <c r="Q1659" i="1"/>
  <c r="R1659" i="1"/>
  <c r="Q1660" i="1"/>
  <c r="R1660" i="1"/>
  <c r="Q1661" i="1"/>
  <c r="R1661" i="1"/>
  <c r="Q1662" i="1"/>
  <c r="R1662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700" i="1"/>
  <c r="R1700" i="1"/>
  <c r="Q1701" i="1"/>
  <c r="R1701" i="1"/>
  <c r="Q1702" i="1"/>
  <c r="R1702" i="1"/>
  <c r="Q1703" i="1"/>
  <c r="R1703" i="1"/>
  <c r="Q1669" i="1"/>
  <c r="R1669" i="1"/>
  <c r="Q1670" i="1"/>
  <c r="R1670" i="1"/>
  <c r="Q1671" i="1"/>
  <c r="R1671" i="1"/>
  <c r="Q1672" i="1"/>
  <c r="R1672" i="1"/>
  <c r="Q1673" i="1"/>
  <c r="R1673" i="1"/>
  <c r="Q1697" i="1"/>
  <c r="R1697" i="1"/>
  <c r="Q1698" i="1"/>
  <c r="R1698" i="1"/>
  <c r="Q1699" i="1"/>
  <c r="R1699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713" i="1"/>
  <c r="R1713" i="1"/>
  <c r="Q1682" i="1"/>
  <c r="R1682" i="1"/>
  <c r="Q1683" i="1"/>
  <c r="R1683" i="1"/>
  <c r="P957" i="1"/>
  <c r="Q957" i="1" s="1"/>
  <c r="Q1450" i="1"/>
  <c r="R1450" i="1" s="1"/>
  <c r="Q1451" i="1"/>
  <c r="R1451" i="1" s="1"/>
  <c r="Q1452" i="1"/>
  <c r="R1452" i="1" s="1"/>
  <c r="Q1453" i="1"/>
  <c r="R1453" i="1" s="1"/>
  <c r="Q1454" i="1"/>
  <c r="R1454" i="1" s="1"/>
  <c r="Q1455" i="1"/>
  <c r="R1455" i="1" s="1"/>
  <c r="N1006" i="1"/>
  <c r="Q1006" i="1"/>
  <c r="N1007" i="1"/>
  <c r="Q1007" i="1"/>
  <c r="N1008" i="1"/>
  <c r="Q1008" i="1"/>
  <c r="N1009" i="1"/>
  <c r="Q1009" i="1"/>
  <c r="N1010" i="1"/>
  <c r="Q1010" i="1"/>
  <c r="Q261" i="1"/>
  <c r="R261" i="1"/>
  <c r="P262" i="1"/>
  <c r="N262" i="1" s="1"/>
  <c r="N263" i="1"/>
  <c r="Q263" i="1" s="1"/>
  <c r="R263" i="1"/>
  <c r="N264" i="1"/>
  <c r="P264" i="1"/>
  <c r="R264" i="1" s="1"/>
  <c r="N265" i="1"/>
  <c r="Q265" i="1" s="1"/>
  <c r="R265" i="1"/>
  <c r="N266" i="1"/>
  <c r="Q266" i="1" s="1"/>
  <c r="R266" i="1"/>
  <c r="N267" i="1"/>
  <c r="Q267" i="1" s="1"/>
  <c r="R267" i="1"/>
  <c r="N268" i="1"/>
  <c r="Q268" i="1" s="1"/>
  <c r="R268" i="1"/>
  <c r="N269" i="1"/>
  <c r="Q269" i="1" s="1"/>
  <c r="R269" i="1"/>
  <c r="N270" i="1"/>
  <c r="Q270" i="1" s="1"/>
  <c r="R270" i="1"/>
  <c r="N271" i="1"/>
  <c r="Q271" i="1" s="1"/>
  <c r="R271" i="1"/>
  <c r="N272" i="1"/>
  <c r="Q272" i="1" s="1"/>
  <c r="R272" i="1"/>
  <c r="N273" i="1"/>
  <c r="Q273" i="1" s="1"/>
  <c r="R273" i="1"/>
  <c r="N274" i="1"/>
  <c r="Q274" i="1" s="1"/>
  <c r="R274" i="1"/>
  <c r="N275" i="1"/>
  <c r="Q275" i="1" s="1"/>
  <c r="R275" i="1"/>
  <c r="N276" i="1"/>
  <c r="Q276" i="1" s="1"/>
  <c r="R276" i="1"/>
  <c r="N277" i="1"/>
  <c r="Q277" i="1" s="1"/>
  <c r="R277" i="1"/>
  <c r="P278" i="1"/>
  <c r="N278" i="1" s="1"/>
  <c r="N279" i="1"/>
  <c r="Q279" i="1" s="1"/>
  <c r="R279" i="1"/>
  <c r="N280" i="1"/>
  <c r="Q280" i="1" s="1"/>
  <c r="R280" i="1"/>
  <c r="N281" i="1"/>
  <c r="Q281" i="1" s="1"/>
  <c r="R281" i="1"/>
  <c r="N282" i="1"/>
  <c r="P282" i="1"/>
  <c r="R282" i="1" s="1"/>
  <c r="N283" i="1"/>
  <c r="P283" i="1"/>
  <c r="R283" i="1" s="1"/>
  <c r="R284" i="1"/>
  <c r="P1398" i="1"/>
  <c r="Q1398" i="1" s="1"/>
  <c r="Q1966" i="1"/>
  <c r="R1966" i="1" s="1"/>
  <c r="Q1967" i="1"/>
  <c r="R1967" i="1" s="1"/>
  <c r="Q425" i="1"/>
  <c r="R425" i="1" s="1"/>
  <c r="Q1456" i="1"/>
  <c r="Q1457" i="1"/>
  <c r="R1457" i="1" s="1"/>
  <c r="Q1458" i="1"/>
  <c r="R1458" i="1" s="1"/>
  <c r="Q1490" i="1"/>
  <c r="R1490" i="1" s="1"/>
  <c r="Q1554" i="1"/>
  <c r="R1554" i="1" s="1"/>
  <c r="Q1505" i="1"/>
  <c r="R1505" i="1"/>
  <c r="Q1515" i="1"/>
  <c r="R1515" i="1"/>
  <c r="Q1524" i="1"/>
  <c r="R1524" i="1"/>
  <c r="Q1525" i="1"/>
  <c r="R1525" i="1"/>
  <c r="Q1526" i="1"/>
  <c r="R1526" i="1"/>
  <c r="Q1527" i="1"/>
  <c r="R1527" i="1"/>
  <c r="Q1528" i="1"/>
  <c r="R1528" i="1"/>
  <c r="Q1545" i="1"/>
  <c r="R1545" i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R1467" i="1" s="1"/>
  <c r="P1468" i="1"/>
  <c r="Q1468" i="1" s="1"/>
  <c r="Q1491" i="1"/>
  <c r="R1491" i="1"/>
  <c r="Q1492" i="1"/>
  <c r="R1492" i="1"/>
  <c r="Q1493" i="1"/>
  <c r="R1493" i="1"/>
  <c r="N1506" i="1"/>
  <c r="P1506" i="1"/>
  <c r="N1507" i="1"/>
  <c r="Q1507" i="1" s="1"/>
  <c r="R1507" i="1"/>
  <c r="N1508" i="1"/>
  <c r="Q1508" i="1" s="1"/>
  <c r="R1508" i="1"/>
  <c r="N1509" i="1"/>
  <c r="Q1509" i="1" s="1"/>
  <c r="R1509" i="1"/>
  <c r="N1510" i="1"/>
  <c r="Q1510" i="1" s="1"/>
  <c r="R1510" i="1"/>
  <c r="N1511" i="1"/>
  <c r="Q1511" i="1" s="1"/>
  <c r="R1511" i="1"/>
  <c r="N1512" i="1"/>
  <c r="Q1512" i="1" s="1"/>
  <c r="R1512" i="1"/>
  <c r="N1513" i="1"/>
  <c r="Q1513" i="1" s="1"/>
  <c r="R1513" i="1"/>
  <c r="Q1469" i="1"/>
  <c r="R1469" i="1"/>
  <c r="Q1494" i="1"/>
  <c r="R1494" i="1"/>
  <c r="Q1470" i="1"/>
  <c r="R1470" i="1"/>
  <c r="N1514" i="1"/>
  <c r="Q1514" i="1" s="1"/>
  <c r="R1514" i="1"/>
  <c r="Q1516" i="1"/>
  <c r="R1516" i="1"/>
  <c r="Q1517" i="1"/>
  <c r="R1517" i="1"/>
  <c r="Q1518" i="1"/>
  <c r="R1518" i="1"/>
  <c r="Q1519" i="1"/>
  <c r="R1519" i="1"/>
  <c r="Q1520" i="1"/>
  <c r="R1520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55" i="1"/>
  <c r="R1555" i="1"/>
  <c r="Q1449" i="1"/>
  <c r="R1449" i="1"/>
  <c r="N1495" i="1"/>
  <c r="P1495" i="1"/>
  <c r="N1496" i="1"/>
  <c r="R1521" i="1"/>
  <c r="Q1550" i="1"/>
  <c r="R1550" i="1"/>
  <c r="Q1497" i="1"/>
  <c r="R1497" i="1"/>
  <c r="Q1489" i="1"/>
  <c r="R1489" i="1"/>
  <c r="Q1471" i="1"/>
  <c r="R1471" i="1" s="1"/>
  <c r="Q1472" i="1"/>
  <c r="R1472" i="1" s="1"/>
  <c r="Q1473" i="1"/>
  <c r="R1473" i="1" s="1"/>
  <c r="Q1474" i="1"/>
  <c r="R1474" i="1" s="1"/>
  <c r="Q1475" i="1"/>
  <c r="R1475" i="1"/>
  <c r="Q1476" i="1"/>
  <c r="R1476" i="1" s="1"/>
  <c r="Q1477" i="1"/>
  <c r="R1477" i="1" s="1"/>
  <c r="Q1478" i="1"/>
  <c r="R1478" i="1" s="1"/>
  <c r="Q1479" i="1"/>
  <c r="R1479" i="1" s="1"/>
  <c r="N1552" i="1"/>
  <c r="R1552" i="1"/>
  <c r="P1480" i="1"/>
  <c r="R1480" i="1" s="1"/>
  <c r="Q1481" i="1"/>
  <c r="R1481" i="1"/>
  <c r="Q1482" i="1"/>
  <c r="R1482" i="1"/>
  <c r="N1483" i="1"/>
  <c r="P1483" i="1"/>
  <c r="R1483" i="1" s="1"/>
  <c r="N1484" i="1"/>
  <c r="P1484" i="1"/>
  <c r="N1485" i="1"/>
  <c r="Q1485" i="1" s="1"/>
  <c r="R1485" i="1"/>
  <c r="P1486" i="1"/>
  <c r="Q1486" i="1" s="1"/>
  <c r="N1498" i="1"/>
  <c r="Q1498" i="1" s="1"/>
  <c r="R1498" i="1"/>
  <c r="N1499" i="1"/>
  <c r="P1499" i="1"/>
  <c r="R1499" i="1" s="1"/>
  <c r="P1500" i="1"/>
  <c r="Q1500" i="1" s="1"/>
  <c r="R1501" i="1"/>
  <c r="Q1502" i="1"/>
  <c r="R1502" i="1"/>
  <c r="Q1503" i="1"/>
  <c r="R1503" i="1"/>
  <c r="R1546" i="1"/>
  <c r="Q1522" i="1"/>
  <c r="Q1547" i="1"/>
  <c r="R1547" i="1"/>
  <c r="Q1553" i="1"/>
  <c r="R1553" i="1"/>
  <c r="P1504" i="1"/>
  <c r="N1523" i="1"/>
  <c r="Q1523" i="1" s="1"/>
  <c r="R1523" i="1"/>
  <c r="P1551" i="1"/>
  <c r="Q1551" i="1" s="1"/>
  <c r="Q1488" i="1"/>
  <c r="R1488" i="1"/>
  <c r="P1548" i="1"/>
  <c r="P314" i="1"/>
  <c r="Q314" i="1" s="1"/>
  <c r="N315" i="1"/>
  <c r="Q315" i="1"/>
  <c r="N316" i="1"/>
  <c r="Q316" i="1"/>
  <c r="N317" i="1"/>
  <c r="Q317" i="1" s="1"/>
  <c r="R317" i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7" i="1"/>
  <c r="R587" i="1" s="1"/>
  <c r="Q589" i="1"/>
  <c r="R589" i="1" s="1"/>
  <c r="Q585" i="1"/>
  <c r="R585" i="1" s="1"/>
  <c r="Q588" i="1"/>
  <c r="R588" i="1" s="1"/>
  <c r="N586" i="1"/>
  <c r="P586" i="1"/>
  <c r="Q1012" i="1"/>
  <c r="R1012" i="1" s="1"/>
  <c r="Q1013" i="1"/>
  <c r="R1013" i="1" s="1"/>
  <c r="Q1014" i="1"/>
  <c r="R1014" i="1" s="1"/>
  <c r="Q1044" i="1"/>
  <c r="R1044" i="1" s="1"/>
  <c r="Q1040" i="1"/>
  <c r="R1040" i="1" s="1"/>
  <c r="Q1015" i="1"/>
  <c r="R1015" i="1" s="1"/>
  <c r="Q1041" i="1"/>
  <c r="R1041" i="1" s="1"/>
  <c r="Q1042" i="1"/>
  <c r="R1042" i="1" s="1"/>
  <c r="Q1016" i="1"/>
  <c r="R1016" i="1" s="1"/>
  <c r="Q1043" i="1"/>
  <c r="R1043" i="1" s="1"/>
  <c r="Q1025" i="1"/>
  <c r="R1025" i="1" s="1"/>
  <c r="Q1017" i="1"/>
  <c r="R1017" i="1" s="1"/>
  <c r="Q1018" i="1"/>
  <c r="R1018" i="1" s="1"/>
  <c r="Q1026" i="1"/>
  <c r="R1026" i="1" s="1"/>
  <c r="Q1019" i="1"/>
  <c r="R1019" i="1" s="1"/>
  <c r="Q1027" i="1"/>
  <c r="R1027" i="1" s="1"/>
  <c r="Q1020" i="1"/>
  <c r="R1020" i="1" s="1"/>
  <c r="Q1028" i="1"/>
  <c r="R1028" i="1" s="1"/>
  <c r="Q1029" i="1"/>
  <c r="R1029" i="1" s="1"/>
  <c r="Q1030" i="1"/>
  <c r="R1030" i="1" s="1"/>
  <c r="Q1031" i="1"/>
  <c r="R1031" i="1" s="1"/>
  <c r="Q1034" i="1"/>
  <c r="R1034" i="1" s="1"/>
  <c r="Q1032" i="1"/>
  <c r="R1032" i="1" s="1"/>
  <c r="Q1035" i="1"/>
  <c r="R1035" i="1" s="1"/>
  <c r="Q1036" i="1"/>
  <c r="R1036" i="1" s="1"/>
  <c r="Q1037" i="1"/>
  <c r="R1037" i="1"/>
  <c r="Q1038" i="1"/>
  <c r="R1038" i="1"/>
  <c r="Q981" i="1"/>
  <c r="R981" i="1"/>
  <c r="P1011" i="1"/>
  <c r="R1011" i="1" s="1"/>
  <c r="N1021" i="1"/>
  <c r="Q1021" i="1"/>
  <c r="N1022" i="1"/>
  <c r="Q1022" i="1"/>
  <c r="R1024" i="1"/>
  <c r="Q458" i="1"/>
  <c r="R458" i="1" s="1"/>
  <c r="Q459" i="1"/>
  <c r="R459" i="1" s="1"/>
  <c r="Q460" i="1"/>
  <c r="R460" i="1"/>
  <c r="R461" i="1"/>
  <c r="Q462" i="1"/>
  <c r="Q463" i="1"/>
  <c r="R463" i="1"/>
  <c r="P464" i="1"/>
  <c r="Q464" i="1" s="1"/>
  <c r="Q465" i="1"/>
  <c r="R465" i="1"/>
  <c r="Q469" i="1"/>
  <c r="R469" i="1" s="1"/>
  <c r="Q470" i="1"/>
  <c r="R470" i="1" s="1"/>
  <c r="P466" i="1"/>
  <c r="Q466" i="1" s="1"/>
  <c r="Q467" i="1"/>
  <c r="R467" i="1" s="1"/>
  <c r="N468" i="1"/>
  <c r="P468" i="1"/>
  <c r="R468" i="1" s="1"/>
  <c r="Q1372" i="1"/>
  <c r="R1372" i="1" s="1"/>
  <c r="Q1374" i="1"/>
  <c r="R1374" i="1"/>
  <c r="N392" i="1"/>
  <c r="Q392" i="1" s="1"/>
  <c r="R392" i="1"/>
  <c r="N75" i="1"/>
  <c r="Q75" i="1"/>
  <c r="N76" i="1"/>
  <c r="Q76" i="1"/>
  <c r="N77" i="1"/>
  <c r="R77" i="1"/>
  <c r="N78" i="1"/>
  <c r="P78" i="1"/>
  <c r="R78" i="1" s="1"/>
  <c r="N79" i="1"/>
  <c r="Q79" i="1"/>
  <c r="N80" i="1"/>
  <c r="Q80" i="1"/>
  <c r="N81" i="1"/>
  <c r="P81" i="1"/>
  <c r="R81" i="1" s="1"/>
  <c r="N82" i="1"/>
  <c r="Q82" i="1" s="1"/>
  <c r="R82" i="1"/>
  <c r="N83" i="1"/>
  <c r="Q83" i="1"/>
  <c r="N84" i="1"/>
  <c r="Q84" i="1"/>
  <c r="N85" i="1"/>
  <c r="R85" i="1"/>
  <c r="N86" i="1"/>
  <c r="P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N131" i="1"/>
  <c r="R131" i="1"/>
  <c r="Q132" i="1"/>
  <c r="R132" i="1" s="1"/>
  <c r="Q133" i="1"/>
  <c r="R133" i="1" s="1"/>
  <c r="N134" i="1"/>
  <c r="P134" i="1"/>
  <c r="R134" i="1" s="1"/>
  <c r="N135" i="1"/>
  <c r="P135" i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R155" i="1"/>
  <c r="Q156" i="1"/>
  <c r="R156" i="1" s="1"/>
  <c r="Q157" i="1"/>
  <c r="R157" i="1" s="1"/>
  <c r="Q158" i="1"/>
  <c r="Q159" i="1"/>
  <c r="R159" i="1"/>
  <c r="Q160" i="1"/>
  <c r="R160" i="1"/>
  <c r="Q161" i="1"/>
  <c r="R161" i="1"/>
  <c r="Q162" i="1"/>
  <c r="R162" i="1"/>
  <c r="Q163" i="1"/>
  <c r="R163" i="1"/>
  <c r="N164" i="1"/>
  <c r="N165" i="1"/>
  <c r="Q165" i="1" s="1"/>
  <c r="R165" i="1"/>
  <c r="N166" i="1"/>
  <c r="P166" i="1"/>
  <c r="Q167" i="1"/>
  <c r="R167" i="1"/>
  <c r="Q168" i="1"/>
  <c r="R168" i="1" s="1"/>
  <c r="N1341" i="1"/>
  <c r="P1341" i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R1347" i="1" s="1"/>
  <c r="Q1348" i="1"/>
  <c r="R1348" i="1" s="1"/>
  <c r="Q169" i="1"/>
  <c r="R169" i="1" s="1"/>
  <c r="Q300" i="1"/>
  <c r="R300" i="1"/>
  <c r="Q1806" i="1"/>
  <c r="R1806" i="1"/>
  <c r="Q1408" i="1"/>
  <c r="R1408" i="1"/>
  <c r="P19" i="1"/>
  <c r="R1232" i="1"/>
  <c r="Q1232" i="1"/>
  <c r="R1231" i="1"/>
  <c r="Q1231" i="1"/>
  <c r="R1230" i="1"/>
  <c r="Q1230" i="1"/>
  <c r="R1229" i="1"/>
  <c r="Q1229" i="1"/>
  <c r="R917" i="1"/>
  <c r="Q917" i="1"/>
  <c r="P725" i="1"/>
  <c r="R727" i="1"/>
  <c r="P655" i="1"/>
  <c r="P653" i="1"/>
  <c r="P650" i="1"/>
  <c r="R172" i="1"/>
  <c r="Q172" i="1"/>
  <c r="R171" i="1"/>
  <c r="Q171" i="1"/>
  <c r="R170" i="1"/>
  <c r="Q170" i="1"/>
  <c r="R573" i="1" l="1"/>
  <c r="R3" i="11"/>
  <c r="R1950" i="1"/>
  <c r="Q4" i="1"/>
  <c r="R1588" i="1"/>
  <c r="Q461" i="1"/>
  <c r="R1056" i="1"/>
  <c r="R330" i="11"/>
  <c r="R328" i="11"/>
  <c r="Q728" i="1"/>
  <c r="R327" i="11"/>
  <c r="R329" i="11"/>
  <c r="R326" i="11"/>
  <c r="R308" i="11"/>
  <c r="R319" i="11"/>
  <c r="R320" i="11"/>
  <c r="R309" i="11"/>
  <c r="R313" i="11"/>
  <c r="R314" i="11"/>
  <c r="R311" i="11"/>
  <c r="R312" i="11"/>
  <c r="R292" i="11"/>
  <c r="R307" i="11"/>
  <c r="R310" i="11"/>
  <c r="R303" i="11"/>
  <c r="R279" i="11"/>
  <c r="R293" i="11"/>
  <c r="R277" i="11"/>
  <c r="R286" i="11"/>
  <c r="R287" i="11"/>
  <c r="R278" i="11"/>
  <c r="Q270" i="11"/>
  <c r="Q267" i="11"/>
  <c r="R263" i="11"/>
  <c r="R264" i="11"/>
  <c r="R262" i="11"/>
  <c r="R261" i="11"/>
  <c r="R257" i="11"/>
  <c r="R245" i="11"/>
  <c r="R248" i="11"/>
  <c r="R229" i="11"/>
  <c r="R258" i="11"/>
  <c r="R259" i="11"/>
  <c r="R243" i="11"/>
  <c r="R247" i="11"/>
  <c r="R213" i="11"/>
  <c r="R244" i="11"/>
  <c r="R228" i="11"/>
  <c r="R226" i="11"/>
  <c r="R227" i="11"/>
  <c r="R220" i="11"/>
  <c r="R212" i="11"/>
  <c r="R209" i="11"/>
  <c r="R205" i="11"/>
  <c r="R211" i="11"/>
  <c r="R188" i="11"/>
  <c r="R204" i="11"/>
  <c r="R210" i="11"/>
  <c r="R191" i="11"/>
  <c r="R203" i="11"/>
  <c r="R200" i="11"/>
  <c r="R186" i="11"/>
  <c r="R187" i="11"/>
  <c r="R148" i="11"/>
  <c r="R189" i="11"/>
  <c r="R190" i="11"/>
  <c r="R162" i="11"/>
  <c r="R115" i="11"/>
  <c r="R110" i="11"/>
  <c r="R141" i="11"/>
  <c r="R56" i="11"/>
  <c r="R150" i="11"/>
  <c r="R144" i="11"/>
  <c r="R139" i="11"/>
  <c r="R74" i="11"/>
  <c r="N151" i="11"/>
  <c r="R151" i="11" s="1"/>
  <c r="R64" i="11"/>
  <c r="R76" i="11"/>
  <c r="R54" i="11"/>
  <c r="R62" i="11"/>
  <c r="N116" i="11"/>
  <c r="R116" i="11" s="1"/>
  <c r="R79" i="11"/>
  <c r="R32" i="11"/>
  <c r="R57" i="11"/>
  <c r="R80" i="11"/>
  <c r="R78" i="11"/>
  <c r="R63" i="11"/>
  <c r="R109" i="11"/>
  <c r="R58" i="11"/>
  <c r="R83" i="11"/>
  <c r="Q17" i="11"/>
  <c r="R60" i="11"/>
  <c r="R75" i="11"/>
  <c r="R35" i="11"/>
  <c r="N86" i="11"/>
  <c r="Q86" i="11" s="1"/>
  <c r="R61" i="11"/>
  <c r="R55" i="11"/>
  <c r="R59" i="11"/>
  <c r="R53" i="11"/>
  <c r="R27" i="11"/>
  <c r="R17" i="11"/>
  <c r="Q18" i="11"/>
  <c r="R18" i="11"/>
  <c r="R1336" i="1"/>
  <c r="Q1549" i="1"/>
  <c r="R1317" i="1"/>
  <c r="R1313" i="1"/>
  <c r="Q16" i="11"/>
  <c r="Q1341" i="1"/>
  <c r="R464" i="1"/>
  <c r="Q1484" i="1"/>
  <c r="R316" i="1"/>
  <c r="Q164" i="1"/>
  <c r="Q1506" i="1"/>
  <c r="R1468" i="1"/>
  <c r="Q282" i="1"/>
  <c r="R1583" i="1"/>
  <c r="Q1023" i="1"/>
  <c r="R1303" i="1"/>
  <c r="S1585" i="1"/>
  <c r="R1582" i="1"/>
  <c r="Q135" i="1"/>
  <c r="R1021" i="1"/>
  <c r="R1310" i="1"/>
  <c r="Q953" i="1"/>
  <c r="R1322" i="1"/>
  <c r="R1320" i="1"/>
  <c r="Q1585" i="1"/>
  <c r="R1008" i="1"/>
  <c r="R7" i="11"/>
  <c r="Q264" i="1"/>
  <c r="R564" i="1"/>
  <c r="Q155" i="1"/>
  <c r="R135" i="1"/>
  <c r="R76" i="1"/>
  <c r="R1324" i="1"/>
  <c r="R1339" i="1"/>
  <c r="R1337" i="1"/>
  <c r="Q166" i="1"/>
  <c r="Q78" i="1"/>
  <c r="R412" i="1"/>
  <c r="N412" i="1"/>
  <c r="R80" i="1"/>
  <c r="R586" i="1"/>
  <c r="Q586" i="1"/>
  <c r="R1341" i="1"/>
  <c r="Q418" i="1"/>
  <c r="N1504" i="1"/>
  <c r="R1504" i="1"/>
  <c r="R79" i="1"/>
  <c r="R75" i="1"/>
  <c r="Q468" i="1"/>
  <c r="R1023" i="1"/>
  <c r="Q1548" i="1"/>
  <c r="R1548" i="1"/>
  <c r="Q955" i="1"/>
  <c r="R1335" i="1"/>
  <c r="R1333" i="1"/>
  <c r="R1331" i="1"/>
  <c r="Q416" i="1"/>
  <c r="Q746" i="1"/>
  <c r="R278" i="1"/>
  <c r="R1007" i="1"/>
  <c r="R1318" i="1"/>
  <c r="R1316" i="1"/>
  <c r="R1314" i="1"/>
  <c r="R1312" i="1"/>
  <c r="R1309" i="1"/>
  <c r="R1305" i="1"/>
  <c r="R1010" i="1"/>
  <c r="R1581" i="1"/>
  <c r="R957" i="1"/>
  <c r="R1326" i="1"/>
  <c r="R1321" i="1"/>
  <c r="R1334" i="1"/>
  <c r="R1332" i="1"/>
  <c r="R1330" i="1"/>
  <c r="R1328" i="1"/>
  <c r="R1308" i="1"/>
  <c r="R1304" i="1"/>
  <c r="R1325" i="1"/>
  <c r="R1319" i="1"/>
  <c r="R1315" i="1"/>
  <c r="R1311" i="1"/>
  <c r="R84" i="1"/>
  <c r="R1022" i="1"/>
  <c r="Q1011" i="1"/>
  <c r="R166" i="1"/>
  <c r="R83" i="1"/>
  <c r="Q131" i="1"/>
  <c r="R462" i="1"/>
  <c r="Q1024" i="1"/>
  <c r="R158" i="1"/>
  <c r="Q134" i="1"/>
  <c r="R418" i="1"/>
  <c r="Q278" i="1"/>
  <c r="Q1628" i="1"/>
  <c r="R1338" i="1"/>
  <c r="Q1600" i="1"/>
  <c r="R1600" i="1"/>
  <c r="Q1499" i="1"/>
  <c r="R1549" i="1"/>
  <c r="R1329" i="1"/>
  <c r="R1307" i="1"/>
  <c r="Q1480" i="1"/>
  <c r="Q1496" i="1"/>
  <c r="R1006" i="1"/>
  <c r="R952" i="1"/>
  <c r="R409" i="1"/>
  <c r="Q409" i="1"/>
  <c r="R315" i="1"/>
  <c r="Q1501" i="1"/>
  <c r="R1486" i="1"/>
  <c r="Q1495" i="1"/>
  <c r="R1398" i="1"/>
  <c r="R1009" i="1"/>
  <c r="R1306" i="1"/>
  <c r="Q284" i="1"/>
  <c r="R954" i="1"/>
  <c r="Q1327" i="1"/>
  <c r="R415" i="1"/>
  <c r="R1580" i="1"/>
  <c r="Q518" i="1"/>
  <c r="R1597" i="1"/>
  <c r="R1952" i="1"/>
  <c r="R241" i="1"/>
  <c r="Q414" i="1"/>
  <c r="R550" i="1"/>
  <c r="R410" i="1"/>
  <c r="Q413" i="1"/>
  <c r="R466" i="1"/>
  <c r="R164" i="1"/>
  <c r="R1500" i="1"/>
  <c r="R1484" i="1"/>
  <c r="R1495" i="1"/>
  <c r="R1506" i="1"/>
  <c r="R262" i="1"/>
  <c r="Q262" i="1"/>
  <c r="R314" i="1"/>
  <c r="R1551" i="1"/>
  <c r="R1522" i="1"/>
  <c r="R1496" i="1"/>
  <c r="R411" i="1"/>
  <c r="N411" i="1"/>
  <c r="Q1601" i="1"/>
  <c r="R1601" i="1"/>
  <c r="R1621" i="1"/>
  <c r="R414" i="1"/>
  <c r="R1599" i="1"/>
  <c r="Q727" i="1"/>
  <c r="R1063" i="1"/>
  <c r="Q1063" i="1"/>
  <c r="R1062" i="1"/>
  <c r="Q1062" i="1"/>
  <c r="P472" i="1"/>
  <c r="Q802" i="1"/>
  <c r="R944" i="1"/>
  <c r="P945" i="1"/>
  <c r="P947" i="1"/>
  <c r="P931" i="1"/>
  <c r="P252" i="1"/>
  <c r="R648" i="1"/>
  <c r="Q648" i="1"/>
  <c r="R647" i="1"/>
  <c r="Q647" i="1"/>
  <c r="R646" i="1"/>
  <c r="Q646" i="1"/>
  <c r="R645" i="1"/>
  <c r="Q645" i="1"/>
  <c r="R644" i="1"/>
  <c r="Q644" i="1"/>
  <c r="R643" i="1"/>
  <c r="Q643" i="1"/>
  <c r="R669" i="1"/>
  <c r="Q669" i="1"/>
  <c r="R668" i="1"/>
  <c r="Q668" i="1"/>
  <c r="R667" i="1"/>
  <c r="Q667" i="1"/>
  <c r="R666" i="1"/>
  <c r="Q666" i="1"/>
  <c r="R665" i="1"/>
  <c r="Q665" i="1"/>
  <c r="R642" i="1"/>
  <c r="Q642" i="1"/>
  <c r="R641" i="1"/>
  <c r="Q641" i="1"/>
  <c r="R640" i="1"/>
  <c r="Q640" i="1"/>
  <c r="R664" i="1"/>
  <c r="Q664" i="1"/>
  <c r="R663" i="1"/>
  <c r="Q663" i="1"/>
  <c r="R662" i="1"/>
  <c r="Q662" i="1"/>
  <c r="R661" i="1"/>
  <c r="Q661" i="1"/>
  <c r="R660" i="1"/>
  <c r="Q660" i="1"/>
  <c r="P784" i="1"/>
  <c r="N784" i="1" s="1"/>
  <c r="P1892" i="1"/>
  <c r="R1892" i="1" s="1"/>
  <c r="N1888" i="1"/>
  <c r="R1049" i="1"/>
  <c r="Q1049" i="1"/>
  <c r="R1048" i="1"/>
  <c r="Q1048" i="1"/>
  <c r="R1047" i="1"/>
  <c r="Q1047" i="1"/>
  <c r="R1046" i="1"/>
  <c r="Q1046" i="1"/>
  <c r="R1045" i="1"/>
  <c r="Q1045" i="1"/>
  <c r="R765" i="1"/>
  <c r="Q765" i="1"/>
  <c r="Q1" i="11" l="1"/>
  <c r="R1" i="11"/>
  <c r="N1" i="11"/>
  <c r="Q1504" i="1"/>
  <c r="Q1521" i="1"/>
  <c r="R802" i="1"/>
  <c r="Q944" i="1"/>
  <c r="Q1892" i="1"/>
  <c r="R1717" i="1"/>
  <c r="Q1717" i="1"/>
  <c r="R204" i="1" l="1"/>
  <c r="R205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N1808" i="1" l="1"/>
  <c r="P16" i="1"/>
  <c r="P1714" i="1"/>
  <c r="P654" i="1"/>
  <c r="P651" i="1"/>
  <c r="P768" i="1"/>
  <c r="N768" i="1" s="1"/>
  <c r="R919" i="1"/>
  <c r="P934" i="1"/>
  <c r="R1888" i="1"/>
  <c r="Q1888" i="1"/>
  <c r="R1891" i="1"/>
  <c r="Q1891" i="1"/>
  <c r="R1890" i="1"/>
  <c r="Q1890" i="1"/>
  <c r="R1889" i="1"/>
  <c r="Q919" i="1" l="1"/>
  <c r="P793" i="1"/>
  <c r="P775" i="1"/>
  <c r="N775" i="1" s="1"/>
  <c r="R900" i="1"/>
  <c r="Q900" i="1"/>
  <c r="R379" i="1"/>
  <c r="Q379" i="1"/>
  <c r="P720" i="1" l="1"/>
  <c r="R716" i="1"/>
  <c r="Q716" i="1"/>
  <c r="N714" i="1"/>
  <c r="R396" i="1"/>
  <c r="N396" i="1"/>
  <c r="Q396" i="1" s="1"/>
  <c r="R983" i="1"/>
  <c r="R1000" i="1"/>
  <c r="R982" i="1"/>
  <c r="R999" i="1"/>
  <c r="N1000" i="1"/>
  <c r="N999" i="1"/>
  <c r="R996" i="1"/>
  <c r="Q996" i="1"/>
  <c r="R995" i="1"/>
  <c r="Q995" i="1"/>
  <c r="R994" i="1"/>
  <c r="Q994" i="1"/>
  <c r="R993" i="1"/>
  <c r="Q993" i="1"/>
  <c r="R992" i="1"/>
  <c r="Q992" i="1"/>
  <c r="R991" i="1"/>
  <c r="Q991" i="1"/>
  <c r="R990" i="1"/>
  <c r="Q990" i="1"/>
  <c r="R989" i="1"/>
  <c r="R1002" i="1"/>
  <c r="Q1002" i="1"/>
  <c r="R1001" i="1"/>
  <c r="Q1001" i="1"/>
  <c r="R988" i="1"/>
  <c r="Q988" i="1"/>
  <c r="R987" i="1"/>
  <c r="Q987" i="1"/>
  <c r="R986" i="1"/>
  <c r="Q986" i="1"/>
  <c r="R985" i="1"/>
  <c r="Q985" i="1"/>
  <c r="R984" i="1"/>
  <c r="Q984" i="1"/>
  <c r="R1064" i="1"/>
  <c r="Q1064" i="1"/>
  <c r="R388" i="1"/>
  <c r="Q388" i="1"/>
  <c r="R1854" i="1"/>
  <c r="Q1854" i="1"/>
  <c r="Q983" i="1" l="1"/>
  <c r="Q999" i="1"/>
  <c r="Q982" i="1"/>
  <c r="Q713" i="1"/>
  <c r="R713" i="1"/>
  <c r="Q710" i="1"/>
  <c r="R710" i="1"/>
  <c r="R476" i="1"/>
  <c r="Q476" i="1"/>
  <c r="R747" i="1"/>
  <c r="Q747" i="1"/>
  <c r="Q1716" i="1" l="1"/>
  <c r="R1714" i="1"/>
  <c r="R1716" i="1"/>
  <c r="R1715" i="1"/>
  <c r="Q1715" i="1"/>
  <c r="Q1714" i="1"/>
  <c r="R725" i="1"/>
  <c r="R945" i="1"/>
  <c r="P950" i="1"/>
  <c r="P928" i="1"/>
  <c r="P922" i="1"/>
  <c r="P925" i="1"/>
  <c r="R748" i="1"/>
  <c r="Q748" i="1"/>
  <c r="R749" i="1"/>
  <c r="Q749" i="1"/>
  <c r="N708" i="1"/>
  <c r="N711" i="1"/>
  <c r="P718" i="1"/>
  <c r="N718" i="1" s="1"/>
  <c r="P715" i="1"/>
  <c r="R715" i="1" s="1"/>
  <c r="R790" i="1"/>
  <c r="R779" i="1"/>
  <c r="Q784" i="1"/>
  <c r="R772" i="1"/>
  <c r="Q814" i="1"/>
  <c r="R806" i="1"/>
  <c r="R803" i="1"/>
  <c r="Q809" i="1"/>
  <c r="R796" i="1"/>
  <c r="R791" i="1"/>
  <c r="R792" i="1"/>
  <c r="Q793" i="1"/>
  <c r="R793" i="1"/>
  <c r="R794" i="1"/>
  <c r="P801" i="1"/>
  <c r="N801" i="1" s="1"/>
  <c r="Q801" i="1" s="1"/>
  <c r="P800" i="1"/>
  <c r="R800" i="1" s="1"/>
  <c r="P799" i="1"/>
  <c r="N799" i="1" s="1"/>
  <c r="Q799" i="1" s="1"/>
  <c r="P795" i="1"/>
  <c r="N795" i="1" s="1"/>
  <c r="Q795" i="1" s="1"/>
  <c r="N794" i="1"/>
  <c r="Q794" i="1" s="1"/>
  <c r="N792" i="1"/>
  <c r="Q792" i="1" s="1"/>
  <c r="N791" i="1"/>
  <c r="Q791" i="1" s="1"/>
  <c r="N726" i="1"/>
  <c r="Q726" i="1" s="1"/>
  <c r="R726" i="1"/>
  <c r="Q725" i="1"/>
  <c r="N389" i="1"/>
  <c r="Q389" i="1" s="1"/>
  <c r="R389" i="1"/>
  <c r="R782" i="1"/>
  <c r="Q782" i="1"/>
  <c r="R777" i="1"/>
  <c r="R768" i="1"/>
  <c r="Q768" i="1"/>
  <c r="R766" i="1"/>
  <c r="P787" i="1"/>
  <c r="N787" i="1" s="1"/>
  <c r="Q787" i="1" s="1"/>
  <c r="P786" i="1"/>
  <c r="P783" i="1"/>
  <c r="R783" i="1" s="1"/>
  <c r="P778" i="1"/>
  <c r="N778" i="1" s="1"/>
  <c r="Q778" i="1" s="1"/>
  <c r="N777" i="1"/>
  <c r="Q777" i="1" s="1"/>
  <c r="R775" i="1"/>
  <c r="P774" i="1"/>
  <c r="N774" i="1" s="1"/>
  <c r="Q774" i="1" s="1"/>
  <c r="P773" i="1"/>
  <c r="R773" i="1" s="1"/>
  <c r="P771" i="1"/>
  <c r="N771" i="1" s="1"/>
  <c r="Q771" i="1" s="1"/>
  <c r="P770" i="1"/>
  <c r="N770" i="1" s="1"/>
  <c r="Q770" i="1" s="1"/>
  <c r="P767" i="1"/>
  <c r="R767" i="1" s="1"/>
  <c r="N766" i="1"/>
  <c r="R786" i="1" l="1"/>
  <c r="N786" i="1"/>
  <c r="Q786" i="1" s="1"/>
  <c r="Q766" i="1"/>
  <c r="N715" i="1"/>
  <c r="Q715" i="1" s="1"/>
  <c r="Q708" i="1"/>
  <c r="R795" i="1"/>
  <c r="R801" i="1"/>
  <c r="R809" i="1"/>
  <c r="Q806" i="1"/>
  <c r="N800" i="1"/>
  <c r="Q800" i="1" s="1"/>
  <c r="R799" i="1"/>
  <c r="R814" i="1"/>
  <c r="Q803" i="1"/>
  <c r="Q945" i="1"/>
  <c r="N767" i="1"/>
  <c r="Q767" i="1" s="1"/>
  <c r="R784" i="1"/>
  <c r="R774" i="1"/>
  <c r="R770" i="1"/>
  <c r="Q775" i="1"/>
  <c r="N773" i="1"/>
  <c r="Q773" i="1" s="1"/>
  <c r="N783" i="1"/>
  <c r="Q783" i="1" s="1"/>
  <c r="R771" i="1"/>
  <c r="Q790" i="1"/>
  <c r="Q772" i="1"/>
  <c r="R787" i="1"/>
  <c r="R778" i="1"/>
  <c r="Q779" i="1"/>
  <c r="N1005" i="1"/>
  <c r="Q1005" i="1" s="1"/>
  <c r="N1004" i="1"/>
  <c r="R1005" i="1"/>
  <c r="P921" i="1"/>
  <c r="P933" i="1"/>
  <c r="P932" i="1"/>
  <c r="P940" i="1"/>
  <c r="P930" i="1"/>
  <c r="P929" i="1"/>
  <c r="R253" i="1"/>
  <c r="Q253" i="1"/>
  <c r="R252" i="1"/>
  <c r="Q252" i="1"/>
  <c r="R307" i="1"/>
  <c r="Q307" i="1"/>
  <c r="R310" i="1"/>
  <c r="Q310" i="1"/>
  <c r="R475" i="1"/>
  <c r="Q475" i="1"/>
  <c r="R659" i="1"/>
  <c r="Q659" i="1"/>
  <c r="R658" i="1"/>
  <c r="Q658" i="1"/>
  <c r="R657" i="1"/>
  <c r="Q657" i="1"/>
  <c r="R656" i="1"/>
  <c r="Q656" i="1"/>
  <c r="R655" i="1"/>
  <c r="Q655" i="1"/>
  <c r="R654" i="1"/>
  <c r="Q654" i="1"/>
  <c r="R653" i="1"/>
  <c r="Q653" i="1"/>
  <c r="R652" i="1"/>
  <c r="Q652" i="1"/>
  <c r="R651" i="1"/>
  <c r="Q651" i="1"/>
  <c r="R650" i="1"/>
  <c r="Q650" i="1"/>
  <c r="R649" i="1"/>
  <c r="Q649" i="1"/>
  <c r="R708" i="1" l="1"/>
  <c r="Q1004" i="1"/>
  <c r="R1004" i="1" s="1"/>
  <c r="P1003" i="1" l="1"/>
  <c r="R1456" i="1"/>
  <c r="R947" i="1"/>
  <c r="Q947" i="1"/>
  <c r="R380" i="1"/>
  <c r="Q380" i="1"/>
  <c r="P1817" i="1"/>
  <c r="P939" i="1"/>
  <c r="P923" i="1"/>
  <c r="P942" i="1"/>
  <c r="P927" i="1"/>
  <c r="P943" i="1"/>
  <c r="P941" i="1"/>
  <c r="P926" i="1"/>
  <c r="P723" i="1"/>
  <c r="R723" i="1" s="1"/>
  <c r="P633" i="1"/>
  <c r="R19" i="1"/>
  <c r="N19" i="1"/>
  <c r="Q19" i="1" s="1"/>
  <c r="N18" i="1"/>
  <c r="Q18" i="1" s="1"/>
  <c r="R18" i="1" s="1"/>
  <c r="Q723" i="1" l="1"/>
  <c r="R400" i="1"/>
  <c r="Q400" i="1"/>
  <c r="R399" i="1"/>
  <c r="Q399" i="1"/>
  <c r="R402" i="1"/>
  <c r="Q402" i="1"/>
  <c r="R401" i="1"/>
  <c r="Q401" i="1"/>
  <c r="P714" i="1"/>
  <c r="P717" i="1"/>
  <c r="P632" i="1"/>
  <c r="R387" i="1" l="1"/>
  <c r="Q387" i="1"/>
  <c r="P948" i="1" l="1"/>
  <c r="P320" i="1" l="1"/>
  <c r="P1196" i="1"/>
  <c r="R1784" i="1" l="1"/>
  <c r="Q1784" i="1"/>
  <c r="R1783" i="1"/>
  <c r="Q1783" i="1"/>
  <c r="R1782" i="1"/>
  <c r="Q1782" i="1"/>
  <c r="R1781" i="1"/>
  <c r="Q1781" i="1"/>
  <c r="R1780" i="1"/>
  <c r="Q1780" i="1"/>
  <c r="R1779" i="1"/>
  <c r="Q1779" i="1"/>
  <c r="R1778" i="1"/>
  <c r="Q1778" i="1"/>
  <c r="R1777" i="1"/>
  <c r="Q1777" i="1"/>
  <c r="R1776" i="1"/>
  <c r="Q1776" i="1"/>
  <c r="R1775" i="1"/>
  <c r="Q1775" i="1"/>
  <c r="R1774" i="1"/>
  <c r="Q1774" i="1"/>
  <c r="R1773" i="1"/>
  <c r="Q1773" i="1"/>
  <c r="Q1772" i="1"/>
  <c r="R1772" i="1" s="1"/>
  <c r="Q1771" i="1"/>
  <c r="R1805" i="1"/>
  <c r="Q1805" i="1"/>
  <c r="R1804" i="1"/>
  <c r="Q1804" i="1"/>
  <c r="R1803" i="1"/>
  <c r="Q1803" i="1"/>
  <c r="R1802" i="1"/>
  <c r="Q1802" i="1"/>
  <c r="R1801" i="1"/>
  <c r="Q1801" i="1"/>
  <c r="Q1800" i="1"/>
  <c r="R1800" i="1" s="1"/>
  <c r="Q1799" i="1"/>
  <c r="R1799" i="1" s="1"/>
  <c r="R1798" i="1"/>
  <c r="Q1798" i="1"/>
  <c r="R1797" i="1"/>
  <c r="Q1797" i="1"/>
  <c r="R1796" i="1"/>
  <c r="Q1796" i="1"/>
  <c r="R1795" i="1"/>
  <c r="Q1795" i="1"/>
  <c r="R1794" i="1"/>
  <c r="Q1794" i="1"/>
  <c r="Q1793" i="1"/>
  <c r="R1793" i="1" s="1"/>
  <c r="Q1792" i="1"/>
  <c r="R1792" i="1" s="1"/>
  <c r="P951" i="1"/>
  <c r="P949" i="1"/>
  <c r="R1816" i="1"/>
  <c r="Q1816" i="1"/>
  <c r="R1815" i="1"/>
  <c r="Q1815" i="1"/>
  <c r="R1814" i="1"/>
  <c r="Q1814" i="1"/>
  <c r="R1813" i="1"/>
  <c r="Q1813" i="1"/>
  <c r="Q1812" i="1"/>
  <c r="R639" i="1"/>
  <c r="Q639" i="1"/>
  <c r="R638" i="1"/>
  <c r="Q638" i="1"/>
  <c r="R637" i="1"/>
  <c r="Q637" i="1"/>
  <c r="Q636" i="1"/>
  <c r="R636" i="1" s="1"/>
  <c r="Q635" i="1"/>
  <c r="R635" i="1" s="1"/>
  <c r="Q634" i="1"/>
  <c r="R634" i="1" s="1"/>
  <c r="R633" i="1"/>
  <c r="Q633" i="1"/>
  <c r="R632" i="1"/>
  <c r="Q632" i="1"/>
  <c r="R1791" i="1"/>
  <c r="Q1791" i="1"/>
  <c r="R1790" i="1"/>
  <c r="Q1790" i="1"/>
  <c r="R1789" i="1"/>
  <c r="Q1789" i="1"/>
  <c r="R1788" i="1"/>
  <c r="Q1788" i="1"/>
  <c r="R1787" i="1"/>
  <c r="Q1787" i="1"/>
  <c r="R1786" i="1"/>
  <c r="Q1786" i="1"/>
  <c r="R1785" i="1"/>
  <c r="Q1785" i="1"/>
  <c r="R724" i="1"/>
  <c r="Q724" i="1"/>
  <c r="R1003" i="1"/>
  <c r="Q1003" i="1"/>
  <c r="R1771" i="1" l="1"/>
  <c r="R1812" i="1"/>
  <c r="Q383" i="1"/>
  <c r="R1817" i="1"/>
  <c r="Q1817" i="1"/>
  <c r="Q709" i="1"/>
  <c r="R709" i="1"/>
  <c r="Q718" i="1"/>
  <c r="N717" i="1"/>
  <c r="R718" i="1"/>
  <c r="Q378" i="1"/>
  <c r="R46" i="1"/>
  <c r="Q46" i="1"/>
  <c r="R378" i="1" l="1"/>
  <c r="R383" i="1"/>
  <c r="R2018" i="1" l="1"/>
  <c r="Q2018" i="1"/>
  <c r="R2017" i="1"/>
  <c r="Q2017" i="1"/>
  <c r="R2016" i="1"/>
  <c r="Q2016" i="1"/>
  <c r="R2015" i="1"/>
  <c r="Q2015" i="1"/>
  <c r="R2014" i="1"/>
  <c r="Q2014" i="1"/>
  <c r="R2013" i="1"/>
  <c r="Q2013" i="1"/>
  <c r="R937" i="1"/>
  <c r="Q937" i="1"/>
  <c r="R936" i="1"/>
  <c r="Q936" i="1"/>
  <c r="R935" i="1"/>
  <c r="Q935" i="1"/>
  <c r="R938" i="1"/>
  <c r="Q938" i="1"/>
  <c r="R934" i="1"/>
  <c r="Q934" i="1"/>
  <c r="R933" i="1"/>
  <c r="Q933" i="1"/>
  <c r="R932" i="1"/>
  <c r="Q932" i="1"/>
  <c r="R940" i="1"/>
  <c r="Q940" i="1"/>
  <c r="R931" i="1"/>
  <c r="Q931" i="1"/>
  <c r="R930" i="1"/>
  <c r="Q930" i="1"/>
  <c r="R929" i="1"/>
  <c r="Q929" i="1"/>
  <c r="R939" i="1"/>
  <c r="Q939" i="1"/>
  <c r="R928" i="1"/>
  <c r="Q928" i="1"/>
  <c r="R927" i="1"/>
  <c r="Q927" i="1"/>
  <c r="R926" i="1"/>
  <c r="Q926" i="1"/>
  <c r="R941" i="1"/>
  <c r="Q941" i="1"/>
  <c r="R925" i="1"/>
  <c r="Q925" i="1"/>
  <c r="R924" i="1"/>
  <c r="Q924" i="1"/>
  <c r="R923" i="1"/>
  <c r="Q923" i="1"/>
  <c r="R942" i="1"/>
  <c r="Q942" i="1"/>
  <c r="R922" i="1"/>
  <c r="Q922" i="1"/>
  <c r="R921" i="1"/>
  <c r="Q921" i="1"/>
  <c r="R920" i="1"/>
  <c r="Q920" i="1"/>
  <c r="R943" i="1"/>
  <c r="Q943" i="1"/>
  <c r="R717" i="1"/>
  <c r="Q717" i="1"/>
  <c r="R714" i="1"/>
  <c r="Q714" i="1"/>
  <c r="R1811" i="1"/>
  <c r="Q1811" i="1"/>
  <c r="R320" i="1" l="1"/>
  <c r="R306" i="1"/>
  <c r="R305" i="1"/>
  <c r="R304" i="1"/>
  <c r="R303" i="1"/>
  <c r="R302" i="1"/>
  <c r="Q320" i="1"/>
  <c r="R397" i="1" l="1"/>
  <c r="Q397" i="1"/>
  <c r="R382" i="1" l="1"/>
  <c r="Q382" i="1"/>
  <c r="R381" i="1"/>
  <c r="Q381" i="1"/>
  <c r="R287" i="1" l="1"/>
  <c r="Q287" i="1"/>
  <c r="N17" i="1" l="1"/>
  <c r="R16" i="1"/>
  <c r="N16" i="1"/>
  <c r="Q16" i="1" l="1"/>
  <c r="R964" i="1"/>
  <c r="P965" i="1"/>
  <c r="Q964" i="1" l="1"/>
  <c r="N1356" i="1"/>
  <c r="Q1356" i="1" s="1"/>
  <c r="R1356" i="1" s="1"/>
  <c r="N1355" i="1"/>
  <c r="Q1355" i="1" s="1"/>
  <c r="R1355" i="1" s="1"/>
  <c r="N1354" i="1"/>
  <c r="Q1354" i="1" s="1"/>
  <c r="R1354" i="1" s="1"/>
  <c r="N1353" i="1"/>
  <c r="Q1353" i="1" s="1"/>
  <c r="R1353" i="1" s="1"/>
  <c r="N1352" i="1"/>
  <c r="Q1352" i="1" s="1"/>
  <c r="R1352" i="1" s="1"/>
  <c r="N1357" i="1"/>
  <c r="Q1357" i="1" s="1"/>
  <c r="R1357" i="1" s="1"/>
  <c r="R473" i="1" l="1"/>
  <c r="Q473" i="1"/>
  <c r="P1351" i="1" l="1"/>
  <c r="R44" i="1" l="1"/>
  <c r="R42" i="1"/>
  <c r="R474" i="1" l="1"/>
  <c r="Q474" i="1"/>
  <c r="Q42" i="1" l="1"/>
  <c r="N45" i="1"/>
  <c r="Q45" i="1" s="1"/>
  <c r="R45" i="1" s="1"/>
  <c r="Q44" i="1"/>
  <c r="N43" i="1"/>
  <c r="R961" i="1"/>
  <c r="Q961" i="1"/>
  <c r="R960" i="1"/>
  <c r="Q960" i="1"/>
  <c r="R959" i="1"/>
  <c r="Q959" i="1"/>
  <c r="R958" i="1"/>
  <c r="Q958" i="1"/>
  <c r="Q43" i="1" l="1"/>
  <c r="R43" i="1" s="1"/>
  <c r="R451" i="1"/>
  <c r="Q451" i="1"/>
  <c r="R1196" i="1" l="1"/>
  <c r="Q1196" i="1"/>
  <c r="Q386" i="1" l="1"/>
  <c r="R386" i="1"/>
  <c r="R339" i="1" l="1"/>
  <c r="Q339" i="1"/>
  <c r="R41" i="1" l="1"/>
  <c r="Q41" i="1"/>
  <c r="Q40" i="1"/>
  <c r="R40" i="1" s="1"/>
  <c r="R17" i="1" l="1"/>
  <c r="Q17" i="1"/>
  <c r="R394" i="1" l="1"/>
  <c r="Q394" i="1"/>
  <c r="R393" i="1"/>
  <c r="Q393" i="1"/>
  <c r="R385" i="1" l="1"/>
  <c r="Q385" i="1"/>
  <c r="R630" i="1" l="1"/>
  <c r="Q630" i="1"/>
  <c r="R628" i="1" l="1"/>
  <c r="Q628" i="1"/>
  <c r="R627" i="1"/>
  <c r="Q627" i="1"/>
  <c r="R626" i="1"/>
  <c r="Q626" i="1"/>
  <c r="Q625" i="1"/>
  <c r="R625" i="1" s="1"/>
  <c r="Q624" i="1"/>
  <c r="R624" i="1" s="1"/>
  <c r="Q623" i="1"/>
  <c r="R623" i="1" s="1"/>
  <c r="Q622" i="1"/>
  <c r="R622" i="1" s="1"/>
  <c r="Q621" i="1"/>
  <c r="R621" i="1" s="1"/>
  <c r="N257" i="1" l="1"/>
  <c r="Q257" i="1" s="1"/>
  <c r="N256" i="1"/>
  <c r="Q256" i="1" s="1"/>
  <c r="N255" i="1"/>
  <c r="N260" i="1"/>
  <c r="Q260" i="1" s="1"/>
  <c r="N259" i="1"/>
  <c r="Q259" i="1" s="1"/>
  <c r="R259" i="1" s="1"/>
  <c r="N258" i="1"/>
  <c r="R257" i="1"/>
  <c r="R256" i="1"/>
  <c r="R260" i="1"/>
  <c r="Q258" i="1"/>
  <c r="Q255" i="1" l="1"/>
  <c r="R255" i="1" s="1"/>
  <c r="R258" i="1"/>
  <c r="Q1810" i="1" l="1"/>
  <c r="R1810" i="1"/>
  <c r="R1809" i="1"/>
  <c r="Q1809" i="1"/>
  <c r="R1808" i="1"/>
  <c r="Q1808" i="1"/>
  <c r="Q620" i="1"/>
  <c r="R620" i="1"/>
  <c r="Q619" i="1"/>
  <c r="R619" i="1"/>
  <c r="Q618" i="1"/>
  <c r="R618" i="1"/>
  <c r="Q617" i="1"/>
  <c r="R617" i="1"/>
  <c r="Q616" i="1"/>
  <c r="R616" i="1"/>
  <c r="R615" i="1"/>
  <c r="Q615" i="1"/>
  <c r="R614" i="1"/>
  <c r="Q614" i="1"/>
  <c r="R613" i="1"/>
  <c r="Q613" i="1"/>
  <c r="R612" i="1"/>
  <c r="Q612" i="1"/>
  <c r="R611" i="1"/>
  <c r="Q611" i="1"/>
  <c r="R610" i="1"/>
  <c r="Q610" i="1"/>
  <c r="R609" i="1"/>
  <c r="Q609" i="1"/>
  <c r="R608" i="1"/>
  <c r="Q608" i="1"/>
  <c r="R607" i="1"/>
  <c r="Q607" i="1"/>
  <c r="R606" i="1"/>
  <c r="Q606" i="1"/>
  <c r="R605" i="1"/>
  <c r="Q605" i="1"/>
  <c r="R604" i="1"/>
  <c r="Q604" i="1"/>
  <c r="R603" i="1"/>
  <c r="Q603" i="1"/>
  <c r="R602" i="1"/>
  <c r="Q602" i="1"/>
  <c r="R601" i="1"/>
  <c r="Q601" i="1"/>
  <c r="R600" i="1"/>
  <c r="Q600" i="1"/>
  <c r="R599" i="1"/>
  <c r="Q599" i="1"/>
  <c r="R598" i="1"/>
  <c r="Q598" i="1"/>
  <c r="R597" i="1"/>
  <c r="Q597" i="1"/>
  <c r="R596" i="1"/>
  <c r="Q596" i="1"/>
  <c r="R595" i="1"/>
  <c r="Q595" i="1"/>
  <c r="R594" i="1"/>
  <c r="Q594" i="1"/>
  <c r="R593" i="1"/>
  <c r="R592" i="1"/>
  <c r="R591" i="1"/>
  <c r="R590" i="1"/>
  <c r="R1" i="1" s="1"/>
  <c r="N593" i="1"/>
  <c r="Q593" i="1" s="1"/>
  <c r="N592" i="1"/>
  <c r="Q592" i="1" s="1"/>
  <c r="N591" i="1"/>
  <c r="Q591" i="1" s="1"/>
  <c r="N590" i="1"/>
  <c r="Q590" i="1" l="1"/>
  <c r="Q1" i="1" s="1"/>
  <c r="Q1350" i="1"/>
  <c r="R1350" i="1" s="1"/>
  <c r="R722" i="1" l="1"/>
  <c r="N722" i="1"/>
  <c r="N721" i="1"/>
  <c r="Q721" i="1" s="1"/>
  <c r="R721" i="1" s="1"/>
  <c r="R948" i="1"/>
  <c r="Q948" i="1"/>
  <c r="R949" i="1"/>
  <c r="Q949" i="1"/>
  <c r="R950" i="1"/>
  <c r="Q950" i="1"/>
  <c r="R951" i="1"/>
  <c r="Q951" i="1"/>
  <c r="R965" i="1"/>
  <c r="Q965" i="1"/>
  <c r="Q722" i="1" l="1"/>
  <c r="R711" i="1"/>
  <c r="Q711" i="1"/>
  <c r="N712" i="1"/>
  <c r="R720" i="1"/>
  <c r="Q719" i="1"/>
  <c r="N720" i="1"/>
  <c r="Q720" i="1" s="1"/>
  <c r="N719" i="1"/>
  <c r="Q712" i="1" l="1"/>
  <c r="R712" i="1"/>
  <c r="R719" i="1"/>
  <c r="R39" i="1" l="1"/>
  <c r="Q39" i="1"/>
  <c r="R38" i="1"/>
  <c r="Q38" i="1"/>
  <c r="R37" i="1"/>
  <c r="Q37" i="1"/>
  <c r="R36" i="1"/>
  <c r="Q36" i="1"/>
  <c r="R35" i="1"/>
  <c r="Q35" i="1"/>
  <c r="R34" i="1"/>
  <c r="Q34" i="1"/>
  <c r="Q33" i="1"/>
  <c r="R33" i="1" s="1"/>
  <c r="Q32" i="1"/>
  <c r="R32" i="1" s="1"/>
  <c r="Q31" i="1"/>
  <c r="R31" i="1" l="1"/>
  <c r="R1351" i="1" l="1"/>
  <c r="Q1351" i="1"/>
  <c r="Q1349" i="1"/>
  <c r="R1349" i="1" s="1"/>
  <c r="R472" i="1"/>
  <c r="Q472" i="1"/>
  <c r="Q471" i="1"/>
  <c r="Q306" i="1"/>
  <c r="Q305" i="1"/>
  <c r="Q304" i="1"/>
  <c r="Q303" i="1"/>
  <c r="Q302" i="1"/>
  <c r="R471" i="1" l="1"/>
  <c r="S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tc={1C787CCD-2E1F-4284-A508-17EF212E034B}</author>
    <author>tc={5ABB7477-4DFA-4D98-93AB-E2BF129B3A0A}</author>
    <author>tc={DB5DE2AE-0673-43DB-8EA1-A3BB08627EDD}</author>
    <author>tc={1CCEBC2D-C9A0-45CD-8CB2-AF9B1FABEEB9}</author>
    <author>tc={FACF3784-7392-4545-99AF-FBB13BF92254}</author>
    <author>tc={303131F7-24DB-4F81-8EC2-B599DBF01A3C}</author>
    <author>tc={E52FF052-A65E-48AA-B83A-664A59F5B4DD}</author>
    <author>tc={8F746389-72AA-4098-84BD-7DE8E390F9B7}</author>
    <author>tc={53AC5CC0-C1AC-4C65-9DED-C03807612778}</author>
    <author>tc={9BCA7924-986F-4579-AB92-803570A0F9C4}</author>
    <author>tc={5A3D92EC-EF2D-4C84-9B24-B2E7E0B5713A}</author>
  </authors>
  <commentList>
    <comment ref="P261" authorId="0" shapeId="0" xr:uid="{1C787CCD-2E1F-4284-A508-17EF212E03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contester
Réponse :
    OK vu avce PG</t>
      </text>
    </comment>
    <comment ref="P557" authorId="1" shapeId="0" xr:uid="{5ABB7477-4DFA-4D98-93AB-E2BF129B3A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plus élévé car demande de sortie accélérée des résultats</t>
      </text>
    </comment>
    <comment ref="P1011" authorId="2" shapeId="0" xr:uid="{DB5DE2AE-0673-43DB-8EA1-A3BB08627E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l'absence de la facture d'Upfront et au vu de l'arrivée des factures de PTC mensuelle : je saisi ici les dépenses jusqu'a clarification
Réponse :
    OK tout est rentré dans l'ordre</t>
      </text>
    </comment>
    <comment ref="J1021" authorId="3" shapeId="0" xr:uid="{1CCEBC2D-C9A0-45CD-8CB2-AF9B1FABEE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 upfronrpayrnent of 10% of Passthrough Fees will 1w charged to Sponsor upon execution cf tise Work Order</t>
      </text>
    </comment>
    <comment ref="J1022" authorId="4" shapeId="0" xr:uid="{FACF3784-7392-4545-99AF-FBB13BF922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 upfront payment of 10% of investigator Fees wilI be charged to Sponsor upon completion of the First Patient
Screened.</t>
      </text>
    </comment>
    <comment ref="L1419" authorId="5" shapeId="0" xr:uid="{303131F7-24DB-4F81-8EC2-B599DBF01A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CR a venir</t>
      </text>
    </comment>
    <comment ref="M1649" authorId="6" shapeId="0" xr:uid="{E52FF052-A65E-48AA-B83A-664A59F5B4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 reçue tardivement (le 12/03/2020)</t>
      </text>
    </comment>
    <comment ref="O1872" authorId="7" shapeId="0" xr:uid="{8F746389-72AA-4098-84BD-7DE8E390F9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GBP</t>
      </text>
    </comment>
    <comment ref="O2045" authorId="8" shapeId="0" xr:uid="{53AC5CC0-C1AC-4C65-9DED-C038076127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Sera facturé en USD
Réponse :
    Plus besoin</t>
      </text>
    </comment>
    <comment ref="O2046" authorId="9" shapeId="0" xr:uid="{9BCA7924-986F-4579-AB92-803570A0F9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Serra facturé en USD</t>
      </text>
    </comment>
    <comment ref="O2174" authorId="10" shapeId="0" xr:uid="{5A3D92EC-EF2D-4C84-9B24-B2E7E0B571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Sera facturé en CAD vu avec eux
Réponse :
    Finalement pas - vu avec Sunil au moment de la réception de la facture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tc={41CD3D2B-1F1D-45E1-86F6-11F11ABC45BE}</author>
    <author>tc={3158BF4B-9590-49DB-9257-78A9C911AD79}</author>
    <author>Lorraine Pin</author>
    <author>tc={04E41DFC-2028-4D5D-8BD9-23F1FFA4BA3E}</author>
    <author>Roxandra Sturdza</author>
    <author>tc={76E6A83A-92AE-4A8D-9F0F-380BE6B74B7C}</author>
    <author>tc={44635072-6A41-4A25-AF3F-AD92390D15E2}</author>
    <author>tc={8DB6210C-0102-47A6-AF5D-FBA10F5779D6}</author>
    <author>Merzak Bourouis</author>
    <author>tc={D459DA01-0803-410D-9CD7-BA64628A110B}</author>
    <author>tc={2D1E8470-4015-43BD-A1C1-4B9C073AFD81}</author>
    <author>tc={4ED47604-758F-4233-9DDA-F13938AF7177}</author>
    <author>tc={C1E05FD2-2218-4335-A022-70A73D5771B9}</author>
    <author>tc={31FC7085-1628-41F2-BFD2-0FF4CB4B0C24}</author>
    <author>tc={EB13DFC6-8EED-4DE6-A52F-B9C94A1E3900}</author>
    <author>tc={29BD14F9-6E1E-4263-BF37-AB0B60355BA6}</author>
    <author>tc={C2959CE6-CCED-40FC-ADBD-DA8F4322FD55}</author>
    <author>tc={4AFA0B4E-A47B-4D1C-9017-40D1E062D522}</author>
    <author>tc={876D5E42-CB72-47C0-8F02-A098354385C6}</author>
    <author>tc={1D4916A3-1C11-4888-AD5B-12B484C3D59B}</author>
    <author>tc={A2D98FFE-3657-4FD2-90EC-8581711B55A0}</author>
    <author>tc={F4C4E90F-33A9-409B-A1C3-7FCE830CDC6B}</author>
    <author>tc={8AA41A46-2FFA-4955-A1D0-F96316ACF0C0}</author>
    <author>tc={F60B2EFD-F7B6-4B82-924C-F4927D32E658}</author>
    <author>tc={4E114E74-81FC-4AEA-B7BA-82257D9CA1D4}</author>
    <author>tc={4151026D-682A-4CFE-A2C8-3C48C707B2BC}</author>
    <author>tc={8C9F2793-ADF0-4C93-BF58-2D8B894B58D4}</author>
    <author>tc={AE96D92D-2BD7-49F0-B877-2E73E13F6D38}</author>
  </authors>
  <commentList>
    <comment ref="Q127" authorId="0" shapeId="0" xr:uid="{41CD3D2B-1F1D-45E1-86F6-11F11ABC45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 a zero après reception de la "dernière" facture la n°11</t>
      </text>
    </comment>
    <comment ref="Q128" authorId="1" shapeId="0" xr:uid="{3158BF4B-9590-49DB-9257-78A9C911AD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 a zero après reception de la "dernière" facture la n°11</t>
      </text>
    </comment>
    <comment ref="M171" authorId="2" shapeId="0" xr:uid="{00000000-0006-0000-0100-000002000000}">
      <text>
        <r>
          <rPr>
            <b/>
            <sz val="9"/>
            <color indexed="81"/>
            <rFont val="Tahoma"/>
            <family val="2"/>
          </rPr>
          <t>Lorraine Pin:</t>
        </r>
        <r>
          <rPr>
            <sz val="9"/>
            <color indexed="81"/>
            <rFont val="Tahoma"/>
            <family val="2"/>
          </rPr>
          <t xml:space="preserve">
tant que depense &lt;23271 no invoice</t>
        </r>
      </text>
    </comment>
    <comment ref="M172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Lorraine Pin:</t>
        </r>
        <r>
          <rPr>
            <sz val="9"/>
            <color indexed="81"/>
            <rFont val="Tahoma"/>
            <family val="2"/>
          </rPr>
          <t xml:space="preserve">
tant que depense &lt;23271 no invoice</t>
        </r>
      </text>
    </comment>
    <comment ref="M173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Lorraine Pin:</t>
        </r>
        <r>
          <rPr>
            <sz val="9"/>
            <color indexed="81"/>
            <rFont val="Tahoma"/>
            <family val="2"/>
          </rPr>
          <t xml:space="preserve">
tant que depense &lt;23271 no invoice</t>
        </r>
      </text>
    </comment>
    <comment ref="M181" authorId="3" shapeId="0" xr:uid="{04E41DFC-2028-4D5D-8BD9-23F1FFA4BA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INV reçue : saisie, peut-être constée ? Voir avec PC Novembre 2019</t>
      </text>
    </comment>
    <comment ref="H215" authorId="4" shapeId="0" xr:uid="{134FED6F-7E7B-4EE8-8AD6-C1D7159915ED}">
      <text>
        <r>
          <rPr>
            <b/>
            <sz val="9"/>
            <color indexed="81"/>
            <rFont val="Tahoma"/>
            <family val="2"/>
          </rPr>
          <t>HIV 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8" authorId="5" shapeId="0" xr:uid="{76E6A83A-92AE-4A8D-9F0F-380BE6B74B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réalité la facture est datée de mai mais DS me l'a envoyé en juillet post cloture</t>
      </text>
    </comment>
    <comment ref="M310" authorId="6" shapeId="0" xr:uid="{44635072-6A41-4A25-AF3F-AD92390D15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réalité la facture est datée de mai mais DS me l'a envoyé en juillet post cloture</t>
      </text>
    </comment>
    <comment ref="M312" authorId="7" shapeId="0" xr:uid="{8DB6210C-0102-47A6-AF5D-FBA10F577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réalité la facture est datée de mai mais DS me l'a envoyé en juillet post cloture</t>
      </text>
    </comment>
    <comment ref="Q367" authorId="8" shapeId="0" xr:uid="{65E2AEC4-4942-4CE1-BE4F-0EBF83AE29B9}">
      <text>
        <r>
          <rPr>
            <b/>
            <sz val="9"/>
            <color indexed="81"/>
            <rFont val="Tahoma"/>
            <family val="2"/>
          </rPr>
          <t>vu avec jérome : a venir 160 k€ pas plus pas moins</t>
        </r>
      </text>
    </comment>
    <comment ref="P405" authorId="9" shapeId="0" xr:uid="{D459DA01-0803-410D-9CD7-BA64628A11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 sont trompé dans le prix : prix du T3M</t>
      </text>
    </comment>
    <comment ref="P406" authorId="10" shapeId="0" xr:uid="{2D1E8470-4015-43BD-A1C1-4B9C073AFD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 sont trompé</t>
      </text>
    </comment>
    <comment ref="N474" authorId="11" shapeId="0" xr:uid="{4ED47604-758F-4233-9DDA-F13938AF71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Reduit à 25k€ au lieu de 300k€</t>
      </text>
    </comment>
    <comment ref="N475" authorId="12" shapeId="0" xr:uid="{C1E05FD2-2218-4335-A022-70A73D5771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Reduit à 25k€ au lieu de 300k€</t>
      </text>
    </comment>
    <comment ref="N476" authorId="13" shapeId="0" xr:uid="{31FC7085-1628-41F2-BFD2-0FF4CB4B0C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Reduit à 25k€ au lieu de 300k€</t>
      </text>
    </comment>
    <comment ref="N477" authorId="14" shapeId="0" xr:uid="{EB13DFC6-8EED-4DE6-A52F-B9C94A1E39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réajuster selon</t>
      </text>
    </comment>
    <comment ref="N478" authorId="15" shapeId="0" xr:uid="{29BD14F9-6E1E-4263-BF37-AB0B60355B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réajuster selon</t>
      </text>
    </comment>
    <comment ref="N479" authorId="16" shapeId="0" xr:uid="{C2959CE6-CCED-40FC-ADBD-DA8F4322FD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réajuster selon</t>
      </text>
    </comment>
    <comment ref="N566" authorId="4" shapeId="0" xr:uid="{100F37F2-5DD5-4C80-8A6B-EB789460848D}">
      <text>
        <r>
          <rPr>
            <b/>
            <sz val="9"/>
            <color indexed="81"/>
            <rFont val="Tahoma"/>
            <family val="2"/>
          </rPr>
          <t>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74" authorId="17" shapeId="0" xr:uid="{4AFA0B4E-A47B-4D1C-9017-40D1E062D5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Will be invoice with the next installment</t>
      </text>
    </comment>
    <comment ref="N885" authorId="18" shapeId="0" xr:uid="{876D5E42-CB72-47C0-8F02-A098354385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Vu avec AP : va être un peu au dessus</t>
      </text>
    </comment>
    <comment ref="J888" authorId="19" shapeId="0" xr:uid="{1D4916A3-1C11-4888-AD5B-12B484C3D5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Will be invoice with the next installment</t>
      </text>
    </comment>
    <comment ref="N1063" authorId="20" shapeId="0" xr:uid="{A2D98FFE-3657-4FD2-90EC-8581711B55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avec Paul si ce starup fee est celui de la LOI
Réponse :
    OUI</t>
      </text>
    </comment>
    <comment ref="M1447" authorId="21" shapeId="0" xr:uid="{F4C4E90F-33A9-409B-A1C3-7FCE830CDC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C'etait prévu pour Oct 2019 selon DS/ selon l'engage : c'est arrivé en Juillet</t>
      </text>
    </comment>
    <comment ref="P1737" authorId="22" shapeId="0" xr:uid="{8AA41A46-2FFA-4955-A1D0-F96316ACF0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Avoir a recevoir de 2 500 €
Réponse :
    Reçu le 23/07/2021</t>
      </text>
    </comment>
    <comment ref="L1762" authorId="23" shapeId="0" xr:uid="{F60B2EFD-F7B6-4B82-924C-F4927D32E6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Mise ici car je pense qu'il y a une erreure dans le libellé du Milestone</t>
      </text>
    </comment>
    <comment ref="N2647" authorId="24" shapeId="0" xr:uid="{4E114E74-81FC-4AEA-B7BA-82257D9CA1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revu par PCAS car pris en charge par Fisher. Cf Mail du 16/11/2020</t>
      </text>
    </comment>
    <comment ref="N2653" authorId="25" shapeId="0" xr:uid="{4151026D-682A-4CFE-A2C8-3C48C707B2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revu par PCAS car pris en charge par Fisher. Cf Mail du 16/11/2020</t>
      </text>
    </comment>
    <comment ref="N2659" authorId="26" shapeId="0" xr:uid="{8C9F2793-ADF0-4C93-BF58-2D8B894B58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revu par PCAS car pris en charge par Fisher. Cf Mail du 16/11/2020</t>
      </text>
    </comment>
    <comment ref="N2802" authorId="27" shapeId="0" xr:uid="{AE96D92D-2BD7-49F0-B877-2E73E13F6D3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Inclu dans le MSA</t>
      </text>
    </comment>
  </commentList>
</comments>
</file>

<file path=xl/sharedStrings.xml><?xml version="1.0" encoding="utf-8"?>
<sst xmlns="http://schemas.openxmlformats.org/spreadsheetml/2006/main" count="57195" uniqueCount="14437">
  <si>
    <t>CMC</t>
  </si>
  <si>
    <t>LEYTON</t>
  </si>
  <si>
    <t>CIR</t>
  </si>
  <si>
    <t>SIGNATURE</t>
  </si>
  <si>
    <t>Projet</t>
  </si>
  <si>
    <t>Departement</t>
  </si>
  <si>
    <t>Fournisseur</t>
  </si>
  <si>
    <t>Milestones</t>
  </si>
  <si>
    <t>Date Milestones</t>
  </si>
  <si>
    <t>Montant Milestones</t>
  </si>
  <si>
    <t>LAB</t>
  </si>
  <si>
    <t>360BIOLABS</t>
  </si>
  <si>
    <t>CONTRACT/WO EXEC</t>
  </si>
  <si>
    <t>FINAL REPORT</t>
  </si>
  <si>
    <t>Currency</t>
  </si>
  <si>
    <t>EUROS</t>
  </si>
  <si>
    <t>AUD</t>
  </si>
  <si>
    <t>ZIKA</t>
  </si>
  <si>
    <t>Statut</t>
  </si>
  <si>
    <t>OK</t>
  </si>
  <si>
    <t>SPEEDY 28 D Antigen prod + shipping</t>
  </si>
  <si>
    <t>ELISA Plate</t>
  </si>
  <si>
    <t>87 D Antigen prod + shipping</t>
  </si>
  <si>
    <t>serum aliquotage</t>
  </si>
  <si>
    <t>Rabbit 87 days</t>
  </si>
  <si>
    <t>Unique program</t>
  </si>
  <si>
    <t>Additional bleeding</t>
  </si>
  <si>
    <t>Shipping</t>
  </si>
  <si>
    <t>Elisa</t>
  </si>
  <si>
    <t>Elisa 39</t>
  </si>
  <si>
    <t>Aliquotage serum lapin</t>
  </si>
  <si>
    <t>EUROGENTEC</t>
  </si>
  <si>
    <t>Devis</t>
  </si>
  <si>
    <t>Already Booked</t>
  </si>
  <si>
    <t>To be expected</t>
  </si>
  <si>
    <t>ELISA</t>
  </si>
  <si>
    <t>PCAS</t>
  </si>
  <si>
    <t>COMMANDE</t>
  </si>
  <si>
    <t>FIN TRAVAUX</t>
  </si>
  <si>
    <t>PURETE</t>
  </si>
  <si>
    <t>METHODE ROOWIN</t>
  </si>
  <si>
    <t>TRANSFERT ANA</t>
  </si>
  <si>
    <t>ACHAT MP</t>
  </si>
  <si>
    <t>LOT 1 CoA</t>
  </si>
  <si>
    <t>ETUDE CARRYOVER IMPURETES - RAPPORT</t>
  </si>
  <si>
    <t>W4</t>
  </si>
  <si>
    <t>W6</t>
  </si>
  <si>
    <t>LIBERATION LOT 1</t>
  </si>
  <si>
    <t>LIBERATION LOT 2</t>
  </si>
  <si>
    <t>ROOWIN</t>
  </si>
  <si>
    <t>REMISE RAPPORT</t>
  </si>
  <si>
    <t>DV-201511181-v000</t>
  </si>
  <si>
    <t>DV-201511182-v000</t>
  </si>
  <si>
    <t>Matières Premières - GMP 15 kg ABX464</t>
  </si>
  <si>
    <t>Matières Premières</t>
  </si>
  <si>
    <t>Developpement / qualif methode d'un lot</t>
  </si>
  <si>
    <t>Prod 0,5 kg</t>
  </si>
  <si>
    <t>Etude Optimisation - Livraison du rapport</t>
  </si>
  <si>
    <t>DV-201304066 – v001</t>
  </si>
  <si>
    <t>DV-201509165-v000</t>
  </si>
  <si>
    <t>Fin de stabilité normale</t>
  </si>
  <si>
    <t>Analyse de distribution / A la commande</t>
  </si>
  <si>
    <t>Stabilité</t>
  </si>
  <si>
    <t>EXPLICYTE (IMMUSMOL)</t>
  </si>
  <si>
    <t>50% SIGNATURE</t>
  </si>
  <si>
    <t>30% ANALYSE</t>
  </si>
  <si>
    <t>20% FIN ETUDE</t>
  </si>
  <si>
    <t>50% SIGNATURE OPTIONNAL</t>
  </si>
  <si>
    <t>30% ANALYSE OPTIONNAL</t>
  </si>
  <si>
    <t>20% FIN ETUDE OPTIONNAL</t>
  </si>
  <si>
    <t>ONCODESIGN</t>
  </si>
  <si>
    <t>50% COMMANDE ETUDE</t>
  </si>
  <si>
    <t>30% START ETUDE</t>
  </si>
  <si>
    <t>20% DRAFT</t>
  </si>
  <si>
    <t>V1</t>
  </si>
  <si>
    <t>CLI</t>
  </si>
  <si>
    <t>EZUS</t>
  </si>
  <si>
    <t>004 Frais Admin</t>
  </si>
  <si>
    <t>50% SIGNATURE PH1</t>
  </si>
  <si>
    <t>30% END SCREENING PH1</t>
  </si>
  <si>
    <t>20% RAPPORT PH1</t>
  </si>
  <si>
    <t>50% DEBUT ETUDE</t>
  </si>
  <si>
    <t>50% FIN ETUDE</t>
  </si>
  <si>
    <t xml:space="preserve">004 2500 PAR PATIENTS POUR 8 VISITES MAX </t>
  </si>
  <si>
    <t>QBIO</t>
  </si>
  <si>
    <t>WP1B</t>
  </si>
  <si>
    <t>WP2A</t>
  </si>
  <si>
    <t>WB2B</t>
  </si>
  <si>
    <t>WP3</t>
  </si>
  <si>
    <t>WP4</t>
  </si>
  <si>
    <t>WP1</t>
  </si>
  <si>
    <t>WP2</t>
  </si>
  <si>
    <t>ARTMOLECULE</t>
  </si>
  <si>
    <t>N 464</t>
  </si>
  <si>
    <t>N I3C6 464</t>
  </si>
  <si>
    <t>N13C6</t>
  </si>
  <si>
    <t>AXPHARMA</t>
  </si>
  <si>
    <t>ETUDE PDE ABX464</t>
  </si>
  <si>
    <t>Cell&amp;Co</t>
  </si>
  <si>
    <t>DELPHARM</t>
  </si>
  <si>
    <t>ORION</t>
  </si>
  <si>
    <t>Total général</t>
  </si>
  <si>
    <t>ATLANBIO</t>
  </si>
  <si>
    <t>005</t>
  </si>
  <si>
    <t>Upon initiation of study</t>
  </si>
  <si>
    <t>Upon completion of study</t>
  </si>
  <si>
    <t>Upon issuance of draft report</t>
  </si>
  <si>
    <t>Amendment 1</t>
  </si>
  <si>
    <t>COVANCE</t>
  </si>
  <si>
    <t>26 W study in rats - CHEMICAL ANALYSIS</t>
  </si>
  <si>
    <t>CITOXLAB</t>
  </si>
  <si>
    <t>P3192-MAC-V2</t>
  </si>
  <si>
    <t>67% signature of the quotation</t>
  </si>
  <si>
    <t>33% draft report</t>
  </si>
  <si>
    <t>P6424/CK</t>
  </si>
  <si>
    <t>44056 PAR - P6377/PK</t>
  </si>
  <si>
    <t>67% upon the signature of the quotation</t>
  </si>
  <si>
    <t>33% at the dispatch of the draft report</t>
  </si>
  <si>
    <t>Additional Cost</t>
  </si>
  <si>
    <t>T0</t>
  </si>
  <si>
    <t>L16_2086C</t>
  </si>
  <si>
    <t>L16 2141 A</t>
  </si>
  <si>
    <t xml:space="preserve">Tamisage et Matiere </t>
  </si>
  <si>
    <t xml:space="preserve">Ganulation et Calibrage du grain </t>
  </si>
  <si>
    <t xml:space="preserve">Mise en gélule </t>
  </si>
  <si>
    <t xml:space="preserve">Contrôle IPC </t>
  </si>
  <si>
    <t>EVT04991</t>
  </si>
  <si>
    <t>Expression and purification</t>
  </si>
  <si>
    <t>Crystallisation Screening</t>
  </si>
  <si>
    <t>Optional Crytstal optimisation</t>
  </si>
  <si>
    <t>Recharge of attached synchroton costs</t>
  </si>
  <si>
    <t>structure elucidation</t>
  </si>
  <si>
    <t>EVOTEC</t>
  </si>
  <si>
    <t>1. Project start-up</t>
  </si>
  <si>
    <t>2. Applications to Competent Authorities &amp; ECs</t>
  </si>
  <si>
    <t xml:space="preserve">3. Clinical Trial Management </t>
  </si>
  <si>
    <t xml:space="preserve">4. Project Management </t>
  </si>
  <si>
    <t xml:space="preserve">5. DM and Data Base </t>
  </si>
  <si>
    <t xml:space="preserve">6. Laboratory tests </t>
  </si>
  <si>
    <t>7. Personal cost &amp; infrastructure</t>
  </si>
  <si>
    <t>8. Participants economic compensation</t>
  </si>
  <si>
    <t>9. Estimated Pass Through Costs</t>
  </si>
  <si>
    <t>Indirect fee (10%)</t>
  </si>
  <si>
    <t xml:space="preserve">Fundacio' Lluita </t>
  </si>
  <si>
    <t>Signature 23/05</t>
  </si>
  <si>
    <t>FPI 29/05</t>
  </si>
  <si>
    <t>50% SiV complete 15/07</t>
  </si>
  <si>
    <t>3059-WO 001</t>
  </si>
  <si>
    <t>Signature</t>
  </si>
  <si>
    <t>sending of the study protocol</t>
  </si>
  <si>
    <t>sending of the SAP with PK section</t>
  </si>
  <si>
    <t>PK Report</t>
  </si>
  <si>
    <t>Finalisation report</t>
  </si>
  <si>
    <t>Release of draft 1 CSR</t>
  </si>
  <si>
    <t>Draft 1 CSR</t>
  </si>
  <si>
    <t>PHINC</t>
  </si>
  <si>
    <t>PH15050</t>
  </si>
  <si>
    <t>PH15068</t>
  </si>
  <si>
    <t>NOTAPP</t>
  </si>
  <si>
    <t>REG</t>
  </si>
  <si>
    <t>QUOTATION 1</t>
  </si>
  <si>
    <t>EXPRESSION</t>
  </si>
  <si>
    <t>60% SIGNATURE LOWER QUOTE</t>
  </si>
  <si>
    <t>60% PROD 50 MG EBOLA GP</t>
  </si>
  <si>
    <t>40% PROD 50MG EBOLA GP</t>
  </si>
  <si>
    <t>50% ORDER POLYCLONAL RCB</t>
  </si>
  <si>
    <t>50% FINAL REPORT POLYCLONAL RCB</t>
  </si>
  <si>
    <t>60 % study small scale</t>
  </si>
  <si>
    <t>40 % study small scale</t>
  </si>
  <si>
    <t>CAPEVAL</t>
  </si>
  <si>
    <t>ASSOCIATION GEEP</t>
  </si>
  <si>
    <t>DIFFRACTION X SUR POUDRE</t>
  </si>
  <si>
    <t>DSC</t>
  </si>
  <si>
    <t>UPFRONT SIGNATURE</t>
  </si>
  <si>
    <t>WP1,1</t>
  </si>
  <si>
    <t>WP1,2</t>
  </si>
  <si>
    <t>WP1,3</t>
  </si>
  <si>
    <t>WP1,4</t>
  </si>
  <si>
    <t>WP1,5</t>
  </si>
  <si>
    <t>WP1,6</t>
  </si>
  <si>
    <t>PTC</t>
  </si>
  <si>
    <t>Essai préliminaire Tissue Cross Reactivity testing ABX544 67</t>
  </si>
  <si>
    <t xml:space="preserve">50 % on the authorization of the quotation </t>
  </si>
  <si>
    <t>W7</t>
  </si>
  <si>
    <t>N gluco 464</t>
  </si>
  <si>
    <t>ADDI COST</t>
  </si>
  <si>
    <t>Validation de la methode et analyse du premier lot</t>
  </si>
  <si>
    <t>prix liberation chaque lot</t>
  </si>
  <si>
    <t>QIMR</t>
  </si>
  <si>
    <t>EXEC</t>
  </si>
  <si>
    <t>Final Report</t>
  </si>
  <si>
    <t xml:space="preserve">SRV_16193 </t>
  </si>
  <si>
    <t>RSV/FLU</t>
  </si>
  <si>
    <t>PI</t>
  </si>
  <si>
    <t>LAB TEST</t>
  </si>
  <si>
    <t>DATA ANALYSIS</t>
  </si>
  <si>
    <t>CONTRACT EXEC</t>
  </si>
  <si>
    <t>50% upon order</t>
  </si>
  <si>
    <t>30% tech start of the study</t>
  </si>
  <si>
    <t>20% results or draft report</t>
  </si>
  <si>
    <t>Additional cost</t>
  </si>
  <si>
    <t>ANNULE</t>
  </si>
  <si>
    <t>LEADS TO DEV</t>
  </si>
  <si>
    <t>CHICK</t>
  </si>
  <si>
    <t>EVAG PARTNER</t>
  </si>
  <si>
    <t>UC-101 - LOA</t>
  </si>
  <si>
    <t xml:space="preserve">UC-101 </t>
  </si>
  <si>
    <t>Discount / 1143571</t>
  </si>
  <si>
    <t>ACTIVITY</t>
  </si>
  <si>
    <t>PT ESTIMATION</t>
  </si>
  <si>
    <t>CLINMARK</t>
  </si>
  <si>
    <t>UC-101  FEASA</t>
  </si>
  <si>
    <t>STUDY DOCUMENTS</t>
  </si>
  <si>
    <t>REGULATORY 1 EC / IRB</t>
  </si>
  <si>
    <t>STUDY SET-UP &amp; INITIATION</t>
  </si>
  <si>
    <t>STUDY ADMINISTRATION</t>
  </si>
  <si>
    <t>QA &amp; QC</t>
  </si>
  <si>
    <t>STUDY MONITORING</t>
  </si>
  <si>
    <t>INVESTIGATORS FEE</t>
  </si>
  <si>
    <t>PASS THROUGH COSTS</t>
  </si>
  <si>
    <t>EXPERIMENT 1</t>
  </si>
  <si>
    <t>EXPERIMENT 2</t>
  </si>
  <si>
    <t xml:space="preserve">INDIRECT COST </t>
  </si>
  <si>
    <t>CHUM</t>
  </si>
  <si>
    <t>NICO CHOMONT</t>
  </si>
  <si>
    <t>CAD</t>
  </si>
  <si>
    <t>50% patients recruited 18/10</t>
  </si>
  <si>
    <t>100% patients recruited 09/03/2017</t>
  </si>
  <si>
    <t xml:space="preserve">Rabbit - 87 days </t>
  </si>
  <si>
    <t>Additionnal injection</t>
  </si>
  <si>
    <t>Additionnal Bleeding</t>
  </si>
  <si>
    <t xml:space="preserve">1 ELISA plate </t>
  </si>
  <si>
    <t>Custom Antibody production</t>
  </si>
  <si>
    <t>LOA signature 30%</t>
  </si>
  <si>
    <t>All PSVs completed 20%</t>
  </si>
  <si>
    <t>All submissions performed 15%</t>
  </si>
  <si>
    <t>RA approvals receipt 15%</t>
  </si>
  <si>
    <t>Monthly management Fees 7%</t>
  </si>
  <si>
    <t>EUROFINS</t>
  </si>
  <si>
    <t>ACOBIOM</t>
  </si>
  <si>
    <t>miR-124-1 analysis</t>
  </si>
  <si>
    <t>DNA miR-124-1 Methylation</t>
  </si>
  <si>
    <t>Microbiome profiling</t>
  </si>
  <si>
    <t>IL-22 analysis</t>
  </si>
  <si>
    <t>Traitement d’une opération de réception</t>
  </si>
  <si>
    <t>Contrôle standard à réception de cryoboîte</t>
  </si>
  <si>
    <t>Stockage à - 80°C de cryoboîtes de format 135*135*55 mm</t>
  </si>
  <si>
    <t>Transport à -80°C en glace carbonique (1 envoi)</t>
  </si>
  <si>
    <t>Réception d'échantillons et traitement des données</t>
  </si>
  <si>
    <t>Fourniture de matériel</t>
  </si>
  <si>
    <t>réorganisation, expédition ou destruction d'échantillons</t>
  </si>
  <si>
    <t>Conservation sécurisée d'échantillons biologiques</t>
  </si>
  <si>
    <t>Analyse Lot G09001182205 restest standard CQG</t>
  </si>
  <si>
    <t>BIOCLINICA</t>
  </si>
  <si>
    <t>peptide service aliquoting per tube</t>
  </si>
  <si>
    <t>Transpor d'échantillon Eurogentec - Lyon</t>
  </si>
  <si>
    <t>SERVICES</t>
  </si>
  <si>
    <t>PCT</t>
  </si>
  <si>
    <t>READER FEES</t>
  </si>
  <si>
    <t>Quotation 006 - 06/07/2017 EBOLA</t>
  </si>
  <si>
    <t>Task 1 -  Gene synthesis and cloning</t>
  </si>
  <si>
    <t>Task 2 - Etablishment of 2 stable cell lines</t>
  </si>
  <si>
    <t>Task 3 - Small-scale production and purification</t>
  </si>
  <si>
    <t>Task 4 - If GO - Production of 1L from 3L stableb cell lines</t>
  </si>
  <si>
    <t>Task 5 - If GO - 3 purification 5000€/proteines</t>
  </si>
  <si>
    <t>ATTENTION Credit de 23 271 €</t>
  </si>
  <si>
    <t>TOTAL STUDY COST</t>
  </si>
  <si>
    <t>P10548-B</t>
  </si>
  <si>
    <t>Additionnal cost</t>
  </si>
  <si>
    <t>Quote ABI201703 - 17541</t>
  </si>
  <si>
    <t>Project initiation</t>
  </si>
  <si>
    <t>Laboratory Testing</t>
  </si>
  <si>
    <t>Data analysis and reporting</t>
  </si>
  <si>
    <t>Quote ABI201702 - 17540</t>
  </si>
  <si>
    <t>OPTUM</t>
  </si>
  <si>
    <t>QM039720 - P00248</t>
  </si>
  <si>
    <t>USD</t>
  </si>
  <si>
    <t>License</t>
  </si>
  <si>
    <t>QM039720 Amendment QM041403- P00248</t>
  </si>
  <si>
    <t>rajout d'un pays : Rep. Tcheque</t>
  </si>
  <si>
    <t>40% a la commande</t>
  </si>
  <si>
    <t>50% pendant l'experimentation</t>
  </si>
  <si>
    <t>10% envoi rapport final</t>
  </si>
  <si>
    <t>unique programme</t>
  </si>
  <si>
    <t>30/04/2017 ANNULE</t>
  </si>
  <si>
    <t>31/05/2017 ANNULE</t>
  </si>
  <si>
    <t>30/06/2017 ANNULE</t>
  </si>
  <si>
    <t>30% 30/06/2016 + 70% 23/08/2016</t>
  </si>
  <si>
    <t>PROD 10L sans upfront</t>
  </si>
  <si>
    <t>100 PROD ZAIRE 9 &amp; 11 mg</t>
  </si>
  <si>
    <t>L16_2086D</t>
  </si>
  <si>
    <t>Quote ABI201607 - 16194 A1</t>
  </si>
  <si>
    <t>Contraced Work</t>
  </si>
  <si>
    <t>ABI201606 - 16195_A2</t>
  </si>
  <si>
    <t>Analysis of phagocytic capacity</t>
  </si>
  <si>
    <t>Juil ou Aout 2017</t>
  </si>
  <si>
    <t xml:space="preserve">30% 13/04/2017 + 70% 19/06/2017 </t>
  </si>
  <si>
    <t>12/12/2016 + 15/12/2016</t>
  </si>
  <si>
    <t>Services implementation</t>
  </si>
  <si>
    <t>ENGLISH PHARMACO TRAINING 1/2</t>
  </si>
  <si>
    <t>ENGLISH PHARMACO TRAINING 2/2</t>
  </si>
  <si>
    <t>CEVFILE 2016.06.01 - P00133</t>
  </si>
  <si>
    <t>16/062017</t>
  </si>
  <si>
    <t>50% A la commande</t>
  </si>
  <si>
    <t>50% A la livraison des resultats</t>
  </si>
  <si>
    <t>50% signature</t>
  </si>
  <si>
    <t>50% fin</t>
  </si>
  <si>
    <t>P00237</t>
  </si>
  <si>
    <t>16039161107-02 -M00060</t>
  </si>
  <si>
    <t>16039170320 - M00033</t>
  </si>
  <si>
    <t>QUOTATION 2 - P00169</t>
  </si>
  <si>
    <t>QUOTATION 5 -P00170</t>
  </si>
  <si>
    <t>RESTE A PAYER</t>
  </si>
  <si>
    <t>50% SIGNATURE PH2 (option)</t>
  </si>
  <si>
    <t>30% END SCREENING PH2n (option)</t>
  </si>
  <si>
    <t>20% RAPPORT PH2 (option)</t>
  </si>
  <si>
    <t>VERSION 2 - du 18/02/2017</t>
  </si>
  <si>
    <t>QUOTE 1 V3 du 30/08/2016</t>
  </si>
  <si>
    <t>QUOTE 2 du 01/06/2016</t>
  </si>
  <si>
    <t>16039161107-02 -M00060 Add cost</t>
  </si>
  <si>
    <t>60% UPON QUOTE SIGNATURE</t>
  </si>
  <si>
    <t>40% RESULT</t>
  </si>
  <si>
    <t>COST 1 PROD - MAN 16245</t>
  </si>
  <si>
    <t>"process development"</t>
  </si>
  <si>
    <t>V2 - Genotypage</t>
  </si>
  <si>
    <t>100 % livraison du resultat</t>
  </si>
  <si>
    <t>UPFRONT 20%</t>
  </si>
  <si>
    <t>ABX262-001 UC101</t>
  </si>
  <si>
    <t>Test AMES 50% issu of the draft report</t>
  </si>
  <si>
    <t>Test AMES 50% on authorization</t>
  </si>
  <si>
    <t>QUOTATION 4 - P00125</t>
  </si>
  <si>
    <t>démarrage de la 1ère étude (2 lots au total)</t>
  </si>
  <si>
    <t>à la fin de l'étude</t>
  </si>
  <si>
    <t>après la 2ème étude</t>
  </si>
  <si>
    <t>100% du reste du devis revisité : 7 588 - 4 370,80</t>
  </si>
  <si>
    <t>All data entered + monitored 31/07/2017</t>
  </si>
  <si>
    <t>=full process-60 000 signature - discount</t>
  </si>
  <si>
    <t>CHF</t>
  </si>
  <si>
    <t>50% upon execution</t>
  </si>
  <si>
    <t>20% un mois apres full completion of Research Services</t>
  </si>
  <si>
    <t>DEXTRA</t>
  </si>
  <si>
    <t>GBP</t>
  </si>
  <si>
    <t>50 % on issue of the draft report
OK Draft report reçu</t>
  </si>
  <si>
    <t>EVT05953 - SRV_17679</t>
  </si>
  <si>
    <t>10 FTE * 180 000 /4</t>
  </si>
  <si>
    <t>16,50 FTE * 180 000 /4</t>
  </si>
  <si>
    <t>26,50 FTE * 180 000 /4</t>
  </si>
  <si>
    <t>23,5 FTE * 180 000 /4</t>
  </si>
  <si>
    <t>50% à la fin de l'étude</t>
  </si>
  <si>
    <t>Quote ABI201603 - 16194 A1 W - M00054</t>
  </si>
  <si>
    <t>ABI201603 - 16195_1 - M00053</t>
  </si>
  <si>
    <t>Quote ABI201604 - 16214 - M00065</t>
  </si>
  <si>
    <t>Quote ABI201605 - 16215 - M00064</t>
  </si>
  <si>
    <t>Essai préliminaire Tissue Cross Reactivity testing ABX544 33
+ Addd cost</t>
  </si>
  <si>
    <t>signature : 10 000 €</t>
  </si>
  <si>
    <t>DROSOPHILA S2 PROTEIN - LIC_17585</t>
  </si>
  <si>
    <t>SOLADIS</t>
  </si>
  <si>
    <t>WP non GMP purification run for in-vivo testing
proof of concept (pre immune  serum - 10mL)</t>
  </si>
  <si>
    <t>Last patient out 31/07/2017</t>
  </si>
  <si>
    <t>50% - upon order</t>
  </si>
  <si>
    <t>30% - Technical start of the study</t>
  </si>
  <si>
    <t>20% - Transmission of the results or draft report</t>
  </si>
  <si>
    <t xml:space="preserve">HISTALIM </t>
  </si>
  <si>
    <t>tumor Image analysis</t>
  </si>
  <si>
    <t>33 % au draft final report</t>
  </si>
  <si>
    <t>LC MS feasibility study PHASE I</t>
  </si>
  <si>
    <r>
      <t xml:space="preserve">D1700494 </t>
    </r>
    <r>
      <rPr>
        <b/>
        <sz val="11"/>
        <color theme="1"/>
        <rFont val="Calibri"/>
        <family val="2"/>
        <scheme val="minor"/>
      </rPr>
      <t>P00263</t>
    </r>
  </si>
  <si>
    <t>LOA SIGNATURE MSA_16085_W3 : REGULATORY &amp; ETHICS SUBMISSIONS</t>
  </si>
  <si>
    <t>ATTENTION Credit de 23 271 €
Facture N° 2015216 recu : fin d'étude, bien pris en compte les 23 271 €</t>
  </si>
  <si>
    <t>A1 Quotation 006 - 06/10/2017 EBOLA</t>
  </si>
  <si>
    <t>Facture N° 2015220 recue le 20/10/2017 : Etude terminée on en paye uniquement que la première étape de l'amendement n°1</t>
  </si>
  <si>
    <t>67% a la signature - 18/10/2017</t>
  </si>
  <si>
    <t>40% upon signature</t>
  </si>
  <si>
    <t>IMQUEST</t>
  </si>
  <si>
    <t>60% upon signature</t>
  </si>
  <si>
    <t>20% at the end of task</t>
  </si>
  <si>
    <t>20% task final report</t>
  </si>
  <si>
    <t>Cost of cancellation</t>
  </si>
  <si>
    <t>Recu le 30/09/2017</t>
  </si>
  <si>
    <t xml:space="preserve">Q-2017-940 </t>
  </si>
  <si>
    <t>31/11/2016</t>
  </si>
  <si>
    <t>HEPB</t>
  </si>
  <si>
    <t>CSIRO</t>
  </si>
  <si>
    <t>A VENIR</t>
  </si>
  <si>
    <t>SRV_17719</t>
  </si>
  <si>
    <t>TOXIKON</t>
  </si>
  <si>
    <t>PHASE III : 9 840 €</t>
  </si>
  <si>
    <t>LC MS feasibility study PHASE I + PHASE II</t>
  </si>
  <si>
    <t>Annulé par Quote 1 V3 25 309 €</t>
  </si>
  <si>
    <t>Annulé par Quote 1 V3 30 178 €</t>
  </si>
  <si>
    <t>Annulé par Quote 1 V3 37 069 €</t>
  </si>
  <si>
    <t>W10 (WO2017#3) - P00282</t>
  </si>
  <si>
    <t>W9  (WO2017#2)- P00260</t>
  </si>
  <si>
    <t>W9 (WO2017#2) - P00260</t>
  </si>
  <si>
    <t>W8 (WO2017#1)</t>
  </si>
  <si>
    <t>Clôturé</t>
  </si>
  <si>
    <r>
      <t xml:space="preserve">FVN12898-01 </t>
    </r>
    <r>
      <rPr>
        <b/>
        <sz val="11"/>
        <rFont val="Calibri"/>
        <family val="2"/>
        <scheme val="minor"/>
      </rPr>
      <t>P00094</t>
    </r>
  </si>
  <si>
    <r>
      <t xml:space="preserve">FVN13086 </t>
    </r>
    <r>
      <rPr>
        <b/>
        <sz val="11"/>
        <rFont val="Calibri"/>
        <family val="2"/>
        <scheme val="minor"/>
      </rPr>
      <t>P00129</t>
    </r>
  </si>
  <si>
    <r>
      <t xml:space="preserve">FVN12948-01-QUNNS </t>
    </r>
    <r>
      <rPr>
        <b/>
        <sz val="11"/>
        <rFont val="Calibri"/>
        <family val="2"/>
        <scheme val="minor"/>
      </rPr>
      <t>P00112</t>
    </r>
  </si>
  <si>
    <r>
      <t>FVN13123-01-QUNNS</t>
    </r>
    <r>
      <rPr>
        <b/>
        <sz val="11"/>
        <rFont val="Calibri"/>
        <family val="2"/>
        <scheme val="minor"/>
      </rPr>
      <t xml:space="preserve"> P00133</t>
    </r>
  </si>
  <si>
    <r>
      <t>TNZ 11946-01-QUNNS</t>
    </r>
    <r>
      <rPr>
        <b/>
        <sz val="11"/>
        <rFont val="Calibri"/>
        <family val="2"/>
        <scheme val="minor"/>
      </rPr>
      <t xml:space="preserve"> P00145</t>
    </r>
  </si>
  <si>
    <r>
      <t xml:space="preserve">13336-02 </t>
    </r>
    <r>
      <rPr>
        <b/>
        <sz val="11"/>
        <rFont val="Calibri"/>
        <family val="2"/>
        <scheme val="minor"/>
      </rPr>
      <t>P00161</t>
    </r>
  </si>
  <si>
    <r>
      <t xml:space="preserve">13336-01 </t>
    </r>
    <r>
      <rPr>
        <b/>
        <sz val="11"/>
        <rFont val="Calibri"/>
        <family val="2"/>
        <scheme val="minor"/>
      </rPr>
      <t>P00162</t>
    </r>
  </si>
  <si>
    <r>
      <t xml:space="preserve">13264-01 </t>
    </r>
    <r>
      <rPr>
        <b/>
        <sz val="11"/>
        <rFont val="Calibri"/>
        <family val="2"/>
        <scheme val="minor"/>
      </rPr>
      <t>P00149</t>
    </r>
  </si>
  <si>
    <r>
      <t xml:space="preserve">13337-01 - </t>
    </r>
    <r>
      <rPr>
        <b/>
        <sz val="11"/>
        <rFont val="Calibri"/>
        <family val="2"/>
        <scheme val="minor"/>
      </rPr>
      <t>P00162</t>
    </r>
  </si>
  <si>
    <r>
      <t xml:space="preserve">MLA-8122016.5 - </t>
    </r>
    <r>
      <rPr>
        <b/>
        <sz val="11"/>
        <rFont val="Calibri"/>
        <family val="2"/>
        <scheme val="minor"/>
      </rPr>
      <t>M0008</t>
    </r>
  </si>
  <si>
    <r>
      <t xml:space="preserve">160301_V1 </t>
    </r>
    <r>
      <rPr>
        <b/>
        <sz val="11"/>
        <rFont val="Calibri"/>
        <family val="2"/>
        <scheme val="minor"/>
      </rPr>
      <t>M00063</t>
    </r>
  </si>
  <si>
    <r>
      <t xml:space="preserve">160202_V1 </t>
    </r>
    <r>
      <rPr>
        <b/>
        <sz val="11"/>
        <rFont val="Calibri"/>
        <family val="2"/>
        <scheme val="minor"/>
      </rPr>
      <t>M00038</t>
    </r>
  </si>
  <si>
    <r>
      <t xml:space="preserve">160112_V1 </t>
    </r>
    <r>
      <rPr>
        <b/>
        <sz val="11"/>
        <rFont val="Calibri"/>
        <family val="2"/>
        <scheme val="minor"/>
      </rPr>
      <t>M00024</t>
    </r>
  </si>
  <si>
    <r>
      <t xml:space="preserve">170083ET1 </t>
    </r>
    <r>
      <rPr>
        <b/>
        <sz val="11"/>
        <rFont val="Calibri"/>
        <family val="2"/>
        <scheme val="minor"/>
      </rPr>
      <t>M00015</t>
    </r>
  </si>
  <si>
    <r>
      <t xml:space="preserve">170112_V1 </t>
    </r>
    <r>
      <rPr>
        <b/>
        <sz val="11"/>
        <rFont val="Calibri"/>
        <family val="2"/>
        <scheme val="minor"/>
      </rPr>
      <t>M00028</t>
    </r>
  </si>
  <si>
    <r>
      <t xml:space="preserve">170113_V1 </t>
    </r>
    <r>
      <rPr>
        <b/>
        <sz val="11"/>
        <rFont val="Calibri"/>
        <family val="2"/>
        <scheme val="minor"/>
      </rPr>
      <t>M00029</t>
    </r>
  </si>
  <si>
    <r>
      <t xml:space="preserve">1611071 - </t>
    </r>
    <r>
      <rPr>
        <b/>
        <sz val="11"/>
        <rFont val="Calibri"/>
        <family val="2"/>
        <scheme val="minor"/>
      </rPr>
      <t>P00148</t>
    </r>
  </si>
  <si>
    <r>
      <t xml:space="preserve">P1704101 - </t>
    </r>
    <r>
      <rPr>
        <b/>
        <sz val="11"/>
        <rFont val="Calibri"/>
        <family val="2"/>
        <scheme val="minor"/>
      </rPr>
      <t>P00219</t>
    </r>
  </si>
  <si>
    <r>
      <t xml:space="preserve">P6424/CK - </t>
    </r>
    <r>
      <rPr>
        <b/>
        <sz val="11"/>
        <rFont val="Calibri"/>
        <family val="2"/>
        <scheme val="minor"/>
      </rPr>
      <t>M00032</t>
    </r>
  </si>
  <si>
    <r>
      <t xml:space="preserve">DVS8BVX801/16 - </t>
    </r>
    <r>
      <rPr>
        <b/>
        <sz val="11"/>
        <rFont val="Calibri"/>
        <family val="2"/>
        <scheme val="minor"/>
      </rPr>
      <t>P00150</t>
    </r>
  </si>
  <si>
    <r>
      <t xml:space="preserve">P9118 FDU V2 </t>
    </r>
    <r>
      <rPr>
        <b/>
        <sz val="11"/>
        <rFont val="Calibri"/>
        <family val="2"/>
        <scheme val="minor"/>
      </rPr>
      <t>P00176</t>
    </r>
  </si>
  <si>
    <r>
      <t xml:space="preserve">FVN-14171-01-QUNNS </t>
    </r>
    <r>
      <rPr>
        <b/>
        <sz val="11"/>
        <rFont val="Calibri"/>
        <family val="2"/>
        <scheme val="minor"/>
      </rPr>
      <t>P00210</t>
    </r>
  </si>
  <si>
    <r>
      <t>DV-ABI-0117-135</t>
    </r>
    <r>
      <rPr>
        <b/>
        <sz val="11"/>
        <rFont val="Calibri"/>
        <family val="2"/>
        <scheme val="minor"/>
      </rPr>
      <t xml:space="preserve"> - P00202</t>
    </r>
  </si>
  <si>
    <r>
      <t xml:space="preserve">DV-ABI-0117-135 - </t>
    </r>
    <r>
      <rPr>
        <b/>
        <sz val="11"/>
        <rFont val="Calibri"/>
        <family val="2"/>
        <scheme val="minor"/>
      </rPr>
      <t>P00202</t>
    </r>
  </si>
  <si>
    <r>
      <t>BC-ABI-17562 -</t>
    </r>
    <r>
      <rPr>
        <b/>
        <sz val="11"/>
        <rFont val="Calibri"/>
        <family val="2"/>
        <scheme val="minor"/>
      </rPr>
      <t xml:space="preserve"> P00242</t>
    </r>
  </si>
  <si>
    <r>
      <t xml:space="preserve">BC-ABI-17562 - </t>
    </r>
    <r>
      <rPr>
        <b/>
        <sz val="11"/>
        <rFont val="Calibri"/>
        <family val="2"/>
        <scheme val="minor"/>
      </rPr>
      <t>P00242</t>
    </r>
  </si>
  <si>
    <r>
      <t>FNV-14441-01-QUNNS -</t>
    </r>
    <r>
      <rPr>
        <b/>
        <sz val="11"/>
        <rFont val="Calibri"/>
        <family val="2"/>
        <scheme val="minor"/>
      </rPr>
      <t xml:space="preserve"> P00244</t>
    </r>
  </si>
  <si>
    <r>
      <t>FVN-14368-01-QUNNS -</t>
    </r>
    <r>
      <rPr>
        <b/>
        <sz val="11"/>
        <rFont val="Calibri"/>
        <family val="2"/>
        <scheme val="minor"/>
      </rPr>
      <t xml:space="preserve"> P00230</t>
    </r>
  </si>
  <si>
    <r>
      <t>P10927 -</t>
    </r>
    <r>
      <rPr>
        <b/>
        <sz val="11"/>
        <rFont val="Calibri"/>
        <family val="2"/>
        <scheme val="minor"/>
      </rPr>
      <t xml:space="preserve"> P00203</t>
    </r>
  </si>
  <si>
    <r>
      <t xml:space="preserve">SRV_16124 </t>
    </r>
    <r>
      <rPr>
        <b/>
        <sz val="11"/>
        <rFont val="Calibri"/>
        <family val="2"/>
        <scheme val="minor"/>
      </rPr>
      <t>M00030 de 2016</t>
    </r>
  </si>
  <si>
    <r>
      <t>VESRION 07/03/2017</t>
    </r>
    <r>
      <rPr>
        <b/>
        <sz val="11"/>
        <rFont val="Calibri"/>
        <family val="2"/>
        <scheme val="minor"/>
      </rPr>
      <t xml:space="preserve">
P00199</t>
    </r>
  </si>
  <si>
    <r>
      <t xml:space="preserve">170230_V1 </t>
    </r>
    <r>
      <rPr>
        <b/>
        <sz val="11"/>
        <rFont val="Calibri"/>
        <family val="2"/>
        <scheme val="minor"/>
      </rPr>
      <t>M00050</t>
    </r>
  </si>
  <si>
    <r>
      <t xml:space="preserve">P12511 - </t>
    </r>
    <r>
      <rPr>
        <b/>
        <sz val="11"/>
        <rFont val="Calibri"/>
        <family val="2"/>
        <scheme val="minor"/>
      </rPr>
      <t>M00051</t>
    </r>
  </si>
  <si>
    <t>Etat</t>
  </si>
  <si>
    <r>
      <t xml:space="preserve">TNZ 11946-01-QUNNS </t>
    </r>
    <r>
      <rPr>
        <b/>
        <sz val="11"/>
        <rFont val="Calibri"/>
        <family val="2"/>
        <scheme val="minor"/>
      </rPr>
      <t>P00145</t>
    </r>
  </si>
  <si>
    <r>
      <t xml:space="preserve">13275-01 </t>
    </r>
    <r>
      <rPr>
        <b/>
        <sz val="11"/>
        <rFont val="Calibri"/>
        <family val="2"/>
        <scheme val="minor"/>
      </rPr>
      <t>P00151</t>
    </r>
  </si>
  <si>
    <r>
      <t>DV-ABI-0117-135 -</t>
    </r>
    <r>
      <rPr>
        <b/>
        <sz val="11"/>
        <rFont val="Calibri"/>
        <family val="2"/>
        <scheme val="minor"/>
      </rPr>
      <t xml:space="preserve"> P00202</t>
    </r>
  </si>
  <si>
    <r>
      <t xml:space="preserve">Q-2017-958 </t>
    </r>
    <r>
      <rPr>
        <b/>
        <sz val="11"/>
        <rFont val="Calibri"/>
        <family val="2"/>
        <scheme val="minor"/>
      </rPr>
      <t>- P00252</t>
    </r>
  </si>
  <si>
    <r>
      <t>Q-2017-920 -</t>
    </r>
    <r>
      <rPr>
        <b/>
        <sz val="11"/>
        <rFont val="Calibri"/>
        <family val="2"/>
        <scheme val="minor"/>
      </rPr>
      <t xml:space="preserve"> M00030</t>
    </r>
  </si>
  <si>
    <r>
      <t xml:space="preserve">ABI-1018 </t>
    </r>
    <r>
      <rPr>
        <b/>
        <sz val="11"/>
        <rFont val="Calibri"/>
        <family val="2"/>
        <scheme val="minor"/>
      </rPr>
      <t>- P00262</t>
    </r>
  </si>
  <si>
    <r>
      <t>ABI-1026</t>
    </r>
    <r>
      <rPr>
        <b/>
        <sz val="11"/>
        <rFont val="Calibri"/>
        <family val="2"/>
        <scheme val="minor"/>
      </rPr>
      <t xml:space="preserve"> - P00264</t>
    </r>
  </si>
  <si>
    <r>
      <t xml:space="preserve">D1700119 </t>
    </r>
    <r>
      <rPr>
        <b/>
        <sz val="11"/>
        <rFont val="Calibri"/>
        <family val="2"/>
        <scheme val="minor"/>
      </rPr>
      <t>M00031</t>
    </r>
  </si>
  <si>
    <r>
      <t xml:space="preserve">D1700537 </t>
    </r>
    <r>
      <rPr>
        <b/>
        <sz val="11"/>
        <rFont val="Calibri"/>
        <family val="2"/>
        <scheme val="minor"/>
      </rPr>
      <t>M00048</t>
    </r>
  </si>
  <si>
    <r>
      <t xml:space="preserve">D1700494 </t>
    </r>
    <r>
      <rPr>
        <b/>
        <sz val="11"/>
        <rFont val="Calibri"/>
        <family val="2"/>
        <scheme val="minor"/>
      </rPr>
      <t>P00263</t>
    </r>
  </si>
  <si>
    <r>
      <t xml:space="preserve">1702308_V1_A1 </t>
    </r>
    <r>
      <rPr>
        <b/>
        <sz val="11"/>
        <rFont val="Calibri"/>
        <family val="2"/>
        <scheme val="minor"/>
      </rPr>
      <t>M00064</t>
    </r>
  </si>
  <si>
    <t>start up monitoring service</t>
  </si>
  <si>
    <t>start up monitoring ptc</t>
  </si>
  <si>
    <t>Histological study on Hepa 1-6 tumors 24 livers</t>
  </si>
  <si>
    <t>40% SIGNATURE</t>
  </si>
  <si>
    <t>60% A RECEPTION</t>
  </si>
  <si>
    <t>Synthèse chimique - 3700 GBP per chimist per week (8-10 weeks)</t>
  </si>
  <si>
    <t>QUOTATION 4 - P00092</t>
  </si>
  <si>
    <t>COMMENTAIRE</t>
  </si>
  <si>
    <t>PHASE II : 3 000</t>
  </si>
  <si>
    <t>50% COMMANDE</t>
  </si>
  <si>
    <t>50% LIVRAISON</t>
  </si>
  <si>
    <r>
      <t>Q2017-970 -</t>
    </r>
    <r>
      <rPr>
        <b/>
        <sz val="11"/>
        <rFont val="Calibri"/>
        <family val="2"/>
        <scheme val="minor"/>
      </rPr>
      <t xml:space="preserve"> P00287</t>
    </r>
  </si>
  <si>
    <t>DBL 31/10/2017</t>
  </si>
  <si>
    <t>Final TFL 31/10/2017</t>
  </si>
  <si>
    <r>
      <t xml:space="preserve">DEV 5877 - </t>
    </r>
    <r>
      <rPr>
        <b/>
        <sz val="11"/>
        <rFont val="Calibri"/>
        <family val="2"/>
        <scheme val="minor"/>
      </rPr>
      <t>P00291</t>
    </r>
  </si>
  <si>
    <r>
      <rPr>
        <sz val="11"/>
        <rFont val="Calibri"/>
        <family val="2"/>
        <scheme val="minor"/>
      </rPr>
      <t xml:space="preserve">1709018 - </t>
    </r>
    <r>
      <rPr>
        <b/>
        <sz val="11"/>
        <rFont val="Calibri"/>
        <family val="2"/>
        <scheme val="minor"/>
      </rPr>
      <t>P00270</t>
    </r>
  </si>
  <si>
    <r>
      <rPr>
        <sz val="11"/>
        <rFont val="Calibri"/>
        <family val="2"/>
        <scheme val="minor"/>
      </rPr>
      <t xml:space="preserve">1707066 - </t>
    </r>
    <r>
      <rPr>
        <b/>
        <sz val="11"/>
        <rFont val="Calibri"/>
        <family val="2"/>
        <scheme val="minor"/>
      </rPr>
      <t>P00256</t>
    </r>
  </si>
  <si>
    <r>
      <rPr>
        <sz val="11"/>
        <rFont val="Calibri"/>
        <family val="2"/>
        <scheme val="minor"/>
      </rPr>
      <t xml:space="preserve">1709018 - </t>
    </r>
    <r>
      <rPr>
        <b/>
        <sz val="11"/>
        <rFont val="Calibri"/>
        <family val="2"/>
        <scheme val="minor"/>
      </rPr>
      <t>P00285</t>
    </r>
  </si>
  <si>
    <r>
      <rPr>
        <sz val="11"/>
        <rFont val="Calibri"/>
        <family val="2"/>
        <scheme val="minor"/>
      </rPr>
      <t xml:space="preserve">1709018 - </t>
    </r>
    <r>
      <rPr>
        <b/>
        <sz val="11"/>
        <rFont val="Calibri"/>
        <family val="2"/>
        <scheme val="minor"/>
      </rPr>
      <t>PO a venir</t>
    </r>
  </si>
  <si>
    <t>Letter of Intent 16/11/2017</t>
  </si>
  <si>
    <t>RBT cost of reagents purchase</t>
  </si>
  <si>
    <t>Etablishment Phase</t>
  </si>
  <si>
    <t>Amendment 2 au LSA</t>
  </si>
  <si>
    <t>50 % at the date of the prsent amendment</t>
  </si>
  <si>
    <t>30% at the end of the screen</t>
  </si>
  <si>
    <t>20% at the report</t>
  </si>
  <si>
    <r>
      <t xml:space="preserve">Etude 17-234 - </t>
    </r>
    <r>
      <rPr>
        <b/>
        <sz val="11"/>
        <rFont val="Calibri"/>
        <family val="2"/>
        <scheme val="minor"/>
      </rPr>
      <t>P00214</t>
    </r>
  </si>
  <si>
    <r>
      <t xml:space="preserve">Financial amendment n°1 to Etude 17-234 - </t>
    </r>
    <r>
      <rPr>
        <b/>
        <sz val="11"/>
        <rFont val="Calibri"/>
        <family val="2"/>
        <scheme val="minor"/>
      </rPr>
      <t>P00292</t>
    </r>
  </si>
  <si>
    <r>
      <t xml:space="preserve">AMT API prestations complémentaire - </t>
    </r>
    <r>
      <rPr>
        <b/>
        <sz val="11"/>
        <rFont val="Calibri"/>
        <family val="2"/>
        <scheme val="minor"/>
      </rPr>
      <t>P00295 - 25% a signature</t>
    </r>
  </si>
  <si>
    <r>
      <t xml:space="preserve">AMT API prestations complémentaire - </t>
    </r>
    <r>
      <rPr>
        <b/>
        <sz val="11"/>
        <rFont val="Calibri"/>
        <family val="2"/>
        <scheme val="minor"/>
      </rPr>
      <t>P00295 - 75% a livraison</t>
    </r>
  </si>
  <si>
    <r>
      <t>DV-ABI-0617-179 -</t>
    </r>
    <r>
      <rPr>
        <b/>
        <sz val="11"/>
        <rFont val="Calibri"/>
        <family val="2"/>
        <scheme val="minor"/>
      </rPr>
      <t>P00238</t>
    </r>
  </si>
  <si>
    <t>Task 4.1 - Prix base 22000 €</t>
  </si>
  <si>
    <r>
      <t>P00040 - W3</t>
    </r>
    <r>
      <rPr>
        <b/>
        <sz val="11"/>
        <rFont val="Calibri"/>
        <family val="2"/>
        <scheme val="minor"/>
      </rPr>
      <t>- P00040</t>
    </r>
  </si>
  <si>
    <r>
      <t xml:space="preserve">P00040 - W1 </t>
    </r>
    <r>
      <rPr>
        <b/>
        <sz val="11"/>
        <rFont val="Calibri"/>
        <family val="2"/>
        <scheme val="minor"/>
      </rPr>
      <t>- P00040</t>
    </r>
  </si>
  <si>
    <r>
      <t>P00040 - W2</t>
    </r>
    <r>
      <rPr>
        <b/>
        <sz val="11"/>
        <rFont val="Calibri"/>
        <family val="2"/>
        <scheme val="minor"/>
      </rPr>
      <t>- P00040</t>
    </r>
  </si>
  <si>
    <t>ANNULE JD le 24/11/2017</t>
  </si>
  <si>
    <t>Inclus dans l'Inv 70170081 - WP4 du 30/07/2017</t>
  </si>
  <si>
    <r>
      <t xml:space="preserve">DV-201511180-v000 - </t>
    </r>
    <r>
      <rPr>
        <b/>
        <sz val="11"/>
        <rFont val="Calibri"/>
        <family val="2"/>
        <scheme val="minor"/>
      </rPr>
      <t>P00044</t>
    </r>
  </si>
  <si>
    <r>
      <t xml:space="preserve">DV201610089 -V00 - </t>
    </r>
    <r>
      <rPr>
        <b/>
        <sz val="11"/>
        <rFont val="Calibri"/>
        <family val="2"/>
        <scheme val="minor"/>
      </rPr>
      <t>P00138</t>
    </r>
  </si>
  <si>
    <r>
      <t xml:space="preserve">DV-201706056-v000 </t>
    </r>
    <r>
      <rPr>
        <b/>
        <sz val="11"/>
        <rFont val="Calibri"/>
        <family val="2"/>
        <scheme val="minor"/>
      </rPr>
      <t>- P00234</t>
    </r>
  </si>
  <si>
    <r>
      <t xml:space="preserve">DV201611099 -V00 - </t>
    </r>
    <r>
      <rPr>
        <b/>
        <sz val="11"/>
        <rFont val="Calibri"/>
        <family val="2"/>
        <scheme val="minor"/>
      </rPr>
      <t>P00152</t>
    </r>
  </si>
  <si>
    <t>P17-084 signé le 30/11/2017</t>
  </si>
  <si>
    <t>Etablishment and summary</t>
  </si>
  <si>
    <t>Completion of Sample Analysis</t>
  </si>
  <si>
    <t>Issue of report (if required)</t>
  </si>
  <si>
    <t>Budget final validé via : P17-084</t>
  </si>
  <si>
    <t>COVALAB</t>
  </si>
  <si>
    <t>MSA_17667_W1</t>
  </si>
  <si>
    <t>Service / h : 125€ *40 h</t>
  </si>
  <si>
    <t>WP2 Bioinformatic analysis Report - 2 Semaines HIV005</t>
  </si>
  <si>
    <t>Jackson Laboratory</t>
  </si>
  <si>
    <t>humanized CD34 Cohort</t>
  </si>
  <si>
    <t>international shipping</t>
  </si>
  <si>
    <r>
      <t xml:space="preserve">90400_IHCM  - </t>
    </r>
    <r>
      <rPr>
        <b/>
        <sz val="11"/>
        <rFont val="Calibri"/>
        <family val="2"/>
        <scheme val="minor"/>
      </rPr>
      <t>M00080</t>
    </r>
  </si>
  <si>
    <t>Université Leuven (Severine Vermeire)</t>
  </si>
  <si>
    <t>CSL_17625</t>
  </si>
  <si>
    <t>Upon completion of the 1st Study France Spain Belgium</t>
  </si>
  <si>
    <t>Upon the enrolment of the 1st patient in the Studty</t>
  </si>
  <si>
    <t>Upon finalisation and approval of the final Study report</t>
  </si>
  <si>
    <t>MSA_16017_W3_A1</t>
  </si>
  <si>
    <t>100% a signature (acompte déjà versé 50 000 € via P00040)</t>
  </si>
  <si>
    <t>20% at completion of task</t>
  </si>
  <si>
    <t>20% at task report</t>
  </si>
  <si>
    <r>
      <t xml:space="preserve">P13292_MCV - </t>
    </r>
    <r>
      <rPr>
        <b/>
        <sz val="11"/>
        <rFont val="Calibri"/>
        <family val="2"/>
        <scheme val="minor"/>
      </rPr>
      <t>P00301</t>
    </r>
  </si>
  <si>
    <r>
      <t xml:space="preserve">CP-2017154.3 - </t>
    </r>
    <r>
      <rPr>
        <b/>
        <sz val="11"/>
        <rFont val="Calibri"/>
        <family val="2"/>
        <scheme val="minor"/>
      </rPr>
      <t>P00302</t>
    </r>
  </si>
  <si>
    <t>50% A SIGNATURE</t>
  </si>
  <si>
    <t>50% A RECEPTION DU DRAFT</t>
  </si>
  <si>
    <r>
      <t xml:space="preserve">CP-2017155.4 - </t>
    </r>
    <r>
      <rPr>
        <b/>
        <sz val="11"/>
        <rFont val="Calibri"/>
        <family val="2"/>
        <scheme val="minor"/>
      </rPr>
      <t>P00303</t>
    </r>
  </si>
  <si>
    <t>CREAPHARM</t>
  </si>
  <si>
    <t>Campagne 1 - Etape 1</t>
  </si>
  <si>
    <t>Campagne 1 - Etape 2</t>
  </si>
  <si>
    <t>100% livraison du resultat</t>
  </si>
  <si>
    <t>Q2017-973</t>
  </si>
  <si>
    <t>Project initiation and management</t>
  </si>
  <si>
    <t>Influenza Plaque Reduction Assay (PRA) of four compounds</t>
  </si>
  <si>
    <t>Influenza Yield Reduction Assay (YRA) with four compounds</t>
  </si>
  <si>
    <t>Influenza Time of Addition (TOA) Study with four compounds</t>
  </si>
  <si>
    <t>Study report</t>
  </si>
  <si>
    <t>CYPROTEX</t>
  </si>
  <si>
    <t>SRV_17773</t>
  </si>
  <si>
    <t>5 FTE * 180 000 /4 ( FACT 8,78 FTE)</t>
  </si>
  <si>
    <t>Atlanchim</t>
  </si>
  <si>
    <r>
      <t xml:space="preserve">ASTIS-5 / SRV_17780 </t>
    </r>
    <r>
      <rPr>
        <b/>
        <sz val="11"/>
        <rFont val="Calibri"/>
        <family val="2"/>
        <scheme val="minor"/>
      </rPr>
      <t>P00307</t>
    </r>
  </si>
  <si>
    <t>Achat matière première</t>
  </si>
  <si>
    <t>Main d'œuvre - Etape 1 Essai + Scale</t>
  </si>
  <si>
    <t>Main d'œuvre - Etape 2 Essai + Scale</t>
  </si>
  <si>
    <t>Main d'œuvre - Etape 3 Essai + Scale</t>
  </si>
  <si>
    <t>Analyses</t>
  </si>
  <si>
    <t>Certificat d'abalyse, livraison, assurance</t>
  </si>
  <si>
    <t>40% commande</t>
  </si>
  <si>
    <t>60% à la livraison</t>
  </si>
  <si>
    <t>All submissions complete</t>
  </si>
  <si>
    <t>FSI</t>
  </si>
  <si>
    <t>FPFV Screened</t>
  </si>
  <si>
    <t>25 SIVs completed</t>
  </si>
  <si>
    <t>50 SIVs completed</t>
  </si>
  <si>
    <t>25% patients enrolled</t>
  </si>
  <si>
    <t>50% patients enrolled</t>
  </si>
  <si>
    <t>75% patients enrolled</t>
  </si>
  <si>
    <t>100% patients enrolled</t>
  </si>
  <si>
    <t>DBL</t>
  </si>
  <si>
    <t>Final CSR</t>
  </si>
  <si>
    <t>TMF Return</t>
  </si>
  <si>
    <t xml:space="preserve">50% data entered </t>
  </si>
  <si>
    <t>All data entered and monitored</t>
  </si>
  <si>
    <t>Transporter inhibition studies</t>
  </si>
  <si>
    <t>Transporter subsrate studies</t>
  </si>
  <si>
    <t>Written Report</t>
  </si>
  <si>
    <t>Relance par la clin en décembre 2017</t>
  </si>
  <si>
    <t>Monthly Fees sept</t>
  </si>
  <si>
    <t>Monthly Fees octobre</t>
  </si>
  <si>
    <t>Monthly Fees novembre</t>
  </si>
  <si>
    <t>DEVIS CLOS
0,5*20700</t>
  </si>
  <si>
    <t>annulé - 6990 €</t>
  </si>
  <si>
    <t>100% on exceution of task order</t>
  </si>
  <si>
    <t xml:space="preserve"> 1 fact (6 958,11 €) déjà reglée via M00033 depuis annulé</t>
  </si>
  <si>
    <t>30% 30/06/2016 + deduction de 1318,50 23/08/2016 (payé 2098,5 € puis changement de devis V2 780 € donc delta de 1318,5 €)</t>
  </si>
  <si>
    <t>Transfert de methode de contrôle - 100% a reception 6300€</t>
  </si>
  <si>
    <t>Extension costs - du 07/09 au 06/12 PG a dis on oubli 7973,16 €</t>
  </si>
  <si>
    <t>OK vu avec PCAS</t>
  </si>
  <si>
    <t>Histological study on healthy mouse liver EB1094gS amendment</t>
  </si>
  <si>
    <t>FACT 2015132 + 2016002 + 2016016</t>
  </si>
  <si>
    <t>Add relabelling activities + GMP production for Ph 2A</t>
  </si>
  <si>
    <t>T1</t>
  </si>
  <si>
    <t>T2</t>
  </si>
  <si>
    <t>T3</t>
  </si>
  <si>
    <t>T6</t>
  </si>
  <si>
    <t>T9</t>
  </si>
  <si>
    <t>T12</t>
  </si>
  <si>
    <t>T18</t>
  </si>
  <si>
    <t>T24</t>
  </si>
  <si>
    <t>T36</t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</si>
  <si>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016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</si>
  <si>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033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</si>
  <si>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040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</si>
  <si>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049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</si>
  <si>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081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</si>
  <si>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129</t>
    </r>
  </si>
  <si>
    <r>
      <rPr>
        <b/>
        <sz val="12"/>
        <rFont val="Calibri"/>
        <family val="2"/>
        <scheme val="minor"/>
      </rPr>
      <t>2017</t>
    </r>
    <r>
      <rPr>
        <sz val="11"/>
        <rFont val="Calibri"/>
        <family val="2"/>
        <scheme val="minor"/>
      </rPr>
      <t>006</t>
    </r>
  </si>
  <si>
    <r>
      <rPr>
        <b/>
        <sz val="12"/>
        <rFont val="Calibri"/>
        <family val="2"/>
        <scheme val="minor"/>
      </rPr>
      <t>2017</t>
    </r>
    <r>
      <rPr>
        <sz val="11"/>
        <rFont val="Calibri"/>
        <family val="2"/>
        <scheme val="minor"/>
      </rPr>
      <t>099 (recue en Aout 2017)</t>
    </r>
  </si>
  <si>
    <r>
      <t xml:space="preserve">DEV 5507 - </t>
    </r>
    <r>
      <rPr>
        <b/>
        <sz val="11"/>
        <rFont val="Calibri"/>
        <family val="2"/>
        <scheme val="minor"/>
      </rPr>
      <t>P00160</t>
    </r>
  </si>
  <si>
    <r>
      <t xml:space="preserve">DEV 5791 (V1 + V) - </t>
    </r>
    <r>
      <rPr>
        <b/>
        <sz val="11"/>
        <rFont val="Calibri"/>
        <family val="2"/>
        <scheme val="minor"/>
      </rPr>
      <t>P00255</t>
    </r>
  </si>
  <si>
    <t>DEV 3717</t>
  </si>
  <si>
    <t>les 160 restant sont annulés par JD et remplacé par le W3-A1</t>
  </si>
  <si>
    <t>FA170194</t>
  </si>
  <si>
    <t>CRIS PHARMA</t>
  </si>
  <si>
    <t>3059-WO 001 A3</t>
  </si>
  <si>
    <t>Signature of Amendement 003</t>
  </si>
  <si>
    <t>3059-WO 001 A2</t>
  </si>
  <si>
    <t xml:space="preserve">annulé </t>
  </si>
  <si>
    <t>P17-087 AmendemEnt 1 au P17-084</t>
  </si>
  <si>
    <t>PK study in monkey gavage 67% a la signature</t>
  </si>
  <si>
    <t>PK study in monkey gavage 33 % au draft final report</t>
  </si>
  <si>
    <t>PK study in rats gavage 67% a la signature</t>
  </si>
  <si>
    <t>PK study in rats gavage 33 % au draft final report</t>
  </si>
  <si>
    <t>40% a sending of preliminary report</t>
  </si>
  <si>
    <t>10% at sending final report</t>
  </si>
  <si>
    <t>Monthly Fees Decembre</t>
  </si>
  <si>
    <r>
      <t xml:space="preserve">170083_01 </t>
    </r>
    <r>
      <rPr>
        <b/>
        <sz val="11"/>
        <rFont val="Calibri"/>
        <family val="2"/>
        <scheme val="minor"/>
      </rPr>
      <t>M00015</t>
    </r>
  </si>
  <si>
    <t>Development of stability indicating methode - envoi du rapport</t>
  </si>
  <si>
    <r>
      <t xml:space="preserve">1712082 - </t>
    </r>
    <r>
      <rPr>
        <b/>
        <sz val="11"/>
        <rFont val="Calibri"/>
        <family val="2"/>
        <scheme val="minor"/>
      </rPr>
      <t>P00015</t>
    </r>
  </si>
  <si>
    <r>
      <t>18-017 V1 -</t>
    </r>
    <r>
      <rPr>
        <b/>
        <sz val="11"/>
        <rFont val="Calibri"/>
        <family val="2"/>
        <scheme val="minor"/>
      </rPr>
      <t xml:space="preserve"> P0004</t>
    </r>
  </si>
  <si>
    <t>Quote ABIV201706 - 17542 -M00040</t>
  </si>
  <si>
    <t>TOTAL STUDY COST ABIV 01.02</t>
  </si>
  <si>
    <t>CP-2018007.2</t>
  </si>
  <si>
    <t>Monthly Fees Janvier</t>
  </si>
  <si>
    <t>Monthly Fees fevrier</t>
  </si>
  <si>
    <t>Monthly Fees Mars</t>
  </si>
  <si>
    <t>Monthly Fees Avril</t>
  </si>
  <si>
    <t>Monthly Fees Mai</t>
  </si>
  <si>
    <t>Monthly Fees Juin</t>
  </si>
  <si>
    <t>Monthly Fees Juillet</t>
  </si>
  <si>
    <t>Monthly Fees Aout</t>
  </si>
  <si>
    <t>Monthly Fees Septembre</t>
  </si>
  <si>
    <r>
      <t>UC-101</t>
    </r>
    <r>
      <rPr>
        <sz val="11"/>
        <color rgb="FFC00000"/>
        <rFont val="Calibri"/>
        <family val="2"/>
        <scheme val="minor"/>
      </rPr>
      <t xml:space="preserve"> MAJ A1</t>
    </r>
  </si>
  <si>
    <t>Contract Signature
105209 € Déjà payée via LOA : régulé sur Budget en 2018 cf Payment schedul</t>
  </si>
  <si>
    <r>
      <t xml:space="preserve">AMENDMENT D1700801 - </t>
    </r>
    <r>
      <rPr>
        <b/>
        <sz val="11"/>
        <color theme="1"/>
        <rFont val="Calibri"/>
        <family val="2"/>
        <scheme val="minor"/>
      </rPr>
      <t>M00078</t>
    </r>
  </si>
  <si>
    <t>26/012018</t>
  </si>
  <si>
    <t>PO largement en dessous mais c'est normal</t>
  </si>
  <si>
    <t>CLINTEC</t>
  </si>
  <si>
    <r>
      <t xml:space="preserve">Letter Of Intent - SRV_18018 - </t>
    </r>
    <r>
      <rPr>
        <b/>
        <sz val="11"/>
        <rFont val="Calibri"/>
        <family val="2"/>
        <scheme val="minor"/>
      </rPr>
      <t>PO0030</t>
    </r>
  </si>
  <si>
    <t>Signature A1</t>
  </si>
  <si>
    <t>InForme fee - modif W002 ORACLE</t>
  </si>
  <si>
    <t>ORACLE</t>
  </si>
  <si>
    <t>INVESTIGATOR FEES</t>
  </si>
  <si>
    <t>AUTRE PTC (train/avion/envois postaux)</t>
  </si>
  <si>
    <t>3059-WO 001 MAJ A3 PTC</t>
  </si>
  <si>
    <t>contract signature 20%</t>
  </si>
  <si>
    <t>First site initiated</t>
  </si>
  <si>
    <t>FPFV - screened</t>
  </si>
  <si>
    <t>50% sites initiated</t>
  </si>
  <si>
    <t>DBl</t>
  </si>
  <si>
    <t>UC-102 LOA</t>
  </si>
  <si>
    <t>UC-102 - WO003</t>
  </si>
  <si>
    <t>16/10/2017 : 68 493 €</t>
  </si>
  <si>
    <t>28/12/2016 +  14/02/2018</t>
  </si>
  <si>
    <t>Achat de machine à découper</t>
  </si>
  <si>
    <t>100% a reception de l'appareil</t>
  </si>
  <si>
    <t>P13823_MCV</t>
  </si>
  <si>
    <t xml:space="preserve">Prelimainary study in monkeys by oral route - 67% </t>
  </si>
  <si>
    <t>Prelimainary study in monkeys by oral route -33%</t>
  </si>
  <si>
    <t>2017 - Q4 : FACt 31/10 (PJ20171008) + FACt 22/12 (PJ20171191) + Fact 30/11 (PJ20171058)</t>
  </si>
  <si>
    <r>
      <t xml:space="preserve">18-017 V1 - </t>
    </r>
    <r>
      <rPr>
        <b/>
        <sz val="11"/>
        <rFont val="Calibri"/>
        <family val="2"/>
        <scheme val="minor"/>
      </rPr>
      <t>P0004</t>
    </r>
  </si>
  <si>
    <t>67% a la signature - 22/01/2018</t>
  </si>
  <si>
    <t>LOA siganture du 16/10/2017 + FACT 108038</t>
  </si>
  <si>
    <t>FACT 108038</t>
  </si>
  <si>
    <t>Final CSR FACT 108030</t>
  </si>
  <si>
    <t>WP1 Samples preparation MS - 8 semaines HIV005 FACT PJ20180133</t>
  </si>
  <si>
    <t>MSA_17785 - 414-01-03</t>
  </si>
  <si>
    <t>MSA_17693_W1 - 414-01-01</t>
  </si>
  <si>
    <t>MSA_17693_W1 - 141-01-01</t>
  </si>
  <si>
    <t>MSA_17693_W2 - 414-02-01</t>
  </si>
  <si>
    <t>Anti-HBV infectivity screening</t>
  </si>
  <si>
    <t>100% a siganture -  FACT GBR005528</t>
  </si>
  <si>
    <t>MSA_17693_A1 - 141-01-01-01</t>
  </si>
  <si>
    <t>Add cost Anti-HBV infectivity screening - INV 5361</t>
  </si>
  <si>
    <t>On execution of task order - UK21-10790</t>
  </si>
  <si>
    <t>50% A SIGNATURE FACT N°1802-1464</t>
  </si>
  <si>
    <t>CAPRION</t>
  </si>
  <si>
    <r>
      <t xml:space="preserve">ABX5042v2_BE - </t>
    </r>
    <r>
      <rPr>
        <b/>
        <sz val="11"/>
        <rFont val="Calibri"/>
        <family val="2"/>
        <scheme val="minor"/>
      </rPr>
      <t>P00034</t>
    </r>
  </si>
  <si>
    <t>Polymun</t>
  </si>
  <si>
    <t>P13340_MCV</t>
  </si>
  <si>
    <t>4 week toxicity study in Cynomolgus monkeys - 67% a signature</t>
  </si>
  <si>
    <t>4 week toxicity study in Cynomolgus monkeys - 33% au draft report</t>
  </si>
  <si>
    <t>CERB</t>
  </si>
  <si>
    <t>Preliminary study in marmoset (monkey) 50% a signature</t>
  </si>
  <si>
    <t>Preliminary study in marmoset (monkey) 5% rapport draft</t>
  </si>
  <si>
    <t>Preliminary study in marmoset (monkey) 45% a resultats par email</t>
  </si>
  <si>
    <t>2018 - Q1 : FACT du 18/01/2018 (PJ20180017) + FaCt 28/02/2018 (PJ20180142) +Fact 22/03/2018 (PJ20180251)</t>
  </si>
  <si>
    <t>Surcout T3 cf mail de JD du 27/03/2018</t>
  </si>
  <si>
    <r>
      <t>DV-201803039-V000 -</t>
    </r>
    <r>
      <rPr>
        <b/>
        <sz val="11"/>
        <rFont val="Calibri"/>
        <family val="2"/>
        <scheme val="minor"/>
      </rPr>
      <t xml:space="preserve"> P00058</t>
    </r>
  </si>
  <si>
    <t>Stabilité du lot G1600804140101 T18 mois</t>
  </si>
  <si>
    <t>Stabilité du lot G1600804140101 T24 mois</t>
  </si>
  <si>
    <t>Stabilité du lot G1600804140101 T36 mois</t>
  </si>
  <si>
    <t>Stabilité du lot G1600804140101 T48 mois</t>
  </si>
  <si>
    <r>
      <t>Add task on order of ABIVAX c) stability study set up -</t>
    </r>
    <r>
      <rPr>
        <b/>
        <sz val="11"/>
        <rFont val="Calibri"/>
        <family val="2"/>
        <scheme val="minor"/>
      </rPr>
      <t xml:space="preserve"> P00060</t>
    </r>
  </si>
  <si>
    <r>
      <t>PART 2 - 100% A la livraison du Batch -</t>
    </r>
    <r>
      <rPr>
        <b/>
        <sz val="11"/>
        <rFont val="Calibri"/>
        <family val="2"/>
        <scheme val="minor"/>
      </rPr>
      <t xml:space="preserve"> P00060</t>
    </r>
  </si>
  <si>
    <r>
      <t>PART 1 - 50% Au rapport final -</t>
    </r>
    <r>
      <rPr>
        <b/>
        <sz val="11"/>
        <rFont val="Calibri"/>
        <family val="2"/>
        <scheme val="minor"/>
      </rPr>
      <t xml:space="preserve"> P00060</t>
    </r>
  </si>
  <si>
    <r>
      <t>PART 1 - 50% A signature -</t>
    </r>
    <r>
      <rPr>
        <b/>
        <sz val="11"/>
        <rFont val="Calibri"/>
        <family val="2"/>
        <scheme val="minor"/>
      </rPr>
      <t xml:space="preserve"> P00060</t>
    </r>
  </si>
  <si>
    <t>Etude de stabilité lots cliniques présentation blister - T0</t>
  </si>
  <si>
    <t>Etude de stabilité lots cliniques présentation blister T3M</t>
  </si>
  <si>
    <t>Etude de stabilité lots cliniques présentation blister T9M</t>
  </si>
  <si>
    <t>Etude de stabilité lots cliniques présentation blister T12M</t>
  </si>
  <si>
    <t>Etude de stabilité lots cliniques présentation blister T18M</t>
  </si>
  <si>
    <t>Etude de stabilité lots cliniques présentation blister T24M</t>
  </si>
  <si>
    <t>Etude de stabilité lots cliniques présentation blister T36M</t>
  </si>
  <si>
    <t>Etude de stabilité lots cliniques présentation blister T6M</t>
  </si>
  <si>
    <t>33 % au draft final report - 21/03/2018</t>
  </si>
  <si>
    <t>FA180059</t>
  </si>
  <si>
    <t>EVT07383 - SRV_18076</t>
  </si>
  <si>
    <t>WP1 Samples preparation MS and bioinformatics of HIV-infected samples - 8 semaines</t>
  </si>
  <si>
    <t>Mise sous blister du 1er lot clinique ABX464006 007 - Achat films</t>
  </si>
  <si>
    <t>Mise sous blister du 1er lot clinique ABX464006 007 - Conditionnement pour stabilité</t>
  </si>
  <si>
    <t>Mise sous blister du 1er lot clinique ABX464006 007 - Conditionnement pour étude clinique</t>
  </si>
  <si>
    <t>Mise sous blister du 1er lot clinique ABX464006 007 - Achat carte-blister</t>
  </si>
  <si>
    <t>Mise sous blister du 1er lot clinique ABX464006 007 - Mise sous carte-blister</t>
  </si>
  <si>
    <t>Mise sous blister du 1er lot clinique ABX464006 007 - Conférence téléphonique 150€/h</t>
  </si>
  <si>
    <t>Mise sous blister du 1er lot clinique ABX464006 007 - Achat d'outillage pour encarteuse</t>
  </si>
  <si>
    <r>
      <t xml:space="preserve">DV-ABI-0418-434 - </t>
    </r>
    <r>
      <rPr>
        <b/>
        <sz val="11"/>
        <rFont val="Calibri"/>
        <family val="2"/>
        <scheme val="minor"/>
      </rPr>
      <t>P00076</t>
    </r>
  </si>
  <si>
    <t>Transport ABX464-003 vers Jamal</t>
  </si>
  <si>
    <t>Mai 2018 ?</t>
  </si>
  <si>
    <t>Evaluation of the antiviral activity Influenza</t>
  </si>
  <si>
    <r>
      <t xml:space="preserve">ANCRE-1 / SRV_18093 </t>
    </r>
    <r>
      <rPr>
        <b/>
        <sz val="11"/>
        <rFont val="Calibri"/>
        <family val="2"/>
        <scheme val="minor"/>
      </rPr>
      <t>P00078</t>
    </r>
  </si>
  <si>
    <t>Optimisation de la réaction glucuronylation - 40% commande</t>
  </si>
  <si>
    <t>Optimisation de la réaction glucuronylation - 60% à la livraison</t>
  </si>
  <si>
    <t>FA180079</t>
  </si>
  <si>
    <t>PTC OUTBOUND SHIP + PTC INBOUND SHIP + PTC INBOUND FROZEN SHIP + PTC CENTRAL LAB SHIP</t>
  </si>
  <si>
    <t>I - STUDY START UP + STUDY START UP n°2</t>
  </si>
  <si>
    <t>2 600 € fact du 15/03/2018 - 2 600 € fact du 15/04/2018</t>
  </si>
  <si>
    <r>
      <t xml:space="preserve">Q-2018-008 - </t>
    </r>
    <r>
      <rPr>
        <b/>
        <sz val="11"/>
        <rFont val="Calibri"/>
        <family val="2"/>
        <scheme val="minor"/>
      </rPr>
      <t>P00089</t>
    </r>
  </si>
  <si>
    <r>
      <t>Q-2018-006 -</t>
    </r>
    <r>
      <rPr>
        <b/>
        <sz val="11"/>
        <rFont val="Calibri"/>
        <family val="2"/>
        <scheme val="minor"/>
      </rPr>
      <t xml:space="preserve"> P00090</t>
    </r>
  </si>
  <si>
    <t>50% à la commande</t>
  </si>
  <si>
    <t>CP-2017155.AD1</t>
  </si>
  <si>
    <t>100% Visiblement …</t>
  </si>
  <si>
    <t>MSA_17667_W3</t>
  </si>
  <si>
    <t>Ok</t>
  </si>
  <si>
    <t>FACT 108162</t>
  </si>
  <si>
    <r>
      <t xml:space="preserve">P9657-V2 </t>
    </r>
    <r>
      <rPr>
        <b/>
        <sz val="11"/>
        <rFont val="Calibri"/>
        <family val="2"/>
        <scheme val="minor"/>
      </rPr>
      <t>- M00013</t>
    </r>
  </si>
  <si>
    <t>In Vitro Biokinetic and Transcriptomic experiment 33% at the dispatch of the draft report</t>
  </si>
  <si>
    <t>In Vitro Biokinetic and Transcriptomic experiment 67% on the authorization of the quotation</t>
  </si>
  <si>
    <t>Add cost to "Biokinetic in Hepatocutes" In Vitro Biokinetic and Transcriptomic experiment</t>
  </si>
  <si>
    <r>
      <t xml:space="preserve">P9657-V2 </t>
    </r>
    <r>
      <rPr>
        <b/>
        <sz val="11"/>
        <rFont val="Calibri"/>
        <family val="2"/>
        <scheme val="minor"/>
      </rPr>
      <t>- Amendment 1 - Add cost</t>
    </r>
  </si>
  <si>
    <t>Somme des delta sur factures déjà reçues et payée selon A1</t>
  </si>
  <si>
    <r>
      <t>UC-101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scheme val="minor"/>
      </rPr>
      <t>MAJ A2</t>
    </r>
  </si>
  <si>
    <t>DEV 5073</t>
  </si>
  <si>
    <t>FACT 108183</t>
  </si>
  <si>
    <t>Investigators fees - Monthly fees (about 14000 €/mois)</t>
  </si>
  <si>
    <r>
      <t>L16_2086</t>
    </r>
    <r>
      <rPr>
        <b/>
        <sz val="11"/>
        <rFont val="Calibri"/>
        <family val="2"/>
        <scheme val="minor"/>
      </rPr>
      <t>E</t>
    </r>
  </si>
  <si>
    <t>QA1</t>
  </si>
  <si>
    <t>Audit Clinmak - 4 000 € + PTC</t>
  </si>
  <si>
    <t>P00103</t>
  </si>
  <si>
    <r>
      <t xml:space="preserve">1804064 - </t>
    </r>
    <r>
      <rPr>
        <b/>
        <sz val="11"/>
        <rFont val="Calibri"/>
        <family val="2"/>
        <scheme val="minor"/>
      </rPr>
      <t>P00075</t>
    </r>
  </si>
  <si>
    <t>Achat de produits biologique</t>
  </si>
  <si>
    <r>
      <t xml:space="preserve">180143_V1 </t>
    </r>
    <r>
      <rPr>
        <b/>
        <sz val="11"/>
        <rFont val="Calibri"/>
        <family val="2"/>
        <scheme val="minor"/>
      </rPr>
      <t>P00111</t>
    </r>
  </si>
  <si>
    <t>30% technical start of the study</t>
  </si>
  <si>
    <t>20% draft report</t>
  </si>
  <si>
    <t>100% full report (option)</t>
  </si>
  <si>
    <r>
      <t xml:space="preserve">180141_V1 </t>
    </r>
    <r>
      <rPr>
        <b/>
        <sz val="11"/>
        <rFont val="Calibri"/>
        <family val="2"/>
        <scheme val="minor"/>
      </rPr>
      <t>P00110</t>
    </r>
  </si>
  <si>
    <t>II - SERV AND SUPPLIES + SERV AND SUPPLIES n° 2
(Lab supplies + Operation)</t>
  </si>
  <si>
    <t>III - LAB testing + LAB n°2
(Lab Annalysis)</t>
  </si>
  <si>
    <t>Inclus dans les factures 50% 30% 20%</t>
  </si>
  <si>
    <t>FACT 68365 du 25/06/2018</t>
  </si>
  <si>
    <t>FACT 68364 du 25/06/2018</t>
  </si>
  <si>
    <t>HIV004 - 1 fact recu 4 950 € en attente de validation PG, CLOTURE 
Not yet, on va devoir surement payer encore env. 2 000 € pour cloturer : LES 2000€ sont annulés (PG le 26/06/2018)</t>
  </si>
  <si>
    <t>Not yet, on va devoir surement payer encore env. 2 000 € pour cloturer : NON EN FAIT ON ANNULE (PG 26/06/2018)</t>
  </si>
  <si>
    <r>
      <t xml:space="preserve">Q-2017-928 </t>
    </r>
    <r>
      <rPr>
        <b/>
        <sz val="11"/>
        <rFont val="Calibri"/>
        <family val="2"/>
        <scheme val="minor"/>
      </rPr>
      <t xml:space="preserve">-P00239-UC101 </t>
    </r>
    <r>
      <rPr>
        <b/>
        <sz val="11"/>
        <color rgb="FFFF0000"/>
        <rFont val="Calibri"/>
        <family val="2"/>
        <scheme val="minor"/>
      </rPr>
      <t>ANNULEE</t>
    </r>
  </si>
  <si>
    <t>Annulée</t>
  </si>
  <si>
    <t>Q3 2018 - 15 800€</t>
  </si>
  <si>
    <t>Q3 2018 - 7 900€</t>
  </si>
  <si>
    <t>Q3 2018 - 14 100€</t>
  </si>
  <si>
    <t>Q3 2018 - 8 950€</t>
  </si>
  <si>
    <r>
      <t xml:space="preserve">18-378 - </t>
    </r>
    <r>
      <rPr>
        <b/>
        <sz val="11"/>
        <rFont val="Calibri"/>
        <family val="2"/>
        <scheme val="minor"/>
      </rPr>
      <t>P00113</t>
    </r>
  </si>
  <si>
    <t>100% a siganture</t>
  </si>
  <si>
    <t>ANNULE PAR DS le 02/07/2018</t>
  </si>
  <si>
    <t>CLOTURE</t>
  </si>
  <si>
    <t>(Oct + Nov + Déc )+ Janv + (Fev + Mars + Avril)+ Mai + Juin</t>
  </si>
  <si>
    <r>
      <rPr>
        <b/>
        <sz val="11"/>
        <rFont val="Calibri"/>
        <family val="2"/>
        <scheme val="minor"/>
      </rPr>
      <t>2017</t>
    </r>
    <r>
      <rPr>
        <sz val="11"/>
        <rFont val="Calibri"/>
        <family val="2"/>
        <scheme val="minor"/>
      </rPr>
      <t>257 (Décembre 2017)</t>
    </r>
  </si>
  <si>
    <t>INV 108206 (03/07/2018)</t>
  </si>
  <si>
    <t>Conservation dossier de lot original 10 ans</t>
  </si>
  <si>
    <t>Etude de stabilité ICH lot 70027 - T0</t>
  </si>
  <si>
    <t>Etude de stabilité ICH lot 70027 - T3</t>
  </si>
  <si>
    <t>Etude de stabilité ICH lot 70027 - T6</t>
  </si>
  <si>
    <t>Etude de stabilité ICH lot 70027 - T9</t>
  </si>
  <si>
    <t>Etude de stabilité ICH lot 70027 - T12</t>
  </si>
  <si>
    <t>Etude de stabilité ICH lot 70027 - T24</t>
  </si>
  <si>
    <t>Etude de stabilité ICH lot 70027 - T18</t>
  </si>
  <si>
    <t>Etude de stabilité ICH lot 70027 - T36</t>
  </si>
  <si>
    <t>Etude de stabilité ICH lot 70027 - T48</t>
  </si>
  <si>
    <t>MSA_17667_W6</t>
  </si>
  <si>
    <r>
      <t xml:space="preserve">Q 11175 - </t>
    </r>
    <r>
      <rPr>
        <b/>
        <sz val="11"/>
        <rFont val="Calibri"/>
        <family val="2"/>
        <scheme val="minor"/>
      </rPr>
      <t>P00057</t>
    </r>
  </si>
  <si>
    <t>FACT BVB17801 du 29/06/2018</t>
  </si>
  <si>
    <t>Achat de colone</t>
  </si>
  <si>
    <t>Achat des réactifs</t>
  </si>
  <si>
    <t>FACT BVB17501 du 29/06/2018</t>
  </si>
  <si>
    <t>FACT 108209</t>
  </si>
  <si>
    <t>FACT 108218 - 11/07/2017</t>
  </si>
  <si>
    <t>FACT 108219</t>
  </si>
  <si>
    <t>CEVQ2018.06.03</t>
  </si>
  <si>
    <t>Toxicokinetic analysis study n°20180021STP</t>
  </si>
  <si>
    <t>Achat de produits biologique Anticorps Covalab RNP VIR</t>
  </si>
  <si>
    <r>
      <t xml:space="preserve">1712063 R02 - </t>
    </r>
    <r>
      <rPr>
        <b/>
        <sz val="11"/>
        <rFont val="Calibri"/>
        <family val="2"/>
        <scheme val="minor"/>
      </rPr>
      <t>P00032</t>
    </r>
  </si>
  <si>
    <t>R&amp;D Sorption Testing</t>
  </si>
  <si>
    <t>TE181101 (Characterisation DS)</t>
  </si>
  <si>
    <t>NELSON LAB (EX TOXIKON)</t>
  </si>
  <si>
    <r>
      <t xml:space="preserve">1807050 - </t>
    </r>
    <r>
      <rPr>
        <b/>
        <sz val="11"/>
        <rFont val="Calibri"/>
        <family val="2"/>
        <scheme val="minor"/>
      </rPr>
      <t>P00011</t>
    </r>
    <r>
      <rPr>
        <sz val="11"/>
        <rFont val="Calibri"/>
        <family val="2"/>
        <scheme val="minor"/>
      </rPr>
      <t xml:space="preserve"> (Docushare)</t>
    </r>
  </si>
  <si>
    <t>GMP Method Validation</t>
  </si>
  <si>
    <r>
      <t xml:space="preserve">MSA 18040 - </t>
    </r>
    <r>
      <rPr>
        <b/>
        <sz val="11"/>
        <rFont val="Calibri"/>
        <family val="2"/>
        <scheme val="minor"/>
      </rPr>
      <t>P00009</t>
    </r>
  </si>
  <si>
    <t>FACT 5420 du 25/05/2018</t>
  </si>
  <si>
    <t>FACT 5387 du 28/05/2018</t>
  </si>
  <si>
    <t>ADDITIONAL COST (23/07/2018)</t>
  </si>
  <si>
    <t>DIMINUTION DES COSTS</t>
  </si>
  <si>
    <r>
      <t xml:space="preserve">180143_V1 </t>
    </r>
    <r>
      <rPr>
        <b/>
        <sz val="11"/>
        <rFont val="Calibri"/>
        <family val="2"/>
        <scheme val="minor"/>
      </rPr>
      <t>P00111 (PO00014 Docushare)</t>
    </r>
  </si>
  <si>
    <t>15/01/2018 + 15/02/2018 + 15/03/2018 + 15/04/2018 + 15/05/2018 + 15/06/2018 + 16/07/2018</t>
  </si>
  <si>
    <r>
      <t xml:space="preserve">18-315 - </t>
    </r>
    <r>
      <rPr>
        <b/>
        <sz val="11"/>
        <rFont val="Calibri"/>
        <family val="2"/>
        <scheme val="minor"/>
      </rPr>
      <t>P00016 Docushare</t>
    </r>
  </si>
  <si>
    <r>
      <t xml:space="preserve">PK ABX464/NGLU Plasma Cohort 3 ABX464-005 </t>
    </r>
    <r>
      <rPr>
        <b/>
        <sz val="11"/>
        <rFont val="Calibri"/>
        <family val="2"/>
        <scheme val="minor"/>
      </rPr>
      <t>50% a signature</t>
    </r>
  </si>
  <si>
    <r>
      <t xml:space="preserve">PK ABX464/NGLU Plasma Cohort 3 ABX464-005 </t>
    </r>
    <r>
      <rPr>
        <b/>
        <sz val="11"/>
        <rFont val="Calibri"/>
        <family val="2"/>
        <scheme val="minor"/>
      </rPr>
      <t>10% raport final</t>
    </r>
  </si>
  <si>
    <r>
      <t xml:space="preserve">PK ABX464/NGLU Plasma Cohort 3 ABX464-005 </t>
    </r>
    <r>
      <rPr>
        <b/>
        <sz val="11"/>
        <rFont val="Calibri"/>
        <family val="2"/>
        <scheme val="minor"/>
      </rPr>
      <t>40% rapport préléminaire</t>
    </r>
  </si>
  <si>
    <t>AVOIR RECU le 25/07/2018</t>
  </si>
  <si>
    <t>FACT 68535 du 25/07/2018</t>
  </si>
  <si>
    <t>Fact Nelson Lab n° 181572/CR du 24/07/2018</t>
  </si>
  <si>
    <t>R&amp;D Stability testing</t>
  </si>
  <si>
    <t>Fact Nelson Lab n° 181560/CR du 23/07/2018</t>
  </si>
  <si>
    <t>Fact Nelson Lan n° 181575/CR du 24/07/2018</t>
  </si>
  <si>
    <t>En attente du devis via SC</t>
  </si>
  <si>
    <t>BIOGAZELLE</t>
  </si>
  <si>
    <t>SRV_18106</t>
  </si>
  <si>
    <t>Validation study 30%</t>
  </si>
  <si>
    <t>Report 50%</t>
  </si>
  <si>
    <t>Acceptance of the final report 20%</t>
  </si>
  <si>
    <t>Fact Nelson Lab n° 181619/CR du 30/07/2018</t>
  </si>
  <si>
    <r>
      <t xml:space="preserve">Q 11070-2 - </t>
    </r>
    <r>
      <rPr>
        <b/>
        <sz val="11"/>
        <rFont val="Calibri"/>
        <family val="2"/>
        <scheme val="minor"/>
      </rPr>
      <t>P00305</t>
    </r>
  </si>
  <si>
    <t>FA180122</t>
  </si>
  <si>
    <t>Fact 20180708 - 31/07/2018</t>
  </si>
  <si>
    <r>
      <t>1807132 -</t>
    </r>
    <r>
      <rPr>
        <b/>
        <sz val="11"/>
        <rFont val="Calibri"/>
        <family val="2"/>
        <scheme val="minor"/>
      </rPr>
      <t xml:space="preserve"> P00022</t>
    </r>
    <r>
      <rPr>
        <sz val="11"/>
        <rFont val="Calibri"/>
        <family val="2"/>
        <scheme val="minor"/>
      </rPr>
      <t xml:space="preserve"> (Docushare)</t>
    </r>
  </si>
  <si>
    <t>GMP sample analysis</t>
  </si>
  <si>
    <t>Stress testing study on Drug Substance</t>
  </si>
  <si>
    <r>
      <t xml:space="preserve">L16_2086C </t>
    </r>
    <r>
      <rPr>
        <b/>
        <sz val="11"/>
        <rFont val="Calibri"/>
        <family val="2"/>
        <scheme val="minor"/>
      </rPr>
      <t>P00059 de 2018</t>
    </r>
  </si>
  <si>
    <t>INV 108243 (03/08/2018)</t>
  </si>
  <si>
    <r>
      <t xml:space="preserve">1808002 rev00 - </t>
    </r>
    <r>
      <rPr>
        <b/>
        <sz val="11"/>
        <rFont val="Calibri"/>
        <family val="2"/>
        <scheme val="minor"/>
      </rPr>
      <t>P00023</t>
    </r>
    <r>
      <rPr>
        <sz val="11"/>
        <rFont val="Calibri"/>
        <family val="2"/>
        <scheme val="minor"/>
      </rPr>
      <t xml:space="preserve"> (Docushare)</t>
    </r>
  </si>
  <si>
    <r>
      <t xml:space="preserve">1808005 rev.001 - </t>
    </r>
    <r>
      <rPr>
        <b/>
        <sz val="11"/>
        <rFont val="Calibri"/>
        <family val="2"/>
        <scheme val="minor"/>
      </rPr>
      <t>P00024</t>
    </r>
    <r>
      <rPr>
        <sz val="11"/>
        <rFont val="Calibri"/>
        <family val="2"/>
        <scheme val="minor"/>
      </rPr>
      <t xml:space="preserve"> (Docushare)</t>
    </r>
  </si>
  <si>
    <t>Sorpition Study Phase IIa</t>
  </si>
  <si>
    <t>1808005 rev.001</t>
  </si>
  <si>
    <t>Sorpition Study Phase IIb</t>
  </si>
  <si>
    <t>Sorpition Study Phase IIc</t>
  </si>
  <si>
    <t>INV 108245 (03/08/2018)</t>
  </si>
  <si>
    <t>25% patients enrolled JAMAIS RECU SOUS l'A1 - Recu dans une facture de régule</t>
  </si>
  <si>
    <t>08/03/2018 + Coûts supplé. 10/08/2018</t>
  </si>
  <si>
    <t>26/03/2018 + Coûts supplé. 10/08/2018</t>
  </si>
  <si>
    <t>15/05/2018 + Coûts supplé. 10/08/2018</t>
  </si>
  <si>
    <t>Inclus dans l'INV de Coûts supplé. 10/08/2018</t>
  </si>
  <si>
    <t>Coûts supplé.</t>
  </si>
  <si>
    <r>
      <t xml:space="preserve">Q-2018-1016 - </t>
    </r>
    <r>
      <rPr>
        <b/>
        <sz val="11"/>
        <rFont val="Calibri"/>
        <family val="2"/>
        <scheme val="minor"/>
      </rPr>
      <t>P00018 Docushare</t>
    </r>
  </si>
  <si>
    <r>
      <t>Q-2018-1018 -</t>
    </r>
    <r>
      <rPr>
        <b/>
        <sz val="11"/>
        <rFont val="Calibri"/>
        <family val="2"/>
        <scheme val="minor"/>
      </rPr>
      <t xml:space="preserve"> P00019 Docushare</t>
    </r>
  </si>
  <si>
    <r>
      <t xml:space="preserve">Q-2018-1014 - </t>
    </r>
    <r>
      <rPr>
        <b/>
        <sz val="11"/>
        <rFont val="Calibri"/>
        <family val="2"/>
        <scheme val="minor"/>
      </rPr>
      <t>P00013 Docushare</t>
    </r>
  </si>
  <si>
    <t>INV 108266 (23/08/2018)</t>
  </si>
  <si>
    <t>INV 10000225 du 20/08/2018</t>
  </si>
  <si>
    <t>FACT 00008098 + FACT 00008192</t>
  </si>
  <si>
    <t>FACT 00008003 + FACT 00008097 + FACT 00008193</t>
  </si>
  <si>
    <t>Create a register of personnal data</t>
  </si>
  <si>
    <t>Update documentation where DPO and communication should be specific</t>
  </si>
  <si>
    <t>Data protection impact assessment (DPIA) for critical process</t>
  </si>
  <si>
    <t>Informe about GDPR law</t>
  </si>
  <si>
    <t>Questionnaire for sub-contractors Part 1</t>
  </si>
  <si>
    <t>Questionnaire for sub-contractors Part 2</t>
  </si>
  <si>
    <t>Prepare a training or a presentation on GDPR for employees</t>
  </si>
  <si>
    <t>SILICON MARKETING</t>
  </si>
  <si>
    <t>FACT ABI/2018/08/03</t>
  </si>
  <si>
    <t>3-week toxicity single dose study in mice 25% upon signature</t>
  </si>
  <si>
    <t>3-week toxicity single dose study in mice 35% at begining of study</t>
  </si>
  <si>
    <t>3-week toxicity single dose study in mice 35% 2 month after begining</t>
  </si>
  <si>
    <t>3-week toxicity single dose study in mice 5% at draft report</t>
  </si>
  <si>
    <t>INV 108276 (03/09/2018)</t>
  </si>
  <si>
    <t>INV 108275 (03/09/2018)</t>
  </si>
  <si>
    <t>Cooled transport From Nelson lab to Roowin</t>
  </si>
  <si>
    <r>
      <t xml:space="preserve">1808031 rev.0 - </t>
    </r>
    <r>
      <rPr>
        <b/>
        <sz val="11"/>
        <rFont val="Calibri"/>
        <family val="2"/>
        <scheme val="minor"/>
      </rPr>
      <t>P00030</t>
    </r>
  </si>
  <si>
    <t>19/12/2017 + 16/01/2018 + 30/03/2018 + 30/05/2018 + 31/05/2018 + 29/06/2018 + 31/07/2018 + 30/08/2018</t>
  </si>
  <si>
    <t>ABX5042v3</t>
  </si>
  <si>
    <t>A siganture Fevrier 2018</t>
  </si>
  <si>
    <t>Annule et remplace le V2 Mars 2018</t>
  </si>
  <si>
    <t>25835 euros</t>
  </si>
  <si>
    <t>ABX5042v3Amd1</t>
  </si>
  <si>
    <t>Annule et remplace le V3 - Juin 2018</t>
  </si>
  <si>
    <t>50% de 25635 euros</t>
  </si>
  <si>
    <r>
      <t xml:space="preserve">ASTIS-6cv3 / SRV_18155 </t>
    </r>
    <r>
      <rPr>
        <b/>
        <sz val="11"/>
        <rFont val="Calibri"/>
        <family val="2"/>
        <scheme val="minor"/>
      </rPr>
      <t>P00038 (Docushare)</t>
    </r>
  </si>
  <si>
    <t>Synthèse du composé Cout total 144500 € - Remise 43350€ - 40% a la commande</t>
  </si>
  <si>
    <t>Synthèse du composé Cout total 144500 € - Remise 43350€ - 60% a la livraison</t>
  </si>
  <si>
    <t>28/12/2017 - PAYEE LE 22/03/2018</t>
  </si>
  <si>
    <t>TOTAL 15 510 £ Payée le 15/03/2018</t>
  </si>
  <si>
    <t>TOTAL P17-087</t>
  </si>
  <si>
    <t>Regule faite via INV 108252</t>
  </si>
  <si>
    <t>UC-102 - WO003 + Amt1 WO003</t>
  </si>
  <si>
    <t>Ancien prix : 41 625 €</t>
  </si>
  <si>
    <t>Ancien prix : 34 688 €</t>
  </si>
  <si>
    <t>Ancien prix : 20 812 €</t>
  </si>
  <si>
    <t>UC-102 - WO003 Amt 1</t>
  </si>
  <si>
    <t>Monthly fees / 19 mois - 10 mois annulé via Amt 1 - nouveau prix 6992</t>
  </si>
  <si>
    <t>INTU VIGILANCE</t>
  </si>
  <si>
    <t>MSA_18141</t>
  </si>
  <si>
    <t>fonctionne au WO mais prix global - General Costs</t>
  </si>
  <si>
    <t>fonctionne au WO mais prix global - PTC</t>
  </si>
  <si>
    <r>
      <t xml:space="preserve">P15775-MCV-v3 - </t>
    </r>
    <r>
      <rPr>
        <b/>
        <sz val="11"/>
        <rFont val="Calibri"/>
        <family val="2"/>
        <scheme val="minor"/>
      </rPr>
      <t>P00031</t>
    </r>
    <r>
      <rPr>
        <sz val="11"/>
        <rFont val="Calibri"/>
        <family val="2"/>
        <scheme val="minor"/>
      </rPr>
      <t xml:space="preserve"> Bis</t>
    </r>
  </si>
  <si>
    <t>2017 + EC1801058 + EC1802109 + EC1803103 + EC1804105 + EC1805073 + EC1806004 + EC1808100</t>
  </si>
  <si>
    <t>2016 = 954,65 + 2017 = 1832,10 + EC1808097</t>
  </si>
  <si>
    <t>ITSQA</t>
  </si>
  <si>
    <r>
      <t xml:space="preserve">Quote QU-0011 - </t>
    </r>
    <r>
      <rPr>
        <b/>
        <sz val="11"/>
        <rFont val="Calibri"/>
        <family val="2"/>
        <scheme val="minor"/>
      </rPr>
      <t>P00043 (Docushare)</t>
    </r>
  </si>
  <si>
    <t xml:space="preserve">RDV QALITY ABX464 </t>
  </si>
  <si>
    <r>
      <t xml:space="preserve">PART 3 - 70% Au rapport final </t>
    </r>
    <r>
      <rPr>
        <b/>
        <sz val="11"/>
        <rFont val="Calibri"/>
        <family val="2"/>
        <scheme val="minor"/>
      </rPr>
      <t>P00044 (Docushare)</t>
    </r>
  </si>
  <si>
    <r>
      <t>PART 3 - 30% Au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GO (Sept. 18)</t>
    </r>
    <r>
      <rPr>
        <sz val="11"/>
        <rFont val="Calibri"/>
        <family val="2"/>
        <scheme val="minor"/>
      </rPr>
      <t xml:space="preserve"> / NO GO </t>
    </r>
    <r>
      <rPr>
        <b/>
        <sz val="11"/>
        <rFont val="Calibri"/>
        <family val="2"/>
        <scheme val="minor"/>
      </rPr>
      <t>P00044 (Docushare)</t>
    </r>
  </si>
  <si>
    <t>AVOIR imputable sur créances annuelles</t>
  </si>
  <si>
    <r>
      <t xml:space="preserve">Ristourn liée à ASTIS-6cv3 / SRV_18155 </t>
    </r>
    <r>
      <rPr>
        <b/>
        <sz val="11"/>
        <rFont val="Calibri"/>
        <family val="2"/>
        <scheme val="minor"/>
      </rPr>
      <t>P00038 (Docushare)</t>
    </r>
  </si>
  <si>
    <t>FA180140 du 19/09/2018</t>
  </si>
  <si>
    <t>Cloturer ? Sept 2018</t>
  </si>
  <si>
    <t>Monthly fees / 13 mois (10 mois annulé + 3 nouveaux mois) - Aout 2018 - Aout 2019</t>
  </si>
  <si>
    <r>
      <t xml:space="preserve">L18_2706A </t>
    </r>
    <r>
      <rPr>
        <b/>
        <sz val="11"/>
        <rFont val="Calibri"/>
        <family val="2"/>
        <scheme val="minor"/>
      </rPr>
      <t>P00054 (Docushare)</t>
    </r>
  </si>
  <si>
    <t>Presta analytiques - 25% a la commande</t>
  </si>
  <si>
    <t>Presta analytiques - 75% a la livraison</t>
  </si>
  <si>
    <t>Presta de fabrication &amp; conditionnement - Campagne 1 (2 Lots) - 25% a la commande</t>
  </si>
  <si>
    <t>Presta de fabrication &amp; conditionnement - Campagne 1 (2 Lots) - 75% a la livraison</t>
  </si>
  <si>
    <t>Analyse additionnelles PU 2 160 €</t>
  </si>
  <si>
    <t>INV 108305 (02/10/2018)</t>
  </si>
  <si>
    <t>Audit de 4 sites : Review of TMF sponsor des 4 sites - 100% a signature</t>
  </si>
  <si>
    <r>
      <t xml:space="preserve">Quote QU-0012 - </t>
    </r>
    <r>
      <rPr>
        <b/>
        <sz val="11"/>
        <rFont val="Calibri"/>
        <family val="2"/>
        <scheme val="minor"/>
      </rPr>
      <t>P00055 (Docushare)</t>
    </r>
  </si>
  <si>
    <t>Praparation des Audit - tout au long du travail</t>
  </si>
  <si>
    <t>Administration Charge (10%) - tout au long du travail</t>
  </si>
  <si>
    <r>
      <t xml:space="preserve">Audit de 4 sites : site 3001 Pologne </t>
    </r>
    <r>
      <rPr>
        <b/>
        <sz val="11"/>
        <rFont val="Calibri"/>
        <family val="2"/>
        <scheme val="minor"/>
      </rPr>
      <t>12 Nov</t>
    </r>
    <r>
      <rPr>
        <sz val="11"/>
        <rFont val="Calibri"/>
        <family val="2"/>
        <scheme val="minor"/>
      </rPr>
      <t xml:space="preserve"> 80% au début </t>
    </r>
  </si>
  <si>
    <r>
      <t>Audit de 4 sites : site 3001 Pologne</t>
    </r>
    <r>
      <rPr>
        <b/>
        <sz val="11"/>
        <rFont val="Calibri"/>
        <family val="2"/>
        <scheme val="minor"/>
      </rPr>
      <t xml:space="preserve"> 30 Nov</t>
    </r>
    <r>
      <rPr>
        <sz val="11"/>
        <rFont val="Calibri"/>
        <family val="2"/>
        <scheme val="minor"/>
      </rPr>
      <t xml:space="preserve"> 20% a rapport</t>
    </r>
  </si>
  <si>
    <r>
      <t>Audit de 4 sites : site 3005 Pologne</t>
    </r>
    <r>
      <rPr>
        <b/>
        <sz val="11"/>
        <rFont val="Calibri"/>
        <family val="2"/>
        <scheme val="minor"/>
      </rPr>
      <t xml:space="preserve"> 12 Nov</t>
    </r>
    <r>
      <rPr>
        <sz val="11"/>
        <rFont val="Calibri"/>
        <family val="2"/>
        <scheme val="minor"/>
      </rPr>
      <t xml:space="preserve"> 80% au début </t>
    </r>
  </si>
  <si>
    <r>
      <t xml:space="preserve">Audit de 4 sites : site 3005 Pologne </t>
    </r>
    <r>
      <rPr>
        <b/>
        <sz val="11"/>
        <rFont val="Calibri"/>
        <family val="2"/>
        <scheme val="minor"/>
      </rPr>
      <t>30 Nov</t>
    </r>
    <r>
      <rPr>
        <sz val="11"/>
        <rFont val="Calibri"/>
        <family val="2"/>
        <scheme val="minor"/>
      </rPr>
      <t xml:space="preserve"> 20% a rapport</t>
    </r>
  </si>
  <si>
    <r>
      <t xml:space="preserve">Audit de 4 sites : site 2002 France </t>
    </r>
    <r>
      <rPr>
        <b/>
        <sz val="11"/>
        <rFont val="Calibri"/>
        <family val="2"/>
        <scheme val="minor"/>
      </rPr>
      <t>16&amp;17 Oct</t>
    </r>
    <r>
      <rPr>
        <sz val="11"/>
        <rFont val="Calibri"/>
        <family val="2"/>
        <scheme val="minor"/>
      </rPr>
      <t xml:space="preserve"> 80% au début </t>
    </r>
  </si>
  <si>
    <r>
      <t>Audit de 4 sites : site 2002 France</t>
    </r>
    <r>
      <rPr>
        <b/>
        <sz val="11"/>
        <rFont val="Calibri"/>
        <family val="2"/>
        <scheme val="minor"/>
      </rPr>
      <t xml:space="preserve"> 31 Oct</t>
    </r>
    <r>
      <rPr>
        <sz val="11"/>
        <rFont val="Calibri"/>
        <family val="2"/>
        <scheme val="minor"/>
      </rPr>
      <t xml:space="preserve"> 20% a rapport</t>
    </r>
  </si>
  <si>
    <r>
      <t xml:space="preserve">Audit de 4 sites : site 6002 Hongrie </t>
    </r>
    <r>
      <rPr>
        <b/>
        <sz val="11"/>
        <rFont val="Calibri"/>
        <family val="2"/>
        <scheme val="minor"/>
      </rPr>
      <t>26 Nov</t>
    </r>
    <r>
      <rPr>
        <sz val="11"/>
        <rFont val="Calibri"/>
        <family val="2"/>
        <scheme val="minor"/>
      </rPr>
      <t xml:space="preserve"> 80% au début </t>
    </r>
  </si>
  <si>
    <r>
      <t xml:space="preserve">Audit de 4 sites : site 6002 Hongrie </t>
    </r>
    <r>
      <rPr>
        <b/>
        <sz val="11"/>
        <rFont val="Calibri"/>
        <family val="2"/>
        <scheme val="minor"/>
      </rPr>
      <t>14 Déc</t>
    </r>
    <r>
      <rPr>
        <sz val="11"/>
        <rFont val="Calibri"/>
        <family val="2"/>
        <scheme val="minor"/>
      </rPr>
      <t xml:space="preserve"> 20% a rapport</t>
    </r>
  </si>
  <si>
    <t>Attention : il va y avoir une majoration voir email JD</t>
  </si>
  <si>
    <r>
      <t xml:space="preserve">MSA_17667_W8 - </t>
    </r>
    <r>
      <rPr>
        <b/>
        <sz val="11"/>
        <rFont val="Calibri"/>
        <family val="2"/>
        <scheme val="minor"/>
      </rPr>
      <t>P00049 Docushare</t>
    </r>
  </si>
  <si>
    <r>
      <t>MSA_17667_W2 -</t>
    </r>
    <r>
      <rPr>
        <b/>
        <sz val="11"/>
        <rFont val="Calibri"/>
        <family val="2"/>
        <scheme val="minor"/>
      </rPr>
      <t xml:space="preserve"> P00048</t>
    </r>
  </si>
  <si>
    <t>OCEASOFT</t>
  </si>
  <si>
    <t>Maintenance des sondes - 30% a siganture</t>
  </si>
  <si>
    <t>Maintenance des sondes - 70% 30 jours après</t>
  </si>
  <si>
    <t>Il est possible que ça soit 100 % a signature - voir condition générale de vente</t>
  </si>
  <si>
    <t>FACT N° 1 du 22/01/2018 + FACT N°2 du 04/10/2018</t>
  </si>
  <si>
    <t>QTE-ABIV-01 .02 - 17774</t>
  </si>
  <si>
    <t>QTE-ABIV-02.01</t>
  </si>
  <si>
    <t>INV I-2018-923 (17/09/2018) + INV I-2018-926 (30/09/2018)</t>
  </si>
  <si>
    <t>INV I-2018-925 (30/09/2018)</t>
  </si>
  <si>
    <t>INV I-2018-921 (14/08/2018)</t>
  </si>
  <si>
    <t>INV I-2018-927 (09/10/2018)</t>
  </si>
  <si>
    <t>INV 10000546 (05/10/2018)</t>
  </si>
  <si>
    <t>Management de projet pour 3 mois - 1 mois = 1640</t>
  </si>
  <si>
    <r>
      <t xml:space="preserve">Quote OD714756 - </t>
    </r>
    <r>
      <rPr>
        <b/>
        <sz val="11"/>
        <rFont val="Calibri"/>
        <family val="2"/>
        <scheme val="minor"/>
      </rPr>
      <t>P00058 (Docushare)</t>
    </r>
  </si>
  <si>
    <r>
      <t>Quote OD714756 -</t>
    </r>
    <r>
      <rPr>
        <b/>
        <sz val="11"/>
        <rFont val="Calibri"/>
        <family val="2"/>
        <scheme val="minor"/>
      </rPr>
      <t xml:space="preserve"> P00058 (Docushare)</t>
    </r>
  </si>
  <si>
    <t>+ 5 semaines : PB DE FACTURE FA1804-1488 Mail envoyé à Loget + Avoir 1805-0089 recu paiement ok</t>
  </si>
  <si>
    <t>Facture recue mais pas enore validée par Loget .. Je ne suis pas d'accord avec les devis non signé par HE 
Réponse : c'était dans l'urgence</t>
  </si>
  <si>
    <t>FA1804-1485 (26/04/2018)</t>
  </si>
  <si>
    <t>FACT N°1802-1464 (04/02/2018)</t>
  </si>
  <si>
    <t>INV-0030 (19/09/2018)</t>
  </si>
  <si>
    <t>INV-0041 (6/10/2018)</t>
  </si>
  <si>
    <t xml:space="preserve">TOTAL DEV 5877 UC102 : </t>
  </si>
  <si>
    <t xml:space="preserve">HIV004 : </t>
  </si>
  <si>
    <r>
      <t xml:space="preserve">CSL_18135 - </t>
    </r>
    <r>
      <rPr>
        <b/>
        <sz val="11"/>
        <rFont val="Calibri"/>
        <family val="2"/>
        <scheme val="minor"/>
      </rPr>
      <t>P00029 (Docushare)</t>
    </r>
  </si>
  <si>
    <t>Fact 20180932 - 15/10/2018</t>
  </si>
  <si>
    <r>
      <t xml:space="preserve">1808005 rev.001 </t>
    </r>
    <r>
      <rPr>
        <b/>
        <sz val="11"/>
        <rFont val="Calibri"/>
        <family val="2"/>
        <scheme val="minor"/>
      </rPr>
      <t xml:space="preserve">- P00068 </t>
    </r>
    <r>
      <rPr>
        <sz val="11"/>
        <rFont val="Calibri"/>
        <family val="2"/>
        <scheme val="minor"/>
      </rPr>
      <t>(Docushare)</t>
    </r>
  </si>
  <si>
    <r>
      <t xml:space="preserve">P16271_MCV-v2-1/2 - </t>
    </r>
    <r>
      <rPr>
        <b/>
        <sz val="11"/>
        <rFont val="Calibri"/>
        <family val="2"/>
        <scheme val="minor"/>
      </rPr>
      <t>P00069</t>
    </r>
    <r>
      <rPr>
        <sz val="11"/>
        <rFont val="Calibri"/>
        <family val="2"/>
        <scheme val="minor"/>
      </rPr>
      <t xml:space="preserve"> (Docushare)</t>
    </r>
  </si>
  <si>
    <r>
      <t xml:space="preserve">3-week Preliminary study in Cynomolgus monkeys - </t>
    </r>
    <r>
      <rPr>
        <b/>
        <sz val="11"/>
        <rFont val="Calibri"/>
        <family val="2"/>
        <scheme val="minor"/>
      </rPr>
      <t>Achat des singes</t>
    </r>
  </si>
  <si>
    <r>
      <t>3-week Preliminary study in Cynomolgus monkeys -</t>
    </r>
    <r>
      <rPr>
        <b/>
        <sz val="11"/>
        <rFont val="Calibri"/>
        <family val="2"/>
        <scheme val="minor"/>
      </rPr>
      <t xml:space="preserve"> Début de l'étude</t>
    </r>
  </si>
  <si>
    <r>
      <t xml:space="preserve">3-week Preliminary study in Cynomolgus monkeys - </t>
    </r>
    <r>
      <rPr>
        <b/>
        <sz val="11"/>
        <rFont val="Calibri"/>
        <family val="2"/>
        <scheme val="minor"/>
      </rPr>
      <t>2 mois après début étude</t>
    </r>
  </si>
  <si>
    <r>
      <t xml:space="preserve">3-week Preliminary study in Cynomolgus monkeys - </t>
    </r>
    <r>
      <rPr>
        <b/>
        <sz val="11"/>
        <rFont val="Calibri"/>
        <family val="2"/>
        <scheme val="minor"/>
      </rPr>
      <t>Au Draft Report</t>
    </r>
  </si>
  <si>
    <r>
      <t xml:space="preserve">MSA_17667_W9 - </t>
    </r>
    <r>
      <rPr>
        <b/>
        <sz val="11"/>
        <rFont val="Calibri"/>
        <family val="2"/>
        <scheme val="minor"/>
      </rPr>
      <t>P00078 Docushare</t>
    </r>
  </si>
  <si>
    <r>
      <t xml:space="preserve">Devis 00003840 - </t>
    </r>
    <r>
      <rPr>
        <b/>
        <sz val="11"/>
        <rFont val="Calibri"/>
        <family val="2"/>
        <scheme val="minor"/>
      </rPr>
      <t>P00102</t>
    </r>
  </si>
  <si>
    <r>
      <t xml:space="preserve">Devis 00003875 - </t>
    </r>
    <r>
      <rPr>
        <b/>
        <sz val="11"/>
        <rFont val="Calibri"/>
        <family val="2"/>
        <scheme val="minor"/>
      </rPr>
      <t>P00007 Docushare</t>
    </r>
  </si>
  <si>
    <r>
      <t xml:space="preserve">1805093 - </t>
    </r>
    <r>
      <rPr>
        <b/>
        <sz val="11"/>
        <rFont val="Calibri"/>
        <family val="2"/>
        <scheme val="minor"/>
      </rPr>
      <t>P00091</t>
    </r>
  </si>
  <si>
    <r>
      <t xml:space="preserve">1806136 - </t>
    </r>
    <r>
      <rPr>
        <b/>
        <sz val="11"/>
        <rFont val="Calibri"/>
        <family val="2"/>
        <scheme val="minor"/>
      </rPr>
      <t>P00114</t>
    </r>
  </si>
  <si>
    <t>Fact 20180963 - 24/10/2018</t>
  </si>
  <si>
    <t>Rapport reçu le 29/10/2018</t>
  </si>
  <si>
    <r>
      <t>UC-101 - Q1702006 -</t>
    </r>
    <r>
      <rPr>
        <b/>
        <sz val="11"/>
        <rFont val="Calibri"/>
        <family val="2"/>
        <scheme val="minor"/>
      </rPr>
      <t xml:space="preserve"> P00240</t>
    </r>
    <r>
      <rPr>
        <sz val="11"/>
        <rFont val="Calibri"/>
        <family val="2"/>
        <scheme val="minor"/>
      </rPr>
      <t xml:space="preserve"> + </t>
    </r>
    <r>
      <rPr>
        <sz val="11"/>
        <color rgb="FFFF0000"/>
        <rFont val="Calibri"/>
        <family val="2"/>
        <scheme val="minor"/>
      </rPr>
      <t xml:space="preserve">Amendment 1 </t>
    </r>
    <r>
      <rPr>
        <sz val="11"/>
        <rFont val="Calibri"/>
        <family val="2"/>
        <scheme val="minor"/>
      </rPr>
      <t xml:space="preserve">UC-101 - Q1702006 - </t>
    </r>
    <r>
      <rPr>
        <b/>
        <sz val="11"/>
        <rFont val="Calibri"/>
        <family val="2"/>
        <scheme val="minor"/>
      </rPr>
      <t>P00240</t>
    </r>
  </si>
  <si>
    <r>
      <t xml:space="preserve">UC-101 - Q1702006 - </t>
    </r>
    <r>
      <rPr>
        <b/>
        <sz val="11"/>
        <rFont val="Calibri"/>
        <family val="2"/>
        <scheme val="minor"/>
      </rPr>
      <t>P00240</t>
    </r>
    <r>
      <rPr>
        <sz val="11"/>
        <rFont val="Calibri"/>
        <family val="2"/>
        <scheme val="minor"/>
      </rPr>
      <t xml:space="preserve"> + </t>
    </r>
    <r>
      <rPr>
        <sz val="11"/>
        <color rgb="FFFF0000"/>
        <rFont val="Calibri"/>
        <family val="2"/>
        <scheme val="minor"/>
      </rPr>
      <t xml:space="preserve">Amendment 1 </t>
    </r>
    <r>
      <rPr>
        <sz val="11"/>
        <rFont val="Calibri"/>
        <family val="2"/>
        <scheme val="minor"/>
      </rPr>
      <t xml:space="preserve">UC-101 - Q1702006 - </t>
    </r>
    <r>
      <rPr>
        <b/>
        <sz val="11"/>
        <rFont val="Calibri"/>
        <family val="2"/>
        <scheme val="minor"/>
      </rPr>
      <t>P00240</t>
    </r>
  </si>
  <si>
    <t>INV-0045 (27/10/2018)</t>
  </si>
  <si>
    <t>ABX464-11 Sample's transfer from Eurofins to Cell&amp;Co</t>
  </si>
  <si>
    <r>
      <t>DV-ABI-1018-572 -</t>
    </r>
    <r>
      <rPr>
        <b/>
        <sz val="11"/>
        <rFont val="Calibri"/>
        <family val="2"/>
        <scheme val="minor"/>
      </rPr>
      <t xml:space="preserve"> P00080 (Docushare)</t>
    </r>
  </si>
  <si>
    <r>
      <t>Devis 00004045-V00 -</t>
    </r>
    <r>
      <rPr>
        <b/>
        <sz val="11"/>
        <rFont val="Calibri"/>
        <family val="2"/>
        <scheme val="minor"/>
      </rPr>
      <t xml:space="preserve"> P00094 Docushare</t>
    </r>
  </si>
  <si>
    <t>RSV Antibody</t>
  </si>
  <si>
    <t>DRUGABILIS</t>
  </si>
  <si>
    <r>
      <t xml:space="preserve">Devis DA198-18073 - </t>
    </r>
    <r>
      <rPr>
        <b/>
        <sz val="11"/>
        <rFont val="Calibri"/>
        <family val="2"/>
        <scheme val="minor"/>
      </rPr>
      <t>P00093 Docushare</t>
    </r>
  </si>
  <si>
    <r>
      <t xml:space="preserve">DV-201810112-V000 - </t>
    </r>
    <r>
      <rPr>
        <b/>
        <sz val="11"/>
        <rFont val="Calibri"/>
        <family val="2"/>
        <scheme val="minor"/>
      </rPr>
      <t>P00090 Docushare</t>
    </r>
  </si>
  <si>
    <t>Dev. Méthode analytique forme Alpha et Beta - A la commande</t>
  </si>
  <si>
    <t>Dev. Méthode analytique forme Alpha et Beta - A la livraison</t>
  </si>
  <si>
    <r>
      <t>DV-201810111-V001 -</t>
    </r>
    <r>
      <rPr>
        <b/>
        <sz val="11"/>
        <rFont val="Calibri"/>
        <family val="2"/>
        <scheme val="minor"/>
      </rPr>
      <t xml:space="preserve"> P00091 Docushare</t>
    </r>
  </si>
  <si>
    <t>Essais complémentaires process synthèse ABX464 - 50% a la commande</t>
  </si>
  <si>
    <t>Essais complémentaires process synthèse ABX464 - 50% a la livraison</t>
  </si>
  <si>
    <r>
      <t>DV-201811113-V000 -</t>
    </r>
    <r>
      <rPr>
        <b/>
        <sz val="11"/>
        <rFont val="Calibri"/>
        <family val="2"/>
        <scheme val="minor"/>
      </rPr>
      <t xml:space="preserve"> P00092 Docushare</t>
    </r>
  </si>
  <si>
    <t>INV F18002040 du 31/10/2018</t>
  </si>
  <si>
    <t>INV F17001695 du 26/09/2017</t>
  </si>
  <si>
    <r>
      <t xml:space="preserve">P16271_MCV-V3-2/2 - </t>
    </r>
    <r>
      <rPr>
        <b/>
        <sz val="11"/>
        <rFont val="Calibri"/>
        <family val="2"/>
        <scheme val="minor"/>
      </rPr>
      <t>P00089</t>
    </r>
    <r>
      <rPr>
        <sz val="11"/>
        <rFont val="Calibri"/>
        <family val="2"/>
        <scheme val="minor"/>
      </rPr>
      <t xml:space="preserve"> (Docushare)</t>
    </r>
  </si>
  <si>
    <t>17-week toxicity study by in Cynomolgus monkeys + 2 week recovery - 25%</t>
  </si>
  <si>
    <t>17-week toxicity study by in Cynomolgus monkeys + 2 week recovery - 35%</t>
  </si>
  <si>
    <t>17-week toxicity study by in Cynomolgus monkeys + 2 week recovery - 5%</t>
  </si>
  <si>
    <t>100% a siganature MAIS déjà 50% de 25635 € facturé entre temps + FACT 1819001 du 31/10/2018)</t>
  </si>
  <si>
    <t>FACT 00008419</t>
  </si>
  <si>
    <t>D 11533 - Presta suplé</t>
  </si>
  <si>
    <t>achat films + carte blister</t>
  </si>
  <si>
    <t xml:space="preserve">Ocular examination </t>
  </si>
  <si>
    <t>voir email JD</t>
  </si>
  <si>
    <t>FREYR</t>
  </si>
  <si>
    <t>SODIA - Devenu Creapharm</t>
  </si>
  <si>
    <r>
      <t xml:space="preserve">MSA_17667_W10 - </t>
    </r>
    <r>
      <rPr>
        <b/>
        <sz val="11"/>
        <rFont val="Calibri"/>
        <family val="2"/>
        <scheme val="minor"/>
      </rPr>
      <t>P00098 Docushare</t>
    </r>
  </si>
  <si>
    <r>
      <t>DVS BVX 01/18 -</t>
    </r>
    <r>
      <rPr>
        <b/>
        <sz val="11"/>
        <rFont val="Calibri"/>
        <family val="2"/>
        <scheme val="minor"/>
      </rPr>
      <t xml:space="preserve"> P00105 (Docushare)</t>
    </r>
  </si>
  <si>
    <t>Analyse 6 echantillons XRPD et DSC</t>
  </si>
  <si>
    <t>Ad Hoc Medics</t>
  </si>
  <si>
    <t>Ad Hoc PV input</t>
  </si>
  <si>
    <t>Devis validé par JD le 12/11/2018</t>
  </si>
  <si>
    <t>PV13340_A2</t>
  </si>
  <si>
    <t>4 week toxicity study in Cynomolgus monkeys - envois des echantillon vers Orgapharm</t>
  </si>
  <si>
    <r>
      <t xml:space="preserve">W11 (WO2018#1) - </t>
    </r>
    <r>
      <rPr>
        <b/>
        <sz val="11"/>
        <rFont val="Calibri"/>
        <family val="2"/>
        <scheme val="minor"/>
      </rPr>
      <t>P00101 (Docushare)</t>
    </r>
  </si>
  <si>
    <t>Production non full GMP ABX464 - a signature</t>
  </si>
  <si>
    <t>Production non full GMP ABX464 - a l'émission du CoA du lot</t>
  </si>
  <si>
    <t>ORGAPHARM</t>
  </si>
  <si>
    <t>GA1</t>
  </si>
  <si>
    <t>DOCUMENT STORE</t>
  </si>
  <si>
    <t>P00110 (Docushare 2018)</t>
  </si>
  <si>
    <t>Maintenance Annuelle Docushare - année 1</t>
  </si>
  <si>
    <t>Maintenance Annuelle Docushare - année 2</t>
  </si>
  <si>
    <t>Maintenance Annuelle Docushare - année 3</t>
  </si>
  <si>
    <t>Maintenance Annuelle Docushare - année 4</t>
  </si>
  <si>
    <t>XEROX Financial</t>
  </si>
  <si>
    <t>P00111 (Docushare 2018)</t>
  </si>
  <si>
    <t>Licence Docushare 16 Trimestres (4 ans) - année 1</t>
  </si>
  <si>
    <t>Licence Docushare 16 Trimestres (4 ans) - année 2</t>
  </si>
  <si>
    <t>Licence Docushare 16 Trimestres (4 ans) - année 3</t>
  </si>
  <si>
    <t>Licence Docushare 16 Trimestres (4 ans) - année 4</t>
  </si>
  <si>
    <r>
      <t>L18_2706B</t>
    </r>
    <r>
      <rPr>
        <b/>
        <sz val="11"/>
        <rFont val="Calibri"/>
        <family val="2"/>
        <scheme val="minor"/>
      </rPr>
      <t xml:space="preserve"> P00114 (Docushare)</t>
    </r>
  </si>
  <si>
    <t>Etude de stabilité HT lot clinique - T6M 25%</t>
  </si>
  <si>
    <t>Etude de stabilité HT lot clinique - T6M 30%</t>
  </si>
  <si>
    <t>Etude de stabilité HT lot clinique - T6M 45%</t>
  </si>
  <si>
    <t>Etude de stabilité HT lot clinique - T9M 25%</t>
  </si>
  <si>
    <t>Etude de stabilité HT lot clinique - T9M 30%</t>
  </si>
  <si>
    <t>Etude de stabilité HT lot clinique - T9M 45%</t>
  </si>
  <si>
    <t>Etude de stabilité HT lot clinique - T12M 25%</t>
  </si>
  <si>
    <t>Etude de stabilité HT lot clinique - T12M 30%</t>
  </si>
  <si>
    <t>Etude de stabilité HT lot clinique - T12M 45%</t>
  </si>
  <si>
    <t>Etude de stabilité HT lot clinique - T18M 25%</t>
  </si>
  <si>
    <t>Etude de stabilité HT lot clinique - T18M 30%</t>
  </si>
  <si>
    <t>Etude de stabilité HT lot clinique - T18M 45%</t>
  </si>
  <si>
    <t>Etude de stabilité HT lot clinique - T24M 25%</t>
  </si>
  <si>
    <t>Etude de stabilité HT lot clinique - T24M 30%</t>
  </si>
  <si>
    <t>Etude de stabilité HT lot clinique - T24M 45%</t>
  </si>
  <si>
    <t>Etude de stabilité HT lot clinique - T36M 25%</t>
  </si>
  <si>
    <t>Etude de stabilité HT lot clinique - T36M 30%</t>
  </si>
  <si>
    <t>Etude de stabilité HT lot clinique - T36M 45%</t>
  </si>
  <si>
    <t>Etude de stabilité HT lot clinique - T48M 25%</t>
  </si>
  <si>
    <t>Etude de stabilité HT lot clinique - T48M 30%</t>
  </si>
  <si>
    <t>Etude de stabilité HT lot clinique - T48M 45%</t>
  </si>
  <si>
    <t>Etude de stabilité HT lot clinique - Restet T6M lot placebo 80576</t>
  </si>
  <si>
    <t>Eutude de stabilité ICH (2 lots) - T0 25%</t>
  </si>
  <si>
    <t>Eutude de stabilité ICH (2 lots) - T3M 25%</t>
  </si>
  <si>
    <t>Eutude de stabilité ICH (2 lots) - T6M 25%</t>
  </si>
  <si>
    <t>Eutude de stabilité ICH (2 lots) - T9M 25%</t>
  </si>
  <si>
    <t>Eutude de stabilité ICH (2 lots) - T12M 25%</t>
  </si>
  <si>
    <t>Eutude de stabilité ICH (2 lots) - T18M 25%</t>
  </si>
  <si>
    <t>Eutude de stabilité ICH (2 lots) - T24M 25%</t>
  </si>
  <si>
    <t>Eutude de stabilité ICH (2 lots) - T36M 25%</t>
  </si>
  <si>
    <t>Eutude de stabilité ICH (2 lots) - T48M 25%</t>
  </si>
  <si>
    <t>Eutude de stabilité ICH (2 lots) - T0 30%</t>
  </si>
  <si>
    <t>Eutude de stabilité ICH (2 lots) - T3M 30%</t>
  </si>
  <si>
    <t>Eutude de stabilité ICH (2 lots) - T6M 30%</t>
  </si>
  <si>
    <t>Eutude de stabilité ICH (2 lots) - T9M 30%</t>
  </si>
  <si>
    <t>Eutude de stabilité ICH (2 lots) - T12M 30%</t>
  </si>
  <si>
    <t>Eutude de stabilité ICH (2 lots) - T18M 30%</t>
  </si>
  <si>
    <t>Eutude de stabilité ICH (2 lots) - T24M 30%</t>
  </si>
  <si>
    <t>Eutude de stabilité ICH (2 lots) - T36M 30%</t>
  </si>
  <si>
    <t>Eutude de stabilité ICH (2 lots) - T48M 30%</t>
  </si>
  <si>
    <t>Eutude de stabilité ICH (2 lots) - T0 45%</t>
  </si>
  <si>
    <t>Eutude de stabilité ICH (2 lots) - T3M 45%</t>
  </si>
  <si>
    <t>Eutude de stabilité ICH (2 lots) - T6M 45%</t>
  </si>
  <si>
    <t>Eutude de stabilité ICH (2 lots) - T9M 45%</t>
  </si>
  <si>
    <t>Eutude de stabilité ICH (2 lots) - T12M 45%</t>
  </si>
  <si>
    <t>Eutude de stabilité ICH (2 lots) - T18M 45%</t>
  </si>
  <si>
    <t>Eutude de stabilité ICH (2 lots) - T24M  45%</t>
  </si>
  <si>
    <t>Eutude de stabilité ICH (2 lots) - T36M 45%</t>
  </si>
  <si>
    <t>Eutude de stabilité ICH (2 lots) - T48M 45%</t>
  </si>
  <si>
    <r>
      <t xml:space="preserve">L18_2738A </t>
    </r>
    <r>
      <rPr>
        <b/>
        <sz val="11"/>
        <rFont val="Calibri"/>
        <family val="2"/>
        <scheme val="minor"/>
      </rPr>
      <t>P00113 (Docushare)</t>
    </r>
  </si>
  <si>
    <t>Card Blister Clinical Study - 30000 Blister card</t>
  </si>
  <si>
    <t>Card Blister Clinical Study - Shipment</t>
  </si>
  <si>
    <r>
      <t xml:space="preserve">Devis 11533-1 - </t>
    </r>
    <r>
      <rPr>
        <b/>
        <sz val="11"/>
        <rFont val="Calibri"/>
        <family val="2"/>
        <scheme val="minor"/>
      </rPr>
      <t>P00115 (Docushare)</t>
    </r>
  </si>
  <si>
    <r>
      <t xml:space="preserve">Devis 11533-1 - </t>
    </r>
    <r>
      <rPr>
        <b/>
        <sz val="11"/>
        <rFont val="Calibri"/>
        <family val="2"/>
        <scheme val="minor"/>
      </rPr>
      <t>P00116 (Docushare)</t>
    </r>
  </si>
  <si>
    <t>CEVQ2018.11.01 - Pas de PO</t>
  </si>
  <si>
    <t>Achat de produits biologiques</t>
  </si>
  <si>
    <r>
      <t xml:space="preserve">Devis 00004099-V00 - </t>
    </r>
    <r>
      <rPr>
        <b/>
        <sz val="11"/>
        <rFont val="Calibri"/>
        <family val="2"/>
        <scheme val="minor"/>
      </rPr>
      <t>P00118 (Docushare)</t>
    </r>
  </si>
  <si>
    <r>
      <t xml:space="preserve">DV-ABI-1118-590 - </t>
    </r>
    <r>
      <rPr>
        <b/>
        <sz val="11"/>
        <rFont val="Calibri"/>
        <family val="2"/>
        <scheme val="minor"/>
      </rPr>
      <t>P00120 (Docushare)</t>
    </r>
  </si>
  <si>
    <t>Stockage bloc parafin etude 180141 - Mise en place de projet</t>
  </si>
  <si>
    <t>Stockage bloc parafin etude 180141 - création retraitement de fichier de données d'échantillons</t>
  </si>
  <si>
    <t>Stockage bloc parafin etude 180141 - Gestion d'un opération de conservation</t>
  </si>
  <si>
    <t>Stockage bloc parafin etude 180141 - Contrôle et traitement de colis a reception</t>
  </si>
  <si>
    <t>Stockage bloc parafin etude 180141 - Contrôle avancé d'un échantillon avec code barres</t>
  </si>
  <si>
    <t>POLYMUN</t>
  </si>
  <si>
    <r>
      <t xml:space="preserve">Devis PALL 20912743 - </t>
    </r>
    <r>
      <rPr>
        <b/>
        <sz val="11"/>
        <rFont val="Calibri"/>
        <family val="2"/>
        <scheme val="minor"/>
      </rPr>
      <t>P00121 (Docushare)</t>
    </r>
  </si>
  <si>
    <t>5% handing fees</t>
  </si>
  <si>
    <t>Mathylation miR124 mouse cell lines - 50% a siganture</t>
  </si>
  <si>
    <t>Mathylation miR124 mouse cell lines - 50% au rapport</t>
  </si>
  <si>
    <r>
      <t xml:space="preserve">Q-2018-1046 - </t>
    </r>
    <r>
      <rPr>
        <b/>
        <sz val="11"/>
        <rFont val="Calibri"/>
        <family val="2"/>
        <scheme val="minor"/>
      </rPr>
      <t>P00122 (Docushare)</t>
    </r>
  </si>
  <si>
    <r>
      <t xml:space="preserve">Devis 2018-202-3 + 202-4 - </t>
    </r>
    <r>
      <rPr>
        <b/>
        <sz val="11"/>
        <rFont val="Calibri"/>
        <family val="2"/>
        <scheme val="minor"/>
      </rPr>
      <t>P00117 (Docushare)</t>
    </r>
  </si>
  <si>
    <t>GMP Sdample analysis</t>
  </si>
  <si>
    <r>
      <t xml:space="preserve">18071323 Rev 01 - </t>
    </r>
    <r>
      <rPr>
        <b/>
        <sz val="11"/>
        <rFont val="Calibri"/>
        <family val="2"/>
        <scheme val="minor"/>
      </rPr>
      <t>P00071 (Docuchare)</t>
    </r>
  </si>
  <si>
    <t>INV 10000546 (05/10/2018) + INV 1000810 (20/11/2018)</t>
  </si>
  <si>
    <r>
      <t>Amrk180222 MSA_18040</t>
    </r>
    <r>
      <rPr>
        <b/>
        <sz val="11"/>
        <rFont val="Calibri"/>
        <family val="2"/>
        <scheme val="minor"/>
      </rPr>
      <t xml:space="preserve"> - P00060</t>
    </r>
  </si>
  <si>
    <r>
      <t xml:space="preserve">Amrk180222 MSA_18040 </t>
    </r>
    <r>
      <rPr>
        <b/>
        <sz val="11"/>
        <rFont val="Calibri"/>
        <family val="2"/>
        <scheme val="minor"/>
      </rPr>
      <t>- P00060</t>
    </r>
  </si>
  <si>
    <r>
      <t xml:space="preserve">Amrk180222 MSA_18040 </t>
    </r>
    <r>
      <rPr>
        <b/>
        <sz val="11"/>
        <rFont val="Calibri"/>
        <family val="2"/>
        <scheme val="minor"/>
      </rPr>
      <t>- P00044 (Docushare)</t>
    </r>
  </si>
  <si>
    <r>
      <t>Amrk180222 MSA_18040 -</t>
    </r>
    <r>
      <rPr>
        <b/>
        <sz val="11"/>
        <rFont val="Calibri"/>
        <family val="2"/>
        <scheme val="minor"/>
      </rPr>
      <t xml:space="preserve"> P00044 (Docushare)</t>
    </r>
  </si>
  <si>
    <t>15 886 € sur 2015 + 35 435 € sur 2016 + 13 505 € sur 2017 + 14 153,16 € sur 2018 + INV 108357 (26/11/2018)</t>
  </si>
  <si>
    <t>Clôturé ?</t>
  </si>
  <si>
    <t>INV 107955 (20/10/2017) + INV 108113 (25/04/2018) + INV 108355 (26/11/2018)</t>
  </si>
  <si>
    <t>MILTENYI</t>
  </si>
  <si>
    <t>464-INFLA</t>
  </si>
  <si>
    <t>Achat de produits biologiques (anticorps)</t>
  </si>
  <si>
    <r>
      <t xml:space="preserve">Devis 70182029 - </t>
    </r>
    <r>
      <rPr>
        <b/>
        <sz val="11"/>
        <rFont val="Calibri"/>
        <family val="2"/>
        <scheme val="minor"/>
      </rPr>
      <t>P00123 (Docushare)</t>
    </r>
  </si>
  <si>
    <t>Production non full GMP ABX464 - 1/3 a signature MOINS 105 000 € déjà payé via WO2017#4</t>
  </si>
  <si>
    <t>Production non full GMP ABX464 - 2/3 a la remise du CoA MOINS 105 000 € déjà payé via WO2017#4</t>
  </si>
  <si>
    <r>
      <t xml:space="preserve">W12 (WO2018#2) - </t>
    </r>
    <r>
      <rPr>
        <b/>
        <sz val="11"/>
        <rFont val="Calibri"/>
        <family val="2"/>
        <scheme val="minor"/>
      </rPr>
      <t>P00127 (Docushare)</t>
    </r>
  </si>
  <si>
    <r>
      <t xml:space="preserve">W13 (WO2018#3) - </t>
    </r>
    <r>
      <rPr>
        <b/>
        <sz val="11"/>
        <rFont val="Calibri"/>
        <family val="2"/>
        <scheme val="minor"/>
      </rPr>
      <t>P00128 (Docushare)</t>
    </r>
  </si>
  <si>
    <t xml:space="preserve">IMPD update support </t>
  </si>
  <si>
    <r>
      <t xml:space="preserve">MSA_17667_W11 - </t>
    </r>
    <r>
      <rPr>
        <b/>
        <sz val="11"/>
        <rFont val="Calibri"/>
        <family val="2"/>
        <scheme val="minor"/>
      </rPr>
      <t>P00129 Docushare</t>
    </r>
  </si>
  <si>
    <t>FACT 00008466 du 16/11/2018</t>
  </si>
  <si>
    <t>FACT 68893 su 29/11/2018</t>
  </si>
  <si>
    <t>FACT 00008507 du 28/11/2018</t>
  </si>
  <si>
    <t>MD BIOSCIENCES</t>
  </si>
  <si>
    <r>
      <t>MD-3-1-788-2343 -</t>
    </r>
    <r>
      <rPr>
        <b/>
        <sz val="11"/>
        <rFont val="Calibri"/>
        <family val="2"/>
        <scheme val="minor"/>
      </rPr>
      <t xml:space="preserve"> P00133 (Docushare)</t>
    </r>
  </si>
  <si>
    <t>EAE preclinical model - 60%</t>
  </si>
  <si>
    <t>INV-0049 (04/12/2018)</t>
  </si>
  <si>
    <t>P13823_MCV A1</t>
  </si>
  <si>
    <t>Add cost add organ</t>
  </si>
  <si>
    <r>
      <t>PH18086 -</t>
    </r>
    <r>
      <rPr>
        <b/>
        <sz val="11"/>
        <rFont val="Calibri"/>
        <family val="2"/>
        <scheme val="minor"/>
      </rPr>
      <t xml:space="preserve"> P00138 (Docushare)</t>
    </r>
  </si>
  <si>
    <t>Dev of the population PK model - a siganture</t>
  </si>
  <si>
    <t>Dev of the population PK model - au DAP</t>
  </si>
  <si>
    <t>Dev of the population PK model - Au model final</t>
  </si>
  <si>
    <t>Dev of the population PK model - Au Pkpop rapport</t>
  </si>
  <si>
    <r>
      <t xml:space="preserve">DV-ABI-1118-593 - </t>
    </r>
    <r>
      <rPr>
        <b/>
        <sz val="11"/>
        <rFont val="Calibri"/>
        <family val="2"/>
        <scheme val="minor"/>
      </rPr>
      <t>P00139 (Docushare)</t>
    </r>
  </si>
  <si>
    <t>Stockage biopsies</t>
  </si>
  <si>
    <r>
      <t xml:space="preserve">Q-2018-1048 - </t>
    </r>
    <r>
      <rPr>
        <b/>
        <sz val="11"/>
        <rFont val="Calibri"/>
        <family val="2"/>
        <scheme val="minor"/>
      </rPr>
      <t>P00119 (Docushare)</t>
    </r>
  </si>
  <si>
    <t>mIR 124 expression cohort 2 ABX464-005 - 50% a signature</t>
  </si>
  <si>
    <t>mIR 124 expression cohort 2 ABX464-005 - 50% au rapport</t>
  </si>
  <si>
    <t>CR-0048 (04/12/2018) + INV-0053 (06/12/2018)</t>
  </si>
  <si>
    <t>AVOIR car son collègue n'a pas pu venir a l'Audit donc -2400 €</t>
  </si>
  <si>
    <t>INV-0055 (07/12/2018)</t>
  </si>
  <si>
    <t>INV-0054 (07/12/2018</t>
  </si>
  <si>
    <r>
      <t xml:space="preserve">Devis 70183620 - </t>
    </r>
    <r>
      <rPr>
        <b/>
        <sz val="11"/>
        <rFont val="Calibri"/>
        <family val="2"/>
        <scheme val="minor"/>
      </rPr>
      <t>P00142 (Docushare)</t>
    </r>
  </si>
  <si>
    <r>
      <t xml:space="preserve">1807132 rev. 001 - </t>
    </r>
    <r>
      <rPr>
        <b/>
        <sz val="11"/>
        <rFont val="Calibri"/>
        <family val="2"/>
        <scheme val="minor"/>
      </rPr>
      <t>P00103 V2 (Docushare)</t>
    </r>
  </si>
  <si>
    <t>GMP sample analysis - Testing n°2 : 11 echantillons ADD COST</t>
  </si>
  <si>
    <r>
      <t xml:space="preserve">1807132 rev. 001 - </t>
    </r>
    <r>
      <rPr>
        <b/>
        <sz val="11"/>
        <rFont val="Calibri"/>
        <family val="2"/>
        <scheme val="minor"/>
      </rPr>
      <t>P00103 (Docushare)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+ P00103 V2</t>
    </r>
  </si>
  <si>
    <r>
      <t>GMP sample analysis - Testing n°1 7 echantillons</t>
    </r>
    <r>
      <rPr>
        <sz val="11"/>
        <color rgb="FFFF0000"/>
        <rFont val="Calibri"/>
        <family val="2"/>
        <scheme val="minor"/>
      </rPr>
      <t xml:space="preserve"> + V2</t>
    </r>
  </si>
  <si>
    <r>
      <t>GMP sample analysis - Testing n°2 : 11 echantillons</t>
    </r>
    <r>
      <rPr>
        <sz val="11"/>
        <color rgb="FFFF0000"/>
        <rFont val="Calibri"/>
        <family val="2"/>
        <scheme val="minor"/>
      </rPr>
      <t xml:space="preserve"> + V2</t>
    </r>
  </si>
  <si>
    <r>
      <t>L16_2086</t>
    </r>
    <r>
      <rPr>
        <b/>
        <sz val="11"/>
        <rFont val="Calibri"/>
        <family val="2"/>
        <scheme val="minor"/>
      </rPr>
      <t>F</t>
    </r>
  </si>
  <si>
    <t>Destruction de cellulose</t>
  </si>
  <si>
    <r>
      <t xml:space="preserve">L18_2744A </t>
    </r>
    <r>
      <rPr>
        <b/>
        <sz val="11"/>
        <rFont val="Calibri"/>
        <family val="2"/>
        <scheme val="minor"/>
      </rPr>
      <t>P00146 (Docushare)</t>
    </r>
  </si>
  <si>
    <t>ASTIS-1RE</t>
  </si>
  <si>
    <t>RE-ANALYSE</t>
  </si>
  <si>
    <r>
      <t>MD-3-1-788-2354 -</t>
    </r>
    <r>
      <rPr>
        <b/>
        <sz val="11"/>
        <rFont val="Calibri"/>
        <family val="2"/>
        <scheme val="minor"/>
      </rPr>
      <t xml:space="preserve"> P00136 (Docushare)</t>
    </r>
  </si>
  <si>
    <t>Mouse IMQ in vivo - 60%</t>
  </si>
  <si>
    <t>Mouse IMQ in vivo - 40%</t>
  </si>
  <si>
    <r>
      <t>MD-3-1-788-2353 -</t>
    </r>
    <r>
      <rPr>
        <b/>
        <sz val="11"/>
        <rFont val="Calibri"/>
        <family val="2"/>
        <scheme val="minor"/>
      </rPr>
      <t xml:space="preserve"> P00135 (Docushare)</t>
    </r>
  </si>
  <si>
    <r>
      <t>MD-3-1-788-2352 -</t>
    </r>
    <r>
      <rPr>
        <b/>
        <sz val="11"/>
        <rFont val="Calibri"/>
        <family val="2"/>
        <scheme val="minor"/>
      </rPr>
      <t xml:space="preserve"> P00134 (Docushare)</t>
    </r>
  </si>
  <si>
    <r>
      <t xml:space="preserve">MSA_17667_W12 - </t>
    </r>
    <r>
      <rPr>
        <b/>
        <sz val="11"/>
        <rFont val="Calibri"/>
        <family val="2"/>
        <scheme val="minor"/>
      </rPr>
      <t>P00145 Docushare</t>
    </r>
  </si>
  <si>
    <t>Service</t>
  </si>
  <si>
    <t>VI. PTC</t>
  </si>
  <si>
    <t>KAYENTIS</t>
  </si>
  <si>
    <t>Start-up Fees - 30% kick-off meeting</t>
  </si>
  <si>
    <t>Start-up Fees - 30% upon validation of the Project Plan</t>
  </si>
  <si>
    <t>Start-up Fees - 40% Upon UAT approval</t>
  </si>
  <si>
    <t>IQVIA</t>
  </si>
  <si>
    <t>SRV_18230 LOA</t>
  </si>
  <si>
    <t>Upon execution</t>
  </si>
  <si>
    <t>Monthly fee - Janvier 2019</t>
  </si>
  <si>
    <t>Monthly fee - Fevrier 2019</t>
  </si>
  <si>
    <t>Monthly fee - Mars 2019</t>
  </si>
  <si>
    <t>Monthly fee - Avril 2019</t>
  </si>
  <si>
    <t>PTC - Decembre 2018 - Avril 2019</t>
  </si>
  <si>
    <t>tox-meta-3W</t>
  </si>
  <si>
    <t>tox-meta-4M</t>
  </si>
  <si>
    <t>INV 1000918 (29/11/2018) Fabrication + INV 10001122 (20/12/2018)</t>
  </si>
  <si>
    <t>INV 10000546 (05/10/2018) + INV 1000810 (20/11/2018) + INV 10001122 (20/12/2018)</t>
  </si>
  <si>
    <t>INV 10001122 (20/12/2018)</t>
  </si>
  <si>
    <t>INV 10001163 (21/12/2018)</t>
  </si>
  <si>
    <r>
      <t>CD1A_WACR_001 -</t>
    </r>
    <r>
      <rPr>
        <b/>
        <sz val="11"/>
        <rFont val="Calibri"/>
        <family val="2"/>
        <scheme val="minor"/>
      </rPr>
      <t xml:space="preserve"> P00077 (Docushare)</t>
    </r>
  </si>
  <si>
    <t>INV F18-261 du 17/12/2018</t>
  </si>
  <si>
    <t>INV 1031808974 + INV 1031809115</t>
  </si>
  <si>
    <t>FA180198 du 28/12/2018</t>
  </si>
  <si>
    <t>McMaster University</t>
  </si>
  <si>
    <t>LIC_18243</t>
  </si>
  <si>
    <t>License Fees</t>
  </si>
  <si>
    <t>FACT 69041 du 31/12/2018</t>
  </si>
  <si>
    <t>INV 1091809551</t>
  </si>
  <si>
    <t>INV F18-263 du 20/12/2018</t>
  </si>
  <si>
    <t>17-week toxicity study by in Cynomolgus monkeys + 2 week recovery - Achat des singes</t>
  </si>
  <si>
    <t>Stockage bloc parafin etude 180141 - Conservation de bloc pour 12 mois pour 113 blocs soit 1356 unités PU 0,45€
1 mois = 50,85 €</t>
  </si>
  <si>
    <t>IV-1218656-ABI du 31/12/2018</t>
  </si>
  <si>
    <t>IV-1218657-ABI du 31/12/2018</t>
  </si>
  <si>
    <t>INV 0472 du 02/01/2019</t>
  </si>
  <si>
    <t>DILISYM</t>
  </si>
  <si>
    <r>
      <t xml:space="preserve">Amrk181021 - </t>
    </r>
    <r>
      <rPr>
        <b/>
        <sz val="11"/>
        <rFont val="Calibri"/>
        <family val="2"/>
        <scheme val="minor"/>
      </rPr>
      <t>P00148_2018</t>
    </r>
  </si>
  <si>
    <t>Task Order 1 - Experimental cost - 50% a siagnature</t>
  </si>
  <si>
    <t>Task Order 1 - Cost for IC50, BSEP, NTCP, MRP3 ans MRP4 - 50% a signature</t>
  </si>
  <si>
    <t>Task Order 1 - Simulation costs - 30% upon signature</t>
  </si>
  <si>
    <t>Task Order 1 - Simulation costs - 30% upon presentation Milestone 1</t>
  </si>
  <si>
    <t>Task Order 1 - Simulation costs - 30% upon presentation Milestone 2</t>
  </si>
  <si>
    <t>Task Order 1 - Simulation costs - 10% upon presentation Milestone 3</t>
  </si>
  <si>
    <t>Task Order 1 - Cost for IC50, BSEP, NTCP, MRP3 ans MRP4 - 50% upon presentation Milestone 1</t>
  </si>
  <si>
    <t>Task Order 1 - Experimental cost - 50% Upon prestation Milestone 1</t>
  </si>
  <si>
    <t>WP1 - Polymorphism screening</t>
  </si>
  <si>
    <r>
      <t xml:space="preserve">EVT08203 - </t>
    </r>
    <r>
      <rPr>
        <b/>
        <sz val="11"/>
        <rFont val="Calibri"/>
        <family val="2"/>
        <scheme val="minor"/>
      </rPr>
      <t>P00150_2018</t>
    </r>
  </si>
  <si>
    <t>WP2 - Co Crystals Screening</t>
  </si>
  <si>
    <t>WP3 - Salt Screening</t>
  </si>
  <si>
    <t>Achat Anticorps RNP VIR</t>
  </si>
  <si>
    <r>
      <t xml:space="preserve">Quote 1807132 Rev 01 - </t>
    </r>
    <r>
      <rPr>
        <b/>
        <sz val="11"/>
        <rFont val="Calibri"/>
        <family val="2"/>
        <scheme val="minor"/>
      </rPr>
      <t>P00157</t>
    </r>
  </si>
  <si>
    <t>Stability GMP Sample analysis - Testing T1 GMP Batch</t>
  </si>
  <si>
    <t>Investigation complémentaire dissolution</t>
  </si>
  <si>
    <t>Preparation of cell pellet &amp; shippement - 100% a signature</t>
  </si>
  <si>
    <r>
      <t xml:space="preserve">US034-0004895 - </t>
    </r>
    <r>
      <rPr>
        <b/>
        <sz val="11"/>
        <rFont val="Calibri"/>
        <family val="2"/>
        <scheme val="minor"/>
      </rPr>
      <t>P00160</t>
    </r>
  </si>
  <si>
    <t>OXYME</t>
  </si>
  <si>
    <r>
      <t>WDW55373 -</t>
    </r>
    <r>
      <rPr>
        <b/>
        <sz val="11"/>
        <rFont val="Calibri"/>
        <family val="2"/>
        <scheme val="minor"/>
      </rPr>
      <t xml:space="preserve"> P00161</t>
    </r>
  </si>
  <si>
    <t>Paxgene tube pour ABX464-102</t>
  </si>
  <si>
    <r>
      <t xml:space="preserve">Quote 70185548 - </t>
    </r>
    <r>
      <rPr>
        <b/>
        <sz val="11"/>
        <rFont val="Calibri"/>
        <family val="2"/>
        <scheme val="minor"/>
      </rPr>
      <t>P00162</t>
    </r>
  </si>
  <si>
    <t>Achat Anticorps FACS inflammation</t>
  </si>
  <si>
    <t>Bioprint panel ABX464-N-GLU</t>
  </si>
  <si>
    <t>DUTSCHER</t>
  </si>
  <si>
    <r>
      <t xml:space="preserve">Q-2019-1102 - </t>
    </r>
    <r>
      <rPr>
        <b/>
        <sz val="11"/>
        <rFont val="Calibri"/>
        <family val="2"/>
        <scheme val="minor"/>
      </rPr>
      <t>P00169</t>
    </r>
  </si>
  <si>
    <t>Detection miR124 blood samples - 50% a la commande</t>
  </si>
  <si>
    <t>Detection miR124 blood samples - 50% a la livraison</t>
  </si>
  <si>
    <r>
      <t xml:space="preserve">Q-2019-1103 - </t>
    </r>
    <r>
      <rPr>
        <b/>
        <sz val="11"/>
        <rFont val="Calibri"/>
        <family val="2"/>
        <scheme val="minor"/>
      </rPr>
      <t>P00170</t>
    </r>
  </si>
  <si>
    <t>100 000 € sur 2016 le reste recu en 2018 + INV 108359 (26/11/2018) + INV 108409 (31/12/2018)</t>
  </si>
  <si>
    <t>NOVAXIA</t>
  </si>
  <si>
    <t>CAP/19/001 - PAS DE PO</t>
  </si>
  <si>
    <r>
      <t xml:space="preserve">P17159-MPE-V3 - </t>
    </r>
    <r>
      <rPr>
        <b/>
        <sz val="11"/>
        <rFont val="Calibri"/>
        <family val="2"/>
        <scheme val="minor"/>
      </rPr>
      <t>P00184</t>
    </r>
  </si>
  <si>
    <t>MAJ Decembre 2018</t>
  </si>
  <si>
    <t>FACT BTW17802 du 31/07/2018</t>
  </si>
  <si>
    <r>
      <t xml:space="preserve">Q 11178-2 - </t>
    </r>
    <r>
      <rPr>
        <b/>
        <sz val="11"/>
        <rFont val="Calibri"/>
        <family val="2"/>
        <scheme val="minor"/>
      </rPr>
      <t>P00072</t>
    </r>
  </si>
  <si>
    <r>
      <t>Q 11178-</t>
    </r>
    <r>
      <rPr>
        <b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P00072</t>
    </r>
  </si>
  <si>
    <r>
      <t xml:space="preserve">Q 11147 - </t>
    </r>
    <r>
      <rPr>
        <b/>
        <sz val="11"/>
        <rFont val="Calibri"/>
        <family val="2"/>
        <scheme val="minor"/>
      </rPr>
      <t>P00035</t>
    </r>
  </si>
  <si>
    <t>BRB07001 du 28/02/2018</t>
  </si>
  <si>
    <r>
      <t>ATL-19/3836 -</t>
    </r>
    <r>
      <rPr>
        <b/>
        <sz val="11"/>
        <rFont val="Calibri"/>
        <family val="2"/>
        <scheme val="minor"/>
      </rPr>
      <t xml:space="preserve"> P00165</t>
    </r>
  </si>
  <si>
    <t>Devis 11533 : Devis Enlèvement lot 25 et 50 mg</t>
  </si>
  <si>
    <r>
      <t xml:space="preserve">Devis compélmentaire au DEV 5791 - </t>
    </r>
    <r>
      <rPr>
        <b/>
        <sz val="11"/>
        <rFont val="Calibri"/>
        <family val="2"/>
        <scheme val="minor"/>
      </rPr>
      <t>P00102 (Docushare)</t>
    </r>
  </si>
  <si>
    <t>Elèvement / Gestion &amp; Stockage - Retour / Destruction ABX464-101</t>
  </si>
  <si>
    <t>FNP 2018</t>
  </si>
  <si>
    <t>INV FA007489 du 23/01/2019</t>
  </si>
  <si>
    <t>PAS FNP</t>
  </si>
  <si>
    <t>FA190007 du 22/01/2019</t>
  </si>
  <si>
    <t>PAS FNP ? Trop petite ?</t>
  </si>
  <si>
    <t>Feasibility</t>
  </si>
  <si>
    <t>Regulatory and Ethics Submissions</t>
  </si>
  <si>
    <t>Investigator Meeting</t>
  </si>
  <si>
    <t>Study Set-Up</t>
  </si>
  <si>
    <t>Study Conduct</t>
  </si>
  <si>
    <t>Study Closure</t>
  </si>
  <si>
    <t>Medical Monitoring</t>
  </si>
  <si>
    <t>DSMB Meeting Costs</t>
  </si>
  <si>
    <t>Data Management</t>
  </si>
  <si>
    <t>Statistics</t>
  </si>
  <si>
    <t>Medical Writing</t>
  </si>
  <si>
    <t>- LOA</t>
  </si>
  <si>
    <t>All PSVs completed 15%</t>
  </si>
  <si>
    <t>PK analysis in mouse plasma - 50% siganture</t>
  </si>
  <si>
    <t>PK analysis in mouse plasma - 50% rapport</t>
  </si>
  <si>
    <r>
      <t xml:space="preserve">ATL-19/3837 - </t>
    </r>
    <r>
      <rPr>
        <b/>
        <sz val="11"/>
        <rFont val="Calibri"/>
        <family val="2"/>
        <scheme val="minor"/>
      </rPr>
      <t>P00188</t>
    </r>
  </si>
  <si>
    <t xml:space="preserve">NELSON LAB </t>
  </si>
  <si>
    <r>
      <t xml:space="preserve">1811045 Rev.02 - </t>
    </r>
    <r>
      <rPr>
        <b/>
        <sz val="11"/>
        <rFont val="Calibri"/>
        <family val="2"/>
        <scheme val="minor"/>
      </rPr>
      <t>P00174_2019</t>
    </r>
  </si>
  <si>
    <t>Evaluation of co solvent and Ds stress testing - PHASE I</t>
  </si>
  <si>
    <t>Evaluation of co solvent and Ds stress testing - PHASE II (Iia, Iib or Iic)</t>
  </si>
  <si>
    <t>Evaluation of co solvent and Ds stress testing - PHASE II (Iid)</t>
  </si>
  <si>
    <r>
      <t xml:space="preserve">LOI - Start-up Fees - </t>
    </r>
    <r>
      <rPr>
        <b/>
        <sz val="11"/>
        <rFont val="Calibri"/>
        <family val="2"/>
        <scheme val="minor"/>
      </rPr>
      <t>P00181_2019</t>
    </r>
  </si>
  <si>
    <r>
      <t xml:space="preserve">Devis 2019-2-2 - </t>
    </r>
    <r>
      <rPr>
        <b/>
        <sz val="11"/>
        <rFont val="Calibri"/>
        <family val="2"/>
        <scheme val="minor"/>
      </rPr>
      <t>P00186_2019</t>
    </r>
  </si>
  <si>
    <t>INV 69059 du 21/01/2019</t>
  </si>
  <si>
    <r>
      <t xml:space="preserve">180341_V1 </t>
    </r>
    <r>
      <rPr>
        <b/>
        <sz val="11"/>
        <rFont val="Calibri"/>
        <family val="2"/>
        <scheme val="minor"/>
      </rPr>
      <t>P00159_2019</t>
    </r>
  </si>
  <si>
    <t xml:space="preserve"> Express analytical methode dev</t>
  </si>
  <si>
    <r>
      <t>Transport substrate Study ABX464 and N-GLU -</t>
    </r>
    <r>
      <rPr>
        <b/>
        <sz val="11"/>
        <rFont val="Calibri"/>
        <family val="2"/>
        <scheme val="minor"/>
      </rPr>
      <t xml:space="preserve"> P-gp</t>
    </r>
  </si>
  <si>
    <r>
      <t xml:space="preserve">Transport substrate Study ABX464 and N-GLU - </t>
    </r>
    <r>
      <rPr>
        <b/>
        <sz val="11"/>
        <rFont val="Calibri"/>
        <family val="2"/>
        <scheme val="minor"/>
      </rPr>
      <t>P00190_2019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</si>
  <si>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OATP1B1 OATP1B3 OCT1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</si>
  <si>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BCRP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</si>
  <si>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MRP2, MRP3, MRP4</t>
    </r>
    <r>
      <rPr>
        <sz val="11"/>
        <rFont val="Calibri"/>
        <family val="2"/>
        <scheme val="minor"/>
      </rPr>
      <t xml:space="preserve"> Compound 1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</si>
  <si>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MRP2, MRP3, MRP4</t>
    </r>
    <r>
      <rPr>
        <sz val="11"/>
        <rFont val="Calibri"/>
        <family val="2"/>
        <scheme val="minor"/>
      </rPr>
      <t xml:space="preserve"> Compound 2</t>
    </r>
  </si>
  <si>
    <t>Premuim Writter Reports - Compound 1</t>
  </si>
  <si>
    <t>Premuim Writter Reports - Compound 2</t>
  </si>
  <si>
    <t>INV I-2019-942 du 22/01/2019</t>
  </si>
  <si>
    <t>INV I-2019-943 du 22/01/2019</t>
  </si>
  <si>
    <t>INV I-2019-944 du 22/01/2019</t>
  </si>
  <si>
    <t>INV I-2019-945 du 22/01/2019</t>
  </si>
  <si>
    <t>LIC_18243_A1</t>
  </si>
  <si>
    <t>augmentation du nombre de site de 120 à 140 + 11000$</t>
  </si>
  <si>
    <t>augmentation du système informatique + 3000$</t>
  </si>
  <si>
    <t>INV 403110 du 29/01/2019</t>
  </si>
  <si>
    <t>Relative mir124 expression analysis clinical study ABX464-101 - 50%</t>
  </si>
  <si>
    <t>Relative mir124 expression analysis clinical study ABX464-005 - 50%</t>
  </si>
  <si>
    <t>INV 108448 du 31/01/2019</t>
  </si>
  <si>
    <t>Upon signature : 50% professional fees</t>
  </si>
  <si>
    <t>INV FA0074798 du 30/01/2019</t>
  </si>
  <si>
    <t>INV I-2019-947 du 04/02/2019</t>
  </si>
  <si>
    <t>INV I-2019-946 du 04/02/2019</t>
  </si>
  <si>
    <t>Form II characterization</t>
  </si>
  <si>
    <r>
      <t xml:space="preserve">DVSBVX02/18 - </t>
    </r>
    <r>
      <rPr>
        <b/>
        <sz val="11"/>
        <rFont val="Calibri"/>
        <family val="2"/>
        <scheme val="minor"/>
      </rPr>
      <t>P00198_2019</t>
    </r>
  </si>
  <si>
    <r>
      <t xml:space="preserve">EVT08390 - </t>
    </r>
    <r>
      <rPr>
        <b/>
        <sz val="11"/>
        <rFont val="Calibri"/>
        <family val="2"/>
        <scheme val="minor"/>
      </rPr>
      <t>P00199_2019</t>
    </r>
  </si>
  <si>
    <t>WP1 - Early Polymorphism Screening and Preliminary Solid State</t>
  </si>
  <si>
    <t>Analyse RMN et HPLC - 8 échantillons</t>
  </si>
  <si>
    <r>
      <t xml:space="preserve">AMBRE-1 - </t>
    </r>
    <r>
      <rPr>
        <b/>
        <sz val="11"/>
        <rFont val="Calibri"/>
        <family val="2"/>
        <scheme val="minor"/>
      </rPr>
      <t>P00200_2019</t>
    </r>
  </si>
  <si>
    <t>Devis complémentaire n°1 au 2018-202-4</t>
  </si>
  <si>
    <r>
      <t xml:space="preserve">Devis complémentaire n°2 au 2018-202-4 - </t>
    </r>
    <r>
      <rPr>
        <b/>
        <sz val="11"/>
        <rFont val="Calibri"/>
        <family val="2"/>
        <scheme val="minor"/>
      </rPr>
      <t>P00204_2019</t>
    </r>
  </si>
  <si>
    <t>????? Facture toujours pas recue le 05/02/2019</t>
  </si>
  <si>
    <t>INV 1282 du 06/02/2019</t>
  </si>
  <si>
    <t>Bioanalyse formulation ABX464 marmoset study - 40% a siganture</t>
  </si>
  <si>
    <t>Bioanalyse formulation ABX464 marmoset study - 50% when completing analysis</t>
  </si>
  <si>
    <t>Bioanalyse formulation ABX464 marmoset study - 10% upon provision of draft report</t>
  </si>
  <si>
    <r>
      <t xml:space="preserve">ATL-19/3885 - </t>
    </r>
    <r>
      <rPr>
        <b/>
        <sz val="11"/>
        <rFont val="Calibri"/>
        <family val="2"/>
        <scheme val="minor"/>
      </rPr>
      <t>P00210</t>
    </r>
  </si>
  <si>
    <t>Bioanalysis 4 months marmosets - 40% a siganture</t>
  </si>
  <si>
    <t>Bioanalysis 4 months marmosets  - 50% when completing analysis</t>
  </si>
  <si>
    <t>Bioanalysis 4 months marmosets - 10% upon provision of draft report</t>
  </si>
  <si>
    <r>
      <t>ATL-19/3886 -</t>
    </r>
    <r>
      <rPr>
        <b/>
        <sz val="11"/>
        <rFont val="Calibri"/>
        <family val="2"/>
        <scheme val="minor"/>
      </rPr>
      <t xml:space="preserve"> P00211</t>
    </r>
  </si>
  <si>
    <t>INV FA007523 du 08/02/2019</t>
  </si>
  <si>
    <r>
      <t xml:space="preserve">W14 (WO2019#1) - </t>
    </r>
    <r>
      <rPr>
        <b/>
        <sz val="11"/>
        <rFont val="Calibri"/>
        <family val="2"/>
        <scheme val="minor"/>
      </rPr>
      <t>P00213_2019</t>
    </r>
  </si>
  <si>
    <t>Occular examination 3 week marmosets</t>
  </si>
  <si>
    <r>
      <t xml:space="preserve">CEVQ2019.01.02 - </t>
    </r>
    <r>
      <rPr>
        <b/>
        <sz val="11"/>
        <rFont val="Calibri"/>
        <family val="2"/>
        <scheme val="minor"/>
      </rPr>
      <t>P00209_2019</t>
    </r>
  </si>
  <si>
    <r>
      <t xml:space="preserve">CEVQ2019.02.03 - </t>
    </r>
    <r>
      <rPr>
        <b/>
        <sz val="11"/>
        <rFont val="Calibri"/>
        <family val="2"/>
        <scheme val="minor"/>
      </rPr>
      <t>P00212_2019</t>
    </r>
  </si>
  <si>
    <t>Occular examination 4 months marmosets</t>
  </si>
  <si>
    <t>SCINOPSIS</t>
  </si>
  <si>
    <r>
      <t xml:space="preserve">CE 2019/014 - </t>
    </r>
    <r>
      <rPr>
        <b/>
        <sz val="11"/>
        <rFont val="Calibri"/>
        <family val="2"/>
        <scheme val="minor"/>
      </rPr>
      <t>P00208_2019</t>
    </r>
  </si>
  <si>
    <r>
      <t>US034-0004985-Q02 -</t>
    </r>
    <r>
      <rPr>
        <b/>
        <sz val="11"/>
        <rFont val="Calibri"/>
        <family val="2"/>
        <scheme val="minor"/>
      </rPr>
      <t xml:space="preserve"> P00206_2019</t>
    </r>
  </si>
  <si>
    <t>Transporter Study ABX464-N-GLU</t>
  </si>
  <si>
    <r>
      <t>DEVIS 00004168-V00 -</t>
    </r>
    <r>
      <rPr>
        <b/>
        <sz val="11"/>
        <rFont val="Calibri"/>
        <family val="2"/>
        <scheme val="minor"/>
      </rPr>
      <t xml:space="preserve"> P00152_2018</t>
    </r>
  </si>
  <si>
    <t>FA190020 du 08/02/2019</t>
  </si>
  <si>
    <t>EAE preclinical model Amendment 1 -100%</t>
  </si>
  <si>
    <r>
      <t>MD-3-1-788-2443 A01 -</t>
    </r>
    <r>
      <rPr>
        <b/>
        <sz val="11"/>
        <rFont val="Calibri"/>
        <family val="2"/>
        <scheme val="minor"/>
      </rPr>
      <t xml:space="preserve"> P00222_2019</t>
    </r>
  </si>
  <si>
    <t>Mouse IMQ in vivo Amendement 1 - 100%</t>
  </si>
  <si>
    <r>
      <t>MD-3-1-788-2454 A01 -</t>
    </r>
    <r>
      <rPr>
        <b/>
        <sz val="11"/>
        <rFont val="Calibri"/>
        <family val="2"/>
        <scheme val="minor"/>
      </rPr>
      <t xml:space="preserve"> P00223_2019</t>
    </r>
  </si>
  <si>
    <r>
      <t xml:space="preserve">PH18086 A1 - </t>
    </r>
    <r>
      <rPr>
        <b/>
        <sz val="11"/>
        <rFont val="Calibri"/>
        <family val="2"/>
        <scheme val="minor"/>
      </rPr>
      <t>P00218_2019</t>
    </r>
  </si>
  <si>
    <t>PK NCA for study ABX464-105 Cohort 2 - Signature</t>
  </si>
  <si>
    <t>PK NCA for study ABX464-105 Cohort 2 - Release of DAP</t>
  </si>
  <si>
    <t>PK NCA for study ABX464-105 Cohort 2 - Final Model</t>
  </si>
  <si>
    <t>PK NCA for study ABX464-105 Cohort 2 - Release of Pkpop report</t>
  </si>
  <si>
    <t>Lecture histopathologique etude 3 weeks marmossets</t>
  </si>
  <si>
    <t>Lecture histopathologique etude 4 months marmossets</t>
  </si>
  <si>
    <r>
      <t xml:space="preserve">DV-201901007-v001 - </t>
    </r>
    <r>
      <rPr>
        <b/>
        <sz val="11"/>
        <rFont val="Calibri"/>
        <family val="2"/>
        <scheme val="minor"/>
      </rPr>
      <t>P00227_2019</t>
    </r>
  </si>
  <si>
    <t>Etude de brevets - a signature</t>
  </si>
  <si>
    <t>Etude de brevets - a la fin</t>
  </si>
  <si>
    <t>FACT 00008718 du 13/02/2019</t>
  </si>
  <si>
    <t>CROWNBIO BIOSCIENCE</t>
  </si>
  <si>
    <r>
      <t xml:space="preserve">MSA_17667_W13 - </t>
    </r>
    <r>
      <rPr>
        <b/>
        <sz val="11"/>
        <rFont val="Calibri"/>
        <family val="2"/>
        <scheme val="minor"/>
      </rPr>
      <t>P00194_2019</t>
    </r>
  </si>
  <si>
    <r>
      <t xml:space="preserve">Dev. E3661-U1801 CBCN - </t>
    </r>
    <r>
      <rPr>
        <b/>
        <sz val="11"/>
        <rFont val="Calibri"/>
        <family val="2"/>
        <scheme val="minor"/>
      </rPr>
      <t>P00225_2019</t>
    </r>
  </si>
  <si>
    <t>In vitro study ABX464 onco screen - a siganture 50%</t>
  </si>
  <si>
    <t>In vitro study ABX464 onco screen - Final repport 10%</t>
  </si>
  <si>
    <r>
      <t xml:space="preserve">DV-ABI-0219-704 - </t>
    </r>
    <r>
      <rPr>
        <b/>
        <sz val="11"/>
        <rFont val="Calibri"/>
        <family val="2"/>
        <scheme val="minor"/>
      </rPr>
      <t>P00228_2019</t>
    </r>
  </si>
  <si>
    <t>Stockage echantillon ABX464-005</t>
  </si>
  <si>
    <t>17-week toxicity study by in Cynomolgus monkeys + 2 week recovery - Frais d'annulation</t>
  </si>
  <si>
    <t>01/01/2019 - 125 600 €</t>
  </si>
  <si>
    <t>01/03/2019 - 125 600 €</t>
  </si>
  <si>
    <t>01/05/2019 - 125 600 €</t>
  </si>
  <si>
    <t>30/05/2019 - 28 600 €</t>
  </si>
  <si>
    <r>
      <t xml:space="preserve">P16271_MCV-V3-2/2 - </t>
    </r>
    <r>
      <rPr>
        <b/>
        <sz val="11"/>
        <rFont val="Calibri"/>
        <family val="2"/>
        <scheme val="minor"/>
      </rPr>
      <t>P00089</t>
    </r>
    <r>
      <rPr>
        <sz val="11"/>
        <rFont val="Calibri"/>
        <family val="2"/>
        <scheme val="minor"/>
      </rPr>
      <t xml:space="preserve"> (Docushare) - </t>
    </r>
    <r>
      <rPr>
        <b/>
        <sz val="11"/>
        <rFont val="Calibri"/>
        <family val="2"/>
        <scheme val="minor"/>
      </rPr>
      <t>ANNULEE</t>
    </r>
  </si>
  <si>
    <r>
      <t xml:space="preserve">P16271_MCV-V3-2/2 - </t>
    </r>
    <r>
      <rPr>
        <b/>
        <sz val="11"/>
        <rFont val="Calibri"/>
        <family val="2"/>
        <scheme val="minor"/>
      </rPr>
      <t>P00089</t>
    </r>
    <r>
      <rPr>
        <sz val="11"/>
        <rFont val="Calibri"/>
        <family val="2"/>
        <scheme val="minor"/>
      </rPr>
      <t xml:space="preserve"> (Docushare) -</t>
    </r>
    <r>
      <rPr>
        <b/>
        <sz val="11"/>
        <rFont val="Calibri"/>
        <family val="2"/>
        <scheme val="minor"/>
      </rPr>
      <t xml:space="preserve"> ANNULEE</t>
    </r>
  </si>
  <si>
    <r>
      <t xml:space="preserve">SRV_19037 - </t>
    </r>
    <r>
      <rPr>
        <b/>
        <sz val="11"/>
        <rFont val="Calibri"/>
        <family val="2"/>
        <scheme val="minor"/>
      </rPr>
      <t>P00232_2019</t>
    </r>
  </si>
  <si>
    <t>INV 10001411 du 18/02/2019</t>
  </si>
  <si>
    <t>INV 1902064 du 15/02/2019 + INV 1902065 du 15/02/2019</t>
  </si>
  <si>
    <t>2018 - Q4 FACT du 31/10/2018 (PJ20181335) + FACT du 30/11/2018 (PJ20181535) + FACT du 20/12/2018 (PJ20181658)</t>
  </si>
  <si>
    <t>2018 - Q3 FACT PJ20180911 (31/07/2018) + FACT PJ20181042 (31/08/2018) + FACT PJ20181172 (30/09/2018)</t>
  </si>
  <si>
    <t>2018 - Q2 : FACT PJ20180402 du 20/04/2018 + FACT PJ20180601 du 31/05/2018 + FACT PJ20180756 du 29/06/2018</t>
  </si>
  <si>
    <t>SPECK - UNIVERSITE ZURICH</t>
  </si>
  <si>
    <t>SPECK- UNIVERSITE ZURICH</t>
  </si>
  <si>
    <r>
      <t>US034-0005037-Q01 -</t>
    </r>
    <r>
      <rPr>
        <b/>
        <sz val="11"/>
        <rFont val="Calibri"/>
        <family val="2"/>
        <scheme val="minor"/>
      </rPr>
      <t xml:space="preserve"> P00182_2019</t>
    </r>
  </si>
  <si>
    <t>INV FA1803-1478 du 12/03/2018</t>
  </si>
  <si>
    <t>prestations faite en 2017-montant provisionné en déc 2018 (taux 1 AUD : 0.63 USD)</t>
  </si>
  <si>
    <t>draft report reçu par DS le 25/02/2019</t>
  </si>
  <si>
    <t>fait en 2018-non facturé au 26/02/2019 -pas de provisions car montant bas</t>
  </si>
  <si>
    <t>prestations faite en 2018-montant provisionné en déc 2018 (taux 1 AUD : 0.63 USD)</t>
  </si>
  <si>
    <t>DS voit avec eux pk facture // ancien devis 26/02/2019</t>
  </si>
  <si>
    <t>INV I-2019-948 du 25/02/2019</t>
  </si>
  <si>
    <t>Production non full GMP ABX464 - a la remise du rapport R&amp;D</t>
  </si>
  <si>
    <t>EVT08074 - PAS DE PO</t>
  </si>
  <si>
    <t>ACTIVITY 1 - Initial Transfert registration et Storage</t>
  </si>
  <si>
    <t xml:space="preserve">ACTIVITY 2 - Web services </t>
  </si>
  <si>
    <t>ACTIVITY 3 - Storage cost</t>
  </si>
  <si>
    <t>ACTIVITY 4 - Web services maintenance &amp; support</t>
  </si>
  <si>
    <t>ACTIVITY 5 Shipment</t>
  </si>
  <si>
    <t>ACTIVITY 7 - Optional : Pre-trade &amp; pre-labelled 1d vidal</t>
  </si>
  <si>
    <t>ACTIVITY 8 - Optional : LCMS analysis</t>
  </si>
  <si>
    <t>ACTIVITY 6bis - Optional : Storage cost of the powder inventory</t>
  </si>
  <si>
    <t>ACTIVITY 6 - Optional : Management of the powder inventory</t>
  </si>
  <si>
    <t>INV 2019-017 du 12/02/2019</t>
  </si>
  <si>
    <t>INV 10012502 du 28/02/2019</t>
  </si>
  <si>
    <t>INV FA007537 du 21/02/2019</t>
  </si>
  <si>
    <t>SMC Laboratories</t>
  </si>
  <si>
    <t>INV 1 - 50% a signature</t>
  </si>
  <si>
    <t>INV 2 - 50% au rapport final (14j après son envoi)</t>
  </si>
  <si>
    <t>Achat Anticorps FACS inflammation HUMAIN</t>
  </si>
  <si>
    <r>
      <t xml:space="preserve">Quote 70189178 - </t>
    </r>
    <r>
      <rPr>
        <b/>
        <sz val="11"/>
        <rFont val="Calibri"/>
        <family val="2"/>
        <scheme val="minor"/>
      </rPr>
      <t>P00230_2019</t>
    </r>
  </si>
  <si>
    <r>
      <t xml:space="preserve">Quote 2606 - </t>
    </r>
    <r>
      <rPr>
        <b/>
        <sz val="11"/>
        <rFont val="Calibri"/>
        <family val="2"/>
        <scheme val="minor"/>
      </rPr>
      <t>P00231_2019</t>
    </r>
  </si>
  <si>
    <t>AV n°3 au contrat de Maintenance Massquant</t>
  </si>
  <si>
    <t>RA ABX301 - 10% a siganture</t>
  </si>
  <si>
    <t>RA ABX301 - 75% à l'envoi des résultats</t>
  </si>
  <si>
    <t>RA ABX301 - 15% a l'envoi du draft bioanalytical report</t>
  </si>
  <si>
    <t xml:space="preserve">3-week Preliminary study in Cynomolgus monkeys  - ADD COST </t>
  </si>
  <si>
    <r>
      <rPr>
        <b/>
        <sz val="12"/>
        <rFont val="Calibri"/>
        <family val="2"/>
        <scheme val="minor"/>
      </rPr>
      <t>Amdt 2</t>
    </r>
    <r>
      <rPr>
        <sz val="11"/>
        <rFont val="Calibri"/>
        <family val="2"/>
        <scheme val="minor"/>
      </rPr>
      <t xml:space="preserve"> P16271_MCV-v2-1/2</t>
    </r>
  </si>
  <si>
    <t>INV 0486 du 03/03/2019</t>
  </si>
  <si>
    <t>INV FA007577 du 05/03/2019</t>
  </si>
  <si>
    <t>LC-MS/MS Simultaneous Determination of ABX464 &amp; N-Gulcu from 3 Preliminary DRF Studies (Rat/Rabbit/Mouse)</t>
  </si>
  <si>
    <r>
      <t xml:space="preserve">19-118 V1 - </t>
    </r>
    <r>
      <rPr>
        <b/>
        <sz val="11"/>
        <rFont val="Calibri"/>
        <family val="2"/>
        <scheme val="minor"/>
      </rPr>
      <t>P00241_2019</t>
    </r>
  </si>
  <si>
    <t>Achat de kits + analyses 4 humain cytokines - 50% a signature</t>
  </si>
  <si>
    <t>Achat de kits + analyses 4 humain cytokines - 50% au rapport</t>
  </si>
  <si>
    <r>
      <t xml:space="preserve">1807132 Rev.01 - </t>
    </r>
    <r>
      <rPr>
        <b/>
        <sz val="11"/>
        <rFont val="Calibri"/>
        <family val="2"/>
        <scheme val="minor"/>
      </rPr>
      <t>P00243_2019</t>
    </r>
  </si>
  <si>
    <t>Stability studies analysis POLYMUN - 21 Samples - 100% au rapport</t>
  </si>
  <si>
    <t>Etude de stab solide d'ABX64 après conditionnement en gélule - 100% au rapport</t>
  </si>
  <si>
    <t>INV 20190243 du 08/03/2019</t>
  </si>
  <si>
    <r>
      <t>RA301 - LOI -</t>
    </r>
    <r>
      <rPr>
        <b/>
        <sz val="11"/>
        <rFont val="Calibri"/>
        <family val="2"/>
        <scheme val="minor"/>
      </rPr>
      <t xml:space="preserve"> P00250_2019</t>
    </r>
  </si>
  <si>
    <t>Set-up and Site Selection process</t>
  </si>
  <si>
    <t>Regulatory activites</t>
  </si>
  <si>
    <r>
      <t xml:space="preserve">W15 (WO2019#2) - </t>
    </r>
    <r>
      <rPr>
        <b/>
        <sz val="11"/>
        <rFont val="Calibri"/>
        <family val="2"/>
        <scheme val="minor"/>
      </rPr>
      <t>P00244_2019</t>
    </r>
  </si>
  <si>
    <r>
      <t xml:space="preserve">W16 (WO2019#3) - </t>
    </r>
    <r>
      <rPr>
        <b/>
        <sz val="11"/>
        <rFont val="Calibri"/>
        <family val="2"/>
        <scheme val="minor"/>
      </rPr>
      <t>P00246_2019</t>
    </r>
  </si>
  <si>
    <t>Solid State study of ABX464 - Process Development / ABX464 synthesis 50% a signature</t>
  </si>
  <si>
    <t>Solid State study of ABX464 - Process Development / ABX464 synthesis 50% au rapport</t>
  </si>
  <si>
    <t>Achat des Mat Première pour facbrication de 150 kg de ABX464</t>
  </si>
  <si>
    <r>
      <t xml:space="preserve">SRV_19037 - </t>
    </r>
    <r>
      <rPr>
        <b/>
        <sz val="11"/>
        <rFont val="Calibri"/>
        <family val="2"/>
        <scheme val="minor"/>
      </rPr>
      <t>P00232_2019</t>
    </r>
    <r>
      <rPr>
        <sz val="11"/>
        <rFont val="Calibri"/>
        <family val="2"/>
        <scheme val="minor"/>
      </rPr>
      <t xml:space="preserve"> V2</t>
    </r>
  </si>
  <si>
    <t>Additionnal study cf mail du 14/03/2019 - Etdue de Stab à -20°C</t>
  </si>
  <si>
    <t>Additionnal study cf mail du 14/03/2019 - Etdue de Stab à 2/8°C</t>
  </si>
  <si>
    <t>Etude de stabilité Métabolite - Etude de Stab à -20°C - 50% a la commande</t>
  </si>
  <si>
    <t>Etude de stabilité Métabolite - Etude de Stab à -20°C - 50% a la livraison</t>
  </si>
  <si>
    <t>INV CDB53301 du 28/02/2019</t>
  </si>
  <si>
    <t>Primary blister and secodary pack ABX464 Clinical study - achat film - 5 400€</t>
  </si>
  <si>
    <t>Primary blister and secodary pack ABX464 Clinical study - Coditionnement primaire - 57 259 €</t>
  </si>
  <si>
    <t>Primary blister and secodary pack ABX464 Clinical study - achat coffre 5 cartes - 3 000 €</t>
  </si>
  <si>
    <t>Primary blister and secodary pack ABX464 Clinical study - mise sous caret blister - 73 090 €</t>
  </si>
  <si>
    <t>Primary blister and secodary pack ABX464 Clinical study - conservation dossier de lot original - 728 €</t>
  </si>
  <si>
    <t>Primary blister and secodary pack ABX464 Clinical study - expedition blister pour stabilité - 860 €</t>
  </si>
  <si>
    <t>Primary blister and secodary pack ABX464 Clinical study - frais fixes - 81 €</t>
  </si>
  <si>
    <t>? Doublon ?</t>
  </si>
  <si>
    <r>
      <t xml:space="preserve">FR095-0008818-Q01 - </t>
    </r>
    <r>
      <rPr>
        <b/>
        <sz val="11"/>
        <rFont val="Calibri"/>
        <family val="2"/>
        <scheme val="minor"/>
      </rPr>
      <t>P00164_2019</t>
    </r>
  </si>
  <si>
    <t>INV FR095-0007826-INV du 05/03/2019</t>
  </si>
  <si>
    <t>INV F19-317 du 11/03/2019</t>
  </si>
  <si>
    <r>
      <t>L16_2086</t>
    </r>
    <r>
      <rPr>
        <b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+ Mail du 20/03/2019</t>
    </r>
  </si>
  <si>
    <t>P00253_2019</t>
  </si>
  <si>
    <t xml:space="preserve">Production ABX464 3Kg Juillet - R&amp;D study complementary - 100% a la fin de l'étude </t>
  </si>
  <si>
    <t>Production ABX464 3Kg Juillet - Batch Production 3 Kg - 30% a la commande</t>
  </si>
  <si>
    <t>Production ABX464 3Kg Juillet - Batch Production 3 Kg - 70% à la livraison</t>
  </si>
  <si>
    <t>P00254_2019</t>
  </si>
  <si>
    <t>INV FA007595 du 21/03/2019</t>
  </si>
  <si>
    <t>tox-meta-7D</t>
  </si>
  <si>
    <t>7 days cyno study with NGLU - 50% à signature</t>
  </si>
  <si>
    <t>7 days cyno study with NGLU - 30% au draft repport</t>
  </si>
  <si>
    <t>7 days cyno study with NGLU - 20% au début de l'étude</t>
  </si>
  <si>
    <r>
      <t>P17797-VF-V2 -</t>
    </r>
    <r>
      <rPr>
        <b/>
        <sz val="11"/>
        <rFont val="Calibri"/>
        <family val="2"/>
        <scheme val="minor"/>
      </rPr>
      <t xml:space="preserve"> P00256_2019</t>
    </r>
  </si>
  <si>
    <t>EVT06993 - SRV_17559</t>
  </si>
  <si>
    <r>
      <t xml:space="preserve">ATL-19/3915 - </t>
    </r>
    <r>
      <rPr>
        <b/>
        <sz val="11"/>
        <rFont val="Calibri"/>
        <family val="2"/>
        <scheme val="minor"/>
      </rPr>
      <t>P00259_2019</t>
    </r>
  </si>
  <si>
    <t>MSA_18231_WO1</t>
  </si>
  <si>
    <t>LC-MS/MS Determination of ABX464 N-Glucu in Dose Solutions - 50% a signature</t>
  </si>
  <si>
    <t>LC-MS/MS Determination of ABX464 N-Glucu in Dose Solutions - 50% au rapport</t>
  </si>
  <si>
    <t>TK analysis 7 days rat ABX464 N GLU</t>
  </si>
  <si>
    <t>TK analysis 3 weeks cyno ABX464 N GLU</t>
  </si>
  <si>
    <t>TK analysis 7 days rabbit ABX464 N GLU</t>
  </si>
  <si>
    <t>TK analysis 7 days marmoset ABX464 N GLU</t>
  </si>
  <si>
    <t>TK analysis 7 days mouse ABX464 N GLU</t>
  </si>
  <si>
    <t>R&amp;D feasa testing - NaCl interference testing</t>
  </si>
  <si>
    <r>
      <t xml:space="preserve">Devis DA198-19015 - </t>
    </r>
    <r>
      <rPr>
        <b/>
        <sz val="11"/>
        <rFont val="Calibri"/>
        <family val="2"/>
        <scheme val="minor"/>
      </rPr>
      <t>P00267_2019</t>
    </r>
  </si>
  <si>
    <r>
      <t xml:space="preserve">DEV 1903099 rev. 00 - </t>
    </r>
    <r>
      <rPr>
        <b/>
        <sz val="11"/>
        <rFont val="Calibri"/>
        <family val="2"/>
        <scheme val="minor"/>
      </rPr>
      <t>P00268_2019</t>
    </r>
  </si>
  <si>
    <r>
      <t>CEVQ2019.03.01 -</t>
    </r>
    <r>
      <rPr>
        <b/>
        <sz val="11"/>
        <rFont val="Calibri"/>
        <family val="2"/>
        <scheme val="minor"/>
      </rPr>
      <t xml:space="preserve"> P00262_2019</t>
    </r>
  </si>
  <si>
    <r>
      <t xml:space="preserve">CEVQ2019.03.04 - </t>
    </r>
    <r>
      <rPr>
        <b/>
        <sz val="11"/>
        <rFont val="Calibri"/>
        <family val="2"/>
        <scheme val="minor"/>
      </rPr>
      <t>P00263_2019</t>
    </r>
  </si>
  <si>
    <r>
      <t xml:space="preserve">CEVQ2019.03.03 - </t>
    </r>
    <r>
      <rPr>
        <b/>
        <sz val="11"/>
        <rFont val="Calibri"/>
        <family val="2"/>
        <scheme val="minor"/>
      </rPr>
      <t>P00264_2019</t>
    </r>
  </si>
  <si>
    <r>
      <t>CEVQ2019.01.03 -</t>
    </r>
    <r>
      <rPr>
        <b/>
        <sz val="11"/>
        <rFont val="Calibri"/>
        <family val="2"/>
        <scheme val="minor"/>
      </rPr>
      <t xml:space="preserve"> P00265_2019</t>
    </r>
  </si>
  <si>
    <r>
      <t xml:space="preserve">CEVQ2019.03.02 - </t>
    </r>
    <r>
      <rPr>
        <b/>
        <sz val="11"/>
        <rFont val="Calibri"/>
        <family val="2"/>
        <scheme val="minor"/>
      </rPr>
      <t>P00266_2019</t>
    </r>
  </si>
  <si>
    <r>
      <t>CEVQ2019.02.01 -</t>
    </r>
    <r>
      <rPr>
        <b/>
        <sz val="11"/>
        <rFont val="Calibri"/>
        <family val="2"/>
        <scheme val="minor"/>
      </rPr>
      <t xml:space="preserve">  P00270_2019</t>
    </r>
  </si>
  <si>
    <r>
      <t xml:space="preserve">ATL-19/3939 - </t>
    </r>
    <r>
      <rPr>
        <b/>
        <sz val="11"/>
        <rFont val="Calibri"/>
        <family val="2"/>
        <scheme val="minor"/>
      </rPr>
      <t>P00261</t>
    </r>
  </si>
  <si>
    <t>Go Live e-CRF</t>
  </si>
  <si>
    <t>First Patient randomised</t>
  </si>
  <si>
    <t>20% Patients rendomised</t>
  </si>
  <si>
    <t>40% Patients rendomised</t>
  </si>
  <si>
    <t>60% Patients Randomised</t>
  </si>
  <si>
    <t>80% Patients randomised</t>
  </si>
  <si>
    <t>Last patient entered</t>
  </si>
  <si>
    <t>Data base lock</t>
  </si>
  <si>
    <t>Trial Master File sent back to ABIVAX</t>
  </si>
  <si>
    <t>TOX</t>
  </si>
  <si>
    <r>
      <t xml:space="preserve">ATL-19/3964 - </t>
    </r>
    <r>
      <rPr>
        <b/>
        <sz val="11"/>
        <rFont val="Calibri"/>
        <family val="2"/>
        <scheme val="minor"/>
      </rPr>
      <t>P00272_2019</t>
    </r>
  </si>
  <si>
    <r>
      <t xml:space="preserve">ATL-19/3965 - </t>
    </r>
    <r>
      <rPr>
        <b/>
        <sz val="11"/>
        <rFont val="Calibri"/>
        <family val="2"/>
        <scheme val="minor"/>
      </rPr>
      <t>P00273_2019</t>
    </r>
  </si>
  <si>
    <t>Bioanalysis 7 days cyno NGLU - 100% a signature</t>
  </si>
  <si>
    <t>INV II20190438 du 28/03/2019</t>
  </si>
  <si>
    <t>INV I-2019-950 du 27/03/2019</t>
  </si>
  <si>
    <t>Ocular examination for 17 week tox in cynomolgusStudy 47063 TCP - 3 study + rapport</t>
  </si>
  <si>
    <t xml:space="preserve">CEVQ2019.01.01 - PAS DE PO </t>
  </si>
  <si>
    <t>INV 2019130-DP-GMP du 29/03/2019</t>
  </si>
  <si>
    <t>SEPS PHARMA - Devenu Eurofins AMATSI</t>
  </si>
  <si>
    <t>Production 150 Kg de ABX464 - à la commande</t>
  </si>
  <si>
    <t>Production 150 Kg de ABX464 - à la livraison</t>
  </si>
  <si>
    <t>Report TaqMan miR124 according to MIQE guidance - 50% a la commande</t>
  </si>
  <si>
    <t>Report TaqMan miR124 according to MIQE guidance - 50% a la livraison</t>
  </si>
  <si>
    <r>
      <rPr>
        <sz val="11"/>
        <rFont val="Calibri"/>
        <family val="2"/>
        <scheme val="minor"/>
      </rPr>
      <t xml:space="preserve">Q-2018-1047 - </t>
    </r>
    <r>
      <rPr>
        <b/>
        <sz val="11"/>
        <rFont val="Calibri"/>
        <family val="2"/>
        <scheme val="minor"/>
      </rPr>
      <t>P00275_2019</t>
    </r>
  </si>
  <si>
    <t>SRV_18232_W1</t>
  </si>
  <si>
    <t>Setup fees - Kick Off meting 40%</t>
  </si>
  <si>
    <t>Setup fees - Upon approval of the project plan 30%</t>
  </si>
  <si>
    <t>Setup fees - Upon user acceptance test 30%</t>
  </si>
  <si>
    <t>Closeout and archiving - Upon freeze of DB</t>
  </si>
  <si>
    <t>Faire attention aux premières factures du SRV - Prise en compte des frais engagé déjà via la LOA</t>
  </si>
  <si>
    <t>Annulé et remplacé par le MSA</t>
  </si>
  <si>
    <t>C3 RESEARCH</t>
  </si>
  <si>
    <t>Upfont fee - 50% a siganture</t>
  </si>
  <si>
    <t>SRV_19079</t>
  </si>
  <si>
    <t>INV FA007631 du 29/03/2019</t>
  </si>
  <si>
    <t>INV FA007633 du 29/03/2019</t>
  </si>
  <si>
    <t>INV FA007632 du 29/03/2019</t>
  </si>
  <si>
    <t>STAND BY cf mail de SC le 04/04/2019</t>
  </si>
  <si>
    <t>INV I-2019-952 du 04/04/2019</t>
  </si>
  <si>
    <t>done</t>
  </si>
  <si>
    <t>FACT 01/ABI/10/2017 + FACT 01/ABI/11/2017 + FACT 01/ABI/12/2017 + FACT 01/ABI/01/2018 + FACT ABI/2018/02/01 + FACT ABI/2018/06/01 + FACT ABI/2018/06/03 + FACT ABI2018/07/01 + FACT ABI/2018/08/02 + FACT ABI/2018/09/02 + FACT ABI/2018/10/01 + FACT ABI/2018/11/01 + FACT ABI/2018/12/01 + FACT ABI/20149/04/01</t>
  </si>
  <si>
    <t>FACT 01/ABI/10/2017 + FACT 01/ABI/11/2017 + FACT 01/ABI/12/2017 + FACT 01/ABI/01/2018 + FACT ABI/2018/02/01 + FACT ABI/2018/06/01 + FACT ABI/2018/06/03 + FACT ABI2018/07/01 + FACT ABI/2018/08/02 + FACT ABI/2018/09/02 + FACT ABI/2018/10/01 + FACT ABI/2018/11/01 + FACT/2018/12/02 + FACT ABI/20149/04/01</t>
  </si>
  <si>
    <t>CLOTURE : LAST INVOICE recu en 04/2019</t>
  </si>
  <si>
    <r>
      <t xml:space="preserve">Q-2019-1112 - </t>
    </r>
    <r>
      <rPr>
        <b/>
        <sz val="11"/>
        <rFont val="Calibri"/>
        <family val="2"/>
        <scheme val="minor"/>
      </rPr>
      <t>P00274_2019</t>
    </r>
  </si>
  <si>
    <r>
      <t>Q-2019-1112 -</t>
    </r>
    <r>
      <rPr>
        <b/>
        <sz val="11"/>
        <rFont val="Calibri"/>
        <family val="2"/>
        <scheme val="minor"/>
      </rPr>
      <t xml:space="preserve"> P00274_2019</t>
    </r>
  </si>
  <si>
    <t>Relative Expression Analysis Chemokines - 50% a signature</t>
  </si>
  <si>
    <t>Relative Expression Analysis Chemokines - 50% au rapport</t>
  </si>
  <si>
    <r>
      <t>19-254 -</t>
    </r>
    <r>
      <rPr>
        <b/>
        <sz val="11"/>
        <rFont val="Calibri"/>
        <family val="2"/>
        <scheme val="minor"/>
      </rPr>
      <t xml:space="preserve"> P00276_2019</t>
    </r>
  </si>
  <si>
    <t>Analysis of IL-17 and IL-22 in humain plasma - Cytokines - 50% a signature</t>
  </si>
  <si>
    <t>Analysis of IL-17 and IL-22 in humain plasma - Cytokines - 50% au rapport</t>
  </si>
  <si>
    <t>tox-meta-4W</t>
  </si>
  <si>
    <t>4 week cyno study with NGLU - Animaux</t>
  </si>
  <si>
    <t>4 week cyno study with NGLU - 1er milestone (au début de l'étude)</t>
  </si>
  <si>
    <t>4 week cyno study with NGLU - 2eme milestone (2 mois après le début de l'étude)</t>
  </si>
  <si>
    <t>4 week cyno study with NGLU - au draft report</t>
  </si>
  <si>
    <r>
      <t>DV 201904047 - V000 -</t>
    </r>
    <r>
      <rPr>
        <b/>
        <sz val="11"/>
        <rFont val="Calibri"/>
        <family val="2"/>
        <scheme val="minor"/>
      </rPr>
      <t xml:space="preserve"> P00278_2019</t>
    </r>
  </si>
  <si>
    <r>
      <t xml:space="preserve">P16271_MCV-V3-2/2 - </t>
    </r>
    <r>
      <rPr>
        <b/>
        <sz val="11"/>
        <rFont val="Calibri"/>
        <family val="2"/>
        <scheme val="minor"/>
      </rPr>
      <t>FRAIS D'ANNULATION</t>
    </r>
    <r>
      <rPr>
        <sz val="11"/>
        <rFont val="Calibri"/>
        <family val="2"/>
        <scheme val="minor"/>
      </rPr>
      <t xml:space="preserve"> - </t>
    </r>
    <r>
      <rPr>
        <b/>
        <sz val="12"/>
        <rFont val="Calibri"/>
        <family val="2"/>
        <scheme val="minor"/>
      </rPr>
      <t>P00279_2019</t>
    </r>
  </si>
  <si>
    <t>INV I-2019-953 du 15/04/2019</t>
  </si>
  <si>
    <t>30/09/2017 + 31/10/2017 + 30/11/2017 + 31/12/2017 + 31/01/2018 + 28/02/2018 + 31/05/2018+ 31/07/2018 + 31/10/2018 (AVOIR) + 30/11/2018 + 31/12/2018 + 31/08/2018 + 31/01/2019</t>
  </si>
  <si>
    <t>RWS Language services fee - 40% at KickOff meeting</t>
  </si>
  <si>
    <t>RWS Language services fee - 30% at project plan</t>
  </si>
  <si>
    <t>RWS Language services fee - 30% Acceptance test</t>
  </si>
  <si>
    <t>INV 1904060 du 15/04/2019 + AV 1904058 du 15/04/2019</t>
  </si>
  <si>
    <t>INV 1904061 du 15/04/2019 + AV 1904059 du 15/04/2019</t>
  </si>
  <si>
    <t>INV CEB53304 du 29/03/2019</t>
  </si>
  <si>
    <t>INV 19F0143 du 29/03/2019</t>
  </si>
  <si>
    <t>INV 20190359 du 08/04/2019</t>
  </si>
  <si>
    <r>
      <t xml:space="preserve">UC-103 WO1 20181211 - </t>
    </r>
    <r>
      <rPr>
        <b/>
        <sz val="11"/>
        <rFont val="Calibri"/>
        <family val="2"/>
        <scheme val="minor"/>
      </rPr>
      <t>P00183_2019</t>
    </r>
  </si>
  <si>
    <t>NELSON LAB</t>
  </si>
  <si>
    <t>Sorpiton study</t>
  </si>
  <si>
    <r>
      <t xml:space="preserve">MD-3-3-788-2619 - </t>
    </r>
    <r>
      <rPr>
        <b/>
        <sz val="11"/>
        <rFont val="Calibri"/>
        <family val="2"/>
        <scheme val="minor"/>
      </rPr>
      <t>P00286_2019</t>
    </r>
  </si>
  <si>
    <t>Assessment in human colon biopsies for cytokine biomarkers via IHC - 20% a siganture</t>
  </si>
  <si>
    <t>Assessment in human colon biopsies for cytokine biomarkers via IHC - 80% a l'envoi sdes echantillons</t>
  </si>
  <si>
    <r>
      <t>1904057 Rev. 01 -</t>
    </r>
    <r>
      <rPr>
        <b/>
        <sz val="11"/>
        <rFont val="Calibri"/>
        <family val="2"/>
        <scheme val="minor"/>
      </rPr>
      <t xml:space="preserve"> P00284_2019</t>
    </r>
  </si>
  <si>
    <t>3-week toxicity single dose study in mice Add cost</t>
  </si>
  <si>
    <t>PHARMAGENESE</t>
  </si>
  <si>
    <t>Devis 19.04.266 - P00289_2019</t>
  </si>
  <si>
    <t>Audit PCAS 23/05/2019</t>
  </si>
  <si>
    <r>
      <t xml:space="preserve">ATL-19/4034 - </t>
    </r>
    <r>
      <rPr>
        <b/>
        <sz val="11"/>
        <rFont val="Calibri"/>
        <family val="2"/>
        <scheme val="minor"/>
      </rPr>
      <t>P00292_2019</t>
    </r>
  </si>
  <si>
    <t>50% QC audited data</t>
  </si>
  <si>
    <t>10% draft report</t>
  </si>
  <si>
    <t>INV 1091903361 du 25/04/2019</t>
  </si>
  <si>
    <r>
      <t xml:space="preserve">Devis 11744 - </t>
    </r>
    <r>
      <rPr>
        <b/>
        <sz val="11"/>
        <rFont val="Calibri"/>
        <family val="2"/>
        <scheme val="minor"/>
      </rPr>
      <t>P00297_2019</t>
    </r>
  </si>
  <si>
    <t>Etude clinique UC102 Couts fixes</t>
  </si>
  <si>
    <t>INV 1031901553 28/02/2019 + INV 1031901641 04/03/2019 + INV 1031902083 18/03/2019 + INV 1031903357 du 24/04/2019</t>
  </si>
  <si>
    <t>FACT 69468 du 26/04/2019</t>
  </si>
  <si>
    <r>
      <t xml:space="preserve">Monthly management fees (Frevrier - Avirl 2019) </t>
    </r>
    <r>
      <rPr>
        <sz val="11"/>
        <color theme="5"/>
        <rFont val="Calibri"/>
        <family val="2"/>
        <scheme val="minor"/>
      </rPr>
      <t>+ 1 mois Extention de la LOA</t>
    </r>
  </si>
  <si>
    <r>
      <t xml:space="preserve">Fervier </t>
    </r>
    <r>
      <rPr>
        <b/>
        <sz val="11"/>
        <rFont val="Calibri"/>
        <family val="2"/>
        <scheme val="minor"/>
      </rPr>
      <t>INV108451 du 01/02/2019</t>
    </r>
    <r>
      <rPr>
        <sz val="11"/>
        <rFont val="Calibri"/>
        <family val="2"/>
        <scheme val="minor"/>
      </rPr>
      <t xml:space="preserve"> (29111 euros) + Mars </t>
    </r>
    <r>
      <rPr>
        <b/>
        <sz val="11"/>
        <rFont val="Calibri"/>
        <family val="2"/>
        <scheme val="minor"/>
      </rPr>
      <t>INV 108489 du 01/03/2019</t>
    </r>
    <r>
      <rPr>
        <sz val="11"/>
        <rFont val="Calibri"/>
        <family val="2"/>
        <scheme val="minor"/>
      </rPr>
      <t xml:space="preserve"> (29111 euros) + Avril INV 108515 du 01/04/2019 (29111 euros) + </t>
    </r>
    <r>
      <rPr>
        <sz val="11"/>
        <color theme="5"/>
        <rFont val="Calibri"/>
        <family val="2"/>
        <scheme val="minor"/>
      </rPr>
      <t>Mai INV 108546 01/05/2019 (29111 euros)</t>
    </r>
  </si>
  <si>
    <t>Acoord par mail du 10 Octobre en lien avec MSA_18141</t>
  </si>
  <si>
    <t>INV 20190403 du 24/04/2019</t>
  </si>
  <si>
    <t>INV FA007667 du 29/04/2019</t>
  </si>
  <si>
    <r>
      <t xml:space="preserve">L18_2706C </t>
    </r>
    <r>
      <rPr>
        <b/>
        <sz val="11"/>
        <rFont val="Calibri"/>
        <family val="2"/>
        <scheme val="minor"/>
      </rPr>
      <t>P00158</t>
    </r>
  </si>
  <si>
    <t>Prestation analytique - 25%</t>
  </si>
  <si>
    <t>Prestation analytique - 75%</t>
  </si>
  <si>
    <t>Prestation de fabrication &amp; Conditionnement (Packaging) - 25%</t>
  </si>
  <si>
    <t>Prestation de fabrication &amp; Conditionnement (Packaging) - 75%</t>
  </si>
  <si>
    <t>Financial amendment n°1 - 7 days cyno study with NGLU</t>
  </si>
  <si>
    <t>En cours vu avec JD le 14/05/2019</t>
  </si>
  <si>
    <r>
      <t xml:space="preserve">Devis 11718-1 - </t>
    </r>
    <r>
      <rPr>
        <b/>
        <sz val="11"/>
        <rFont val="Calibri"/>
        <family val="2"/>
        <scheme val="minor"/>
      </rPr>
      <t>P00296_2019</t>
    </r>
  </si>
  <si>
    <t>?</t>
  </si>
  <si>
    <r>
      <t xml:space="preserve">Devis 11751 - </t>
    </r>
    <r>
      <rPr>
        <b/>
        <sz val="11"/>
        <rFont val="Calibri"/>
        <family val="2"/>
        <scheme val="minor"/>
      </rPr>
      <t>P00303_2019</t>
    </r>
  </si>
  <si>
    <t>Etude Clinique RA 301 Conditionnement</t>
  </si>
  <si>
    <t>Etude Clinique RA 301 Stockage (35€/mois sur 12 mois)</t>
  </si>
  <si>
    <t>Etude Clinique RA 301 Gestion et suivit des expéditions - Gestion mensuelle (94€/mois sur 12 mois)</t>
  </si>
  <si>
    <t>Etude Clinique RA 301 Gestion et suivit des expéditions - Création et gestion de l'étude</t>
  </si>
  <si>
    <t>Etude Clinique RA 301 Transport</t>
  </si>
  <si>
    <t>Etude Clinique RA 301 Destruction</t>
  </si>
  <si>
    <t>Etude Clinique UC 103 Distribution Resverse Logistique Set Up</t>
  </si>
  <si>
    <t>Annulé et remplacé par le WO3 for MSA 20181211</t>
  </si>
  <si>
    <t>RA-301 WO3 20181211</t>
  </si>
  <si>
    <t>Siganture du Work Order</t>
  </si>
  <si>
    <t>All submissions performed</t>
  </si>
  <si>
    <t>First Visit First Patient</t>
  </si>
  <si>
    <t>Last Visit First Patient</t>
  </si>
  <si>
    <t>Last Visit Last Patient</t>
  </si>
  <si>
    <t>Data Base Lock</t>
  </si>
  <si>
    <t>TLF - Final Table Listing and Figures</t>
  </si>
  <si>
    <t>First Visit Last Patient</t>
  </si>
  <si>
    <t>RA301 - PTC - EU PSVs</t>
  </si>
  <si>
    <t>RA301 - PTC - EU MVs</t>
  </si>
  <si>
    <t>RA301 - PTC - EU COVs</t>
  </si>
  <si>
    <t>RA301 - PTC - Regulatory &amp; Ethics Submissions</t>
  </si>
  <si>
    <t>RA301 - PTC - Miscellaneous Study matos - Document translation costs</t>
  </si>
  <si>
    <t>RA301 - PTC Project Management (telecommunication + courier cost)</t>
  </si>
  <si>
    <t>RA301 - PTC - Other - Site set up</t>
  </si>
  <si>
    <t>RA301 - PTC - Other - Investigator meeting planning</t>
  </si>
  <si>
    <t>INV F19-342 du 20/05/2019</t>
  </si>
  <si>
    <t>CEVQ2019.05.01 - PAS DE PO POUR L'INSTANT</t>
  </si>
  <si>
    <t>Lecture histo d'une étude BPL chez le singe - 24 animaux - 50% a réception des 1ères lames</t>
  </si>
  <si>
    <t>Lecture histo d'une étude BPL chez le singe - 24 animaux - 50% a au draft report</t>
  </si>
  <si>
    <t>INV F19-349 du 20/05/2019</t>
  </si>
  <si>
    <t>INV 108448 du 31/01/2019 + Fervier INV108451 du 01/02/2019 (29111 euros) + Mars INV 108489 du 01/03/2019 (29111 euros) + Avril INV 108515 du 01/04/2019 (29111 euros)</t>
  </si>
  <si>
    <t>ECRASEE PAR LE WO004</t>
  </si>
  <si>
    <t>INV 20190543 du 21/05/2019</t>
  </si>
  <si>
    <t>FACT 69562 du 22/05/2019</t>
  </si>
  <si>
    <r>
      <t xml:space="preserve">Quote 67467 Order 1 V2 - </t>
    </r>
    <r>
      <rPr>
        <b/>
        <sz val="11"/>
        <rFont val="Calibri"/>
        <family val="2"/>
        <scheme val="minor"/>
      </rPr>
      <t>P00321_2019</t>
    </r>
  </si>
  <si>
    <r>
      <t xml:space="preserve">WO004 - </t>
    </r>
    <r>
      <rPr>
        <b/>
        <sz val="11"/>
        <rFont val="Calibri"/>
        <family val="2"/>
        <scheme val="minor"/>
      </rPr>
      <t>P00319_2019</t>
    </r>
  </si>
  <si>
    <t>13/10/2017 + 15/11/2017 + 15/12/2017 + 15/01/2018 + 15/02/2018 + 15/03/2018 + 16/04/2018 + 15/05/2018 + 15/06/2018 + 16/07/2018 + INV 21801342 Sept (30/10/2018) + INV 21801340 Oct (30/10/2018) + INV 21801466 (19/11/2018) + INV 21801582 (17/12/2018) + INV 21900077 (15/01/2019)</t>
  </si>
  <si>
    <t>3-week Preliminary study in Cynomolgus monkeys  - TRANSPORT</t>
  </si>
  <si>
    <r>
      <rPr>
        <b/>
        <sz val="12"/>
        <rFont val="Calibri"/>
        <family val="2"/>
        <scheme val="minor"/>
      </rPr>
      <t>Amdt 1</t>
    </r>
    <r>
      <rPr>
        <sz val="11"/>
        <rFont val="Calibri"/>
        <family val="2"/>
        <scheme val="minor"/>
      </rPr>
      <t xml:space="preserve"> P16271_MCV-v2-1/2</t>
    </r>
  </si>
  <si>
    <r>
      <t xml:space="preserve">Devis 2018-202-3 + 202-4 - Add cost au </t>
    </r>
    <r>
      <rPr>
        <b/>
        <sz val="11"/>
        <rFont val="Calibri"/>
        <family val="2"/>
        <scheme val="minor"/>
      </rPr>
      <t>P00117 (Docushare)</t>
    </r>
    <r>
      <rPr>
        <sz val="11"/>
        <rFont val="Calibri"/>
        <family val="2"/>
        <scheme val="minor"/>
      </rPr>
      <t xml:space="preserve"> </t>
    </r>
  </si>
  <si>
    <r>
      <t xml:space="preserve">3-week Preliminary srudy in marmosets Toxicology Studies - </t>
    </r>
    <r>
      <rPr>
        <b/>
        <sz val="11"/>
        <rFont val="Calibri"/>
        <family val="2"/>
        <scheme val="minor"/>
      </rPr>
      <t>50% a signature</t>
    </r>
  </si>
  <si>
    <r>
      <t xml:space="preserve">3-week Preliminary srudy in marmosets Toxicology Studies - </t>
    </r>
    <r>
      <rPr>
        <b/>
        <sz val="11"/>
        <rFont val="Calibri"/>
        <family val="2"/>
        <scheme val="minor"/>
      </rPr>
      <t>45% a remise des résultats par email</t>
    </r>
  </si>
  <si>
    <r>
      <t xml:space="preserve">3-week Preliminary srudy in marmosets Toxicology Studies - </t>
    </r>
    <r>
      <rPr>
        <b/>
        <sz val="11"/>
        <rFont val="Calibri"/>
        <family val="2"/>
        <scheme val="minor"/>
      </rPr>
      <t>5% a la remise du 1er rapport draft</t>
    </r>
  </si>
  <si>
    <t>3-week Preliminary srudy in marmosets Toxicology Studies - Add cost</t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</si>
  <si>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ABX464 - 30% Singature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</si>
  <si>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ABX464 - 15% a T+2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</si>
  <si>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ABX464 - 15% a T+4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</si>
  <si>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ABX464 - 15% a T+6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</si>
  <si>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ABX464 - 15 % à T+8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</si>
  <si>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ABX464 - 5% au 1er rapport draft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</si>
  <si>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ABX464 - 5 % aux resultats par email</t>
    </r>
  </si>
  <si>
    <r>
      <t xml:space="preserve">Devis 2019-43-4 - </t>
    </r>
    <r>
      <rPr>
        <b/>
        <sz val="11"/>
        <rFont val="Calibri"/>
        <family val="2"/>
        <scheme val="minor"/>
      </rPr>
      <t>P00 a venir</t>
    </r>
  </si>
  <si>
    <t>PK NGLU Cyno - 50% a signature</t>
  </si>
  <si>
    <t>PK NGLU Cyno - 45% aux resultats par email</t>
  </si>
  <si>
    <t>PK NGLU Cyno - 5% au 1er rapport draft</t>
  </si>
  <si>
    <t>INV 19F0179 du 25/04/2019</t>
  </si>
  <si>
    <t>INV 19F0120 du 14/03/2019</t>
  </si>
  <si>
    <t>7 days Escalating DRF studies - Rabbit - 67% - FEVRIER 2019</t>
  </si>
  <si>
    <t>7 days Escalating DRF studies - Rabbit - 33%</t>
  </si>
  <si>
    <t>7 days Escalating DRF studies - Rat - 67% - FEVRIER 2019</t>
  </si>
  <si>
    <t>7 days Escalating DRF studies - Rat - 33%</t>
  </si>
  <si>
    <t>7 days Escalating DRF studies - Mice - 67% - FEVRIER 2019</t>
  </si>
  <si>
    <t>7 days Escalating DRF studies - Mice - 33%</t>
  </si>
  <si>
    <t>INV FA007733 du 27/05/2019</t>
  </si>
  <si>
    <t>INV FA007731 du 27/05/2019</t>
  </si>
  <si>
    <t>UC-102 Amt1 WO003</t>
  </si>
  <si>
    <r>
      <t xml:space="preserve">Q-2019-1127 - </t>
    </r>
    <r>
      <rPr>
        <b/>
        <sz val="11"/>
        <rFont val="Calibri"/>
        <family val="2"/>
        <scheme val="minor"/>
      </rPr>
      <t>P00322_2019</t>
    </r>
  </si>
  <si>
    <t>SNP Biopsies - 50% a signature</t>
  </si>
  <si>
    <t>SNP Biopsies - 50% au rapport</t>
  </si>
  <si>
    <r>
      <t xml:space="preserve">Q-2019-1101 - </t>
    </r>
    <r>
      <rPr>
        <b/>
        <sz val="11"/>
        <rFont val="Calibri"/>
        <family val="2"/>
        <scheme val="minor"/>
      </rPr>
      <t>P00175_2019</t>
    </r>
  </si>
  <si>
    <r>
      <t xml:space="preserve">Q-2019-1106 - </t>
    </r>
    <r>
      <rPr>
        <b/>
        <sz val="11"/>
        <rFont val="Calibri"/>
        <family val="2"/>
        <scheme val="minor"/>
      </rPr>
      <t>P00176_2019</t>
    </r>
  </si>
  <si>
    <r>
      <t xml:space="preserve">ATL-19/4070 - </t>
    </r>
    <r>
      <rPr>
        <b/>
        <sz val="11"/>
        <rFont val="Calibri"/>
        <family val="2"/>
        <scheme val="minor"/>
      </rPr>
      <t>P00324_2019</t>
    </r>
  </si>
  <si>
    <t>Bioanalysis Rabit 7 Days - 100% a signature</t>
  </si>
  <si>
    <t>FISHER CLINICAL SERVICES</t>
  </si>
  <si>
    <t>OUT</t>
  </si>
  <si>
    <t>Investigators fees</t>
  </si>
  <si>
    <t>Investigators fees upfront 10%</t>
  </si>
  <si>
    <r>
      <t xml:space="preserve">CEVQ2019.05.01 - </t>
    </r>
    <r>
      <rPr>
        <b/>
        <sz val="11"/>
        <rFont val="Calibri"/>
        <family val="2"/>
        <scheme val="minor"/>
      </rPr>
      <t>P00325_2019</t>
    </r>
  </si>
  <si>
    <t>Occular examination 9-month marmoset (additionnal animals)</t>
  </si>
  <si>
    <t>INV 1905063 du 30/05/2019</t>
  </si>
  <si>
    <t>INV 1905064 du 30/05/2019</t>
  </si>
  <si>
    <t>2019 - Q1 Janvier Fevrier Mars 34,80 FTE + 37 555,86 € PTC</t>
  </si>
  <si>
    <t>INV PJ20190689 du 31/05/2019</t>
  </si>
  <si>
    <t>Materiel pour essai clinique ABX464-301</t>
  </si>
  <si>
    <r>
      <t xml:space="preserve">Devis 456836 - </t>
    </r>
    <r>
      <rPr>
        <b/>
        <sz val="11"/>
        <rFont val="Calibri"/>
        <family val="2"/>
        <scheme val="minor"/>
      </rPr>
      <t>P00326_2019</t>
    </r>
  </si>
  <si>
    <t>INV FA007744 du 04/06/2019</t>
  </si>
  <si>
    <t>INV FA007743 du 04/06/2019</t>
  </si>
  <si>
    <t>FACT 00008694 du 05/02/2019 + FACT 00008845 du 25/03/2019</t>
  </si>
  <si>
    <r>
      <t xml:space="preserve">RA-ABX464-301 - LOA - </t>
    </r>
    <r>
      <rPr>
        <b/>
        <sz val="11"/>
        <rFont val="Calibri"/>
        <family val="2"/>
        <scheme val="minor"/>
      </rPr>
      <t>P00192_2019</t>
    </r>
  </si>
  <si>
    <t xml:space="preserve">RA-ABX464-301 - MSA a venir </t>
  </si>
  <si>
    <t>RA-ABX464-301 - MSA - LOA</t>
  </si>
  <si>
    <t>RA302 - LOA - Signature of LOA</t>
  </si>
  <si>
    <t>RA302 - LOA - Monthly Management Fees (Juin-Aout 2019)</t>
  </si>
  <si>
    <t>RA302 - LOA - PTC - ORACLE Set Up</t>
  </si>
  <si>
    <r>
      <t xml:space="preserve">RA ABX464-302 LOA - </t>
    </r>
    <r>
      <rPr>
        <b/>
        <sz val="11"/>
        <rFont val="Calibri"/>
        <family val="2"/>
        <scheme val="minor"/>
      </rPr>
      <t>P00334_2019</t>
    </r>
  </si>
  <si>
    <t>Additionnal cost : Add group + Add shimpment</t>
  </si>
  <si>
    <r>
      <t xml:space="preserve">PSG-1004037 v4 + V6 - </t>
    </r>
    <r>
      <rPr>
        <b/>
        <sz val="11"/>
        <rFont val="Calibri"/>
        <family val="2"/>
        <scheme val="minor"/>
      </rPr>
      <t>P00293_2019</t>
    </r>
  </si>
  <si>
    <t>30/11/2017 + 31/12/2017 + 31/01/2018 + 28/02/2018 + 30/03/2018 + 30/05/2018 + 31/07/2018 + 30/09/2018 + 31/08/2018 + 31/01/2019 + 31/03/2019 + 30/04/2019 + 31/05/2019</t>
  </si>
  <si>
    <r>
      <t>Devis 2019-19-5 -</t>
    </r>
    <r>
      <rPr>
        <b/>
        <sz val="11"/>
        <rFont val="Calibri"/>
        <family val="2"/>
        <scheme val="minor"/>
      </rPr>
      <t xml:space="preserve"> P00323_2019</t>
    </r>
  </si>
  <si>
    <r>
      <t xml:space="preserve">Devis 2019-19-5 - </t>
    </r>
    <r>
      <rPr>
        <b/>
        <sz val="11"/>
        <rFont val="Calibri"/>
        <family val="2"/>
        <scheme val="minor"/>
      </rPr>
      <t>P00323_2019</t>
    </r>
  </si>
  <si>
    <r>
      <t xml:space="preserve">ATL-19/4087 - </t>
    </r>
    <r>
      <rPr>
        <b/>
        <sz val="11"/>
        <rFont val="Calibri"/>
        <family val="2"/>
        <scheme val="minor"/>
      </rPr>
      <t>P00339_2019</t>
    </r>
  </si>
  <si>
    <t>Stabilité 9-month marmouset - 50% a signature</t>
  </si>
  <si>
    <t>Stabilité 9-month marmouset - 50% au QC audited data report</t>
  </si>
  <si>
    <t>Detection miR124 blood samples - 50% a la signature</t>
  </si>
  <si>
    <t>Envois des biopsies vers Acobiom</t>
  </si>
  <si>
    <r>
      <t>DV-ABI-0619-776 -</t>
    </r>
    <r>
      <rPr>
        <b/>
        <sz val="11"/>
        <rFont val="Calibri"/>
        <family val="2"/>
        <scheme val="minor"/>
      </rPr>
      <t xml:space="preserve"> P00345_2019</t>
    </r>
  </si>
  <si>
    <r>
      <t xml:space="preserve">ATL-19/4086 - </t>
    </r>
    <r>
      <rPr>
        <b/>
        <sz val="11"/>
        <rFont val="Calibri"/>
        <family val="2"/>
        <scheme val="minor"/>
      </rPr>
      <t>P00346_2019</t>
    </r>
  </si>
  <si>
    <t>PK analysis in mouse samples - 100% a signature</t>
  </si>
  <si>
    <t>NEOGENOMICS</t>
  </si>
  <si>
    <t>PBMC freezing and iNKT validation</t>
  </si>
  <si>
    <r>
      <t xml:space="preserve">Devis 06042019_v2 - </t>
    </r>
    <r>
      <rPr>
        <b/>
        <sz val="11"/>
        <rFont val="Calibri"/>
        <family val="2"/>
        <scheme val="minor"/>
      </rPr>
      <t>P00337_2019</t>
    </r>
  </si>
  <si>
    <t>Presta finie, résudiel out cf mail SC du 13/06/19</t>
  </si>
  <si>
    <t>PPD Laboratories</t>
  </si>
  <si>
    <r>
      <t xml:space="preserve">Devis 92224-01 - </t>
    </r>
    <r>
      <rPr>
        <b/>
        <sz val="11"/>
        <rFont val="Calibri"/>
        <family val="2"/>
        <scheme val="minor"/>
      </rPr>
      <t>P00338_2019</t>
    </r>
  </si>
  <si>
    <r>
      <t>RA ABX464-302 LOA -</t>
    </r>
    <r>
      <rPr>
        <b/>
        <sz val="11"/>
        <rFont val="Calibri"/>
        <family val="2"/>
        <scheme val="minor"/>
      </rPr>
      <t xml:space="preserve"> P00334_2019</t>
    </r>
  </si>
  <si>
    <t>ANNULE ET REMPLACE PAR P00175_2019</t>
  </si>
  <si>
    <r>
      <t xml:space="preserve">ATL-19/4066 - </t>
    </r>
    <r>
      <rPr>
        <b/>
        <sz val="11"/>
        <rFont val="Calibri"/>
        <family val="2"/>
        <scheme val="minor"/>
      </rPr>
      <t>P00348_2019</t>
    </r>
  </si>
  <si>
    <r>
      <t xml:space="preserve">ATL-19/4065 - </t>
    </r>
    <r>
      <rPr>
        <b/>
        <sz val="11"/>
        <rFont val="Calibri"/>
        <family val="2"/>
        <scheme val="minor"/>
      </rPr>
      <t>P00347_2019</t>
    </r>
  </si>
  <si>
    <t>Transfer and validation methode formulation analysis 28-Day Cyno - 60% à siganture</t>
  </si>
  <si>
    <t>Transfer and validation methode formulation analysis 28-Day Cyno - 35% QC Audited data</t>
  </si>
  <si>
    <t>Transfer and validation methode formulation analysis 28-Day Cyno - 5% draft Report</t>
  </si>
  <si>
    <t>LC/MS determination ABX464 and NGLU 28-Day Cyno - 40% signature</t>
  </si>
  <si>
    <t>LC/MS determination ABX464 and NGLU 28-Day Cyno - 50% QC audited Data</t>
  </si>
  <si>
    <t>LC/MS determination ABX464 and NGLU 28-Day Cyno - 10% draft report</t>
  </si>
  <si>
    <t>FNP à passer si facture non reçue</t>
  </si>
  <si>
    <t>INV 108589 du 17/06/2019</t>
  </si>
  <si>
    <r>
      <t xml:space="preserve">L19_2879A - </t>
    </r>
    <r>
      <rPr>
        <b/>
        <sz val="11"/>
        <rFont val="Calibri"/>
        <family val="2"/>
        <scheme val="minor"/>
      </rPr>
      <t>P00350_2019</t>
    </r>
  </si>
  <si>
    <t>Prélèvement et envois échantillons ABX464</t>
  </si>
  <si>
    <t>INV FA007768 du 17/06/2019</t>
  </si>
  <si>
    <t>Presta terminée cf mail de RS et PG le 19/06/2019</t>
  </si>
  <si>
    <t>ATTENTION : On a rajouté environ 3000 par mois restant sur le PTC car il y a eu plus de submissions que prévues (frais incompréssibles)
MAJ Cloture : PTC reste 5k€ selon PG (Mail du 19/06/2019)</t>
  </si>
  <si>
    <t>MSA_19087 LOA</t>
  </si>
  <si>
    <t>Professionnal Fee due Upon LOA signature - 25%</t>
  </si>
  <si>
    <t>Monthly fee Juillet 2019 - 20%</t>
  </si>
  <si>
    <t>Monthly fee Août 2019 - 20%</t>
  </si>
  <si>
    <t>Monthly fee Septembre 2019 - 20%</t>
  </si>
  <si>
    <t>Monthly fee Octobre 2019 - 15%</t>
  </si>
  <si>
    <t>Vu que la signature a été décalée à Juin j'ai décalé tout les milestones d'un mois</t>
  </si>
  <si>
    <t>4 week cyno pretreatment periode</t>
  </si>
  <si>
    <t>QUAND ?</t>
  </si>
  <si>
    <t>4 week cyno end of treatment</t>
  </si>
  <si>
    <t>MSA_19134_WO1</t>
  </si>
  <si>
    <t>Monthly fee - services ((2 158 520-400 000)/ 36 mois) + PTC 240 400 / 36 mois</t>
  </si>
  <si>
    <r>
      <t>ATL-19/4095 -</t>
    </r>
    <r>
      <rPr>
        <b/>
        <sz val="11"/>
        <rFont val="Calibri"/>
        <family val="2"/>
        <scheme val="minor"/>
      </rPr>
      <t xml:space="preserve"> P00354_2019</t>
    </r>
  </si>
  <si>
    <t>LC/MS determination ABX464 NGLU in Dose solution - 50% upon signature</t>
  </si>
  <si>
    <t>LC/MS determination ABX464 NGLU in Dose solution - 40% Upon completion of the analysis</t>
  </si>
  <si>
    <t>LC/MS determination ABX464 NGLU in Dose solution - 10% daft report</t>
  </si>
  <si>
    <t>LC/MS determination ABX464 NGLU in Dose solution from stab/homogeneity study  - 10% daft report</t>
  </si>
  <si>
    <t>LC/MS determination ABX464 NGLU in Dose solution from stab/homogeneity study  - 50% upon signature</t>
  </si>
  <si>
    <t>LC/MS determination ABX464 NGLU in Dose solution from stab/homogeneity study  - 40% Upon completion of the analysis</t>
  </si>
  <si>
    <r>
      <t xml:space="preserve">ATL-19/4096 - </t>
    </r>
    <r>
      <rPr>
        <b/>
        <sz val="11"/>
        <rFont val="Calibri"/>
        <family val="2"/>
        <scheme val="minor"/>
      </rPr>
      <t>P00355_2019</t>
    </r>
  </si>
  <si>
    <r>
      <t xml:space="preserve">ATL-19/4094 - </t>
    </r>
    <r>
      <rPr>
        <b/>
        <sz val="11"/>
        <rFont val="Calibri"/>
        <family val="2"/>
        <scheme val="minor"/>
      </rPr>
      <t>P00359_2019</t>
    </r>
  </si>
  <si>
    <t>LC-MS/MS Simultaneous Determination of ABX464 NGLU in Monkey Plasma  - 45% upon signature</t>
  </si>
  <si>
    <t>LC-MS/MS Simultaneous Determination of ABX464 NGLU in Monkey Plasma  - 50% Upon completion of the analysis</t>
  </si>
  <si>
    <t>LC-MS/MS Simultaneous Determination of ABX464 NGLU in Monkey Plasma  - 5% daft report</t>
  </si>
  <si>
    <r>
      <t xml:space="preserve">P18977-VF-V1 - </t>
    </r>
    <r>
      <rPr>
        <b/>
        <sz val="11"/>
        <rFont val="Calibri"/>
        <family val="2"/>
        <scheme val="minor"/>
      </rPr>
      <t>P00357_2019</t>
    </r>
  </si>
  <si>
    <r>
      <t xml:space="preserve">Amdt 2 MD-3-1-788-2343 - </t>
    </r>
    <r>
      <rPr>
        <b/>
        <sz val="11"/>
        <rFont val="Calibri"/>
        <family val="2"/>
        <scheme val="minor"/>
      </rPr>
      <t>P00361_2019</t>
    </r>
  </si>
  <si>
    <t>Histology MIG mice study - 100% upon signature</t>
  </si>
  <si>
    <t>HISTALIM</t>
  </si>
  <si>
    <r>
      <t>DQ201900305 -</t>
    </r>
    <r>
      <rPr>
        <b/>
        <sz val="11"/>
        <rFont val="Calibri"/>
        <family val="2"/>
        <scheme val="minor"/>
      </rPr>
      <t xml:space="preserve"> P00342_2019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+ P00358_2019</t>
    </r>
  </si>
  <si>
    <t>Robart histopathology (2 biopsies/patients) -30% a signature</t>
  </si>
  <si>
    <t>INV 1906039 du 15/06/2019</t>
  </si>
  <si>
    <t>INV 1906034 du 15/06/2019</t>
  </si>
  <si>
    <t>INV F19-364 du 21/06/2019</t>
  </si>
  <si>
    <t>UC-102 WO2 au MSA 17605</t>
  </si>
  <si>
    <t>UC-101 WO1 au MSA 17605</t>
  </si>
  <si>
    <t>Financial amendment n°2 - 7 days cyno study with NGLU</t>
  </si>
  <si>
    <r>
      <t xml:space="preserve">Quote 70200949 - </t>
    </r>
    <r>
      <rPr>
        <b/>
        <sz val="11"/>
        <rFont val="Calibri"/>
        <family val="2"/>
        <scheme val="minor"/>
      </rPr>
      <t>P00364_2019</t>
    </r>
  </si>
  <si>
    <t>Achat Anticorps FACS inflammation human</t>
  </si>
  <si>
    <r>
      <t xml:space="preserve">ATL-19/4123 - </t>
    </r>
    <r>
      <rPr>
        <b/>
        <sz val="11"/>
        <rFont val="Calibri"/>
        <family val="2"/>
        <scheme val="minor"/>
      </rPr>
      <t>P00365_2019</t>
    </r>
  </si>
  <si>
    <t>MCMS Tk analysis supplémentaire 4 mois marmosset - 50% a signature</t>
  </si>
  <si>
    <t>MCMS Tk analysis supplémentaire 4 mois marmosset - 50% complete analysis QC audited data</t>
  </si>
  <si>
    <r>
      <t xml:space="preserve">CEVQ2019.06.01 - </t>
    </r>
    <r>
      <rPr>
        <b/>
        <sz val="11"/>
        <rFont val="Calibri"/>
        <family val="2"/>
        <scheme val="minor"/>
      </rPr>
      <t>P00366_2019</t>
    </r>
  </si>
  <si>
    <r>
      <t xml:space="preserve">CEVQ2019.06.02 - </t>
    </r>
    <r>
      <rPr>
        <b/>
        <sz val="11"/>
        <rFont val="Calibri"/>
        <family val="2"/>
        <scheme val="minor"/>
      </rPr>
      <t>P00367_2019</t>
    </r>
  </si>
  <si>
    <t>fin étude</t>
  </si>
  <si>
    <t>FNP S2 2018</t>
  </si>
  <si>
    <t>PG dit a RS passe 5K€ Max</t>
  </si>
  <si>
    <r>
      <t xml:space="preserve">Quote PSG-A-1004482 V2 - </t>
    </r>
    <r>
      <rPr>
        <b/>
        <sz val="11"/>
        <rFont val="Calibri"/>
        <family val="2"/>
        <scheme val="minor"/>
      </rPr>
      <t>P00329_2019</t>
    </r>
  </si>
  <si>
    <t>Sourcing of medicinal product for CT - 100% à la livraison des produits</t>
  </si>
  <si>
    <r>
      <t xml:space="preserve">SRV_118202_A1 - </t>
    </r>
    <r>
      <rPr>
        <b/>
        <sz val="11"/>
        <rFont val="Calibri"/>
        <family val="2"/>
        <scheme val="minor"/>
      </rPr>
      <t>P00100 (Docushare) V2</t>
    </r>
  </si>
  <si>
    <t>Scale up assay et ABX464 N gluco production (1,8Kg) - Prise en main &amp; Scale Up</t>
  </si>
  <si>
    <r>
      <rPr>
        <b/>
        <sz val="11"/>
        <rFont val="Calibri"/>
        <family val="2"/>
        <scheme val="minor"/>
      </rPr>
      <t>Amdt 1</t>
    </r>
    <r>
      <rPr>
        <sz val="11"/>
        <rFont val="Calibri"/>
        <family val="2"/>
        <scheme val="minor"/>
      </rPr>
      <t xml:space="preserve"> P17159-MPE-V3 - </t>
    </r>
    <r>
      <rPr>
        <b/>
        <sz val="11"/>
        <rFont val="Calibri"/>
        <family val="2"/>
        <scheme val="minor"/>
      </rPr>
      <t>P00316_2019</t>
    </r>
  </si>
  <si>
    <t>30% at the completion of Research Services Souris envoyée en 08/2018 ==&gt; + 12 mois</t>
  </si>
  <si>
    <t>Pas FNP normalement ils facture vite après la livraison</t>
  </si>
  <si>
    <t>Histopathology study on 20 marmosets signé en 01/2019</t>
  </si>
  <si>
    <r>
      <t xml:space="preserve">Quote SMCLMN01951726-2 - HCC - </t>
    </r>
    <r>
      <rPr>
        <b/>
        <sz val="11"/>
        <rFont val="Calibri"/>
        <family val="2"/>
        <scheme val="minor"/>
      </rPr>
      <t>P00233_2019</t>
    </r>
  </si>
  <si>
    <r>
      <t xml:space="preserve">Quote SMCLMN01951737-2 - NASH - </t>
    </r>
    <r>
      <rPr>
        <b/>
        <sz val="11"/>
        <rFont val="Calibri"/>
        <family val="2"/>
        <scheme val="minor"/>
      </rPr>
      <t>P00234_2019</t>
    </r>
  </si>
  <si>
    <t>C'était prévu en Juin ? Qu'en-est-il ? FNP ?</t>
  </si>
  <si>
    <t>PAS FNP S2 2019 vu avec DS</t>
  </si>
  <si>
    <t>EAE preclinical model - 40% Final Report</t>
  </si>
  <si>
    <t>NOD preclinical model - 60% - Diabet</t>
  </si>
  <si>
    <t>NOD preclinical model -  - Diabet 40% Final Report</t>
  </si>
  <si>
    <t>MTPT preclinical model - Parkinson 60%</t>
  </si>
  <si>
    <t>MTPT preclinical model - Parkinson  40% Final Report</t>
  </si>
  <si>
    <t>4 week cyno Determination of Homogeneity and Stab of dose formulations - 67% upon signature</t>
  </si>
  <si>
    <t>4 week cyno Determination of Homogeneity and Stab of dose formulations - 33% Draft Report</t>
  </si>
  <si>
    <t>06/2019 - Voir avec Joelle quand elle a fini de faire son check</t>
  </si>
  <si>
    <t>CEVQ2019.03.08 - PAS DE PO</t>
  </si>
  <si>
    <t xml:space="preserve"> Ocular examinations 9-month marmoset  Signé en Mars 2019</t>
  </si>
  <si>
    <t>In vitro study ABX464 onco screen - submission study report 40%</t>
  </si>
  <si>
    <t>FNP S1 2019</t>
  </si>
  <si>
    <t>Amrk180222 MSA_18040</t>
  </si>
  <si>
    <t>Point de stabilité n°1 - Mars 2019</t>
  </si>
  <si>
    <t>Point de stabilité n°2 - Juin 2019</t>
  </si>
  <si>
    <t>Point de stabilité n°3 - Octobre 2019</t>
  </si>
  <si>
    <t>Point de stabilité n°4 - Décembre 2019</t>
  </si>
  <si>
    <t>Amrk180222 MSA_18040 en plus Hors PO</t>
  </si>
  <si>
    <t>9 months cyno study - cost of animals - Upon signature</t>
  </si>
  <si>
    <t>9 months cyno study - au début de l'étude - W45 2019</t>
  </si>
  <si>
    <t>9 months cyno study - a + 3 mois - W6 2020</t>
  </si>
  <si>
    <t>9 months cyno study - a + 6 mois - W18 2020</t>
  </si>
  <si>
    <t>9 months cyno study - au draft report - W52 2020</t>
  </si>
  <si>
    <t>9 months cyno study - a + 9 mois - W31 2020</t>
  </si>
  <si>
    <t>tox-meta-9M</t>
  </si>
  <si>
    <r>
      <t>P17797-VF-V1 version 4Week -</t>
    </r>
    <r>
      <rPr>
        <b/>
        <sz val="11"/>
        <rFont val="Calibri"/>
        <family val="2"/>
        <scheme val="minor"/>
      </rPr>
      <t xml:space="preserve"> P00277_2019</t>
    </r>
  </si>
  <si>
    <t>INV FA007754 du 11/06/2019</t>
  </si>
  <si>
    <t>INV 1031905327 du 01/07/2019</t>
  </si>
  <si>
    <t>INV 108623 du 02/07/2019</t>
  </si>
  <si>
    <t>INV US034-0004153-INV du 30/03/2019</t>
  </si>
  <si>
    <t>Saisi sur Juin / Facture reçue tardivement</t>
  </si>
  <si>
    <t>INV 108601 du 21/06/2019  + INV 108626 du 02/07/2019</t>
  </si>
  <si>
    <t>INV 108556 du 14/05/2019 + INV 108601 du 21/06/2019 + INV 108626 du 02/07/2019</t>
  </si>
  <si>
    <t>INV 981950155274 du 26/02/2019</t>
  </si>
  <si>
    <t>Saisi sur Juin 2019</t>
  </si>
  <si>
    <t>FNP</t>
  </si>
  <si>
    <t>Central labs translational research - Durée 22 mois from Jun 2019 to Mar 2021</t>
  </si>
  <si>
    <t>vu avec Didier juin 2019</t>
  </si>
  <si>
    <t>Milestone franchi, FNP S1 2019</t>
  </si>
  <si>
    <t>FNP S1 2019 (signé fin juin)</t>
  </si>
  <si>
    <r>
      <t>L18_2631</t>
    </r>
    <r>
      <rPr>
        <b/>
        <sz val="11"/>
        <rFont val="Calibri"/>
        <family val="2"/>
        <scheme val="minor"/>
      </rPr>
      <t>A - P00114</t>
    </r>
    <r>
      <rPr>
        <sz val="11"/>
        <rFont val="Calibri"/>
        <family val="2"/>
        <scheme val="minor"/>
      </rPr>
      <t xml:space="preserve"> Bis</t>
    </r>
  </si>
  <si>
    <r>
      <t xml:space="preserve">L17_2498 A - </t>
    </r>
    <r>
      <rPr>
        <b/>
        <sz val="11"/>
        <rFont val="Calibri"/>
        <family val="2"/>
        <scheme val="minor"/>
      </rPr>
      <t>P00295</t>
    </r>
  </si>
  <si>
    <r>
      <t>L18_2534</t>
    </r>
    <r>
      <rPr>
        <b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P00013</t>
    </r>
  </si>
  <si>
    <r>
      <t>L18_2534</t>
    </r>
    <r>
      <rPr>
        <b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 xml:space="preserve"> - Surcout sur le </t>
    </r>
    <r>
      <rPr>
        <b/>
        <sz val="11"/>
        <rFont val="Calibri"/>
        <family val="2"/>
        <scheme val="minor"/>
      </rPr>
      <t>P00013</t>
    </r>
  </si>
  <si>
    <t>INV 1002173 du 26/06/2019</t>
  </si>
  <si>
    <t>Monthly fee - 25 410 € / mois (17 mois : 1 an et 5 mois) Juillet 2019</t>
  </si>
  <si>
    <t>Monthly fee - 25 410 € / mois (17 mois : 1 an et 5 mois) Aout 2019</t>
  </si>
  <si>
    <t>Monthly fee - 25 410 € / mois (17 mois : 1 an et 5 mois) Septembre 2019</t>
  </si>
  <si>
    <t>Monthly fee - 25 410 € / mois (17 mois : 1 an et 5 mois) Octobre 2019</t>
  </si>
  <si>
    <t>Monthly fee - 25 410 € / mois (17 mois : 1 an et 5 mois) Novembre 2019</t>
  </si>
  <si>
    <t>Monthly fee - 25 410 € / mois (17 mois : 1 an et 5 mois) Décembre 2019</t>
  </si>
  <si>
    <t>Monthly fee - 25 410 € / mois (17 mois : 1 an et 5 mois) 10 mois Restant 2020</t>
  </si>
  <si>
    <t>Monthly fee - 25 410 € / mois (17 mois : 1 an et 5 mois : Total :431 964 €) Juin 2019</t>
  </si>
  <si>
    <r>
      <t xml:space="preserve">MD-3-3-788-2619 Amdt 1 - </t>
    </r>
    <r>
      <rPr>
        <b/>
        <sz val="11"/>
        <rFont val="Calibri"/>
        <family val="2"/>
        <scheme val="minor"/>
      </rPr>
      <t>P00372_2019</t>
    </r>
  </si>
  <si>
    <t>Assesment in humain colon biopsies for cytokine biomarker via IHC 100% a signature</t>
  </si>
  <si>
    <t>vu avec LD le 03/07/2019</t>
  </si>
  <si>
    <t>Termimé</t>
  </si>
  <si>
    <t>C'est prévu sur Q3 2019</t>
  </si>
  <si>
    <t>les 8 000 € restant sont pour Aout 2019</t>
  </si>
  <si>
    <t>PTC due upon signature</t>
  </si>
  <si>
    <t>FACT BTW17802 du 31/07/2018 + Campagne n°2 QUAND ?</t>
  </si>
  <si>
    <t>FNP de 8 K€ pour PTC sur H1 2019 reçus en juillet 2019</t>
  </si>
  <si>
    <t>INV 5144119 du 13/06/2019 + Estimated handing &amp; shipping fees a venir</t>
  </si>
  <si>
    <t>2019 - Q2 Avril Mai Juin = 37,60 FTE + 45 153,96 € PTC</t>
  </si>
  <si>
    <t>INV PJ20190689 du 31/05/2019 (Avril Mai) + INV PJ20190893 du 28/06/2019 (Juin)</t>
  </si>
  <si>
    <t>FACT 00008496 du 27/11/2018 + FACT 00008580 du 18/12/2018 + FACT 00008694 du 05/02/2019 + FACT 00009150 du 01/07/2019</t>
  </si>
  <si>
    <t>Monthly fees n° 1 - Mai 2019</t>
  </si>
  <si>
    <t>Monthly fees n° 2 - Juin 2019</t>
  </si>
  <si>
    <t>Monthly fees n° 3 - Juillet 2019</t>
  </si>
  <si>
    <t>FNP S1 2019, attente mail client (envoyé le 27/06/2019) ?</t>
  </si>
  <si>
    <t>facture reçue</t>
  </si>
  <si>
    <t>PTC upfront 10%</t>
  </si>
  <si>
    <t>vu avec PG le 17/07/2019- fin software sep 2018</t>
  </si>
  <si>
    <t>Vu que la signature a été décalée à Juin j'ai décalé tout les milestones d'un mois : C'était pas la peine ils ont facturé upfront + mois n°1 en meme temps</t>
  </si>
  <si>
    <t>34394-WO005</t>
  </si>
  <si>
    <t>Delivery of CSR Shell - 30%</t>
  </si>
  <si>
    <t>Deliver of 1st Draft CSR - 50%</t>
  </si>
  <si>
    <t>Delivery of Final CSR - 20%</t>
  </si>
  <si>
    <t>+ 1 site Espagne</t>
  </si>
  <si>
    <t>2-week toxicity study in mice</t>
  </si>
  <si>
    <t>2-week toxicity study in Rats</t>
  </si>
  <si>
    <r>
      <t xml:space="preserve">Amdt 2 P17159-MPE-V3-SOURIS - </t>
    </r>
    <r>
      <rPr>
        <b/>
        <sz val="11"/>
        <rFont val="Calibri"/>
        <family val="2"/>
        <scheme val="minor"/>
      </rPr>
      <t>P00387_2019</t>
    </r>
  </si>
  <si>
    <r>
      <t>Amdt 2 P17159-MPE-V3-RATS -</t>
    </r>
    <r>
      <rPr>
        <b/>
        <sz val="11"/>
        <rFont val="Calibri"/>
        <family val="2"/>
        <scheme val="minor"/>
      </rPr>
      <t xml:space="preserve"> P00389_2019</t>
    </r>
  </si>
  <si>
    <r>
      <t xml:space="preserve">DEV000093 - </t>
    </r>
    <r>
      <rPr>
        <b/>
        <sz val="11"/>
        <rFont val="Calibri"/>
        <family val="2"/>
        <scheme val="minor"/>
      </rPr>
      <t>P00381_2019</t>
    </r>
  </si>
  <si>
    <t>Histology 4 month marmosets - Achats de materiel</t>
  </si>
  <si>
    <t>DLRC</t>
  </si>
  <si>
    <t>IND Submission ABX464</t>
  </si>
  <si>
    <t>P00378_2019</t>
  </si>
  <si>
    <t>INV 1320 du 03/07/2019</t>
  </si>
  <si>
    <t>INV 108641 du  18/07/2018</t>
  </si>
  <si>
    <t>Devis 2018-67-3</t>
  </si>
  <si>
    <r>
      <t>CEVQ2019.07.06 -</t>
    </r>
    <r>
      <rPr>
        <b/>
        <sz val="11"/>
        <rFont val="Calibri"/>
        <family val="2"/>
        <scheme val="minor"/>
      </rPr>
      <t xml:space="preserve"> P00393_2019</t>
    </r>
  </si>
  <si>
    <t>Toxicokinetic caluclation 7-day Cyno</t>
  </si>
  <si>
    <t>Methyaltion ABX464 onco - 50% a signature</t>
  </si>
  <si>
    <r>
      <t xml:space="preserve">Q-2019-1130 - </t>
    </r>
    <r>
      <rPr>
        <b/>
        <sz val="11"/>
        <rFont val="Calibri"/>
        <family val="2"/>
        <scheme val="minor"/>
      </rPr>
      <t>P00401_2019</t>
    </r>
  </si>
  <si>
    <t>Relative mir124,1 Expression analysis ABX464-102 blood - 50% a signature</t>
  </si>
  <si>
    <t>Relative mir124,1 Expression analysis ABX464-102 blood - 50% a livraison</t>
  </si>
  <si>
    <t>INV 69.19.18 du 18/07/2019</t>
  </si>
  <si>
    <t>INV ILO-000054 du 17/07/2019</t>
  </si>
  <si>
    <t>Toxicokinetic caluclation 4-week Cyno</t>
  </si>
  <si>
    <r>
      <t xml:space="preserve">Quote 70202923 - </t>
    </r>
    <r>
      <rPr>
        <b/>
        <sz val="11"/>
        <rFont val="Calibri"/>
        <family val="2"/>
        <scheme val="minor"/>
      </rPr>
      <t>P00403_2019</t>
    </r>
  </si>
  <si>
    <t>AV 19 0004 du 05/07/2019</t>
  </si>
  <si>
    <t>FA103190627 du 12/07/2019</t>
  </si>
  <si>
    <t>P00254_2019 V2</t>
  </si>
  <si>
    <r>
      <t xml:space="preserve">Production 30 Kg Octobre / Novembre 2019 - </t>
    </r>
    <r>
      <rPr>
        <strike/>
        <sz val="11"/>
        <rFont val="Calibri"/>
        <family val="2"/>
        <scheme val="minor"/>
      </rPr>
      <t xml:space="preserve">30% a la commande </t>
    </r>
    <r>
      <rPr>
        <sz val="11"/>
        <rFont val="Calibri"/>
        <family val="2"/>
        <scheme val="minor"/>
      </rPr>
      <t>ACOMPTE</t>
    </r>
  </si>
  <si>
    <t>AVOIR recu de 46 475€ en Nov + Risque 120 125 € de annulation frais : Devis recu le 10/07/2019</t>
  </si>
  <si>
    <t>les 6 000 € restant sont pour Aout 2019</t>
  </si>
  <si>
    <t>Amdt 2 P17159-MPE-V3-RABBIT - PAS DE PO</t>
  </si>
  <si>
    <t>7-days toxicity study in Rabbits</t>
  </si>
  <si>
    <t>Clincal ancilliaries and labelling services</t>
  </si>
  <si>
    <r>
      <t>Dev. E3661-U1801 CBCN amendement 1 -</t>
    </r>
    <r>
      <rPr>
        <b/>
        <sz val="11"/>
        <rFont val="Calibri"/>
        <family val="2"/>
        <scheme val="minor"/>
      </rPr>
      <t xml:space="preserve"> </t>
    </r>
    <r>
      <rPr>
        <b/>
        <strike/>
        <sz val="11"/>
        <rFont val="Calibri"/>
        <family val="2"/>
        <scheme val="minor"/>
      </rPr>
      <t>P00399_2019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P00406_2019</t>
    </r>
  </si>
  <si>
    <t>Methyaltion ABX464 onco - 10% Final report acceptance</t>
  </si>
  <si>
    <t>Methyaltion ABX464 onco - 40% submission study report</t>
  </si>
  <si>
    <r>
      <t>SRV-SM-ABX -</t>
    </r>
    <r>
      <rPr>
        <b/>
        <sz val="11"/>
        <rFont val="Calibri"/>
        <family val="2"/>
        <scheme val="minor"/>
      </rPr>
      <t xml:space="preserve"> P00409_2019</t>
    </r>
  </si>
  <si>
    <t>Report Wirting</t>
  </si>
  <si>
    <t>Audit</t>
  </si>
  <si>
    <r>
      <t xml:space="preserve">Devis 11922-2 - </t>
    </r>
    <r>
      <rPr>
        <b/>
        <sz val="11"/>
        <rFont val="Calibri"/>
        <family val="2"/>
        <scheme val="minor"/>
      </rPr>
      <t>P00408_2019</t>
    </r>
  </si>
  <si>
    <t>Etude Clinique UC 104 Conditionnement secondaire - Achat des livrets</t>
  </si>
  <si>
    <t>Etude Clinique UC 104 Conditionnement secondaire - Conditionnement Clinique</t>
  </si>
  <si>
    <t>Etude Clinique UC 104 Conditionnement secondaire - Conservation dossier</t>
  </si>
  <si>
    <t>Etude Clinique UC 104 Conditionnement secondaire - Certification</t>
  </si>
  <si>
    <r>
      <t>Quote SMCLMN01960650-1 - Add cost to Quote SMCLMN01951737-2 - NASH -</t>
    </r>
    <r>
      <rPr>
        <b/>
        <sz val="11"/>
        <rFont val="Calibri"/>
        <family val="2"/>
        <scheme val="minor"/>
      </rPr>
      <t xml:space="preserve"> P00414_2019</t>
    </r>
  </si>
  <si>
    <t>IV-0719904-ABI du 31/07/2019</t>
  </si>
  <si>
    <t>UC104 WO5 au MSA 20181211</t>
  </si>
  <si>
    <t>RA-302 WO4 au MSA 20181211</t>
  </si>
  <si>
    <t>Date facture</t>
  </si>
  <si>
    <t>RA ABX464-302 WO006</t>
  </si>
  <si>
    <t>RA302 - WO006 - PTC - reg submissions</t>
  </si>
  <si>
    <t>RA302 - WO006 - PTC - SIVs</t>
  </si>
  <si>
    <t>RA302 - WO006 - PTC - sites set-up fees</t>
  </si>
  <si>
    <t>RA302 - WO006 - PTC - eTMF</t>
  </si>
  <si>
    <t>RA302 - WO006 - MONTHLY MANAGMENT FEES - Août 2019</t>
  </si>
  <si>
    <t>RA302 - WO006 - MONTHLY MANAGMENT FEES</t>
  </si>
  <si>
    <t>RA302 - WO006 - PTC - investigators fees S1 2020</t>
  </si>
  <si>
    <t>RA302 - WO006 - PTC - investigators fees S2 2020</t>
  </si>
  <si>
    <t>Q3/Q4 2019</t>
  </si>
  <si>
    <t>tox-meta-39W</t>
  </si>
  <si>
    <r>
      <t>DEV000101 -</t>
    </r>
    <r>
      <rPr>
        <b/>
        <sz val="11"/>
        <color theme="1"/>
        <rFont val="Calibri"/>
        <family val="2"/>
        <scheme val="minor"/>
      </rPr>
      <t xml:space="preserve"> P00411_2019</t>
    </r>
  </si>
  <si>
    <t>Histology 4 month marmosets - Acompte</t>
  </si>
  <si>
    <t>Histology 4 month marmosets - Solde</t>
  </si>
  <si>
    <r>
      <t xml:space="preserve">CEVQ2019.08.01 - </t>
    </r>
    <r>
      <rPr>
        <b/>
        <sz val="11"/>
        <rFont val="Calibri"/>
        <family val="2"/>
        <scheme val="minor"/>
      </rPr>
      <t>P00416_2019</t>
    </r>
  </si>
  <si>
    <t>Toxicokinetic caluclation 17-week marmoset</t>
  </si>
  <si>
    <t>RA302 - WO006 - MONTHLY MANAGMENT FEES - Janvier 2020</t>
  </si>
  <si>
    <t>RA302 - WO006 - MONTHLY MANAGMENT FEES - Août 2020</t>
  </si>
  <si>
    <t>RA302 - WO006 - MONTHLY MANAGMENT FEES - Janvier 2021</t>
  </si>
  <si>
    <t>RA302 - WO006 - MONTHLY MANAGMENT FEES - Août 2021</t>
  </si>
  <si>
    <t>INV 108712</t>
  </si>
  <si>
    <t>N° de facture</t>
  </si>
  <si>
    <t>INV 108571</t>
  </si>
  <si>
    <t>INV 108581</t>
  </si>
  <si>
    <t>INV 108619</t>
  </si>
  <si>
    <t>INV 108665</t>
  </si>
  <si>
    <t>22/05/2019</t>
  </si>
  <si>
    <t>03/06/2019</t>
  </si>
  <si>
    <t>01/07/2019</t>
  </si>
  <si>
    <t>01/08/2019</t>
  </si>
  <si>
    <t>INV 108711</t>
  </si>
  <si>
    <t>RA302 - LOA - All submission performed - ANNULE VIA WO006</t>
  </si>
  <si>
    <t>INV 108690</t>
  </si>
  <si>
    <t>INV 108585</t>
  </si>
  <si>
    <t>INV 108587</t>
  </si>
  <si>
    <t>INV 108617</t>
  </si>
  <si>
    <t>INV 108664</t>
  </si>
  <si>
    <t xml:space="preserve">INV 108586 </t>
  </si>
  <si>
    <t>INV 108701</t>
  </si>
  <si>
    <t>INV 108688</t>
  </si>
  <si>
    <t>INV US034-0003990-INV</t>
  </si>
  <si>
    <t xml:space="preserve"> du 22/02/2019</t>
  </si>
  <si>
    <t>INV US034-0003895-INV</t>
  </si>
  <si>
    <t xml:space="preserve"> du 28/02/2019</t>
  </si>
  <si>
    <t>INV US034-0003955-INV</t>
  </si>
  <si>
    <t xml:space="preserve"> du 17/01/2019</t>
  </si>
  <si>
    <t>INV US034-0003719-INV</t>
  </si>
  <si>
    <r>
      <rPr>
        <sz val="11"/>
        <color rgb="FFFF0000"/>
        <rFont val="Calibri"/>
        <family val="2"/>
        <scheme val="minor"/>
      </rPr>
      <t>Juillet (INV 108298 + AV a venir)</t>
    </r>
    <r>
      <rPr>
        <sz val="11"/>
        <rFont val="Calibri"/>
        <family val="2"/>
        <scheme val="minor"/>
      </rPr>
      <t xml:space="preserve"> + Aout (INV 108299) + Septembre (INV 108306) + Octobre (INV 108335) + Novembre (INV 108366) + Decembre (108413) + Janvier (INV 108450) + Fevrier (INV 108488) + Mars (INV 108514) + Avril (INV 108545) + Mai (108580) + Juin (108618) Juillet (108660)</t>
    </r>
    <r>
      <rPr>
        <sz val="11"/>
        <color rgb="FFFF0000"/>
        <rFont val="Calibri"/>
        <family val="2"/>
        <scheme val="minor"/>
      </rPr>
      <t xml:space="preserve"> + Aout(108713)</t>
    </r>
    <r>
      <rPr>
        <sz val="11"/>
        <rFont val="Calibri"/>
        <family val="2"/>
        <scheme val="minor"/>
      </rPr>
      <t xml:space="preserve"> - Avoir (AV 204563)</t>
    </r>
  </si>
  <si>
    <t>INV FRA-001724</t>
  </si>
  <si>
    <t xml:space="preserve">INV 0001019000162 RI </t>
  </si>
  <si>
    <t xml:space="preserve">INV 0001019000065 RI </t>
  </si>
  <si>
    <t xml:space="preserve">INV 0001018003184 RI </t>
  </si>
  <si>
    <t>INV 0001019002342RI</t>
  </si>
  <si>
    <t>INV 1906089</t>
  </si>
  <si>
    <t>INV 1907001</t>
  </si>
  <si>
    <t>INV 1908001</t>
  </si>
  <si>
    <t>INV 1986</t>
  </si>
  <si>
    <t>INV 2046</t>
  </si>
  <si>
    <t>INV 73.19.22 + INV 76.19.25</t>
  </si>
  <si>
    <t>02/09/2019 + 05/09/2019</t>
  </si>
  <si>
    <r>
      <t xml:space="preserve">Devis 466707 - </t>
    </r>
    <r>
      <rPr>
        <b/>
        <sz val="11"/>
        <rFont val="Calibri"/>
        <family val="2"/>
        <scheme val="minor"/>
      </rPr>
      <t>P00417_2019</t>
    </r>
  </si>
  <si>
    <t>Cryotube + étiquettes pur essai clinique ABX4646-301</t>
  </si>
  <si>
    <t>Services + PTC - ANNULE</t>
  </si>
  <si>
    <t>INV I-2019-959</t>
  </si>
  <si>
    <t>INV I-2019-958</t>
  </si>
  <si>
    <t>INV 19.06.656</t>
  </si>
  <si>
    <t>INV 10014626</t>
  </si>
  <si>
    <t>INV 1305</t>
  </si>
  <si>
    <t>INV 69663</t>
  </si>
  <si>
    <t>INV 69662</t>
  </si>
  <si>
    <t>INV FRA-001701</t>
  </si>
  <si>
    <t>décalage suite reunion PG 05/09/19</t>
  </si>
  <si>
    <t>INV FRA-001730</t>
  </si>
  <si>
    <t>INV 5147569 + INV 5147586</t>
  </si>
  <si>
    <t>01/08/2019 + 01/08/2019</t>
  </si>
  <si>
    <t>Packaging - I.</t>
  </si>
  <si>
    <t>Labeling Services - II.</t>
  </si>
  <si>
    <t>Inventory Management - III.</t>
  </si>
  <si>
    <t>Distribution - IV.</t>
  </si>
  <si>
    <t>Total Transportation Mangement - V.</t>
  </si>
  <si>
    <r>
      <t xml:space="preserve">Quote 702072388 - </t>
    </r>
    <r>
      <rPr>
        <b/>
        <sz val="11"/>
        <rFont val="Calibri"/>
        <family val="2"/>
        <scheme val="minor"/>
      </rPr>
      <t>P00420_2019</t>
    </r>
  </si>
  <si>
    <t>Maintenance Machine Labo 2019-2020</t>
  </si>
  <si>
    <t>RA301</t>
  </si>
  <si>
    <t>HARMSON CONSULTING</t>
  </si>
  <si>
    <r>
      <t xml:space="preserve">Quote du 08/09/2019 - </t>
    </r>
    <r>
      <rPr>
        <b/>
        <sz val="11"/>
        <rFont val="Calibri"/>
        <family val="2"/>
        <scheme val="minor"/>
      </rPr>
      <t>P00421_2019</t>
    </r>
  </si>
  <si>
    <t>INV 11753</t>
  </si>
  <si>
    <t>INV 108668</t>
  </si>
  <si>
    <t>INV 1367</t>
  </si>
  <si>
    <r>
      <t xml:space="preserve">EVT09090 - </t>
    </r>
    <r>
      <rPr>
        <b/>
        <sz val="11"/>
        <rFont val="Calibri"/>
        <family val="2"/>
        <scheme val="minor"/>
      </rPr>
      <t>P00423_2019</t>
    </r>
  </si>
  <si>
    <t>Early polymorphism screenong N Glucuronide</t>
  </si>
  <si>
    <t>Devis 11775-1 -mail du 16/09/2019</t>
  </si>
  <si>
    <t>INV PJ20191344</t>
  </si>
  <si>
    <t>INV 19F0392</t>
  </si>
  <si>
    <t>INV 19F0034</t>
  </si>
  <si>
    <t>INV 19F0400</t>
  </si>
  <si>
    <t>INV 1909001</t>
  </si>
  <si>
    <r>
      <t xml:space="preserve">1807132 Rev.01 - </t>
    </r>
    <r>
      <rPr>
        <b/>
        <sz val="11"/>
        <rFont val="Calibri"/>
        <family val="2"/>
        <scheme val="minor"/>
      </rPr>
      <t>P00422_2019</t>
    </r>
  </si>
  <si>
    <t>INV CJB77501</t>
  </si>
  <si>
    <t>INV 2560249 du 12/06/2019 + INV 2562000 du 14/06/2019 + INV 2562926 du 17/06/2019 + INV 2565392 du 20/06/2019 + INV 2612734 du 19/09/2019</t>
  </si>
  <si>
    <t>INV FA007923</t>
  </si>
  <si>
    <t>INV EC1906010</t>
  </si>
  <si>
    <t>INV EC1908116</t>
  </si>
  <si>
    <t>INV EC1906010 + INV EC1908116</t>
  </si>
  <si>
    <t>30/06/2019 + 30/08/2019</t>
  </si>
  <si>
    <t>INV SMCLMN5-19234-8</t>
  </si>
  <si>
    <t>INV SMCLMN6-19051-6</t>
  </si>
  <si>
    <t>INV SMCLMN5-19233-7</t>
  </si>
  <si>
    <t>INV SMCLMN16-19069-4</t>
  </si>
  <si>
    <t>INV SMCLMNI6-19099-4</t>
  </si>
  <si>
    <t>2019 - Q4 (10 FTE * 180 000 /4)/3</t>
  </si>
  <si>
    <t>2019 - Q3 (10 FTE * 180 000 /4)/3</t>
  </si>
  <si>
    <t>2020 - Q1 (20 FTE * 180 000 /4)/3</t>
  </si>
  <si>
    <t>INV PJ20191018</t>
  </si>
  <si>
    <t>INV PJ20191300</t>
  </si>
  <si>
    <t>INV PJ20180687</t>
  </si>
  <si>
    <t>INV PJ20190478</t>
  </si>
  <si>
    <t>INV PJ20190813</t>
  </si>
  <si>
    <t>INV PJ20181749</t>
  </si>
  <si>
    <t>INV PJ20190207</t>
  </si>
  <si>
    <t>INV PJ20181749 +  INV PJ20190207</t>
  </si>
  <si>
    <t>31/12/2018 + 28/02/2019</t>
  </si>
  <si>
    <t>INV PJ20181749 + INV PJ20190207</t>
  </si>
  <si>
    <t xml:space="preserve">Q42018 - INV 2018-24 </t>
  </si>
  <si>
    <t>Q42018 - INV 2018-24 + INV2019-45</t>
  </si>
  <si>
    <t>12/10/2018 + 31/12/2018</t>
  </si>
  <si>
    <t>Q3&amp;Q42018 - INV2019-45</t>
  </si>
  <si>
    <t xml:space="preserve">INV 108577 </t>
  </si>
  <si>
    <t>INV 108577</t>
  </si>
  <si>
    <t>FACT ABI/2018/08/01 + FACT ABI/2018/08/03 + FACT ABI/2018/09/01 + FACT ABI/2018/10/02 + FACT ABI/2018/11/02 + FACT ABI/2018/12/02</t>
  </si>
  <si>
    <t xml:space="preserve">2018 - Clinical monitoring services </t>
  </si>
  <si>
    <t>2018 - Clinical monitoring PTC</t>
  </si>
  <si>
    <t>FACT ABI/2018/08/01 + FACT ABI/2018/08/03 + FACT ABI/2018/09/01 + FACT ABI/2018/11/02 + FACT ABI/2018/12/02</t>
  </si>
  <si>
    <t>2019 - Clinical monitoring services</t>
  </si>
  <si>
    <t>PG : Croissance exponentielle start Juillet 2019 =&gt; Aout 2020
Voir avec JN comment répartir mensuel (26/09/2019) - a faire valider par PG</t>
  </si>
  <si>
    <r>
      <t xml:space="preserve">DV-ABI-0919-858 - </t>
    </r>
    <r>
      <rPr>
        <b/>
        <sz val="11"/>
        <rFont val="Calibri"/>
        <family val="2"/>
        <scheme val="minor"/>
      </rPr>
      <t>P00428_2019</t>
    </r>
  </si>
  <si>
    <t>Rapatriement faeces + sérum étude 101</t>
  </si>
  <si>
    <t>Conservation 3 mois</t>
  </si>
  <si>
    <r>
      <t>ATL-19/4160 -</t>
    </r>
    <r>
      <rPr>
        <b/>
        <sz val="11"/>
        <rFont val="Calibri"/>
        <family val="2"/>
        <scheme val="minor"/>
      </rPr>
      <t xml:space="preserve"> P00426_2019</t>
    </r>
  </si>
  <si>
    <t>Achat Matrix Controle 9-month Marmosets</t>
  </si>
  <si>
    <t>INV FA007885</t>
  </si>
  <si>
    <t>INV FA007771</t>
  </si>
  <si>
    <t>INV FA007770</t>
  </si>
  <si>
    <t>INV FA007783</t>
  </si>
  <si>
    <t>INV FA007784</t>
  </si>
  <si>
    <t>INV FA007767</t>
  </si>
  <si>
    <t>INV FA007794</t>
  </si>
  <si>
    <t>INV FA007577</t>
  </si>
  <si>
    <t>INV FA007631</t>
  </si>
  <si>
    <t>INV FA007595</t>
  </si>
  <si>
    <t>INV FA007768</t>
  </si>
  <si>
    <t>INV FA007632</t>
  </si>
  <si>
    <t>INV FA007731</t>
  </si>
  <si>
    <t>INV FA007633</t>
  </si>
  <si>
    <t>INV FA007667</t>
  </si>
  <si>
    <t>INV FA007744</t>
  </si>
  <si>
    <t>INV FA007754</t>
  </si>
  <si>
    <r>
      <t xml:space="preserve">ATL-19/4187 - </t>
    </r>
    <r>
      <rPr>
        <b/>
        <sz val="11"/>
        <rFont val="Calibri"/>
        <family val="2"/>
        <scheme val="minor"/>
      </rPr>
      <t>P00427_2019</t>
    </r>
  </si>
  <si>
    <t>LCMS determination ABX464 N Glu in Dose form stab study - 100% a signature</t>
  </si>
  <si>
    <r>
      <t>Devis complémentaire n°2 2019-2-</t>
    </r>
    <r>
      <rPr>
        <b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P00391_2019</t>
    </r>
  </si>
  <si>
    <r>
      <t>Devis complémentaire n°3 2019-2-</t>
    </r>
    <r>
      <rPr>
        <b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P00392_2019</t>
    </r>
  </si>
  <si>
    <t>Devis complémentaire n°1 au devis 2019-2-3 - Pas De PO - Pas Signé (09/2019)</t>
  </si>
  <si>
    <t>INV 18F0553</t>
  </si>
  <si>
    <t>INV 19F0114</t>
  </si>
  <si>
    <t>INV 19F0191</t>
  </si>
  <si>
    <t>INV 19F0018</t>
  </si>
  <si>
    <t>INV 19F0055</t>
  </si>
  <si>
    <t xml:space="preserve">INV 19F0166 + INV 19F0173 </t>
  </si>
  <si>
    <t>Amdt 2 P15775-MCV-V3</t>
  </si>
  <si>
    <r>
      <t xml:space="preserve">Amdt  1 P17797-VF-V2_A1 - </t>
    </r>
    <r>
      <rPr>
        <b/>
        <sz val="11"/>
        <rFont val="Calibri"/>
        <family val="2"/>
        <scheme val="minor"/>
      </rPr>
      <t>P00317_2019</t>
    </r>
  </si>
  <si>
    <t>Amdt 2 P17797-VF-V2_A2</t>
  </si>
  <si>
    <t>INV 69282</t>
  </si>
  <si>
    <t>4 week cyno study with NGLU -  TK data anaysis</t>
  </si>
  <si>
    <t>INV 69936</t>
  </si>
  <si>
    <t>Amdt 1 P17797-VF-V1 version 4Week</t>
  </si>
  <si>
    <t>4 week cyno study with NGLU - chemical analysis no performed at Citoxlab France</t>
  </si>
  <si>
    <t>4 week cyno study with NGLU -Concentration analysis on formualion on 2 occasion - ANNULE VIA Amdt 1</t>
  </si>
  <si>
    <t>4 week toxicity study in Cynomolgus monkeys followed by 1-week - Add cost</t>
  </si>
  <si>
    <t>4 week cyno study with NGLU - Validation chimical analysis for formulation GLP STUDY</t>
  </si>
  <si>
    <t>4 week cyno study with NGLU - Report with quality control</t>
  </si>
  <si>
    <r>
      <t xml:space="preserve">Amdt 2 P17797 VF V1 Version 4Week - </t>
    </r>
    <r>
      <rPr>
        <b/>
        <sz val="11"/>
        <rFont val="Calibri"/>
        <family val="2"/>
        <scheme val="minor"/>
      </rPr>
      <t>P00425_2019</t>
    </r>
  </si>
  <si>
    <t>INV 11661</t>
  </si>
  <si>
    <t>INV 11695</t>
  </si>
  <si>
    <t>INV 11700</t>
  </si>
  <si>
    <t>INV 11721</t>
  </si>
  <si>
    <t>DEPOSIT 400 000 USD - LOI INVOICED</t>
  </si>
  <si>
    <t>INV 11769</t>
  </si>
  <si>
    <t>INV FRA-001743</t>
  </si>
  <si>
    <t>INV FRA-001653</t>
  </si>
  <si>
    <t>INV FRA-001654</t>
  </si>
  <si>
    <t>INV FRA-001659</t>
  </si>
  <si>
    <t>INV FRA-001662</t>
  </si>
  <si>
    <t>INV FRA-001692</t>
  </si>
  <si>
    <t xml:space="preserve">INV FRA-001655 + INV FRA-001660 </t>
  </si>
  <si>
    <t>07/02/2019 + 07/03/2019</t>
  </si>
  <si>
    <t>AMM : 100 000 € SI CONCLUANT - Projet terminé fin 2019 100 000 €</t>
  </si>
  <si>
    <t>Phase III : 50 000 €  - Projet terminé fin 2019 50 000 €</t>
  </si>
  <si>
    <t>Phase II : 25 000 €  - Projet terminé fin 2019 25 500 €</t>
  </si>
  <si>
    <t>Fisrt -in-man : 10 000 €  - Projet terminé fin 2019 10 000 €</t>
  </si>
  <si>
    <t>20 000 € / an first time 09/12/2017 5 annuités</t>
  </si>
  <si>
    <t>PROD 5L (23500-7200+300)</t>
  </si>
  <si>
    <t>ADDITIONAL PROD PROD ZAIRE 9 &amp; 11 mg 30 800 €</t>
  </si>
  <si>
    <t>WP1.7
Note that Project Proposal 18/02/2017 WP 1.7 “Development of filtration ( 0,2 um filtration + nanofiltration + 0,2 um filtration) will be performed when the project proposal of 16/05/2017 (process upscaling &amp; 10L scale run) will be activated.
8 850 €</t>
  </si>
  <si>
    <t>1 ELISA Plate 6600 €</t>
  </si>
  <si>
    <t>Cf Mail RS du 26/09/2019</t>
  </si>
  <si>
    <t>Mainteance des sondes - 30% a siganture</t>
  </si>
  <si>
    <t>Mainteance des sondes - 70% 30 jours après</t>
  </si>
  <si>
    <r>
      <t>Quote OD719716</t>
    </r>
    <r>
      <rPr>
        <b/>
        <sz val="11"/>
        <rFont val="Calibri"/>
        <family val="2"/>
        <scheme val="minor"/>
      </rPr>
      <t xml:space="preserve"> - P00434_2019</t>
    </r>
  </si>
  <si>
    <r>
      <t xml:space="preserve">Quote OD719716 </t>
    </r>
    <r>
      <rPr>
        <b/>
        <sz val="11"/>
        <rFont val="Calibri"/>
        <family val="2"/>
        <scheme val="minor"/>
      </rPr>
      <t>- P00434_2019</t>
    </r>
  </si>
  <si>
    <t>9-month Cyno Ocular exam - Pretreatment</t>
  </si>
  <si>
    <t>9-month Cyno Ocular exam - 6 months</t>
  </si>
  <si>
    <t>9-month Cyno Ocular exam - End of treatment</t>
  </si>
  <si>
    <t xml:space="preserve">Extension du Devis 11751 - Hors PO </t>
  </si>
  <si>
    <t>Etude Clinique RA 301 Extension : Impression étiquettes (300)</t>
  </si>
  <si>
    <t>Etude Clinique RA 301 Extension : Coût Fixe</t>
  </si>
  <si>
    <t>Etude Clinique RA 301 Extension : Coût par traitement : 0,74€*300</t>
  </si>
  <si>
    <t>Add cost : Mail de JD du 04/09/2019</t>
  </si>
  <si>
    <r>
      <t xml:space="preserve">EVT09126 - </t>
    </r>
    <r>
      <rPr>
        <b/>
        <sz val="11"/>
        <rFont val="Calibri"/>
        <family val="2"/>
        <scheme val="minor"/>
      </rPr>
      <t>P00431_2019</t>
    </r>
  </si>
  <si>
    <t>WP1 - Screenng Selection and Scale up of Amorphous dispersion</t>
  </si>
  <si>
    <t>WP2 - Screenng Selection and Scale up of Amorphous dispersion</t>
  </si>
  <si>
    <r>
      <t xml:space="preserve">ZNA78289 - </t>
    </r>
    <r>
      <rPr>
        <b/>
        <sz val="11"/>
        <rFont val="Calibri"/>
        <family val="2"/>
        <scheme val="minor"/>
      </rPr>
      <t>P00432_2019</t>
    </r>
  </si>
  <si>
    <t>APTUIT - EVOTEC</t>
  </si>
  <si>
    <t>Preparation of amorphous solid dispersion by Spray drying - a signature</t>
  </si>
  <si>
    <t>Preparation of amorphous solid dispersion by Spray drying - au rapport</t>
  </si>
  <si>
    <r>
      <t xml:space="preserve">EVT09141 - </t>
    </r>
    <r>
      <rPr>
        <b/>
        <sz val="11"/>
        <rFont val="Calibri"/>
        <family val="2"/>
        <scheme val="minor"/>
      </rPr>
      <t>P00439_2019</t>
    </r>
  </si>
  <si>
    <t>Solid state caracterization of ABX464 Capsules - Upon completion</t>
  </si>
  <si>
    <t>INV 21901217</t>
  </si>
  <si>
    <t>INV 108744</t>
  </si>
  <si>
    <t xml:space="preserve"> du 28/09/2019</t>
  </si>
  <si>
    <t>INV 108675</t>
  </si>
  <si>
    <t>INV 108743</t>
  </si>
  <si>
    <t>INV PJ20191389</t>
  </si>
  <si>
    <t>INV 2018051</t>
  </si>
  <si>
    <t xml:space="preserve">INV 2018051 </t>
  </si>
  <si>
    <t>INV 10000500</t>
  </si>
  <si>
    <t>INV 10001641  + majoration de 993 €</t>
  </si>
  <si>
    <t>INV 10000624</t>
  </si>
  <si>
    <t>Majoration a venir sur T9  venue  : + 2953€</t>
  </si>
  <si>
    <t>INV 10000499</t>
  </si>
  <si>
    <r>
      <t xml:space="preserve">L19_2871B - </t>
    </r>
    <r>
      <rPr>
        <b/>
        <sz val="11"/>
        <rFont val="Calibri"/>
        <family val="2"/>
        <scheme val="minor"/>
      </rPr>
      <t>P00313_2019</t>
    </r>
  </si>
  <si>
    <t>Etude de Stabilité ICH lot clinique 80591 - T0</t>
  </si>
  <si>
    <t>Etude de Stabilité ICH lot clinique 80591 - T3M</t>
  </si>
  <si>
    <t>Etude de Stabilité ICH lot clinique 80591 - T6M</t>
  </si>
  <si>
    <t>Etude de Stabilité ICH lot clinique 80591 - T9M</t>
  </si>
  <si>
    <t>Etude de Stabilité ICH lot clinique 80591 - T12M</t>
  </si>
  <si>
    <t>Etude de Stabilité ICH lot clinique 80591 - T24M</t>
  </si>
  <si>
    <t>Etude de Stabilité ICH lot clinique 80591 - T36M</t>
  </si>
  <si>
    <t>Etude de Stabilité ICH lot clinique 80591 - T18M</t>
  </si>
  <si>
    <t>Management de Projet pour ? mois - 1 mois = 820</t>
  </si>
  <si>
    <t>INV 10001950</t>
  </si>
  <si>
    <t>INV 100021296</t>
  </si>
  <si>
    <t>INV 10000231</t>
  </si>
  <si>
    <t>INV 10000165</t>
  </si>
  <si>
    <t>INV 10001950 + INV 10000165</t>
  </si>
  <si>
    <t>28/05/2019 + 31/07/2019</t>
  </si>
  <si>
    <t>INV 1000498</t>
  </si>
  <si>
    <r>
      <t xml:space="preserve">CEVQ2019.10.02 - </t>
    </r>
    <r>
      <rPr>
        <b/>
        <sz val="11"/>
        <rFont val="Calibri"/>
        <family val="2"/>
        <scheme val="minor"/>
      </rPr>
      <t>P00444_2019</t>
    </r>
  </si>
  <si>
    <t>4-week Cyno - Calcul TK</t>
  </si>
  <si>
    <r>
      <t xml:space="preserve">Quote 70209774 - </t>
    </r>
    <r>
      <rPr>
        <b/>
        <sz val="11"/>
        <rFont val="Calibri"/>
        <family val="2"/>
        <scheme val="minor"/>
      </rPr>
      <t>P00443_2019</t>
    </r>
  </si>
  <si>
    <t>INV 2101</t>
  </si>
  <si>
    <t>PAS DE PO - Cf email AP à DB et HE</t>
  </si>
  <si>
    <t>+ 123 000 £ cout total 215 000 £</t>
  </si>
  <si>
    <t>INV 192262/CR</t>
  </si>
  <si>
    <t xml:space="preserve"> du 25/10/2018</t>
  </si>
  <si>
    <t>INV 182258/CR</t>
  </si>
  <si>
    <t xml:space="preserve">INV 182588/CR </t>
  </si>
  <si>
    <t xml:space="preserve"> INV 190018/CR </t>
  </si>
  <si>
    <t>INV 190019/CR</t>
  </si>
  <si>
    <t xml:space="preserve"> du 20/11/2018</t>
  </si>
  <si>
    <t>INV 182471/CR</t>
  </si>
  <si>
    <t>INV 190317/VT</t>
  </si>
  <si>
    <t xml:space="preserve"> du 09/05/2019</t>
  </si>
  <si>
    <t>INV 191038/CR</t>
  </si>
  <si>
    <t>INV 190682/CR</t>
  </si>
  <si>
    <t xml:space="preserve"> du 03/06/2019</t>
  </si>
  <si>
    <t>INV 191225/CR</t>
  </si>
  <si>
    <t xml:space="preserve"> du 06/06/2019</t>
  </si>
  <si>
    <t>INV 191273/CR</t>
  </si>
  <si>
    <t>du 25/10/2018</t>
  </si>
  <si>
    <t xml:space="preserve">INV 182259/CR </t>
  </si>
  <si>
    <t>INV 182257/CR</t>
  </si>
  <si>
    <t>INV 182470/CR</t>
  </si>
  <si>
    <t>INV 182469/CR</t>
  </si>
  <si>
    <t xml:space="preserve">INV 182469/CR </t>
  </si>
  <si>
    <t>INV 14437</t>
  </si>
  <si>
    <r>
      <t>Quote du 05/10/2019 -</t>
    </r>
    <r>
      <rPr>
        <b/>
        <sz val="11"/>
        <rFont val="Calibri"/>
        <family val="2"/>
        <scheme val="minor"/>
      </rPr>
      <t xml:space="preserve"> P00445_2019</t>
    </r>
  </si>
  <si>
    <r>
      <t xml:space="preserve">W17 (WO2019#4) - </t>
    </r>
    <r>
      <rPr>
        <b/>
        <sz val="11"/>
        <rFont val="Calibri"/>
        <family val="2"/>
        <scheme val="minor"/>
      </rPr>
      <t>P00269_2019</t>
    </r>
  </si>
  <si>
    <r>
      <t xml:space="preserve">W18 (WO2019#5) - </t>
    </r>
    <r>
      <rPr>
        <b/>
        <sz val="11"/>
        <rFont val="Calibri"/>
        <family val="2"/>
        <scheme val="minor"/>
      </rPr>
      <t>P00442_2019</t>
    </r>
  </si>
  <si>
    <t>Développement chimique : Isolement : 100% Rapport V1</t>
  </si>
  <si>
    <t>W18 (WO2019#5) - Pas de PO</t>
  </si>
  <si>
    <t>INV FA-201910115</t>
  </si>
  <si>
    <t>INV FA-201904036</t>
  </si>
  <si>
    <t xml:space="preserve">INV FA-201906079 </t>
  </si>
  <si>
    <t xml:space="preserve">INV FA-201902010 </t>
  </si>
  <si>
    <t>INV FA-201811160</t>
  </si>
  <si>
    <t xml:space="preserve">INV FA-201901001 </t>
  </si>
  <si>
    <t>INV FA-201811161 (Prestation déjà réalisée)</t>
  </si>
  <si>
    <t xml:space="preserve">INV FA-201811162 </t>
  </si>
  <si>
    <t>INV FA-201811163</t>
  </si>
  <si>
    <t>INV FA-201806094</t>
  </si>
  <si>
    <t>INV FA-201910116</t>
  </si>
  <si>
    <t>INV 1031907711</t>
  </si>
  <si>
    <r>
      <t xml:space="preserve">Amdt 3 P17797 VF V1 Version 4Week - </t>
    </r>
    <r>
      <rPr>
        <b/>
        <sz val="11"/>
        <rFont val="Calibri"/>
        <family val="2"/>
        <scheme val="minor"/>
      </rPr>
      <t>P00446_2019</t>
    </r>
  </si>
  <si>
    <t>2019 - Clinical monitoring PTC</t>
  </si>
  <si>
    <t>INV 11751 + INV 11770</t>
  </si>
  <si>
    <t>08/08/2019 + 09/10/2019</t>
  </si>
  <si>
    <r>
      <t xml:space="preserve">Quote PSG-A-1010356.V1 - </t>
    </r>
    <r>
      <rPr>
        <b/>
        <sz val="11"/>
        <rFont val="Calibri"/>
        <family val="2"/>
        <scheme val="minor"/>
      </rPr>
      <t>P00406_2019</t>
    </r>
  </si>
  <si>
    <t xml:space="preserve">INV 67513 du </t>
  </si>
  <si>
    <t xml:space="preserve">INV 68322 du </t>
  </si>
  <si>
    <t>17/04/2018 (animal cost)20/11/2018</t>
  </si>
  <si>
    <t>INV 66984 + AV 68161</t>
  </si>
  <si>
    <t>INV 68190</t>
  </si>
  <si>
    <t xml:space="preserve">INV 67952 du </t>
  </si>
  <si>
    <t xml:space="preserve">INV 68060 du </t>
  </si>
  <si>
    <t xml:space="preserve">INV 68373 du </t>
  </si>
  <si>
    <t xml:space="preserve">INV 68976 du </t>
  </si>
  <si>
    <t xml:space="preserve">INV 68371 du </t>
  </si>
  <si>
    <t xml:space="preserve">INV 68607 du </t>
  </si>
  <si>
    <t xml:space="preserve">INV 68830 du </t>
  </si>
  <si>
    <t xml:space="preserve"> 21/01/2019</t>
  </si>
  <si>
    <t>INV 68606 du</t>
  </si>
  <si>
    <t xml:space="preserve">INV 68831 du </t>
  </si>
  <si>
    <t xml:space="preserve">INV 68354 du </t>
  </si>
  <si>
    <t xml:space="preserve">INV 68777 du </t>
  </si>
  <si>
    <t xml:space="preserve">INV 69682 du </t>
  </si>
  <si>
    <t xml:space="preserve">INV 69277 du </t>
  </si>
  <si>
    <t xml:space="preserve">INV 69369 du </t>
  </si>
  <si>
    <t xml:space="preserve">INV 69626 du </t>
  </si>
  <si>
    <t xml:space="preserve">INV 69284 du </t>
  </si>
  <si>
    <t xml:space="preserve">INV 69447 du </t>
  </si>
  <si>
    <t>INV 69792 du</t>
  </si>
  <si>
    <t xml:space="preserve">INV 69792 du </t>
  </si>
  <si>
    <t>INV 70079</t>
  </si>
  <si>
    <t>INV 19F0435</t>
  </si>
  <si>
    <t>INV EC1909189</t>
  </si>
  <si>
    <t>SODIA - CREAPHARM</t>
  </si>
  <si>
    <t xml:space="preserve">TRANSFERT GALENIQUE Campagne 1, lots de faisabilité </t>
  </si>
  <si>
    <t>TRANSFERT GALENIQUE Campagne 2, conditionnement</t>
  </si>
  <si>
    <t xml:space="preserve">TRANSFERT GALENIQUE Campagne 2, lots scale-up cliniques </t>
  </si>
  <si>
    <t>TRANSFERT GALENIQUE Campagne 3, conditionnement</t>
  </si>
  <si>
    <t>TRANSFERT GALENIQUE CAMPAGNE 4 LOTS CLINIQUES</t>
  </si>
  <si>
    <t>TRANSFERT GALENIQUE Campagne 4, conditionnement</t>
  </si>
  <si>
    <t>Etudes de stabilités ICH Campagne 1 Conditionnement partiel pour stabilité</t>
  </si>
  <si>
    <t>Etudes de stabilités ICH Campagne 1  T0</t>
  </si>
  <si>
    <t>Etudes de stabilités ICH Campagnes 2, 3 et 4  T0 campagne 2</t>
  </si>
  <si>
    <t>Etudes de stabilités ICH Campagnes 2, 3 et 4  T0 campagne 3</t>
  </si>
  <si>
    <t>Etudes de stabilités ICH Campagnes 2, 3 et 4  T0 campagne 4</t>
  </si>
  <si>
    <t>Etudes de stabilités ICH Campagne 1 FA 26/03/2018  T12M</t>
  </si>
  <si>
    <t>Etudes de stabilités ICH Campagnes 2, 3 et 4   T12M campagne 2</t>
  </si>
  <si>
    <t>Etudes de stabilités ICH Campagnes 2, 3 et 4   T12M campagne 3</t>
  </si>
  <si>
    <t>Etudes de stabilités ICH Campagnes 2, 3 et 4   T12M campagne 4</t>
  </si>
  <si>
    <t>Etudes de stabilités ICH Campagnes 2, 3 et 4   T18M campagne 3</t>
  </si>
  <si>
    <t>Etudes de stabilités ICH Campagnes 2, 3 et 4   T18M campagne 4</t>
  </si>
  <si>
    <t>Etudes de stabilités ICH Campagnes 2, 3 et 4  T24M campagne 3</t>
  </si>
  <si>
    <t>Etudes de stabilités ICH Campagnes 2, 3 et 4  T24M campagne 4</t>
  </si>
  <si>
    <t>Etudes de stabilités ICH Campagne 1 T36M</t>
  </si>
  <si>
    <t>Etudes de stabilités ICH Campagnes 2, 3 et 4  T36M campagne 2</t>
  </si>
  <si>
    <t>Etudes de stabilités ICH Campagnes 2, 3 et 4  T36M campagne 3</t>
  </si>
  <si>
    <t>Etudes de stabilités ICH Campagnes 2, 3 et 4  T36M campagne 4</t>
  </si>
  <si>
    <t>Etudes de stabilités ICH Campagne 1 T3M</t>
  </si>
  <si>
    <t>Etudes de stabilités ICH Campagnes 2, 3 et 4  T3M campagne 2</t>
  </si>
  <si>
    <t>Etudes de stabilités ICH Campagnes 2, 3 et 4  T3M campagne 3</t>
  </si>
  <si>
    <t>Etudes de stabilités ICH Campagnes 2, 3 et 4  T3M campagne 4</t>
  </si>
  <si>
    <t>Etudes de stabilités ICH Campagne 1 T48M</t>
  </si>
  <si>
    <t>Etudes de stabilités ICH Campagnes 2, 3 et 4  T48M campagne 2</t>
  </si>
  <si>
    <t>Etudes de stabilités ICH Campagnes 2, 3 et 4  T48M campagne 3</t>
  </si>
  <si>
    <t>Etudes de stabilités ICH Campagnes 2, 3 et 4  T48M campagne 4</t>
  </si>
  <si>
    <t>Etudes de stabilités ICH Campagne 1 T6M</t>
  </si>
  <si>
    <t>Etudes de stabilités ICH Campagnes 2, 3 et 4  T6M campagne 2</t>
  </si>
  <si>
    <t>Etudes de stabilités ICH Campagnes 2, 3 et 4  T6M campagne 3</t>
  </si>
  <si>
    <t>Etudes de stabilités ICH Campagnes 2, 3 et 4  T6M campagne 4</t>
  </si>
  <si>
    <t>Etudes de stabilités ICH Campagne 1 T9M</t>
  </si>
  <si>
    <t>Etudes de stabilités ICH Campagnes 2, 3 et 4  T9M campagne 2</t>
  </si>
  <si>
    <t>Etudes de stabilités ICH Campagnes 2, 3 et 4  T9M campagne 3</t>
  </si>
  <si>
    <t>Etudes de stabilités ICH Campagnes 2, 3 et 4  T9M campagne 4</t>
  </si>
  <si>
    <t xml:space="preserve">TRANSFERT ANA Transfer T mé Thodes analy Tiques (3 mé Thodes) </t>
  </si>
  <si>
    <t>TRANSFERT ANA Transfer T mé Thodes analy Tiques (3 mé Thodes+ Ud T)</t>
  </si>
  <si>
    <t>TRANSFERT ANA Transfer T mé Thodes analy Tiques (mé Thode CPG)</t>
  </si>
  <si>
    <t xml:space="preserve">TRANSFERT ANA Validation de nettoyage </t>
  </si>
  <si>
    <t>Fact 10001523 + Fact 1000112</t>
  </si>
  <si>
    <t>TRANSFERT GALENIQUE  (75%) CAMPAGNE 3 LOTS CLINIQUES</t>
  </si>
  <si>
    <t>du 27/03/2018 (25%) +  du 31/07/2018</t>
  </si>
  <si>
    <t>Etudes de stabilités ICH Campagnes 2, 3 et 4  T18M campagne 2</t>
  </si>
  <si>
    <t>Etudes de stabilités ICH Campagne 1 T18M</t>
  </si>
  <si>
    <t>Etudes de stabilités ICH Campagne 1 T24M</t>
  </si>
  <si>
    <t>Etudes de stabilités ICH Campagnes 2, 3 et 4  T24M campagne 2</t>
  </si>
  <si>
    <t xml:space="preserve"> Etudes de stabilités ICH Campagne 1  T30M</t>
  </si>
  <si>
    <t xml:space="preserve"> Etudes de stabilités ICH Campagne 2 T30M</t>
  </si>
  <si>
    <t>INV 10000613</t>
  </si>
  <si>
    <t>INV 10000614</t>
  </si>
  <si>
    <t>INV 10002137</t>
  </si>
  <si>
    <t xml:space="preserve"> 29/04/2019</t>
  </si>
  <si>
    <t>INV 10001811</t>
  </si>
  <si>
    <t>INV FA007795</t>
  </si>
  <si>
    <t>INVFA007796</t>
  </si>
  <si>
    <t>INV FA007838</t>
  </si>
  <si>
    <t>INV FA007932</t>
  </si>
  <si>
    <t>INV FA007935</t>
  </si>
  <si>
    <t>INV FA007958</t>
  </si>
  <si>
    <t>INV 1910001</t>
  </si>
  <si>
    <r>
      <t xml:space="preserve">CEVQ2019.09.01 - </t>
    </r>
    <r>
      <rPr>
        <b/>
        <sz val="11"/>
        <rFont val="Calibri"/>
        <family val="2"/>
        <scheme val="minor"/>
      </rPr>
      <t>P00453_2019</t>
    </r>
  </si>
  <si>
    <r>
      <t>CEVQ2019.10.03 -</t>
    </r>
    <r>
      <rPr>
        <b/>
        <sz val="11"/>
        <rFont val="Calibri"/>
        <family val="2"/>
        <scheme val="minor"/>
      </rPr>
      <t xml:space="preserve"> P00454_2019</t>
    </r>
  </si>
  <si>
    <t>3 animaux Out of Study</t>
  </si>
  <si>
    <r>
      <t>CEVQ2019.10.05 -</t>
    </r>
    <r>
      <rPr>
        <b/>
        <sz val="11"/>
        <rFont val="Calibri"/>
        <family val="2"/>
        <scheme val="minor"/>
      </rPr>
      <t xml:space="preserve"> P00455_2019</t>
    </r>
  </si>
  <si>
    <r>
      <t>CEVQ2019.10.06 -</t>
    </r>
    <r>
      <rPr>
        <b/>
        <sz val="11"/>
        <rFont val="Calibri"/>
        <family val="2"/>
        <scheme val="minor"/>
      </rPr>
      <t xml:space="preserve"> P00456_2019</t>
    </r>
  </si>
  <si>
    <t>Devis TMAP2019_10_11_071 - Pas de PO</t>
  </si>
  <si>
    <t>Lecture de 31 lames de myélogrammes chez RTC - 50% signature</t>
  </si>
  <si>
    <t>Lecture de 31 lames de myélogrammes chez RTC - 50% aux résultats</t>
  </si>
  <si>
    <t>INV 78.19.27</t>
  </si>
  <si>
    <t>INV 75.19.24</t>
  </si>
  <si>
    <t>INV 52.19.01</t>
  </si>
  <si>
    <t>INV 70.19.19</t>
  </si>
  <si>
    <t>INV 61.19.10</t>
  </si>
  <si>
    <t>INV 71.19.20</t>
  </si>
  <si>
    <t>INV 49.18.13</t>
  </si>
  <si>
    <t>18/01/2019  + 28/02/2019</t>
  </si>
  <si>
    <t>INV 53.19.02 + INV 56.19.05</t>
  </si>
  <si>
    <t>15/04/2019 + 02/09/2019</t>
  </si>
  <si>
    <t>INV 58.19.07 + INV 72.19.21</t>
  </si>
  <si>
    <t>INV 57.19.06</t>
  </si>
  <si>
    <t xml:space="preserve">INV 46.18.10 </t>
  </si>
  <si>
    <r>
      <t xml:space="preserve">Devis 11775-1 - </t>
    </r>
    <r>
      <rPr>
        <b/>
        <sz val="11"/>
        <rFont val="Calibri"/>
        <family val="2"/>
        <scheme val="minor"/>
      </rPr>
      <t>P00305_2019</t>
    </r>
  </si>
  <si>
    <t>a) Etude Clinique UC 103 Distribution Resverse Logistique - Gestion mensuelle (94€/mois sur 24 mois)</t>
  </si>
  <si>
    <t>f) Etude Clinique UC 103 Distribution Resverse Logistique - Importation Retours</t>
  </si>
  <si>
    <t>h) Etude Clinique UC 103 Distribution Resverse Logistique - Destrcution</t>
  </si>
  <si>
    <t>e) Etude Clinique UC 103 Distribution Resverse Logistique - Expedition (DEPOT)</t>
  </si>
  <si>
    <t>d) Etude Clinique UC 103 Distribution Resverse Logistique - Transport (CARRIER FEES)</t>
  </si>
  <si>
    <t>c) Etude Clinique UC 103 Distribution Resverse Logistique - Organiser et préparer les expéditions (115,80€/envois pour 264 envois) (SHIPMENTS)</t>
  </si>
  <si>
    <t>b) Etude Clinique UC 103 Distribution Resverse Logistique - Récpetion et Stockage (630€/mois sur 24 mois) (STORAGE)</t>
  </si>
  <si>
    <t>INV CKN77504</t>
  </si>
  <si>
    <t>CEVQ2019.10.01 - Pas de PO</t>
  </si>
  <si>
    <t>Lecture histopatho 8 animaux</t>
  </si>
  <si>
    <t>Toxicokinetics 9-month marmoset</t>
  </si>
  <si>
    <t>Toxicokinetics on D1 and D91 40 animals 9-months marmoset</t>
  </si>
  <si>
    <t>4 week cyno Determination of Homogeneity and Stab of dose formulations - Add work</t>
  </si>
  <si>
    <t>INV 70202</t>
  </si>
  <si>
    <t>INV 70203</t>
  </si>
  <si>
    <t>INV 70204</t>
  </si>
  <si>
    <t>INV 70223</t>
  </si>
  <si>
    <t>Validation of anatytical method of formulation for 9-month tox monkeys - 67%</t>
  </si>
  <si>
    <t>Validation of anatytical method of formulation for 9-month tox monkeys - 33%</t>
  </si>
  <si>
    <t>INV 69853</t>
  </si>
  <si>
    <t>INV 19F0405</t>
  </si>
  <si>
    <t>INV 18F0386</t>
  </si>
  <si>
    <t>INV 18F0340</t>
  </si>
  <si>
    <t>3-week Preliminary study in marmosets Toxicology Studies</t>
  </si>
  <si>
    <t>INV 19F0457</t>
  </si>
  <si>
    <t>INV 19F0463</t>
  </si>
  <si>
    <t>INV 19F0468</t>
  </si>
  <si>
    <t>INV 19F0464</t>
  </si>
  <si>
    <t>INV 69939</t>
  </si>
  <si>
    <t>INV 1336</t>
  </si>
  <si>
    <t>INV 19F0197</t>
  </si>
  <si>
    <r>
      <t xml:space="preserve">Amdt 1 P18977-VF-V1 - </t>
    </r>
    <r>
      <rPr>
        <b/>
        <sz val="11"/>
        <rFont val="Calibri"/>
        <family val="2"/>
        <scheme val="minor"/>
      </rPr>
      <t>Pas de PO</t>
    </r>
  </si>
  <si>
    <r>
      <t xml:space="preserve">9-months 2019 oral toxicity study in marmosets - Complementary quotation daily preparation </t>
    </r>
    <r>
      <rPr>
        <b/>
        <sz val="11"/>
        <rFont val="Calibri"/>
        <family val="2"/>
        <scheme val="minor"/>
      </rPr>
      <t>STUDY 20190037TMAP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</si>
  <si>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- 30% a signature</t>
    </r>
  </si>
  <si>
    <r>
      <t xml:space="preserve">9-months 2019 oral toxicity study in marmosets - Audit of the report of toxicokinetics for </t>
    </r>
    <r>
      <rPr>
        <b/>
        <sz val="11"/>
        <rFont val="Calibri"/>
        <family val="2"/>
        <scheme val="minor"/>
      </rPr>
      <t>STUDY 20190037TMAP</t>
    </r>
  </si>
  <si>
    <t>Conditionnement, Stockage, Distribution et destruction - CONDITIONNEMENT ET LIBERATION CF</t>
  </si>
  <si>
    <t>Conditionnement, Stockage, Distribution et destruction - CONDITIONNEMENT ET LIBERATION C/Campagne</t>
  </si>
  <si>
    <t>Conditionnement, Stockage, Distribution et destruction - CONDITIONNEMENT ET LIBERATION C/Traitement</t>
  </si>
  <si>
    <t>Conditionnement, Stockage, Distribution et destruction - STOCKAGE Palette 15-25°C 35€ / mois</t>
  </si>
  <si>
    <t>Conditionnement, Stockage, Distribution et destruction - GESTION ET EXPEDITION Création de l'étude</t>
  </si>
  <si>
    <t>Conditionnement, Stockage, Distribution et destruction - GESTION ET EXPEDITION Gestion mensuelle</t>
  </si>
  <si>
    <t>INV CKB92201</t>
  </si>
  <si>
    <t>INV FRA-001708</t>
  </si>
  <si>
    <t xml:space="preserve">INV FRA-001655 + INV FRA-001660 + INV FRA-001665 + INV FRA-001668 + INV FRA-001691 + INV FRA-001708 + INV FRA-001720 + INV FRA-001736 </t>
  </si>
  <si>
    <t>PTC 2 912 026 € = (PTC - 10% Upfront - PTC de Janv - Sept 2019)/20</t>
  </si>
  <si>
    <r>
      <t xml:space="preserve">PTC  </t>
    </r>
    <r>
      <rPr>
        <b/>
        <sz val="11"/>
        <rFont val="Calibri"/>
        <family val="2"/>
        <scheme val="minor"/>
      </rPr>
      <t xml:space="preserve">2 912 026 € </t>
    </r>
    <r>
      <rPr>
        <sz val="11"/>
        <rFont val="Calibri"/>
        <family val="2"/>
        <scheme val="minor"/>
      </rPr>
      <t>= (PTC - 10% Upfront - PTC de Janv - Sept 2019)/20</t>
    </r>
  </si>
  <si>
    <r>
      <t xml:space="preserve">PTC </t>
    </r>
    <r>
      <rPr>
        <b/>
        <sz val="11"/>
        <rFont val="Calibri"/>
        <family val="2"/>
        <scheme val="minor"/>
      </rPr>
      <t xml:space="preserve">2 912 026 € </t>
    </r>
    <r>
      <rPr>
        <sz val="11"/>
        <rFont val="Calibri"/>
        <family val="2"/>
        <scheme val="minor"/>
      </rPr>
      <t>= (PTC - 10% Upfront - PTC de Janv - Sept 2019)/20 - RESIDU</t>
    </r>
  </si>
  <si>
    <r>
      <t xml:space="preserve">PTC </t>
    </r>
    <r>
      <rPr>
        <b/>
        <sz val="11"/>
        <rFont val="Calibri"/>
        <family val="2"/>
        <scheme val="minor"/>
      </rPr>
      <t>2 912 026 € = Allready Booked before the split (23/10/2019)</t>
    </r>
  </si>
  <si>
    <t>RA301 - PTC - Other - ORACLE (InForm fee) - Up-front</t>
  </si>
  <si>
    <t>RA301 - PTC - Other - ORACLE (InForm fee) - 17/06/2019 au 16/09/2019</t>
  </si>
  <si>
    <t>RA301 - PTC - Other - ORACLE (InForm fee) - 17/09/2019 au 16/12/2019</t>
  </si>
  <si>
    <t>RA301 - PTC - Other - ORACLE (InForm fee) - 17/12/2019 au 16/03/2020</t>
  </si>
  <si>
    <t>RA301 - PTC - Other - ORACLE (InForm fee) - 17/03/2020 - 16/06/2020</t>
  </si>
  <si>
    <t>RA301 - PTC - Other - ORACLE (InForm fee) - 17/06/2020 - 16/09/2020</t>
  </si>
  <si>
    <t>RA301 - PTC - Other - ORACLE (InForm fee) - 17/09/2020 au 16/12/2020</t>
  </si>
  <si>
    <t>RA301 - PTC - Other - ORACLE (InForm fee) - 17/12/2020 au 01/03/2021 2,7 mois</t>
  </si>
  <si>
    <t>INV 108763</t>
  </si>
  <si>
    <t>RA302 - WO006 - PTC - Inform fee ORACLE Oct/Nov/Dec 2019</t>
  </si>
  <si>
    <t>RA302 - WO006 - PTC - Inform fee ORACLE Jan/Fev/Mar 2020</t>
  </si>
  <si>
    <t>RA302 - WO006 - PTC - Inform fee ORACLE Avr/Mai/Jun 2020</t>
  </si>
  <si>
    <t>RA302 - WO006 - PTC - Inform fee ORACLE Juil/Aout/Sept 2020</t>
  </si>
  <si>
    <r>
      <t>Quote du 25/10/2019 -</t>
    </r>
    <r>
      <rPr>
        <b/>
        <sz val="11"/>
        <rFont val="Calibri"/>
        <family val="2"/>
        <scheme val="minor"/>
      </rPr>
      <t xml:space="preserve"> P00458_2019</t>
    </r>
  </si>
  <si>
    <t>Audit ORION - 17-18 Décembre 2019</t>
  </si>
  <si>
    <t>Audit Clinmark - 26-29 Novembre 2019</t>
  </si>
  <si>
    <t>Toxicokinetics 4-months Cyno</t>
  </si>
  <si>
    <t>Toxicokinetics 4-week Cyno</t>
  </si>
  <si>
    <t>INV FRA-001786</t>
  </si>
  <si>
    <r>
      <t xml:space="preserve">ATL-19/4138 - </t>
    </r>
    <r>
      <rPr>
        <b/>
        <sz val="11"/>
        <rFont val="Calibri"/>
        <family val="2"/>
        <scheme val="minor"/>
      </rPr>
      <t>P00461_2019</t>
    </r>
  </si>
  <si>
    <r>
      <t xml:space="preserve">Devis complémentaire n°3 au 2019-19-5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P00460_2019</t>
    </r>
  </si>
  <si>
    <r>
      <t xml:space="preserve">Devis complémentaire n°6 au 2019-19-5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P00459_2019</t>
    </r>
  </si>
  <si>
    <t>INV 0001018003178 RI</t>
  </si>
  <si>
    <t>INV 0001019000650 RI</t>
  </si>
  <si>
    <t>INV 0001019000827 RI</t>
  </si>
  <si>
    <t>INV 0001019000559 RI</t>
  </si>
  <si>
    <t>INV 0001119000264 RI</t>
  </si>
  <si>
    <t>INV 0001019001752 RI</t>
  </si>
  <si>
    <t>INV 0001019000857 RI</t>
  </si>
  <si>
    <t>INV 0001019001024 RI</t>
  </si>
  <si>
    <t>INV 0001019002655 RI</t>
  </si>
  <si>
    <t>S1 2019 : essai 1 (37 100 $) est finalisé en juin 2019 donc FNP pour essai 1 (50% x 37 100 $ : 18 550 €) car 50% déjà facturé, essai 2 (5 300 $) toujours en cours</t>
  </si>
  <si>
    <t>INV 19F0525</t>
  </si>
  <si>
    <t>INV 19F0504</t>
  </si>
  <si>
    <t>INV 108777</t>
  </si>
  <si>
    <t>INV 108778</t>
  </si>
  <si>
    <t>INV PJ20191734</t>
  </si>
  <si>
    <t>INV PJ20191616</t>
  </si>
  <si>
    <r>
      <t xml:space="preserve">Devis complémentaire n°3 au 2018-202-4 - </t>
    </r>
    <r>
      <rPr>
        <b/>
        <sz val="11"/>
        <rFont val="Calibri"/>
        <family val="2"/>
        <scheme val="minor"/>
      </rPr>
      <t>P00465_2019</t>
    </r>
  </si>
  <si>
    <t>OZYME</t>
  </si>
  <si>
    <r>
      <t xml:space="preserve">Devis OZY12267F - </t>
    </r>
    <r>
      <rPr>
        <b/>
        <sz val="11"/>
        <rFont val="Calibri"/>
        <family val="2"/>
        <scheme val="minor"/>
      </rPr>
      <t>P00462_2019</t>
    </r>
  </si>
  <si>
    <t>200 tubes PAXgen</t>
  </si>
  <si>
    <r>
      <t>DV-ABI-1019-905 -</t>
    </r>
    <r>
      <rPr>
        <b/>
        <sz val="11"/>
        <rFont val="Calibri"/>
        <family val="2"/>
        <scheme val="minor"/>
      </rPr>
      <t xml:space="preserve"> P00463_2019</t>
    </r>
  </si>
  <si>
    <t>Rapatriment échantillon ATLANBIO étude HIV004</t>
  </si>
  <si>
    <t>Mis à 0 par RS et JD le 05/11/2019</t>
  </si>
  <si>
    <t>FNP S2 2019 peut etre pas a payer - Terminaiton letter</t>
  </si>
  <si>
    <t>INV 19F0334</t>
  </si>
  <si>
    <t>INV 19F0333</t>
  </si>
  <si>
    <t>4-month oral tox study in marmosets - Plasma collection in marmoset for ATLANBIO</t>
  </si>
  <si>
    <t>4-month oral tox study in marmosets - Additional blood sampling for TK</t>
  </si>
  <si>
    <t>4-month oral tox study in marmosets - One additionnal week of daily preparation</t>
  </si>
  <si>
    <r>
      <t xml:space="preserve">4-month oral tox study in marmosets - </t>
    </r>
    <r>
      <rPr>
        <b/>
        <sz val="11"/>
        <rFont val="Calibri"/>
        <family val="2"/>
        <scheme val="minor"/>
      </rPr>
      <t>50% a signature</t>
    </r>
  </si>
  <si>
    <r>
      <t xml:space="preserve">4-month oral tox study in marmosets - </t>
    </r>
    <r>
      <rPr>
        <b/>
        <sz val="11"/>
        <rFont val="Calibri"/>
        <family val="2"/>
        <scheme val="minor"/>
      </rPr>
      <t>45% a remise des résultats par email</t>
    </r>
  </si>
  <si>
    <r>
      <t xml:space="preserve">4-month oral tox study in marmosets - </t>
    </r>
    <r>
      <rPr>
        <b/>
        <sz val="11"/>
        <rFont val="Calibri"/>
        <family val="2"/>
        <scheme val="minor"/>
      </rPr>
      <t>5% a la remise du 1er rapport draft</t>
    </r>
  </si>
  <si>
    <r>
      <t xml:space="preserve">Devis complémentaire n°4 2019-2-3 - </t>
    </r>
    <r>
      <rPr>
        <b/>
        <sz val="11"/>
        <rFont val="Calibri"/>
        <family val="2"/>
        <scheme val="minor"/>
      </rPr>
      <t>P00413_2019</t>
    </r>
  </si>
  <si>
    <r>
      <t xml:space="preserve">Devis complémentaire n°5 2019-2-3 - </t>
    </r>
    <r>
      <rPr>
        <b/>
        <sz val="11"/>
        <rFont val="Calibri"/>
        <family val="2"/>
        <scheme val="minor"/>
      </rPr>
      <t>20190005TMAP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P00464_2019</t>
    </r>
  </si>
  <si>
    <t>Devis complémentaore n°3 2019-2-4 - Pas de PO</t>
  </si>
  <si>
    <t>IPS Therapeutique</t>
  </si>
  <si>
    <t>INV 20190930-7</t>
  </si>
  <si>
    <t>INV 20190930-6</t>
  </si>
  <si>
    <t>4-week efficacy assessment and evalutaion off new compound  - Monocrotaline induced Pulmonary Arterial - 50% a signature</t>
  </si>
  <si>
    <t>8-week efficacy assessment and evalutaion off new compound  - Sugen-Hypoxia induced Pulmonary Arterial - 50% a signature</t>
  </si>
  <si>
    <t>INV 108780</t>
  </si>
  <si>
    <t>INV 2153</t>
  </si>
  <si>
    <t>INV FA008009</t>
  </si>
  <si>
    <t>INV 219-351/351</t>
  </si>
  <si>
    <r>
      <t xml:space="preserve">Manufacturing  </t>
    </r>
    <r>
      <rPr>
        <b/>
        <sz val="11"/>
        <rFont val="Calibri"/>
        <family val="2"/>
        <scheme val="minor"/>
      </rPr>
      <t>P00009</t>
    </r>
    <r>
      <rPr>
        <sz val="11"/>
        <rFont val="Calibri"/>
        <family val="2"/>
        <scheme val="minor"/>
      </rPr>
      <t xml:space="preserve"> A reception du draft report</t>
    </r>
  </si>
  <si>
    <t xml:space="preserve">INV 218-314/314 </t>
  </si>
  <si>
    <t>INV 219-228/288</t>
  </si>
  <si>
    <t>INV 219-254/254</t>
  </si>
  <si>
    <t xml:space="preserve">INV 219-096/096 </t>
  </si>
  <si>
    <t xml:space="preserve">INV 218-314/314 du </t>
  </si>
  <si>
    <t xml:space="preserve">INV 219-027/027 du </t>
  </si>
  <si>
    <t xml:space="preserve">INV 218-317/317 DU </t>
  </si>
  <si>
    <t xml:space="preserve">INV 218-415/415 du </t>
  </si>
  <si>
    <t xml:space="preserve">INV 218-113/113 du </t>
  </si>
  <si>
    <t>Monthly fee - + 1 pays (Espagne) CT 3 420 € réparti sur 17 mois start Nov. 19</t>
  </si>
  <si>
    <t>RWS + 1 pays Espagne (Novembre 2019)</t>
  </si>
  <si>
    <t>4-month oral tox study in marmosets - Audit of the report toxi for study 20190005TMAP</t>
  </si>
  <si>
    <t>INV 68833</t>
  </si>
  <si>
    <t>4-week efficacy assessment and evalutaion off new compound  - Monocrotaline induced Pulmonary Arterial - 40%</t>
  </si>
  <si>
    <t>4-week efficacy assessment and evalutaion off new compound  - Monocrotaline induced Pulmonary Arterial 10%</t>
  </si>
  <si>
    <t>8-week efficacy assessment and evalutaion off new compound  - Sugen-Hypoxia induced Pulmonary Arterial -10%</t>
  </si>
  <si>
    <r>
      <t xml:space="preserve">CEVQ2019.10.08 - </t>
    </r>
    <r>
      <rPr>
        <b/>
        <sz val="11"/>
        <rFont val="Calibri"/>
        <family val="2"/>
        <scheme val="minor"/>
      </rPr>
      <t>Va être signé 11/2019</t>
    </r>
  </si>
  <si>
    <t>A prendre en compte</t>
  </si>
  <si>
    <r>
      <t xml:space="preserve">Dev E3661-U1901 CBCN - </t>
    </r>
    <r>
      <rPr>
        <b/>
        <sz val="11"/>
        <rFont val="Calibri"/>
        <family val="2"/>
        <scheme val="minor"/>
      </rPr>
      <t>P00466_2019</t>
    </r>
  </si>
  <si>
    <t>In vitro studies on 2 PrimePanel cell lines 50%</t>
  </si>
  <si>
    <t>In vitro studies on 2 PrimePanel cell lines 40%</t>
  </si>
  <si>
    <t>In vitro studies on 2 PrimePanel cell lines 10%</t>
  </si>
  <si>
    <t>ATLANBIO - CHARLES RIVER</t>
  </si>
  <si>
    <t>Determination of concentrations of ABX464 and ABX4646-N-Glu in rat plasma - 70% Draft report</t>
  </si>
  <si>
    <t>Determination of concentrations of ABX464 and ABX4646-N-Glu in rat plasma - 30% Signature</t>
  </si>
  <si>
    <t>INV 2019-43</t>
  </si>
  <si>
    <t>INV 15469</t>
  </si>
  <si>
    <t>196-1</t>
  </si>
  <si>
    <t>INV CLB77505</t>
  </si>
  <si>
    <t>Développement chimique : Stoechiométrie étape 4 : 50% Rapport V1</t>
  </si>
  <si>
    <t>Développement chimique : Stoechiométrie étape 4 : 50% Rapport V2</t>
  </si>
  <si>
    <t>INV 0001019003039RI</t>
  </si>
  <si>
    <t>Clinical supply managment + Ancillaries purchase ABX196-1</t>
  </si>
  <si>
    <t>ABX196</t>
  </si>
  <si>
    <t>50% Anti tumor study with ABXABX196</t>
  </si>
  <si>
    <t>30% Anti tumor study with ABXABX196</t>
  </si>
  <si>
    <t>50% Anti tumor study with ABXABXABX196</t>
  </si>
  <si>
    <t>30% Anti tumor study with ABXABXABX196</t>
  </si>
  <si>
    <t>20% Anti tumor study with ABXABX196</t>
  </si>
  <si>
    <t>Synthèse chimique of matrials for GMP ABX ABX196</t>
  </si>
  <si>
    <t>03/04/ABX1966</t>
  </si>
  <si>
    <t>Caractérisation physique d'un lot ABXABX196</t>
  </si>
  <si>
    <t>Retests annuels et analyse lot ABXABX196</t>
  </si>
  <si>
    <t>Validation sterilizing filtration step ABXABX196 GMP process</t>
  </si>
  <si>
    <t>CSR Finalisation ABXABX196</t>
  </si>
  <si>
    <t>In vitro stimulation PBMC ABXABX196/Anti-PD1 - 50% a siganture</t>
  </si>
  <si>
    <t>In vitro stimulation PBMC ABXABX196/Anti-PD1 - 50% a la livraison des data</t>
  </si>
  <si>
    <t>Fesa/Dev of LC-MS/MS Assay for the determination of ABXABX196 in mouse&amp;humain plasma - 50%</t>
  </si>
  <si>
    <t>Review of clinical protocol ABXABX196-101</t>
  </si>
  <si>
    <t>In vitro PBM stimulation ABXABX196 - 50% a signature</t>
  </si>
  <si>
    <t>In vitro PBM stimulation ABXABX196 - 50% au rapport</t>
  </si>
  <si>
    <t>Criblage de croissance cristalline du composé ABXABX196</t>
  </si>
  <si>
    <t>Determination of ABXABX196 in Humain Plasma - 50% a signature</t>
  </si>
  <si>
    <t>Determination of ABXABX196 in Humain Plasma - 50% au rapport</t>
  </si>
  <si>
    <t>Complément validation de solvant résiduel ABXABX196</t>
  </si>
  <si>
    <t>ABX311</t>
  </si>
  <si>
    <t>ABX464</t>
  </si>
  <si>
    <t>ABX544</t>
  </si>
  <si>
    <t>HIV004</t>
  </si>
  <si>
    <t>HIV005</t>
  </si>
  <si>
    <t>HIV006/007</t>
  </si>
  <si>
    <t>HIV006</t>
  </si>
  <si>
    <t>UC101</t>
  </si>
  <si>
    <t>UC102</t>
  </si>
  <si>
    <t>UC103/104</t>
  </si>
  <si>
    <t>UC103</t>
  </si>
  <si>
    <t>UC104</t>
  </si>
  <si>
    <t>RA302</t>
  </si>
  <si>
    <t>HIV003</t>
  </si>
  <si>
    <t>INV FRA-001734 + INV FRA-001785 + INV FRA-001794</t>
  </si>
  <si>
    <t>10/09/2019 + 17/10/2019 + 08/11/2019</t>
  </si>
  <si>
    <r>
      <t xml:space="preserve">Quote SMCLMN0ABX1960427-1 - Add cost to Quote SMCLMN01951726-2 - HCC - </t>
    </r>
    <r>
      <rPr>
        <b/>
        <sz val="11"/>
        <rFont val="Calibri"/>
        <family val="2"/>
        <scheme val="minor"/>
      </rPr>
      <t>P00396_2019</t>
    </r>
  </si>
  <si>
    <r>
      <t>Quote SMCLMN0ABX1960427-1 - Add cost to Quote SMCLMN01951726-2 - HCC -</t>
    </r>
    <r>
      <rPr>
        <b/>
        <sz val="11"/>
        <rFont val="Calibri"/>
        <family val="2"/>
        <scheme val="minor"/>
      </rPr>
      <t xml:space="preserve"> P00396_2019</t>
    </r>
  </si>
  <si>
    <t>INV SMCLMNI6-19132-7</t>
  </si>
  <si>
    <t>INV SMCLMNI6-19133-8</t>
  </si>
  <si>
    <t>11000 € d'écrit dans Statut :?.? Le15/11/2019</t>
  </si>
  <si>
    <t>INV FRA-001791</t>
  </si>
  <si>
    <t>Invoice_2015169 Upfront Licence fee 2017 + Invoice_2015265 Licence annuelle 2018 + Invoice_2015384 Licence annuelle 2019 + Invoice_2015584 - 3ème annual license fee 2020</t>
  </si>
  <si>
    <t>26/04/2017 + 15/01/2018 + 19/11/2018 + 14/11/2019</t>
  </si>
  <si>
    <r>
      <t xml:space="preserve">Amdt n°1 P15775 - </t>
    </r>
    <r>
      <rPr>
        <b/>
        <sz val="11"/>
        <rFont val="Calibri"/>
        <family val="2"/>
        <scheme val="minor"/>
      </rPr>
      <t>P00340_2019</t>
    </r>
  </si>
  <si>
    <r>
      <t xml:space="preserve">Amdt 4 P17797-VF-V1  version 4Week - </t>
    </r>
    <r>
      <rPr>
        <b/>
        <sz val="11"/>
        <rFont val="Calibri"/>
        <family val="2"/>
        <scheme val="minor"/>
      </rPr>
      <t>P00480_2019</t>
    </r>
  </si>
  <si>
    <t>4 week toxicity study in Cynomolgus monkeys followed by 1-week - Add exam</t>
  </si>
  <si>
    <r>
      <t xml:space="preserve">CEVQ2019.11.01 - </t>
    </r>
    <r>
      <rPr>
        <b/>
        <sz val="11"/>
        <rFont val="Calibri"/>
        <family val="2"/>
        <scheme val="minor"/>
      </rPr>
      <t>P00479_2019</t>
    </r>
  </si>
  <si>
    <t>Update calculation of permitted Exposure (PDE) of ABX464</t>
  </si>
  <si>
    <t>INV 83.19.32</t>
  </si>
  <si>
    <t>MSA_19087 WO1</t>
  </si>
  <si>
    <t>Investigator cost</t>
  </si>
  <si>
    <t>PTC - 10% upon execution</t>
  </si>
  <si>
    <t>Investigator cost - 10% au First Patient Screened (Janv. 2020)</t>
  </si>
  <si>
    <t>First Patient Randomized</t>
  </si>
  <si>
    <t>15% of Total CRF Pages Monitored (Source Data Verified)</t>
  </si>
  <si>
    <t>20% of Monitoring Visits &amp; Reports Completed</t>
  </si>
  <si>
    <t>25% of Total CRF Pages Monitored (Source Data Verified)</t>
  </si>
  <si>
    <t>30% of Monitoring Visita &amp; Reports Completed</t>
  </si>
  <si>
    <t>75% of Patients Randomized</t>
  </si>
  <si>
    <t>35% of Total CRF Pages Monitored (Source Data Verified)</t>
  </si>
  <si>
    <t>40% of Monitoring Visits &amp; Reports Completed</t>
  </si>
  <si>
    <t>45% of Total CRF Pages Monitored (Source Data Verified)</t>
  </si>
  <si>
    <t>50% of Monitoring Visits &amp; Reports Completed</t>
  </si>
  <si>
    <t>55% of Total CRF Pages Monitored (Source Data Verified)</t>
  </si>
  <si>
    <t>60% of Monitoring Visits &amp; Reports Completed</t>
  </si>
  <si>
    <t>70% of Monitoring Visits &amp; Reports Completed</t>
  </si>
  <si>
    <t>80% of Monitoring Visits &amp; Reports Completed</t>
  </si>
  <si>
    <t>90% of Monitoring Visita &amp; Reports Completed</t>
  </si>
  <si>
    <t>Database Lock (DBL)</t>
  </si>
  <si>
    <t>Final Clinical Study Report (CSR) Delivered to Sponsor</t>
  </si>
  <si>
    <t>Transfer of Trial Master File (TMF) to Sponsor</t>
  </si>
  <si>
    <t>INV FRA-001735 + INV FRA-001778 + INV FRA-001795</t>
  </si>
  <si>
    <t xml:space="preserve">INV FA007522 du </t>
  </si>
  <si>
    <t xml:space="preserve">INV FA007732 du </t>
  </si>
  <si>
    <t>INV FA008042</t>
  </si>
  <si>
    <t>INV 70488</t>
  </si>
  <si>
    <t>GDPR implementation review - 2000 €</t>
  </si>
  <si>
    <t>Déja facturé via PO00409_2019</t>
  </si>
  <si>
    <r>
      <t xml:space="preserve">Conduct on site audit key vendors UK ORION
</t>
    </r>
    <r>
      <rPr>
        <sz val="11"/>
        <rFont val="Calibri"/>
        <family val="2"/>
        <scheme val="minor"/>
      </rPr>
      <t>Sera une autre presta DPIA (11/2019 =&gt; Caroline)</t>
    </r>
  </si>
  <si>
    <r>
      <t>Conduct on site audit key vendors Spain academic reseach site</t>
    </r>
    <r>
      <rPr>
        <sz val="11"/>
        <rFont val="Calibri"/>
        <family val="2"/>
        <scheme val="minor"/>
      </rPr>
      <t xml:space="preserve"> 2000 €</t>
    </r>
  </si>
  <si>
    <t>Presta sera réalisée par Jen Harmson Consulting</t>
  </si>
  <si>
    <r>
      <t xml:space="preserve">Conduct on site audit key vendors Paris MBV SI </t>
    </r>
    <r>
      <rPr>
        <sz val="11"/>
        <rFont val="Calibri"/>
        <family val="2"/>
        <scheme val="minor"/>
      </rPr>
      <t>2000 €</t>
    </r>
  </si>
  <si>
    <t>Prest effecutée par EFFOR</t>
  </si>
  <si>
    <t>INV 70422</t>
  </si>
  <si>
    <t>INV 70405</t>
  </si>
  <si>
    <t>INV 70404</t>
  </si>
  <si>
    <t>INV 19F0524</t>
  </si>
  <si>
    <r>
      <t xml:space="preserve">9-months </t>
    </r>
    <r>
      <rPr>
        <b/>
        <sz val="11"/>
        <rFont val="Calibri"/>
        <family val="2"/>
        <scheme val="minor"/>
      </rPr>
      <t xml:space="preserve">2019 </t>
    </r>
    <r>
      <rPr>
        <sz val="11"/>
        <rFont val="Calibri"/>
        <family val="2"/>
        <scheme val="minor"/>
      </rPr>
      <t>oral toxicity study in marmosets - Additional animals &amp; additional toxicokinetic analysis</t>
    </r>
    <r>
      <rPr>
        <b/>
        <sz val="11"/>
        <rFont val="Calibri"/>
        <family val="2"/>
        <scheme val="minor"/>
      </rPr>
      <t xml:space="preserve"> STUDY 20190037TMAP</t>
    </r>
    <r>
      <rPr>
        <sz val="11"/>
        <rFont val="Calibri"/>
        <family val="2"/>
        <scheme val="minor"/>
      </rPr>
      <t xml:space="preserve"> - 15% A T+2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</si>
  <si>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- 15% A T+4 mois</t>
    </r>
  </si>
  <si>
    <t>INV 19F0531</t>
  </si>
  <si>
    <t>INV 19F0530</t>
  </si>
  <si>
    <t>INV 19F0552</t>
  </si>
  <si>
    <t>INV FA745391</t>
  </si>
  <si>
    <t>INV KUE10623</t>
  </si>
  <si>
    <t>Nouvelle facture SANS VAT UK reçue le 21/11/2019</t>
  </si>
  <si>
    <t>INV FA008052</t>
  </si>
  <si>
    <t>Analyse XRPD / échantillons ussus du WO2019 #5 Stoechimétrie</t>
  </si>
  <si>
    <r>
      <t xml:space="preserve">EVT09278 - </t>
    </r>
    <r>
      <rPr>
        <b/>
        <sz val="11"/>
        <rFont val="Calibri"/>
        <family val="2"/>
        <scheme val="minor"/>
      </rPr>
      <t>P00495_2019</t>
    </r>
  </si>
  <si>
    <t>Pk study of ASD forumation - WP1</t>
  </si>
  <si>
    <t>Pk study of ASD forumation - WP2</t>
  </si>
  <si>
    <t>MYRIAD RBM</t>
  </si>
  <si>
    <t>Achat tube de culture</t>
  </si>
  <si>
    <r>
      <t>Quote 0029402 -</t>
    </r>
    <r>
      <rPr>
        <b/>
        <sz val="11"/>
        <rFont val="Calibri"/>
        <family val="2"/>
        <scheme val="minor"/>
      </rPr>
      <t xml:space="preserve"> P00490_2019</t>
    </r>
  </si>
  <si>
    <t xml:space="preserve">INV FA0011319 du </t>
  </si>
  <si>
    <t>INV FA015466</t>
  </si>
  <si>
    <t>INV 108794</t>
  </si>
  <si>
    <r>
      <t xml:space="preserve">RA301 - PTC - Miscellaneous Study matos - Distribution </t>
    </r>
    <r>
      <rPr>
        <b/>
        <sz val="11"/>
        <rFont val="Calibri"/>
        <family val="2"/>
        <scheme val="minor"/>
      </rPr>
      <t>(CCC 130</t>
    </r>
    <r>
      <rPr>
        <sz val="11"/>
        <rFont val="Calibri"/>
        <family val="2"/>
        <scheme val="minor"/>
      </rPr>
      <t>)</t>
    </r>
  </si>
  <si>
    <r>
      <t>RA301 - PTC - EU</t>
    </r>
    <r>
      <rPr>
        <b/>
        <sz val="11"/>
        <rFont val="Calibri"/>
        <family val="2"/>
        <scheme val="minor"/>
      </rPr>
      <t xml:space="preserve"> SIV</t>
    </r>
    <r>
      <rPr>
        <sz val="11"/>
        <rFont val="Calibri"/>
        <family val="2"/>
        <scheme val="minor"/>
      </rPr>
      <t>s (</t>
    </r>
    <r>
      <rPr>
        <b/>
        <sz val="11"/>
        <rFont val="Calibri"/>
        <family val="2"/>
        <scheme val="minor"/>
      </rPr>
      <t>CCC 150</t>
    </r>
    <r>
      <rPr>
        <sz val="11"/>
        <rFont val="Calibri"/>
        <family val="2"/>
        <scheme val="minor"/>
      </rPr>
      <t>)</t>
    </r>
  </si>
  <si>
    <t>INV SMCLMNI6-19137-2</t>
  </si>
  <si>
    <t>INV 1911002</t>
  </si>
  <si>
    <t>INV 1911089</t>
  </si>
  <si>
    <t>INV 1911090</t>
  </si>
  <si>
    <r>
      <t xml:space="preserve">CRL-233323 - SFDC Opp-160190 - </t>
    </r>
    <r>
      <rPr>
        <b/>
        <sz val="11"/>
        <rFont val="Calibri"/>
        <family val="2"/>
        <scheme val="minor"/>
      </rPr>
      <t>P00467_2019</t>
    </r>
  </si>
  <si>
    <t>INV 10015819</t>
  </si>
  <si>
    <t>INV EC1910107</t>
  </si>
  <si>
    <t>INV EC19101108</t>
  </si>
  <si>
    <r>
      <t xml:space="preserve">CEVQ2019.10.07 - </t>
    </r>
    <r>
      <rPr>
        <b/>
        <sz val="11"/>
        <rFont val="Calibri"/>
        <family val="2"/>
        <scheme val="minor"/>
      </rPr>
      <t>P00489_2019</t>
    </r>
  </si>
  <si>
    <r>
      <t>CEVQ2019.10.09 -</t>
    </r>
    <r>
      <rPr>
        <b/>
        <sz val="11"/>
        <rFont val="Calibri"/>
        <family val="2"/>
        <scheme val="minor"/>
      </rPr>
      <t xml:space="preserve"> P00499_2019</t>
    </r>
  </si>
  <si>
    <t>INV 81.19.30</t>
  </si>
  <si>
    <t>INV 81.19.31</t>
  </si>
  <si>
    <t>issu du tableau budget LDDR UC103</t>
  </si>
  <si>
    <t>WORLD COURIER</t>
  </si>
  <si>
    <t>Transport Etude Clinique RA301</t>
  </si>
  <si>
    <r>
      <t xml:space="preserve">Quote ATL-19-3868V2 - </t>
    </r>
    <r>
      <rPr>
        <b/>
        <sz val="11"/>
        <rFont val="Calibri"/>
        <family val="2"/>
        <scheme val="minor"/>
      </rPr>
      <t>P00488_2019</t>
    </r>
  </si>
  <si>
    <t>INV 0095833173</t>
  </si>
  <si>
    <t>Répartition Selon Budget RA301 de LDDR</t>
  </si>
  <si>
    <r>
      <t>Quote DV-ABI-1119-924 -</t>
    </r>
    <r>
      <rPr>
        <b/>
        <sz val="11"/>
        <rFont val="Calibri"/>
        <family val="2"/>
        <scheme val="minor"/>
      </rPr>
      <t xml:space="preserve"> P00497_2019</t>
    </r>
  </si>
  <si>
    <t>Envoi échantillons plasma ABX464-301 - Mise en place du projet</t>
  </si>
  <si>
    <t>Envoi échantillons plasma ABX464-301 - Transport d'échantillon</t>
  </si>
  <si>
    <t>Envoi échantillons plasma ABX464-301 - Gestion d'un opé de conservation</t>
  </si>
  <si>
    <t>Envoi échantillons plasma ABX464-301 - Creation retraitement de fichiers de données d'échantillons</t>
  </si>
  <si>
    <t>Envoi échantillons plasma ABX464-301 - Contrôle colis à reception</t>
  </si>
  <si>
    <t>Envoi échantillons plasma ABX464-301 - Contrôle standard à reception d'une cryoboite san code barre</t>
  </si>
  <si>
    <t>Envoi échantillons plasma ABX464-301 - Conservation 1 mois (Décembre 2019)</t>
  </si>
  <si>
    <t>Toxicokinetics 4-month marmoset</t>
  </si>
  <si>
    <t>INV 84.19.33</t>
  </si>
  <si>
    <t>INV 108792</t>
  </si>
  <si>
    <t>INSERM</t>
  </si>
  <si>
    <t>NA</t>
  </si>
  <si>
    <t>COL_18151</t>
  </si>
  <si>
    <t>Utilisation du spectro de masse par l'INSERM</t>
  </si>
  <si>
    <t>Utilisation du spectro de masse par l'INSERM + 1an</t>
  </si>
  <si>
    <t>Utilisation du spectro de masse par l'INSERM + 2ans</t>
  </si>
  <si>
    <t>Upon execution of WO</t>
  </si>
  <si>
    <t>INV FRA-001804</t>
  </si>
  <si>
    <t>RA302 - WO006 - PTC - Inform fee ORACLE Oct/Nov/Dec 2020</t>
  </si>
  <si>
    <t>RA302 - WO006 - PTC - Inform fee ORACLE Jan/Fev/Mar 2021</t>
  </si>
  <si>
    <t>RA302 - WO006 - PTC - Inform fee ORACLE Avr/MAi/Jun 2021</t>
  </si>
  <si>
    <t>RA302 - WO006 - PTC - Inform fee ORACLE Juil/Aout/Sept 2021</t>
  </si>
  <si>
    <t>RA302 - WO006 - PTC - Inform fee ORACLE Oct/Nov/Dec 2021</t>
  </si>
  <si>
    <t>RA302 - WO006 - PTC - Inform fee ORACLE Janv 2021 + Reliquat</t>
  </si>
  <si>
    <t>ORACLE FEE  = 110 120 - Upfront VIA LOA de 25 381 OK vu avec LDDR</t>
  </si>
  <si>
    <t>INV 108808</t>
  </si>
  <si>
    <t>INV 108807</t>
  </si>
  <si>
    <t>INV 108789</t>
  </si>
  <si>
    <t>UC-103 Change Order n°1 au WO1 20181211</t>
  </si>
  <si>
    <t>INV PJ20191830</t>
  </si>
  <si>
    <t>INV FA008067</t>
  </si>
  <si>
    <t>INV 20191130-4</t>
  </si>
  <si>
    <t>INV 20191130-3</t>
  </si>
  <si>
    <t>INV 2224</t>
  </si>
  <si>
    <t>INV 0001019003217RI</t>
  </si>
  <si>
    <t>INV 0001019003218 RI</t>
  </si>
  <si>
    <t>INV 16430</t>
  </si>
  <si>
    <t>Secondary packaging UC103 clinical study - Travaux de conditionnement Achat des livret</t>
  </si>
  <si>
    <t>Secondary packaging UC103 clinical study - Travaux de conditionnement Frais fixes</t>
  </si>
  <si>
    <t>INV CHB71801</t>
  </si>
  <si>
    <t>Secondary packaging UC103 clinical study - Travaux de conditionnement 1ère campagne</t>
  </si>
  <si>
    <t>Secondary packaging UC103 clinical study - Travaux de conditionnement campagne ultérieure</t>
  </si>
  <si>
    <t>Secondary packaging UC103 clinical study - Conservation</t>
  </si>
  <si>
    <t>Secondary packaging UC103 clinical study - Certification Set-up</t>
  </si>
  <si>
    <t xml:space="preserve">Secondary packaging UC103 clinical study - Certification Certification </t>
  </si>
  <si>
    <t>Secondary packaging UC103 clinical study - Conférence téléphonique</t>
  </si>
  <si>
    <t>INV CHB71802</t>
  </si>
  <si>
    <r>
      <t xml:space="preserve">Devis 11718-1-Avenant n°2 - </t>
    </r>
    <r>
      <rPr>
        <b/>
        <sz val="11"/>
        <rFont val="Calibri"/>
        <family val="2"/>
        <scheme val="minor"/>
      </rPr>
      <t>P00506_2019</t>
    </r>
  </si>
  <si>
    <t>UC103 Conditionnement et conservation UK + ESP - Conditionnement clinique</t>
  </si>
  <si>
    <t>UC103 Conditionnement et conservation UK + ESP - Conservation</t>
  </si>
  <si>
    <t>Répartition global basée sur le devis mais OK si ca colle pas pour RS car elle à un autre fichier sur lequel se baser - le reliquat de 2019 est placé au 31/12/2020 pour le moment</t>
  </si>
  <si>
    <r>
      <t>P17797-VF-V1 version 9Month -</t>
    </r>
    <r>
      <rPr>
        <b/>
        <sz val="11"/>
        <rFont val="Calibri"/>
        <family val="2"/>
        <scheme val="minor"/>
      </rPr>
      <t xml:space="preserve"> P00493_2019</t>
    </r>
  </si>
  <si>
    <t>8-week efficacy assessment and evalutaion off new compound  - Sugen-Hypoxia induced Pulmonary Arterial - 40%</t>
  </si>
  <si>
    <r>
      <t xml:space="preserve">Quote 20190528-1 Revised - </t>
    </r>
    <r>
      <rPr>
        <b/>
        <sz val="11"/>
        <rFont val="Calibri"/>
        <family val="2"/>
        <scheme val="minor"/>
      </rPr>
      <t>P00481_2019</t>
    </r>
  </si>
  <si>
    <r>
      <t>Quote 20190528-1 Revised -</t>
    </r>
    <r>
      <rPr>
        <b/>
        <sz val="11"/>
        <rFont val="Calibri"/>
        <family val="2"/>
        <scheme val="minor"/>
      </rPr>
      <t xml:space="preserve"> P00481_2019</t>
    </r>
  </si>
  <si>
    <r>
      <t xml:space="preserve">Quote 20190528-2 Revised - </t>
    </r>
    <r>
      <rPr>
        <b/>
        <sz val="11"/>
        <rFont val="Calibri"/>
        <family val="2"/>
        <scheme val="minor"/>
      </rPr>
      <t>P00482_2019</t>
    </r>
  </si>
  <si>
    <t>INV FA008086</t>
  </si>
  <si>
    <t>INV FA008088</t>
  </si>
  <si>
    <r>
      <t xml:space="preserve">Quote DV-ABI-1019-868 - </t>
    </r>
    <r>
      <rPr>
        <b/>
        <sz val="11"/>
        <rFont val="Calibri"/>
        <family val="2"/>
        <scheme val="minor"/>
      </rPr>
      <t>P00509_2019</t>
    </r>
  </si>
  <si>
    <t>Envoi échantillons plasma ABX464-003 - Mise en place du projet</t>
  </si>
  <si>
    <t>Envoi échantillons plasma ABX464-003 - Transport d'échantillon</t>
  </si>
  <si>
    <t>Envoi échantillons plasma ABX464-003 - Reception et Contrôle des Cryoboites</t>
  </si>
  <si>
    <r>
      <t xml:space="preserve">Envoi échantillons plasma ABX464-003 - Conservation sécurisé d'échantillon bio </t>
    </r>
    <r>
      <rPr>
        <b/>
        <sz val="11"/>
        <rFont val="Calibri"/>
        <family val="2"/>
        <scheme val="minor"/>
      </rPr>
      <t>POUR 1 MOIS</t>
    </r>
  </si>
  <si>
    <t>INV FRA-001812</t>
  </si>
  <si>
    <t>INV 20190336</t>
  </si>
  <si>
    <r>
      <t>Production</t>
    </r>
    <r>
      <rPr>
        <strike/>
        <sz val="11"/>
        <rFont val="Calibri"/>
        <family val="2"/>
        <scheme val="minor"/>
      </rPr>
      <t xml:space="preserve"> 30 Kg </t>
    </r>
    <r>
      <rPr>
        <b/>
        <sz val="11"/>
        <rFont val="Calibri"/>
        <family val="2"/>
        <scheme val="minor"/>
      </rPr>
      <t xml:space="preserve">15Kg </t>
    </r>
    <r>
      <rPr>
        <sz val="11"/>
        <rFont val="Calibri"/>
        <family val="2"/>
        <scheme val="minor"/>
      </rPr>
      <t>Octobre / Novembre 2019 - 30% a signature du PO V2 ACOMPTE n°2</t>
    </r>
  </si>
  <si>
    <r>
      <t xml:space="preserve">Production </t>
    </r>
    <r>
      <rPr>
        <strike/>
        <sz val="11"/>
        <rFont val="Calibri"/>
        <family val="2"/>
        <scheme val="minor"/>
      </rPr>
      <t>30 Kg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15Kg </t>
    </r>
    <r>
      <rPr>
        <sz val="11"/>
        <rFont val="Calibri"/>
        <family val="2"/>
        <scheme val="minor"/>
      </rPr>
      <t>Octobre / Novembre 2019 - 70% à livraison SOLDE</t>
    </r>
  </si>
  <si>
    <t>INV 20180445</t>
  </si>
  <si>
    <t>INV 20190108</t>
  </si>
  <si>
    <t>INV 20190195</t>
  </si>
  <si>
    <t>INV 20190042</t>
  </si>
  <si>
    <t>INV 20190203</t>
  </si>
  <si>
    <t>INV 20190089</t>
  </si>
  <si>
    <t>INV 20190264</t>
  </si>
  <si>
    <t>INV 20190090</t>
  </si>
  <si>
    <t>INV 20190253</t>
  </si>
  <si>
    <t xml:space="preserve">INV FAC18093-DA198 </t>
  </si>
  <si>
    <t xml:space="preserve">INV 2018.0160 </t>
  </si>
  <si>
    <r>
      <t xml:space="preserve">Scale up assay et ABX464 N gluco production (2Kg) - 30% acompte - </t>
    </r>
    <r>
      <rPr>
        <b/>
        <sz val="11"/>
        <rFont val="Calibri"/>
        <family val="2"/>
        <scheme val="minor"/>
      </rPr>
      <t>(Ancien prix : 30%128 950€) - MAJ 164 550 €</t>
    </r>
  </si>
  <si>
    <r>
      <t xml:space="preserve">Scale up assay et ABX464 N gluco production (1,8Kg) MAJ Devis 164 550 € - 70% solde - </t>
    </r>
    <r>
      <rPr>
        <b/>
        <sz val="11"/>
        <rFont val="Calibri"/>
        <family val="2"/>
        <scheme val="minor"/>
      </rPr>
      <t>(Ancien prix : 70%128 950€) - MAJ 164 550 €</t>
    </r>
  </si>
  <si>
    <t>INV FAC19035-DA198</t>
  </si>
  <si>
    <t>Facturé : Q1 Q2 Q3 Q4 2019</t>
  </si>
  <si>
    <t>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</t>
  </si>
  <si>
    <t>Preparation of study document for shipment 34 boites</t>
  </si>
  <si>
    <r>
      <t xml:space="preserve">ATL-19/4247 - </t>
    </r>
    <r>
      <rPr>
        <b/>
        <sz val="11"/>
        <rFont val="Calibri"/>
        <family val="2"/>
        <scheme val="minor"/>
      </rPr>
      <t>P00510_2019</t>
    </r>
  </si>
  <si>
    <t>UC103 Extension de péremption des coffret de 24 à 30 mois - Conditonnement Bordeaux 2 campagnes</t>
  </si>
  <si>
    <t>UC103 Extension de péremption des coffret de 24 à 30 mois - Conservation 10 ans</t>
  </si>
  <si>
    <t>INV FA008097</t>
  </si>
  <si>
    <t>INV 1912001</t>
  </si>
  <si>
    <t>Audit Delpharm 02/04/2020 - 50% a signature</t>
  </si>
  <si>
    <t>Audit Delpharm 02/04/2020 - 50% au rapport</t>
  </si>
  <si>
    <r>
      <t>Devis 19.12.257 -</t>
    </r>
    <r>
      <rPr>
        <b/>
        <sz val="11"/>
        <rFont val="Calibri"/>
        <family val="2"/>
        <scheme val="minor"/>
      </rPr>
      <t xml:space="preserve"> P00513_2019</t>
    </r>
  </si>
  <si>
    <r>
      <t xml:space="preserve">Devis 19.12.257 - </t>
    </r>
    <r>
      <rPr>
        <b/>
        <sz val="11"/>
        <rFont val="Calibri"/>
        <family val="2"/>
        <scheme val="minor"/>
      </rPr>
      <t>P00513_2019</t>
    </r>
  </si>
  <si>
    <t xml:space="preserve">Amrk 190731 </t>
  </si>
  <si>
    <t>Hospital fee</t>
  </si>
  <si>
    <t>INV GNR0360611</t>
  </si>
  <si>
    <t>INV CMB77506</t>
  </si>
  <si>
    <t>INV FA008102</t>
  </si>
  <si>
    <t>INV EC1911115</t>
  </si>
  <si>
    <t>INV EC1911116</t>
  </si>
  <si>
    <t>9-month cyno - add cost injection insulin</t>
  </si>
  <si>
    <t>INV 70869</t>
  </si>
  <si>
    <t>INV 69936 + INV 70203 + INV 70869</t>
  </si>
  <si>
    <t>08/08/2019 + 07/10/2019 + 19/12/2019</t>
  </si>
  <si>
    <t>INV 19F0599</t>
  </si>
  <si>
    <t>INV 19F0590</t>
  </si>
  <si>
    <t>29/811/2019</t>
  </si>
  <si>
    <t>INV 19F0637</t>
  </si>
  <si>
    <t>INV 19F0638</t>
  </si>
  <si>
    <t>IV-1019972-ABI</t>
  </si>
  <si>
    <t>INV 108821</t>
  </si>
  <si>
    <t>INV 108820</t>
  </si>
  <si>
    <t>INV 0095834061 + INV 0095834062</t>
  </si>
  <si>
    <t>24/12/2019 + 24/12/2019</t>
  </si>
  <si>
    <t>INV KUE10648</t>
  </si>
  <si>
    <t>INV PJ20192126</t>
  </si>
  <si>
    <t>INV 3900485018 + INV 3900491664 + INV 3900498392 + INV 3900505579 + INV 3900512359 + INV 3900519918</t>
  </si>
  <si>
    <t>31/07/2019 + 31/08/2019 + 30/09/2019 + 31/10/2019 + 30/11/2019 + 31/12/2019</t>
  </si>
  <si>
    <t>INV 10001073</t>
  </si>
  <si>
    <t>INV 10001072</t>
  </si>
  <si>
    <t>INV FAC000131</t>
  </si>
  <si>
    <t>FNP 2020 : presta réalisé sur Novembre (voir devis)</t>
  </si>
  <si>
    <t>FLUIDIGM</t>
  </si>
  <si>
    <r>
      <t xml:space="preserve">Devis Q-53862 - </t>
    </r>
    <r>
      <rPr>
        <b/>
        <sz val="11"/>
        <rFont val="Calibri"/>
        <family val="2"/>
        <scheme val="minor"/>
      </rPr>
      <t>P00518_2019</t>
    </r>
  </si>
  <si>
    <t>Achat de produits Labo</t>
  </si>
  <si>
    <t>Achat de produits Labo Frais de transport</t>
  </si>
  <si>
    <t>TruCulture tube shipment to site 6003</t>
  </si>
  <si>
    <r>
      <t xml:space="preserve">Devis 06042019_v2 - </t>
    </r>
    <r>
      <rPr>
        <b/>
        <sz val="11"/>
        <rFont val="Calibri"/>
        <family val="2"/>
        <scheme val="minor"/>
      </rPr>
      <t>P00508_2019</t>
    </r>
  </si>
  <si>
    <r>
      <t xml:space="preserve">DEV000170 - </t>
    </r>
    <r>
      <rPr>
        <b/>
        <sz val="11"/>
        <rFont val="Calibri"/>
        <family val="2"/>
        <scheme val="minor"/>
      </rPr>
      <t>P00528_2020</t>
    </r>
  </si>
  <si>
    <t>Rapatriement bloc histo Etude Marmoset</t>
  </si>
  <si>
    <r>
      <t xml:space="preserve">CEVQ2019.11.02 - </t>
    </r>
    <r>
      <rPr>
        <b/>
        <sz val="11"/>
        <rFont val="Calibri"/>
        <family val="2"/>
        <scheme val="minor"/>
      </rPr>
      <t>P00519_2019</t>
    </r>
  </si>
  <si>
    <t xml:space="preserve">Occular exam 9-months marmoset </t>
  </si>
  <si>
    <r>
      <t xml:space="preserve">CEVQ2019.12.05 - </t>
    </r>
    <r>
      <rPr>
        <b/>
        <sz val="11"/>
        <rFont val="Calibri"/>
        <family val="2"/>
        <scheme val="minor"/>
      </rPr>
      <t>P00530_2020</t>
    </r>
  </si>
  <si>
    <t>Lecture histologique 9-months marmoset - 50% à reception des 1ères lames</t>
  </si>
  <si>
    <t>Lecture histologique 9-months marmoset - 50% au draft report</t>
  </si>
  <si>
    <t>9-month cyno + 4-week treatment</t>
  </si>
  <si>
    <t>Basé su plan TOX 08/01/2020</t>
  </si>
  <si>
    <t>IV-12191030-ABI</t>
  </si>
  <si>
    <t>IV-12191031-ABI</t>
  </si>
  <si>
    <t>IV-12191029-ABI</t>
  </si>
  <si>
    <t>INV 17383</t>
  </si>
  <si>
    <t>INV 26719</t>
  </si>
  <si>
    <t>Répartition selon mail de JN du 09/01/2020</t>
  </si>
  <si>
    <t>Analytical doc and quality assurance + control matrix + Set up pf method + XX number of sample analysed</t>
  </si>
  <si>
    <t>XX number of sample analysed</t>
  </si>
  <si>
    <t>INV 11825</t>
  </si>
  <si>
    <t>INV FRA-001796 + INV FRA-001855</t>
  </si>
  <si>
    <t>12/11/2019 + 09/01/2020</t>
  </si>
  <si>
    <t>ABX464-102 Code projet 10008132</t>
  </si>
  <si>
    <t>Study preparation, Site SetUp &amp; Standardization - (1.1) Study Set-up</t>
  </si>
  <si>
    <t>Study preparation, Site SetUp &amp; Standardization - (1.2) Study Set-up Documentation</t>
  </si>
  <si>
    <t>Study preparation, Site SetUp &amp; Standardization - (1.4) Study Set-up Site Qualification &amp; Equipment Assessment</t>
  </si>
  <si>
    <t>Study preparation, Site SetUp &amp; Standardization - (1.5) Study Set-up Scientific &amp; Reg Services</t>
  </si>
  <si>
    <t>Study Management Services - (3.1.1) Site Equipment Support, Maintenance et Logistics of Video sur 20 mois</t>
  </si>
  <si>
    <t>Study Management Services - (3.1.2) Project Managment &amp; Site Technical Support StartUp sur 3 mois</t>
  </si>
  <si>
    <t>Study Management Services - (3.1.3) Project Managment &amp; Site Technical Support Execution sur 19 mois</t>
  </si>
  <si>
    <t>SMART Submit - (4.1.1) - Web-based image sub Study SetUp</t>
  </si>
  <si>
    <t>Per timepoint</t>
  </si>
  <si>
    <t>SMART Analyze  - (6.1) - Image Analysis / Independant Reading Services Image Review Application</t>
  </si>
  <si>
    <t>SMART Analyze  - (6.1) - Image Analysis / Independant Reading Services Image interpretation Training session</t>
  </si>
  <si>
    <t>SMART Analyze  - (6.1) - Image Analysis / Independant Reading Services Performance of image interpretation</t>
  </si>
  <si>
    <t>SMART Analyze  - (6.1) - Image Analysis / Independant Reading Services Notification of primary read result</t>
  </si>
  <si>
    <t>SMART Analyze  - (6.1) - Image Analysis / Independant Reading Services System supprt and Ongoing Data Mgm sur 20 mois</t>
  </si>
  <si>
    <t>SMART Analyze  - (6.1) - Image Analysis / Independant Reading Services Data Validation plan</t>
  </si>
  <si>
    <t>Per Sudy</t>
  </si>
  <si>
    <t>SMART Transfer - (8.1) - Data Management &amp; Transfer Services Data transfer customization</t>
  </si>
  <si>
    <t>Per transfer specification</t>
  </si>
  <si>
    <t>SMART Transfer - (8.1) - Data Management &amp; Transfer Services Electronic Data Transfer (Routine)</t>
  </si>
  <si>
    <t>Per transfer</t>
  </si>
  <si>
    <t>SMART Transfer - (8.1) - Data Management &amp; Transfer Services Electronic Data Transfer (Interim / Final)</t>
  </si>
  <si>
    <t>Study Close-Out and Archival Services (9.1) - Project Close-out</t>
  </si>
  <si>
    <t>PTC - Printing</t>
  </si>
  <si>
    <t>PTC - Shipping</t>
  </si>
  <si>
    <t>PTC Coordination et Management of PTC Expenses</t>
  </si>
  <si>
    <t>Reader Professionnal Fees and Expenses - Efficacy</t>
  </si>
  <si>
    <t>Reader Professionnal Fees and Expenses - Image interpretaion Training Session</t>
  </si>
  <si>
    <t>Reader Professionnal Fees and Expenses - Reader consultation</t>
  </si>
  <si>
    <t>Reader Professionnal Fees and Expenses - Reader mangement fee</t>
  </si>
  <si>
    <t>Q1 2020</t>
  </si>
  <si>
    <t>2020 - Clinical monitoring services</t>
  </si>
  <si>
    <t>2020 - Clinical monitoring PTC</t>
  </si>
  <si>
    <t>INV FRSI-008290</t>
  </si>
  <si>
    <t>Transport De Montpellier vers Pologne</t>
  </si>
  <si>
    <r>
      <t xml:space="preserve">ASI-7305-06JAN2019-MISKOLC-V1.0 - </t>
    </r>
    <r>
      <rPr>
        <b/>
        <sz val="11"/>
        <rFont val="Calibri"/>
        <family val="2"/>
        <scheme val="minor"/>
      </rPr>
      <t>P00524_2020</t>
    </r>
  </si>
  <si>
    <t>X-VIVO10 Ref BEBP04-743Q</t>
  </si>
  <si>
    <r>
      <t xml:space="preserve">Devis 29402 </t>
    </r>
    <r>
      <rPr>
        <b/>
        <sz val="11"/>
        <rFont val="Calibri"/>
        <family val="2"/>
        <scheme val="minor"/>
      </rPr>
      <t>- P00534_2020</t>
    </r>
  </si>
  <si>
    <r>
      <t xml:space="preserve">Devis Q-54089 - </t>
    </r>
    <r>
      <rPr>
        <b/>
        <sz val="11"/>
        <rFont val="Calibri"/>
        <family val="2"/>
        <scheme val="minor"/>
      </rPr>
      <t>P00538_2020</t>
    </r>
  </si>
  <si>
    <t>TruCuture tube</t>
  </si>
  <si>
    <r>
      <t xml:space="preserve">Devis OZY13126H - </t>
    </r>
    <r>
      <rPr>
        <b/>
        <sz val="11"/>
        <rFont val="Calibri"/>
        <family val="2"/>
        <scheme val="minor"/>
      </rPr>
      <t>P00533_2020</t>
    </r>
  </si>
  <si>
    <t>Contrôle et Stockage échantillon</t>
  </si>
  <si>
    <r>
      <t xml:space="preserve">DV-ABI-1219-968 - </t>
    </r>
    <r>
      <rPr>
        <b/>
        <sz val="11"/>
        <rFont val="Calibri"/>
        <family val="2"/>
        <scheme val="minor"/>
      </rPr>
      <t>P00526_2020</t>
    </r>
    <r>
      <rPr>
        <sz val="11"/>
        <rFont val="Calibri"/>
        <family val="2"/>
        <scheme val="minor"/>
      </rPr>
      <t xml:space="preserve"> (Suite du P00509)</t>
    </r>
  </si>
  <si>
    <t>INV EC1912046</t>
  </si>
  <si>
    <t>INV EC1912047</t>
  </si>
  <si>
    <t>INV CNB92202</t>
  </si>
  <si>
    <t>INV CNB77507</t>
  </si>
  <si>
    <t>INV FRA-001884</t>
  </si>
  <si>
    <t>INV 2001001</t>
  </si>
  <si>
    <r>
      <t xml:space="preserve">DV-ABI-0120-987 - </t>
    </r>
    <r>
      <rPr>
        <b/>
        <sz val="11"/>
        <rFont val="Calibri"/>
        <family val="2"/>
        <scheme val="minor"/>
      </rPr>
      <t>P00546_2020</t>
    </r>
  </si>
  <si>
    <t>Rapatriment échantillon ATLANBIO étude UC101 Gestion de projet</t>
  </si>
  <si>
    <t>Rapatriment échantillon ATLANBIO étude UC101 Conservation d'échantillons sur 1 an (01/2020 à 12/2020)</t>
  </si>
  <si>
    <t>mail JD 15/01/19</t>
  </si>
  <si>
    <t>FNP S2 2019</t>
  </si>
  <si>
    <t>au final non fait</t>
  </si>
  <si>
    <t>24 Ke presta non faite au final</t>
  </si>
  <si>
    <t>INV BCI-0032763</t>
  </si>
  <si>
    <t>INV 70958</t>
  </si>
  <si>
    <t>INV 70906</t>
  </si>
  <si>
    <t>INV 70905</t>
  </si>
  <si>
    <t>INV 70804</t>
  </si>
  <si>
    <t>INV 5148524</t>
  </si>
  <si>
    <t>19/08/2019 (reçu en 2020)</t>
  </si>
  <si>
    <t>INV FAC000133</t>
  </si>
  <si>
    <t>Validation of ddPCR assay for absolute quantification of miR124.1 - 30% a signature</t>
  </si>
  <si>
    <t>Validation of ddPCR assay for absolute quantification of miR124.1 - 70% au rapport</t>
  </si>
  <si>
    <r>
      <t>Devis T2020 01 13 002 -</t>
    </r>
    <r>
      <rPr>
        <b/>
        <sz val="11"/>
        <rFont val="Calibri"/>
        <family val="2"/>
        <scheme val="minor"/>
      </rPr>
      <t xml:space="preserve"> P00552_2020</t>
    </r>
  </si>
  <si>
    <t xml:space="preserve">Coût pour retour produit à -20°C </t>
  </si>
  <si>
    <r>
      <t>Devis T2020 01 13 003 -</t>
    </r>
    <r>
      <rPr>
        <b/>
        <sz val="11"/>
        <rFont val="Calibri"/>
        <family val="2"/>
        <scheme val="minor"/>
      </rPr>
      <t xml:space="preserve"> P00553_2020</t>
    </r>
  </si>
  <si>
    <t>Coût pour retour produit 2g par Safetrans</t>
  </si>
  <si>
    <t>Milestones vu avec Julien</t>
  </si>
  <si>
    <r>
      <t>Devis 12112-1 -</t>
    </r>
    <r>
      <rPr>
        <b/>
        <sz val="11"/>
        <rFont val="Calibri"/>
        <family val="2"/>
        <scheme val="minor"/>
      </rPr>
      <t xml:space="preserve"> P00544_2020</t>
    </r>
  </si>
  <si>
    <t>Distribution UC104 - a) Study set up Dossier étude Création Gestion</t>
  </si>
  <si>
    <t>Distribution UC104 - a) Study set up Dossier étude Suivi / mois sur 26 mois</t>
  </si>
  <si>
    <t>Distribution UC104 - b) Réception et Stockage / mois sur 26 mois</t>
  </si>
  <si>
    <t>Distribution UC104 - h) Destruction</t>
  </si>
  <si>
    <t>Distribution UC104 - Achat de TT4 ultra avec brones</t>
  </si>
  <si>
    <t xml:space="preserve">INV 2018470-1 du </t>
  </si>
  <si>
    <t xml:space="preserve"> 01/07/2019</t>
  </si>
  <si>
    <t>INV 2018470-2 du</t>
  </si>
  <si>
    <t xml:space="preserve">INV 2018477-1 du </t>
  </si>
  <si>
    <t xml:space="preserve">INV 2018472-1 du </t>
  </si>
  <si>
    <t xml:space="preserve">INV 2018472-2 du </t>
  </si>
  <si>
    <t xml:space="preserve">INV 2018474-1 du </t>
  </si>
  <si>
    <t xml:space="preserve">INV 2018474-2 du </t>
  </si>
  <si>
    <t xml:space="preserve">INV 2018470-3 du </t>
  </si>
  <si>
    <t xml:space="preserve">INV 2018474-3 du </t>
  </si>
  <si>
    <t xml:space="preserve">INV 2018771-1 du </t>
  </si>
  <si>
    <t xml:space="preserve">INV 2018771-2 du </t>
  </si>
  <si>
    <t xml:space="preserve">INV 2018471-4 du </t>
  </si>
  <si>
    <t>INV 2018771-3 du</t>
  </si>
  <si>
    <t>UNV 2018477-2</t>
  </si>
  <si>
    <r>
      <t xml:space="preserve">CEVQ2020.01.05 - </t>
    </r>
    <r>
      <rPr>
        <b/>
        <sz val="11"/>
        <rFont val="Calibri"/>
        <family val="2"/>
        <scheme val="minor"/>
      </rPr>
      <t>PAS DE PO</t>
    </r>
  </si>
  <si>
    <t>toxicokinetics calculation for study number ATL-19-2270</t>
  </si>
  <si>
    <t>INV 89.20.02</t>
  </si>
  <si>
    <t>FNP S2 2019 car rapport reçu</t>
  </si>
  <si>
    <t>INV 26803</t>
  </si>
  <si>
    <r>
      <t xml:space="preserve">Le 26/07/2019 : LAST INVOICE : 25 202,58 € </t>
    </r>
    <r>
      <rPr>
        <b/>
        <sz val="11"/>
        <rFont val="Calibri"/>
        <family val="2"/>
        <scheme val="minor"/>
      </rPr>
      <t xml:space="preserve">+ 4 797,42 € environ </t>
    </r>
    <r>
      <rPr>
        <sz val="11"/>
        <rFont val="Calibri"/>
        <family val="2"/>
        <scheme val="minor"/>
      </rPr>
      <t>= 30 000 € Prévue pour septembre 2019 CF mail josianne du 26/07/2019
INV n°11 de 27/01/2020</t>
    </r>
  </si>
  <si>
    <t>INV FRSI-008290 + INV FRSI-008341</t>
  </si>
  <si>
    <t>13/01/2020 + 27/01/2020</t>
  </si>
  <si>
    <t>vu le 31/01/2020 donc pas de fnp 2019</t>
  </si>
  <si>
    <r>
      <t xml:space="preserve">CEVQ2020.01.02 - </t>
    </r>
    <r>
      <rPr>
        <b/>
        <sz val="11"/>
        <rFont val="Calibri"/>
        <family val="2"/>
        <scheme val="minor"/>
      </rPr>
      <t>PAS DE PO</t>
    </r>
  </si>
  <si>
    <t>Occular exam 9-months Cyno</t>
  </si>
  <si>
    <t>INV 1031900259 + IN 1031900195</t>
  </si>
  <si>
    <t>14/01/2019 + 10/01/2019 (recue en 2020)</t>
  </si>
  <si>
    <t>INV 108849</t>
  </si>
  <si>
    <t>INV 108850</t>
  </si>
  <si>
    <t>INV 202000130-5</t>
  </si>
  <si>
    <t>INV 2020130-6</t>
  </si>
  <si>
    <t>INV I-2020-1001</t>
  </si>
  <si>
    <t>Set-up + monthly fee</t>
  </si>
  <si>
    <t>Monthly fee - 5 175 € sur 9 mois (Mars To Nov. 2020)</t>
  </si>
  <si>
    <t>INV 11845</t>
  </si>
  <si>
    <t>IV-01201104-ABI</t>
  </si>
  <si>
    <t>IV-01201103-ABI</t>
  </si>
  <si>
    <t>INV BCI-0033503</t>
  </si>
  <si>
    <t>ADVANCE PAYEMENT 20%</t>
  </si>
  <si>
    <r>
      <rPr>
        <strike/>
        <sz val="11"/>
        <rFont val="Calibri"/>
        <family val="2"/>
        <scheme val="minor"/>
      </rPr>
      <t xml:space="preserve">Quote 20191010_01_NBR_v01 - </t>
    </r>
    <r>
      <rPr>
        <b/>
        <strike/>
        <sz val="11"/>
        <rFont val="Calibri"/>
        <family val="2"/>
        <scheme val="minor"/>
      </rPr>
      <t>P00545_2020</t>
    </r>
  </si>
  <si>
    <r>
      <t xml:space="preserve">Quote 20191010_01_NBR_v01 - </t>
    </r>
    <r>
      <rPr>
        <b/>
        <strike/>
        <sz val="11"/>
        <rFont val="Calibri"/>
        <family val="2"/>
        <scheme val="minor"/>
      </rPr>
      <t>P00545_2020</t>
    </r>
  </si>
  <si>
    <r>
      <t>Quote 20191010_01_NBR_v02 -</t>
    </r>
    <r>
      <rPr>
        <b/>
        <sz val="11"/>
        <rFont val="Calibri"/>
        <family val="2"/>
        <scheme val="minor"/>
      </rPr>
      <t xml:space="preserve"> P00556_2020</t>
    </r>
  </si>
  <si>
    <t>Annulé et remplacé par PO00556_2020</t>
  </si>
  <si>
    <r>
      <t xml:space="preserve">DV-ABI-0120-1002 - </t>
    </r>
    <r>
      <rPr>
        <b/>
        <sz val="11"/>
        <rFont val="Calibri"/>
        <family val="2"/>
        <scheme val="minor"/>
      </rPr>
      <t>P00559_2020</t>
    </r>
  </si>
  <si>
    <t>Formation sur logiciel Biomarcker</t>
  </si>
  <si>
    <t>Change Order n°1 du 22/01/2019 35€ par heure pour 60h - L2D</t>
  </si>
  <si>
    <r>
      <t xml:space="preserve">MSA du 08/11/2018 - ABIVAX_USA_EUA_COMB_NOV_18_01 - </t>
    </r>
    <r>
      <rPr>
        <b/>
        <sz val="11"/>
        <rFont val="Calibri"/>
        <family val="2"/>
        <scheme val="minor"/>
      </rPr>
      <t>P000097 (Docushare)</t>
    </r>
  </si>
  <si>
    <t>1. IND templates in CTD format</t>
  </si>
  <si>
    <t>2. Publishing and Submission of IND 70% acompte</t>
  </si>
  <si>
    <t>2. Publishing and Submission of IND 30% solde</t>
  </si>
  <si>
    <t>3. USA Agent Support Services</t>
  </si>
  <si>
    <t>4.Cost for uptade and amendments to IND templates</t>
  </si>
  <si>
    <t>5. Ad-hoc consuling 12 mois - Décembre 2018</t>
  </si>
  <si>
    <t>5. Ad-hoc consuling 12 mois - Janvier 2019</t>
  </si>
  <si>
    <t>5. Ad-hoc consuling 12 mois - Fevrier 2019</t>
  </si>
  <si>
    <t>5. Ad-hoc consuling 12 mois - Mars 2019</t>
  </si>
  <si>
    <t>5. Ad-hoc consuling 12 mois - Avril 2019</t>
  </si>
  <si>
    <t>5. Ad-hoc consuling 12 mois - Mai 2019</t>
  </si>
  <si>
    <t>5. Ad-hoc consuling 12 mois - Juin 2019</t>
  </si>
  <si>
    <t>5. Ad-hoc consuling 12 mois - Juillet 2019</t>
  </si>
  <si>
    <t>5. Ad-hoc consuling 12 mois - Aout 2019</t>
  </si>
  <si>
    <t>5. Ad-hoc consuling 12 mois - Sept 2019</t>
  </si>
  <si>
    <t>5. Ad-hoc consuling 12 mois - Oct 2019</t>
  </si>
  <si>
    <t>5. Ad-hoc consuling 12 mois - Nov 2019 - name Déc 2019</t>
  </si>
  <si>
    <t xml:space="preserve">1. Ad hoc support to adress quieries related to content authoring in IND template
</t>
  </si>
  <si>
    <t xml:space="preserve">1. Ad hoc support to provide training on IND templates
</t>
  </si>
  <si>
    <t>INV 2018044</t>
  </si>
  <si>
    <t>INV 2019036</t>
  </si>
  <si>
    <t>INV 2019044</t>
  </si>
  <si>
    <t>INV 2019056</t>
  </si>
  <si>
    <t>INV 2019076</t>
  </si>
  <si>
    <t>INV 2019092</t>
  </si>
  <si>
    <t>INV 2019140</t>
  </si>
  <si>
    <t>INV FREGRE0026</t>
  </si>
  <si>
    <t>INV 2019141</t>
  </si>
  <si>
    <t>2. Regulatory support DLRC - 50% at initiation of the publishing &amp; submission
puisque non facturé : j'imagine qu'il est out et ecrasé par le calcul exact</t>
  </si>
  <si>
    <r>
      <t>Change Order n°2 du 24/06/2019 35€ par heure pour 60h - DLRC</t>
    </r>
    <r>
      <rPr>
        <b/>
        <sz val="11"/>
        <rFont val="Calibri"/>
        <family val="2"/>
        <scheme val="minor"/>
      </rPr>
      <t xml:space="preserve"> - P00379_2019</t>
    </r>
  </si>
  <si>
    <t>3. Final invoice based ond actual n° of doc - 510 doc = 4200 $</t>
  </si>
  <si>
    <t>3. Final invoice based ond actual n° of Pages 38 242 pages = 41 120 $ (env.)</t>
  </si>
  <si>
    <t>MSA du 27/11/2019 - ABIVAX_USA_EUA_COMB_NOV_19_01</t>
  </si>
  <si>
    <t>1. USA Agen Support Services</t>
  </si>
  <si>
    <t>2. Cost for updates IDN template</t>
  </si>
  <si>
    <t>3. Ad-hoc consulting services capped to 10h/month 350*12mois - Décembre 2019</t>
  </si>
  <si>
    <t>3. Ad-hoc consulting services capped to 10h/month 350*12mois - Janvier 2020</t>
  </si>
  <si>
    <t>3. Ad-hoc consulting services capped to 10h/month 350*12mois - Fevrier 2020</t>
  </si>
  <si>
    <t>3. Ad-hoc consulting services capped to 10h/month 350*12mois - Mars 2020</t>
  </si>
  <si>
    <t>3. Ad-hoc consulting services capped to 10h/month 350*12mois - Avril 2020</t>
  </si>
  <si>
    <t>3. Ad-hoc consulting services capped to 10h/month 350*12mois - Mai 2020</t>
  </si>
  <si>
    <t>3. Ad-hoc consulting services capped to 10h/month 350*12mois - Juin 2020</t>
  </si>
  <si>
    <t>3. Ad-hoc consulting services capped to 10h/month 350*12mois - Juillet 2020</t>
  </si>
  <si>
    <t>3. Ad-hoc consulting services capped to 10h/month 350*12mois - Aout 2020</t>
  </si>
  <si>
    <t>3. Ad-hoc consulting services capped to 10h/month 350*12mois - Sept 2020</t>
  </si>
  <si>
    <t>3. Ad-hoc consulting services capped to 10h/month 350*12mois - Oct 2020</t>
  </si>
  <si>
    <t>INV 2019193</t>
  </si>
  <si>
    <t>3. Ad-hoc consulting services capped to 10h/month 350*12mois - Novembre 2019</t>
  </si>
  <si>
    <t>INV FRA-001934</t>
  </si>
  <si>
    <t>INV FRA-001931</t>
  </si>
  <si>
    <t>INV 88.19.38</t>
  </si>
  <si>
    <t>INV 90.20.03 + INV 92.20.05</t>
  </si>
  <si>
    <t>31/01/2020 + 11/02/2020</t>
  </si>
  <si>
    <t>INV FA008176</t>
  </si>
  <si>
    <t>LC-MS/MS Simultaneous Determination of ABX464 NGLU in Monkey Plasma 9-month - 45% signature</t>
  </si>
  <si>
    <t>LC-MS/MS Simultaneous Determination of ABX464 NGLU in Monkey Plasma 9-month - 50% QC audited Data</t>
  </si>
  <si>
    <t>LC-MS/MS Simultaneous Determination of ABX464 NGLU in Monkey Plasma 9-month - 5% draft report</t>
  </si>
  <si>
    <t>ATL-19/41/38 WO n°1 - Bioanalyses Supplementaires LC-MS/MS Simultaneous Determination of ABX464 NGLU in Monkey Plasma 9-month - add work</t>
  </si>
  <si>
    <t>9 month cyno study - Additional animals</t>
  </si>
  <si>
    <t>INV 220-035</t>
  </si>
  <si>
    <t>CEVQ2020.02.02 - PAS DE PO</t>
  </si>
  <si>
    <t>Urgent toxicokinetics calulation</t>
  </si>
  <si>
    <t>INV 93.20.06</t>
  </si>
  <si>
    <t>INV EC2001109</t>
  </si>
  <si>
    <t>INV EC2001110</t>
  </si>
  <si>
    <t>ZIGZAG</t>
  </si>
  <si>
    <r>
      <t xml:space="preserve">Task Order n°1 - </t>
    </r>
    <r>
      <rPr>
        <b/>
        <sz val="11"/>
        <rFont val="Calibri"/>
        <family val="2"/>
        <scheme val="minor"/>
      </rPr>
      <t>P00561_2020</t>
    </r>
  </si>
  <si>
    <t>Audit Montpellier - 30% a signature</t>
  </si>
  <si>
    <t>Audit Montpellier - 70% au rapport</t>
  </si>
  <si>
    <t>Audit Montpellier - PTC</t>
  </si>
  <si>
    <t>Distribution en Espagne</t>
  </si>
  <si>
    <t>Distribution UK</t>
  </si>
  <si>
    <t>Traduction MBR en anglais</t>
  </si>
  <si>
    <t>INV 0001020000378RI</t>
  </si>
  <si>
    <t>INV 2002001</t>
  </si>
  <si>
    <t>INV FA750555</t>
  </si>
  <si>
    <t>CONSERVATION SÉCURISÉE D'ÉCHANTILLONS BIOLOGIQUES 12 mois année 2020</t>
  </si>
  <si>
    <t>IV-01201058-ABI</t>
  </si>
  <si>
    <r>
      <t xml:space="preserve">IV-01201052-ABI - </t>
    </r>
    <r>
      <rPr>
        <b/>
        <sz val="11"/>
        <rFont val="Calibri"/>
        <family val="2"/>
        <scheme val="minor"/>
      </rPr>
      <t>P00571_2020</t>
    </r>
  </si>
  <si>
    <t>IV-01201052-ABI</t>
  </si>
  <si>
    <r>
      <t xml:space="preserve">IV-01201058-ABI - </t>
    </r>
    <r>
      <rPr>
        <b/>
        <sz val="11"/>
        <rFont val="Calibri"/>
        <family val="2"/>
        <scheme val="minor"/>
      </rPr>
      <t>P00572_2020</t>
    </r>
  </si>
  <si>
    <r>
      <t xml:space="preserve">IV-01201057-ABI - </t>
    </r>
    <r>
      <rPr>
        <b/>
        <sz val="11"/>
        <rFont val="Calibri"/>
        <family val="2"/>
        <scheme val="minor"/>
      </rPr>
      <t>P00570_2020</t>
    </r>
  </si>
  <si>
    <t>IV-01201057-ABI</t>
  </si>
  <si>
    <t>IV-01201056-ABI</t>
  </si>
  <si>
    <r>
      <t xml:space="preserve">IV-01201056-ABI - </t>
    </r>
    <r>
      <rPr>
        <b/>
        <sz val="11"/>
        <rFont val="Calibri"/>
        <family val="2"/>
        <scheme val="minor"/>
      </rPr>
      <t>P00569_2020</t>
    </r>
  </si>
  <si>
    <r>
      <t xml:space="preserve">IV-01201055-ABI - </t>
    </r>
    <r>
      <rPr>
        <b/>
        <sz val="11"/>
        <rFont val="Calibri"/>
        <family val="2"/>
        <scheme val="minor"/>
      </rPr>
      <t>P00568_2020</t>
    </r>
  </si>
  <si>
    <t>IV-01201055-ABI</t>
  </si>
  <si>
    <t>IV-01201054-ABI</t>
  </si>
  <si>
    <r>
      <t>IV-01201054-ABI -</t>
    </r>
    <r>
      <rPr>
        <b/>
        <sz val="11"/>
        <rFont val="Calibri"/>
        <family val="2"/>
        <scheme val="minor"/>
      </rPr>
      <t xml:space="preserve"> P00567_2020</t>
    </r>
  </si>
  <si>
    <t>IV-01201053-ABI</t>
  </si>
  <si>
    <r>
      <t>IV-01201053-ABI -</t>
    </r>
    <r>
      <rPr>
        <b/>
        <sz val="11"/>
        <rFont val="Calibri"/>
        <family val="2"/>
        <scheme val="minor"/>
      </rPr>
      <t xml:space="preserve"> P00566_2020</t>
    </r>
  </si>
  <si>
    <t>INV COB71806</t>
  </si>
  <si>
    <t>INV COB77508</t>
  </si>
  <si>
    <t>INV COB71805</t>
  </si>
  <si>
    <t>UC103 Extension de péremption des coffret de 24 à 30 mois - contre etiquetage Ukraine et Bielorussie</t>
  </si>
  <si>
    <r>
      <t xml:space="preserve">Devis 11718-1-Avenant n°1 - </t>
    </r>
    <r>
      <rPr>
        <b/>
        <sz val="11"/>
        <rFont val="Calibri"/>
        <family val="2"/>
        <scheme val="minor"/>
      </rPr>
      <t>P00515_2019</t>
    </r>
  </si>
  <si>
    <t>CEVQ2020.02.03 - PAS DE PO</t>
  </si>
  <si>
    <t>Relecture histopatho mini pig</t>
  </si>
  <si>
    <t>INV 94.20.07</t>
  </si>
  <si>
    <t>INV PJ20200204</t>
  </si>
  <si>
    <t>Change Order n°3 du 20/02/2020 publishing and sub IND - Pas de PO</t>
  </si>
  <si>
    <t>1. Final invoice based ond actual n° of Pages 38 242 pages = 40 300 $</t>
  </si>
  <si>
    <t>NDA PARTNERS</t>
  </si>
  <si>
    <t>Mail du 20/02/2020</t>
  </si>
  <si>
    <t>Anticipated budget - TO BE CONFIRMED</t>
  </si>
  <si>
    <t>INV FA751101</t>
  </si>
  <si>
    <t>INV 71049</t>
  </si>
  <si>
    <t>INV 71048</t>
  </si>
  <si>
    <t>INV FA15604</t>
  </si>
  <si>
    <t>INV COC11201</t>
  </si>
  <si>
    <t>reliquat placé sur Juin 2020 pour clotue</t>
  </si>
  <si>
    <t>INV 0095835526</t>
  </si>
  <si>
    <t xml:space="preserve"> du 17/04/2019 </t>
  </si>
  <si>
    <t>INV 108542</t>
  </si>
  <si>
    <t xml:space="preserve"> du 14/05/2019</t>
  </si>
  <si>
    <t>INV 108556</t>
  </si>
  <si>
    <t>INV 108626 + INV 108704 + INV 108864</t>
  </si>
  <si>
    <t>02/07/2019 + 27/08/2019 + 20/02/2020</t>
  </si>
  <si>
    <t>INV 108714 + INV 108720 + INV 108844 + INV 108864</t>
  </si>
  <si>
    <t>05/09/2019 + 13/09/2019 + 30/01/2020 + 20/02/2020</t>
  </si>
  <si>
    <t>INV 108866 + INV 108871</t>
  </si>
  <si>
    <t>24/02/2020 + 26/02/2020</t>
  </si>
  <si>
    <t>15/11/2017 + 15/12/2017 + 15/01/2018 + 15/03/2018 + 16/04/2018 + 15/05/2018 + 16/07/2018 + INV 21801342 Sept (30/10/2018) + INV 21801340 Oct (30/10/2018) + INV 21801466 (19/11/2018) + INV 21900685 du 15/05/2019 + INV 22000216 du 14/02/2020</t>
  </si>
  <si>
    <t>INV 0095834655</t>
  </si>
  <si>
    <t>INV 0095834656+0095834950+0095834951+0095834949</t>
  </si>
  <si>
    <t>21/01/2020 + 29/01/2020</t>
  </si>
  <si>
    <t>INV 0095835622 + INV 0095835623</t>
  </si>
  <si>
    <r>
      <t xml:space="preserve">DVA-7305-Abivax-10Jan2020-Montpellier-V1.0 - </t>
    </r>
    <r>
      <rPr>
        <b/>
        <sz val="11"/>
        <rFont val="Calibri"/>
        <family val="2"/>
        <scheme val="minor"/>
      </rPr>
      <t>P00535_2020</t>
    </r>
  </si>
  <si>
    <t>INV FRGE0037</t>
  </si>
  <si>
    <t>INV 0095835536 + INV 0095835700</t>
  </si>
  <si>
    <t>25/02/2020 + 27/02/2020</t>
  </si>
  <si>
    <r>
      <t xml:space="preserve">1807132 Rev.01 - </t>
    </r>
    <r>
      <rPr>
        <b/>
        <sz val="11"/>
        <rFont val="Calibri"/>
        <family val="2"/>
        <scheme val="minor"/>
      </rPr>
      <t>P00577_2020</t>
    </r>
  </si>
  <si>
    <t>Stability samples 18M</t>
  </si>
  <si>
    <r>
      <t>DV-ABI-0220-1021 -</t>
    </r>
    <r>
      <rPr>
        <b/>
        <sz val="11"/>
        <rFont val="Calibri"/>
        <family val="2"/>
        <scheme val="minor"/>
      </rPr>
      <t xml:space="preserve"> P00575_2020</t>
    </r>
  </si>
  <si>
    <t>Rapatriation of ABX464-005 PBMC from Atlanbio Gestion et coordianation de projet</t>
  </si>
  <si>
    <t>Rapatriation of ABX464-005 PBMC from Atlanbio - Transport d'échantillon</t>
  </si>
  <si>
    <t>Rapatriation of ABX464-005 PBMC from Atlanbio - receptio, contrôle et stock</t>
  </si>
  <si>
    <t>Rapatriation of ABX464-005 PBMC from Atlanbio - Conservation 11 mois</t>
  </si>
  <si>
    <t>Rapatriation of ABX464-005 PBMC from Atlanbio - Contrôle des cryoboites</t>
  </si>
  <si>
    <r>
      <t xml:space="preserve">Devis 11718-1-Avenant n°3 - </t>
    </r>
    <r>
      <rPr>
        <b/>
        <sz val="11"/>
        <rFont val="Calibri"/>
        <family val="2"/>
        <scheme val="minor"/>
      </rPr>
      <t>P00579_2020</t>
    </r>
  </si>
  <si>
    <t xml:space="preserve">UC103 - Conditionnement spécifique pour les US - Conditionnement clinique </t>
  </si>
  <si>
    <t>UC103 - Conditionnement spécifique pour les US - Conservation</t>
  </si>
  <si>
    <t>Distribution aux USA</t>
  </si>
  <si>
    <t>CITOXLAB - CHARLES RIVER</t>
  </si>
  <si>
    <r>
      <t>Statement of Work -</t>
    </r>
    <r>
      <rPr>
        <b/>
        <sz val="11"/>
        <rFont val="Calibri"/>
        <family val="2"/>
        <scheme val="minor"/>
      </rPr>
      <t xml:space="preserve"> P00565_2020</t>
    </r>
  </si>
  <si>
    <t>9-months mini pig - review study report - 100% a signature</t>
  </si>
  <si>
    <t>Lolo est sur le coup pour trouvre la facture 04/03/2020</t>
  </si>
  <si>
    <t>INV 108877</t>
  </si>
  <si>
    <t>INV 108878</t>
  </si>
  <si>
    <t>Dépend du BREXIT</t>
  </si>
  <si>
    <t>INV 3900527050 + INV 3900533751</t>
  </si>
  <si>
    <t>31/01/2020 + 29/02/2020</t>
  </si>
  <si>
    <t>Dans les fait c'ets plus 3 000 € par mois</t>
  </si>
  <si>
    <t>INV 8730</t>
  </si>
  <si>
    <t>INV 10001447</t>
  </si>
  <si>
    <t>INV 10002138</t>
  </si>
  <si>
    <t>INV 10001451</t>
  </si>
  <si>
    <t>INV 10001643</t>
  </si>
  <si>
    <t>INV 10001412</t>
  </si>
  <si>
    <t>INV 10001416</t>
  </si>
  <si>
    <t>INV 10001415</t>
  </si>
  <si>
    <t>INV 10000125</t>
  </si>
  <si>
    <t>INV 10000266</t>
  </si>
  <si>
    <t>INV10000625</t>
  </si>
  <si>
    <t>INV 10001449</t>
  </si>
  <si>
    <t>INV 10001642</t>
  </si>
  <si>
    <t>INV PJ20200081</t>
  </si>
  <si>
    <t>INV PJ20200243</t>
  </si>
  <si>
    <t>INV PJ 20200342</t>
  </si>
  <si>
    <r>
      <t xml:space="preserve">Devis 11775-1 Avenant n°1 - </t>
    </r>
    <r>
      <rPr>
        <b/>
        <sz val="11"/>
        <rFont val="Calibri"/>
        <family val="2"/>
        <scheme val="minor"/>
      </rPr>
      <t>P00564_2020</t>
    </r>
  </si>
  <si>
    <r>
      <t xml:space="preserve">Devis 11775-1 Avenant n°2 - </t>
    </r>
    <r>
      <rPr>
        <b/>
        <sz val="11"/>
        <rFont val="Calibri"/>
        <family val="2"/>
        <scheme val="minor"/>
      </rPr>
      <t>P00578_2020</t>
    </r>
  </si>
  <si>
    <t xml:space="preserve">INV 10001366 </t>
  </si>
  <si>
    <t>INV 10001609</t>
  </si>
  <si>
    <t>INV 20F0060</t>
  </si>
  <si>
    <t>INV 20F0059</t>
  </si>
  <si>
    <t>INV 2271 + INV 2337 + INV 2404</t>
  </si>
  <si>
    <t>31/12/2019 + 31/01/2020 + 29/02/2020</t>
  </si>
  <si>
    <t>INV 19192</t>
  </si>
  <si>
    <t>INV BCI-0034310</t>
  </si>
  <si>
    <t>INC BCI-0034310</t>
  </si>
  <si>
    <t>INV 108718 + INV 108812 + INV 108815 + INV 108834 + CR 204604</t>
  </si>
  <si>
    <t>13/09/2019 + 09/12/2019 + 16/12/2019 + 08/01/2020 + 11/03/2020</t>
  </si>
  <si>
    <t>INV 2020-003</t>
  </si>
  <si>
    <t>INV 2020-004</t>
  </si>
  <si>
    <t>Audit IQVIA - 18-19 Fevrié 2020</t>
  </si>
  <si>
    <t>INV 108822</t>
  </si>
  <si>
    <t>INV 11867</t>
  </si>
  <si>
    <t>INV 2020/105</t>
  </si>
  <si>
    <t>INV 20F0074</t>
  </si>
  <si>
    <t>INV 20F0073</t>
  </si>
  <si>
    <t>INV 108653</t>
  </si>
  <si>
    <t>INV 108887</t>
  </si>
  <si>
    <t>31/01/2020 + 28/02/2020</t>
  </si>
  <si>
    <t>INV CPC11202</t>
  </si>
  <si>
    <t>INV COC11201 + INV CPC11202</t>
  </si>
  <si>
    <t>e) Etude Clinique UC 103 Distribution Resverse Logistique - Expédition Bielorussie (10 TT4)</t>
  </si>
  <si>
    <t>INV CPB77509</t>
  </si>
  <si>
    <t>INV FRA-001931 + INV FRA-001962</t>
  </si>
  <si>
    <t>10/02/2020 + 10/03/2020</t>
  </si>
  <si>
    <t>INV FRA-001962</t>
  </si>
  <si>
    <t>INV 89.20.01 + INV 96.20.09</t>
  </si>
  <si>
    <t>16/01/2020 + 12/03/2020</t>
  </si>
  <si>
    <r>
      <t>P17797-VF-V1 - 9month -</t>
    </r>
    <r>
      <rPr>
        <b/>
        <sz val="11"/>
        <rFont val="Calibri"/>
        <family val="2"/>
        <scheme val="minor"/>
      </rPr>
      <t xml:space="preserve"> P00412_2019</t>
    </r>
  </si>
  <si>
    <t>9-month cyno additionnal investigations</t>
  </si>
  <si>
    <t>OOS investigation</t>
  </si>
  <si>
    <r>
      <t xml:space="preserve">Quote 1807132 Rev 01 + V2 addition OOS investigation </t>
    </r>
    <r>
      <rPr>
        <b/>
        <sz val="11"/>
        <rFont val="Calibri"/>
        <family val="2"/>
        <scheme val="minor"/>
      </rPr>
      <t>- P00589_2020</t>
    </r>
  </si>
  <si>
    <r>
      <t>Quote 1807132 Rev 01 + V2 addition OOS investigation</t>
    </r>
    <r>
      <rPr>
        <b/>
        <sz val="11"/>
        <rFont val="Calibri"/>
        <family val="2"/>
        <scheme val="minor"/>
      </rPr>
      <t xml:space="preserve"> - P00589_2020</t>
    </r>
  </si>
  <si>
    <t>Réévaluation of batch ABX196</t>
  </si>
  <si>
    <r>
      <t>Standard reference testing -</t>
    </r>
    <r>
      <rPr>
        <b/>
        <sz val="11"/>
        <rFont val="Calibri"/>
        <family val="2"/>
        <scheme val="minor"/>
      </rPr>
      <t xml:space="preserve"> P00590_2020</t>
    </r>
  </si>
  <si>
    <t>INV 108888</t>
  </si>
  <si>
    <t>PHARMALEX</t>
  </si>
  <si>
    <r>
      <t>PLX-20-14949 v 1.0 -</t>
    </r>
    <r>
      <rPr>
        <b/>
        <sz val="11"/>
        <rFont val="Calibri"/>
        <family val="2"/>
        <scheme val="minor"/>
      </rPr>
      <t xml:space="preserve"> P000584_2020</t>
    </r>
  </si>
  <si>
    <t>Statistical analysis of ABX196 Stab Data - Option 2</t>
  </si>
  <si>
    <t>iNKT Assay CD1d Tetramer - 50% at the beginning of the Stage</t>
  </si>
  <si>
    <t>iNKT Assay CD1d Tetramer - 30% at the completion of the Material Analysis</t>
  </si>
  <si>
    <t>iNKT Assay CD1d Tetramer - 20% at the validation of the result</t>
  </si>
  <si>
    <t>INV 19976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</si>
  <si>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5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</si>
  <si>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Validation of anatytical method of formulation for 9-month tox monkeys - Add cost</t>
  </si>
  <si>
    <r>
      <t xml:space="preserve">P17797-VF-V1 - 9month - lié au P00412_2019 - Amended Statement of </t>
    </r>
    <r>
      <rPr>
        <b/>
        <sz val="11"/>
        <rFont val="Calibri"/>
        <family val="2"/>
        <scheme val="minor"/>
      </rPr>
      <t>Work No 1 - Pas de PO</t>
    </r>
  </si>
  <si>
    <t>CEVQ2020.03.02 - PAS DE PO</t>
  </si>
  <si>
    <t>INV 108874 + INV 108891</t>
  </si>
  <si>
    <t>29/02/2020 + 30/03/2020</t>
  </si>
  <si>
    <t>INV 0095835700 + INV 0095836256</t>
  </si>
  <si>
    <t>27/02/2020 + 27/03/2020</t>
  </si>
  <si>
    <t>INV 0095836256 + INV 0095836257 + INV 0095836258 + INV 0095836259 + INV 0095836260 + INV 0095836261 + INV 0095836262</t>
  </si>
  <si>
    <t>P00592_2020</t>
  </si>
  <si>
    <t>Etude de stabilité Métabolite - Lot 103508P001 OGP</t>
  </si>
  <si>
    <t>Etude de stabilité Métabolite - Lot 103508P002 OGP</t>
  </si>
  <si>
    <t>Etude de stabilité Métabolite - Lot 103508P003 OGP</t>
  </si>
  <si>
    <t>Etude de stabilité Métabolite - Lot 103508P003 Citoxlab</t>
  </si>
  <si>
    <t>Q2 2021</t>
  </si>
  <si>
    <t>Q3 2021</t>
  </si>
  <si>
    <t>Répartiton vu avec Julien Cf mail du 31/03/2020</t>
  </si>
  <si>
    <t>INV 2002083 + INV 2003080</t>
  </si>
  <si>
    <t>15/02/2020 + 15/03/2020</t>
  </si>
  <si>
    <t>INV 2003001</t>
  </si>
  <si>
    <t>INV 108894</t>
  </si>
  <si>
    <t>INV 108896</t>
  </si>
  <si>
    <t>INV BCI-0035089</t>
  </si>
  <si>
    <t>31/01/2020 + 29/02/2020 + 31/03/2020</t>
  </si>
  <si>
    <t>INV BCI-0033503 + INV BCI-0034310 + INV BCI-0035089</t>
  </si>
  <si>
    <t>INV 3900541411</t>
  </si>
  <si>
    <t>INV PJ20200507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</si>
  <si>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6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</si>
  <si>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9-month cyno additionnal investigations Additionnal work of histologic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</si>
  <si>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4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</si>
  <si>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CEVQ2020.04.02 - PAS DE PO</t>
  </si>
  <si>
    <t>CEVQ2020.04.03 - PAS DE PO</t>
  </si>
  <si>
    <t>Toxicokinetic calculation (Group 3 animals) in Week 21 (F)/22 (M), for 9-month oral (gavage) toxicity study in cynomolgus for study 47732TCP</t>
  </si>
  <si>
    <t>Toxicokinetic calculation (Group 4 animals) in Week 21 before premature killing, for 9-month oral (gavage) toxicity study in cynomolgus for study 47732TCP</t>
  </si>
  <si>
    <t>INV 20378</t>
  </si>
  <si>
    <t>INV FRGRE0081</t>
  </si>
  <si>
    <t>INV 108903</t>
  </si>
  <si>
    <t>INV 11890</t>
  </si>
  <si>
    <t>FACT CLI/2019/03/ABI/01du 08/03/2019 + FACT CLI/2019/04/ABI/01 du 12/04/2019 + FACT CLI/2019/05/ABI/01 du 10/05/2019 + FACT CLI/2019/06/ABI/01 du 11/06/2019 + FACT CLI/2019/07/ABI/01 du 10/07/2019 + FACT CLI/2019/08/ABI/01 du 12/05/2019 + FACT CLI/2019/09/ABI/02 du 12/09/2019 + FACT CLI/2019/10/ABI/05 du 29/10/2019 + FACT CLI/2019/11/ABI/03 du 25/11/2019</t>
  </si>
  <si>
    <t>FACT ABI/2020/01/01 + FACT ABI/2020/02/01 + FACT ABI/2020/03/01 + FACT ABI/2020/04/01</t>
  </si>
  <si>
    <t>Ajout des USA (English-Spanish) RSW  traduction</t>
  </si>
  <si>
    <t>Ajout des USA (English-Spanish) service</t>
  </si>
  <si>
    <t>INV CQB77510</t>
  </si>
  <si>
    <t>INV CQB71808</t>
  </si>
  <si>
    <t>INV CQC11203</t>
  </si>
  <si>
    <t>9-month cyno additionnal investigations Additionnal work of histologic correction prix</t>
  </si>
  <si>
    <r>
      <t xml:space="preserve">Q-2020-1205 - </t>
    </r>
    <r>
      <rPr>
        <b/>
        <sz val="11"/>
        <rFont val="Calibri"/>
        <family val="2"/>
        <scheme val="minor"/>
      </rPr>
      <t>P00604_2020</t>
    </r>
  </si>
  <si>
    <r>
      <t>Devis 12112-1 Avenant 1 -</t>
    </r>
    <r>
      <rPr>
        <b/>
        <sz val="11"/>
        <rFont val="Calibri"/>
        <family val="2"/>
        <scheme val="minor"/>
      </rPr>
      <t xml:space="preserve"> P00602_2020</t>
    </r>
  </si>
  <si>
    <t>Distribution Bielorussie Serbie Canada sur 22 mois</t>
  </si>
  <si>
    <t>INV 10017243</t>
  </si>
  <si>
    <t>INV 1001242</t>
  </si>
  <si>
    <t>INV 108914</t>
  </si>
  <si>
    <t>INV 71278</t>
  </si>
  <si>
    <t>INV 108908</t>
  </si>
  <si>
    <t>RA302 - WO006 - PTC -Miscellaneous study materials (Traduction)</t>
  </si>
  <si>
    <t>INV EC2002092</t>
  </si>
  <si>
    <t>INV EC2003099</t>
  </si>
  <si>
    <t>INV EC2002093</t>
  </si>
  <si>
    <t>INV EC2003100</t>
  </si>
  <si>
    <t>Amendement 1 WO004</t>
  </si>
  <si>
    <t>First Visit Last Patient - 200 961 €</t>
  </si>
  <si>
    <t>Last Visit Last Patient 100 480 €</t>
  </si>
  <si>
    <t>Data Base Lock 60 288 €</t>
  </si>
  <si>
    <t>TLF - Final Table Listing and Figures 60 288 €</t>
  </si>
  <si>
    <t>Final CSR 35 967 €</t>
  </si>
  <si>
    <r>
      <t xml:space="preserve">WO004 - </t>
    </r>
    <r>
      <rPr>
        <b/>
        <sz val="11"/>
        <color rgb="FFFF0000"/>
        <rFont val="Calibri"/>
        <family val="2"/>
        <scheme val="minor"/>
      </rPr>
      <t>P00319_2019</t>
    </r>
  </si>
  <si>
    <r>
      <t xml:space="preserve">RA301 - Monthly Management Fee (Fev 2019 à </t>
    </r>
    <r>
      <rPr>
        <strike/>
        <sz val="11"/>
        <rFont val="Calibri"/>
        <family val="2"/>
        <scheme val="minor"/>
      </rPr>
      <t>Dec 2020</t>
    </r>
    <r>
      <rPr>
        <sz val="11"/>
        <rFont val="Calibri"/>
        <family val="2"/>
        <scheme val="minor"/>
      </rPr>
      <t xml:space="preserve"> Mars 2020)  - durée 23 mois</t>
    </r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</si>
  <si>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  <scheme val="minor"/>
      </rPr>
      <t>+ Amdt 1 WO004</t>
    </r>
  </si>
  <si>
    <t>RA301 - PTC - Regulatory &amp; Ethics Submissions SUBMISSIONS</t>
  </si>
  <si>
    <t>INV 108601</t>
  </si>
  <si>
    <r>
      <t>RA301 - PTC - Other - IVRS (S-Clinica) (</t>
    </r>
    <r>
      <rPr>
        <b/>
        <sz val="11"/>
        <color theme="9"/>
        <rFont val="Calibri"/>
        <family val="2"/>
        <scheme val="minor"/>
      </rPr>
      <t>CCC 201</t>
    </r>
    <r>
      <rPr>
        <sz val="11"/>
        <color theme="9"/>
        <rFont val="Calibri"/>
        <family val="2"/>
        <scheme val="minor"/>
      </rPr>
      <t>)</t>
    </r>
  </si>
  <si>
    <r>
      <t>L16_2086</t>
    </r>
    <r>
      <rPr>
        <b/>
        <sz val="11"/>
        <rFont val="Calibri"/>
        <family val="2"/>
        <scheme val="minor"/>
      </rPr>
      <t>G</t>
    </r>
  </si>
  <si>
    <t>Etudes de stabilités ICH Campagne 1 T42M</t>
  </si>
  <si>
    <t>Etudes de stabilités ICH Campagne 1 T60M</t>
  </si>
  <si>
    <t>Etudes de stabilités ICH Campagnes 2, 3 et 4  T60M campagne 2</t>
  </si>
  <si>
    <t>Etudes de stabilités ICH Campagnes 2, 3 et 4  T60M campagne 3</t>
  </si>
  <si>
    <t>Etudes de stabilités ICH Campagnes 2, 3 et 4  T60M campagne 4</t>
  </si>
  <si>
    <t>TRANSFERT 1312€/mois (durée 36 mois) MANAGEMENT</t>
  </si>
  <si>
    <t>Etudes de stabilités ICH Campagnes 2, 3 et 4  T30M campagne 4</t>
  </si>
  <si>
    <t>Etude de Stabilité ICH lot clinique 80591 - T30M</t>
  </si>
  <si>
    <t>L19_2871D</t>
  </si>
  <si>
    <t>Etude de Stabilité ICH lot clinique 80591 - T60M</t>
  </si>
  <si>
    <t>ABL LYON</t>
  </si>
  <si>
    <r>
      <t>D/098/240420/MPE/0804 -</t>
    </r>
    <r>
      <rPr>
        <b/>
        <sz val="11"/>
        <rFont val="Calibri"/>
        <family val="2"/>
        <scheme val="minor"/>
      </rPr>
      <t xml:space="preserve"> P00607_2020</t>
    </r>
  </si>
  <si>
    <t>Option 1 - Up Front</t>
  </si>
  <si>
    <t>Option 1 - GO/NO GO</t>
  </si>
  <si>
    <t>Option 1 - Solde</t>
  </si>
  <si>
    <t>INV 20200401558</t>
  </si>
  <si>
    <r>
      <t xml:space="preserve">Amendement 1 Devis 11751 - </t>
    </r>
    <r>
      <rPr>
        <b/>
        <sz val="11"/>
        <rFont val="Calibri"/>
        <family val="2"/>
        <scheme val="minor"/>
      </rPr>
      <t>P00609_2020</t>
    </r>
  </si>
  <si>
    <t>Etude Clinique RA 301 Extension : Impression étiquettes (72)</t>
  </si>
  <si>
    <t>Etude Clinique RA 301 Extension : Coût par traitement : 0,76€*72</t>
  </si>
  <si>
    <t>Etude Clinique RA 301 Seconde campagne de conditionnement - ACHAT MATERIEL</t>
  </si>
  <si>
    <t>Etude Clinique RA 301 Seconde campagne de conditionnement - 156 unités</t>
  </si>
  <si>
    <t>INV 20001253</t>
  </si>
  <si>
    <t>INV 108921</t>
  </si>
  <si>
    <t>INV 108922</t>
  </si>
  <si>
    <t>INV 007709</t>
  </si>
  <si>
    <t>INV 101.20.14</t>
  </si>
  <si>
    <t>INV 101.20.15</t>
  </si>
  <si>
    <t>INV 21194</t>
  </si>
  <si>
    <t>INV BCI-0035980</t>
  </si>
  <si>
    <t>SMART Manage - (5.1) - Image Tracking and quality Review Services - 155/timepoint</t>
  </si>
  <si>
    <t>INV 108891 + INV 108906 + INV 108912 + INV 108915 + INV 108930</t>
  </si>
  <si>
    <t>30/03/2020 + 18/04/2020 + 24/04/2020 + 29/04/2020 + 07/05/2020</t>
  </si>
  <si>
    <t>INV 108893 + CR 204610</t>
  </si>
  <si>
    <t>01/04/2020 + 06/05/2020</t>
  </si>
  <si>
    <t>INV PJ20200672</t>
  </si>
  <si>
    <t>EZUS LYON</t>
  </si>
  <si>
    <t>Détermination TCID50 - Services + Frais généraux 50% signature</t>
  </si>
  <si>
    <t>Détermination TCID50 - Services + Frais généraux - 40% résulats</t>
  </si>
  <si>
    <t>Détermination TCID50 - Services + Frais généraux - 10% rapport final</t>
  </si>
  <si>
    <t>INV 3900548268</t>
  </si>
  <si>
    <r>
      <t xml:space="preserve">Amdt 1 Devis EV2004ABI1.3 - </t>
    </r>
    <r>
      <rPr>
        <b/>
        <sz val="11"/>
        <rFont val="Calibri"/>
        <family val="2"/>
        <scheme val="minor"/>
      </rPr>
      <t>P00615_2020</t>
    </r>
  </si>
  <si>
    <t>Devis EV2004ABI1.3</t>
  </si>
  <si>
    <t>INV 90125</t>
  </si>
  <si>
    <t>INV 10001819</t>
  </si>
  <si>
    <t>INV 10001818</t>
  </si>
  <si>
    <t>INV 10001817</t>
  </si>
  <si>
    <t>INV I-2020-1004</t>
  </si>
  <si>
    <t>Validation of relative vs absolute quantification 50% signature</t>
  </si>
  <si>
    <t>Validation of relative vs absolute quantification - 50% livraison</t>
  </si>
  <si>
    <t>INV COB71805 + INV CRB71809</t>
  </si>
  <si>
    <t>31/01/2020 + 30/04/2020</t>
  </si>
  <si>
    <t>INV CRB77511</t>
  </si>
  <si>
    <t>INV CRC11204</t>
  </si>
  <si>
    <t>INV 11909</t>
  </si>
  <si>
    <t>RS vois avec JN 20/05/2020</t>
  </si>
  <si>
    <t>INV 90165</t>
  </si>
  <si>
    <t>INV 90171</t>
  </si>
  <si>
    <t>INV 108827 + INV 108864</t>
  </si>
  <si>
    <t>31/12/2019 + 20/02/2020</t>
  </si>
  <si>
    <t>10/03/2020 + 15/04/2020 + 14/05/2020</t>
  </si>
  <si>
    <t>INV FRA-001962 + INV FRA-002025 + INV FRA-002040</t>
  </si>
  <si>
    <t>INV FRA-002040</t>
  </si>
  <si>
    <t>INV 10</t>
  </si>
  <si>
    <t>27/02/2020 (recu en mai 2020)</t>
  </si>
  <si>
    <t>INV FA008322</t>
  </si>
  <si>
    <t>INV FA008323</t>
  </si>
  <si>
    <t>INV FRA-002068</t>
  </si>
  <si>
    <r>
      <t>Amdt n°1 D/098/240420/MPE/0804 -</t>
    </r>
    <r>
      <rPr>
        <b/>
        <sz val="11"/>
        <rFont val="Calibri"/>
        <family val="2"/>
        <scheme val="minor"/>
      </rPr>
      <t xml:space="preserve"> P00625_2020</t>
    </r>
  </si>
  <si>
    <t>Upfront</t>
  </si>
  <si>
    <t>Reste monthly basis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</si>
  <si>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7 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</si>
  <si>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8 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</si>
  <si>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9-month cyno additionnal investigations Additionnal work of histologic additionnal cost</t>
  </si>
  <si>
    <t>INV 20200121</t>
  </si>
  <si>
    <t>INV 0095836318 + INV 0095836319 + INV 0095836320 + INV 0095836321 + INV 0095836665 + INV 0095836866 + (INV 009583781 + INV 0095837182 + INV 0095837183) + (INV 0095837311 + INV 0095837312 + INV 0095837313) + INV 0095837477</t>
  </si>
  <si>
    <t>30/03/2020 + 15/04/2020 + 24/04/2020 + 12/05/2020 + 26/05/2020</t>
  </si>
  <si>
    <t>EC2004167</t>
  </si>
  <si>
    <t>INV EC2004168</t>
  </si>
  <si>
    <t>UC-102 - WO003 Amt 2</t>
  </si>
  <si>
    <t>DBL - 18 949 €</t>
  </si>
  <si>
    <t>Final CSR - 15 741 €</t>
  </si>
  <si>
    <t>Signature of Amendement WO003 Amdt 2</t>
  </si>
  <si>
    <t>Last patient complete 2 years</t>
  </si>
  <si>
    <t>1st patient Last visit</t>
  </si>
  <si>
    <t>100% patients last visit</t>
  </si>
  <si>
    <r>
      <t>Monthly fees / 7 mois 4 698,47 - Sept 2019 à</t>
    </r>
    <r>
      <rPr>
        <sz val="11"/>
        <color rgb="FFFF0000"/>
        <rFont val="Calibri"/>
        <family val="2"/>
        <scheme val="minor"/>
      </rPr>
      <t xml:space="preserve"> Mars 2020</t>
    </r>
  </si>
  <si>
    <t>Monthly fees / 20 mois 4 698 € - Avril 2020 à Nov. 2021</t>
  </si>
  <si>
    <t>INV 2004001</t>
  </si>
  <si>
    <t>INV 2004002</t>
  </si>
  <si>
    <t>INV 108942</t>
  </si>
  <si>
    <t>INV 109944</t>
  </si>
  <si>
    <t>clôturé</t>
  </si>
  <si>
    <t>SafeBridge Europe</t>
  </si>
  <si>
    <t>D'après le devis : devis en USD : facture sera en GBP</t>
  </si>
  <si>
    <t>Permitted Daily Exposure (PDE) and Safety Data Sheet for ABX464 - PDE for ABX464</t>
  </si>
  <si>
    <t>Permitted Daily Exposure (PDE) and Safety Data Sheet for ABX464 - SDS for ABX464</t>
  </si>
  <si>
    <t>Permitted Daily Exposure (PDE) and Safety Data Sheet for ABX464 - One-time set-up fee for SDS database</t>
  </si>
  <si>
    <r>
      <t xml:space="preserve">Amdt 2 Devis EV2004ABI1.3 - </t>
    </r>
    <r>
      <rPr>
        <b/>
        <sz val="11"/>
        <rFont val="Calibri"/>
        <family val="2"/>
        <scheme val="minor"/>
      </rPr>
      <t>P00635_2020</t>
    </r>
  </si>
  <si>
    <t>Finalisation etude - 10% upfront</t>
  </si>
  <si>
    <r>
      <t xml:space="preserve">Devis EV2005ABI2.2 - </t>
    </r>
    <r>
      <rPr>
        <b/>
        <sz val="11"/>
        <rFont val="Calibri"/>
        <family val="2"/>
        <scheme val="minor"/>
      </rPr>
      <t>P00636_2020</t>
    </r>
  </si>
  <si>
    <t>Répétition 1ère étude + détermination efficacité combo 464+Remdesivir - 10% Upfront</t>
  </si>
  <si>
    <t>Répétition 1ère étude + détermination efficacité combo 464+Remdesivir - Milstones 15%</t>
  </si>
  <si>
    <t>INV 1031910240 + INV 1031910239 + INV 1031910238</t>
  </si>
  <si>
    <t>19/12/2019 + 19/12/2019 (reçu en mai 2020)</t>
  </si>
  <si>
    <t>Maintenance Machine Labo 2020-2021 (14/12/2020 - 13/12/2021)</t>
  </si>
  <si>
    <t>Maintenance Machine Labo 2021-2022 (14/12/2021 - 13/12/2022)</t>
  </si>
  <si>
    <t>INV 108925 + INV 108930 + INV 108929 + INV 108937 + INV 108940 + INV 108946</t>
  </si>
  <si>
    <t>05/05/2020 + 07/05/2020 + 06/05/2020 + 14/05/2020 + 20/05/2020 + 29/05/2020</t>
  </si>
  <si>
    <t>INV 108946</t>
  </si>
  <si>
    <t>INV 108949</t>
  </si>
  <si>
    <t>INV 108911 + INV 108916 + INV 108926 + INV 108947</t>
  </si>
  <si>
    <t>24/04/2020 + 29/04/2020 + 05/05/2020 + 29/05/2020</t>
  </si>
  <si>
    <t>INV 108950</t>
  </si>
  <si>
    <t>INV 108951</t>
  </si>
  <si>
    <t>Quotation for toxicokinetics calculation on D123/124 and D176/182, for 9-month oral (gavage) toxicity study in cynomolgus for study 47732TCP with ABX464-N-Glucuronide.</t>
  </si>
  <si>
    <t>MED</t>
  </si>
  <si>
    <t>ALPHABIOCOM</t>
  </si>
  <si>
    <t>SRV_20034 - SOW ABX464</t>
  </si>
  <si>
    <t>Manuscript : Frist Draft</t>
  </si>
  <si>
    <t>Manuscript : Initiation</t>
  </si>
  <si>
    <t>Reformat</t>
  </si>
  <si>
    <t>Publication Extender : Audio Interveiw</t>
  </si>
  <si>
    <t>Publication Extender : Visual Abstract</t>
  </si>
  <si>
    <t>Publication Extender : Video Abstract</t>
  </si>
  <si>
    <t>PTC - Expenses</t>
  </si>
  <si>
    <t>INV BCI-0036764</t>
  </si>
  <si>
    <t>INV BCI-0035980 + INV BCI-0036764</t>
  </si>
  <si>
    <t>30/04/2020 + 31/05/2020</t>
  </si>
  <si>
    <t>INV 20200504584</t>
  </si>
  <si>
    <t>INV 17780</t>
  </si>
  <si>
    <t>INV 3900548268 + INV 3900555179</t>
  </si>
  <si>
    <t>INV 10854</t>
  </si>
  <si>
    <t>RA302 - WO006 - PTC - investigators fees S1 2021</t>
  </si>
  <si>
    <t>INV 108953</t>
  </si>
  <si>
    <t>INV 20200601583</t>
  </si>
  <si>
    <t>INV FA008338</t>
  </si>
  <si>
    <t>INV FA008339</t>
  </si>
  <si>
    <t>INV FA008340</t>
  </si>
  <si>
    <t>15% of Site Initiation Visits &amp; Reports Completed</t>
  </si>
  <si>
    <t>INV FRA-002069</t>
  </si>
  <si>
    <t>CEVQ2020.06.01 - PAS DE PO</t>
  </si>
  <si>
    <t>INV 21954</t>
  </si>
  <si>
    <t>PCAS - SEQENS</t>
  </si>
  <si>
    <t>Complement process development - 100% a remise du rapport</t>
  </si>
  <si>
    <t>Analytical development RSM1</t>
  </si>
  <si>
    <t>Analytical development RSM2</t>
  </si>
  <si>
    <t>Analytical development RSM3</t>
  </si>
  <si>
    <t>Reagent, consumables, colums (Upon completion of all tasks)</t>
  </si>
  <si>
    <t>Management fees (Upon completion of all tasks)</t>
  </si>
  <si>
    <t>ABX Cinnamanide - References qualification (Qualification report for each intermediate)</t>
  </si>
  <si>
    <t>ABX Quinolinone - References qualification (Qualification report for each intermediate)</t>
  </si>
  <si>
    <t>ABX Dichloruquinoline - References qualification (Qualification report for each intermediate)</t>
  </si>
  <si>
    <t>Analytical development Intermediates -ABX Cinnamanide</t>
  </si>
  <si>
    <t>Analytical development Intermediates - ABX Quinolinone</t>
  </si>
  <si>
    <t>Analytical development Intermediates - ABX Dichloruquinoline</t>
  </si>
  <si>
    <t>Analytical development Intermediates - ABX-464 HCI</t>
  </si>
  <si>
    <t>Analytical development API - ABX464 API</t>
  </si>
  <si>
    <t>ABX464 API - References qualification</t>
  </si>
  <si>
    <t>NOR and PAR determination via QbD approach - 100% au rapport</t>
  </si>
  <si>
    <t>API dissolution investigation - Step 1 - API Dissolution Investigation - 30% at project launch</t>
  </si>
  <si>
    <t>API dissolution investigation - Step 1 - API Dissolution Investigation - 70% Step closed</t>
  </si>
  <si>
    <t>API dissolution investigation - Step 2 - Dissolution Investigation Micronization/Milling - 30% at project launch</t>
  </si>
  <si>
    <t>ABX464-N-Glucuronide - ETUDE : 20190037TMAP - 100% à siganture</t>
  </si>
  <si>
    <r>
      <t>DEVIS No O0281 -</t>
    </r>
    <r>
      <rPr>
        <b/>
        <sz val="11"/>
        <rFont val="Calibri"/>
        <family val="2"/>
        <scheme val="minor"/>
      </rPr>
      <t xml:space="preserve"> P00647_2020</t>
    </r>
  </si>
  <si>
    <t>ABX464-N-Glucuronide - ETUDE : 20200058PCMAP - 100% à siganture</t>
  </si>
  <si>
    <r>
      <t>DEVIS No O0244 -</t>
    </r>
    <r>
      <rPr>
        <b/>
        <sz val="11"/>
        <rFont val="Calibri"/>
        <family val="2"/>
        <scheme val="minor"/>
      </rPr>
      <t xml:space="preserve"> P00648_2020</t>
    </r>
  </si>
  <si>
    <r>
      <t>DEVIS No O0245 -</t>
    </r>
    <r>
      <rPr>
        <b/>
        <sz val="11"/>
        <rFont val="Calibri"/>
        <family val="2"/>
        <scheme val="minor"/>
      </rPr>
      <t xml:space="preserve"> P00649_2020</t>
    </r>
  </si>
  <si>
    <t>Preliminary Pre-Postnatal Dev. Study in Rats - 30% at order</t>
  </si>
  <si>
    <t>Preliminary Pre-Postnatal Dev. Study in Rats - 30% at start of experimental phase</t>
  </si>
  <si>
    <t>Preliminary Pre-Postnatal Dev. Study in Rats - 30% at end of experimental phase</t>
  </si>
  <si>
    <t>Preliminary Pre-Postnatal Dev. Study in Rats - 10% at submission of Draft Report</t>
  </si>
  <si>
    <t>Fertility and Early Embryionic Dev. Study in Rats - 30% at order</t>
  </si>
  <si>
    <t>Fertility and Early Embryionic Dev. Study in Rats - 30% at start of experimental phase</t>
  </si>
  <si>
    <t>Fertility and Early Embryionic Dev. Study in Rats - 30% at end of experimental phase</t>
  </si>
  <si>
    <t>Pre-and Post Natal Dev. Study in Rats including Martenal Function - 30% at order</t>
  </si>
  <si>
    <t>Pre-and Post Natal Dev. Study in Rats including Martenal Function - 30% at start of experimental phase</t>
  </si>
  <si>
    <t>Pre-and Post Natal Dev. Study in Rats including Martenal Function - 30% at end of experimental phase</t>
  </si>
  <si>
    <t>Fertility and Early Embryionic Dev. Study in Rats - 10% at submission of Draft Report</t>
  </si>
  <si>
    <t>Pre-and Post Natal Dev. Study in Rats including Martenal Function - 10% at submission of Draft Report</t>
  </si>
  <si>
    <r>
      <t xml:space="preserve">MSA_20033 - </t>
    </r>
    <r>
      <rPr>
        <b/>
        <sz val="11"/>
        <rFont val="Calibri"/>
        <family val="2"/>
        <scheme val="minor"/>
      </rPr>
      <t>P00633_2020</t>
    </r>
  </si>
  <si>
    <r>
      <t>DEVIS 2020-130-1 -</t>
    </r>
    <r>
      <rPr>
        <b/>
        <sz val="11"/>
        <rFont val="Calibri"/>
        <family val="2"/>
        <scheme val="minor"/>
      </rPr>
      <t xml:space="preserve"> P00628_2020</t>
    </r>
  </si>
  <si>
    <t>Telemetry Marsmoset - 50% at oder</t>
  </si>
  <si>
    <t>Telemetry Marsmoset - 45% at the issue of the results by email</t>
  </si>
  <si>
    <r>
      <t xml:space="preserve">DEVIS 2020-130-1 - </t>
    </r>
    <r>
      <rPr>
        <b/>
        <sz val="11"/>
        <rFont val="Calibri"/>
        <family val="2"/>
        <scheme val="minor"/>
      </rPr>
      <t>P00628_2020</t>
    </r>
  </si>
  <si>
    <t>Telemetry Marsmoset - 5% at delivery of draft report</t>
  </si>
  <si>
    <t>FACT 00008620</t>
  </si>
  <si>
    <t>10/01/2019 (reçue le 11/06/2020)</t>
  </si>
  <si>
    <t>BRANDSYMBOL</t>
  </si>
  <si>
    <t>SRV_20040</t>
  </si>
  <si>
    <t>Proposal for Nonproprietary Name Development - ABX464 50% à signature</t>
  </si>
  <si>
    <t>Proposal for Nonproprietary Name Development - ABX464 50% à livraison (14 semaines)</t>
  </si>
  <si>
    <t>Devis 152188 Study 48444 + Study 48445 - Pas de PO</t>
  </si>
  <si>
    <t>Study Central Nervous + Respiratory function - 75% a signature</t>
  </si>
  <si>
    <t>Study Central Nervous + Respiratory function - 25% au rapport</t>
  </si>
  <si>
    <t>Study Central Nervous System -WO1</t>
  </si>
  <si>
    <t>Study Central Nervous System -WO2</t>
  </si>
  <si>
    <t>Study Respiratory function - WO1</t>
  </si>
  <si>
    <r>
      <t xml:space="preserve">WO2 Devis 152188 </t>
    </r>
    <r>
      <rPr>
        <b/>
        <sz val="11"/>
        <rFont val="Calibri"/>
        <family val="2"/>
        <scheme val="minor"/>
      </rPr>
      <t>Study 48444 Central Nervous Système</t>
    </r>
    <r>
      <rPr>
        <sz val="11"/>
        <rFont val="Calibri"/>
        <family val="2"/>
        <scheme val="minor"/>
      </rPr>
      <t xml:space="preserve"> -</t>
    </r>
    <r>
      <rPr>
        <b/>
        <sz val="12"/>
        <rFont val="Calibri"/>
        <family val="2"/>
        <scheme val="minor"/>
      </rPr>
      <t xml:space="preserve"> P00657_2020</t>
    </r>
  </si>
  <si>
    <r>
      <t xml:space="preserve">Admt 1 Devis 152188 Study </t>
    </r>
    <r>
      <rPr>
        <b/>
        <sz val="11"/>
        <rFont val="Calibri"/>
        <family val="2"/>
        <scheme val="minor"/>
      </rPr>
      <t>48445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Respiratory Function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- P00656_2020</t>
    </r>
  </si>
  <si>
    <t>INV 71690</t>
  </si>
  <si>
    <t>INV 71540</t>
  </si>
  <si>
    <t>INV 71505</t>
  </si>
  <si>
    <t>INV 71504</t>
  </si>
  <si>
    <t>17/04/2020 (Recu en Juin)</t>
  </si>
  <si>
    <t>05/05/2020 (Recu en Juin)</t>
  </si>
  <si>
    <t>INV 71503</t>
  </si>
  <si>
    <r>
      <t xml:space="preserve">9-months </t>
    </r>
    <r>
      <rPr>
        <b/>
        <sz val="11"/>
        <rFont val="Calibri"/>
        <family val="2"/>
        <scheme val="minor"/>
      </rPr>
      <t xml:space="preserve">2019 </t>
    </r>
    <r>
      <rPr>
        <sz val="11"/>
        <rFont val="Calibri"/>
        <family val="2"/>
        <scheme val="minor"/>
      </rPr>
      <t xml:space="preserve">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- 15% A T+6 mois</t>
    </r>
  </si>
  <si>
    <r>
      <t xml:space="preserve">9-months </t>
    </r>
    <r>
      <rPr>
        <b/>
        <sz val="11"/>
        <rFont val="Calibri"/>
        <family val="2"/>
        <scheme val="minor"/>
      </rPr>
      <t xml:space="preserve">2019 </t>
    </r>
    <r>
      <rPr>
        <sz val="11"/>
        <rFont val="Calibri"/>
        <family val="2"/>
        <scheme val="minor"/>
      </rPr>
      <t xml:space="preserve">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</t>
    </r>
    <r>
      <rPr>
        <sz val="11"/>
        <rFont val="Calibri"/>
        <family val="2"/>
        <scheme val="minor"/>
      </rPr>
      <t>P - 15% A T+8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</si>
  <si>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résultats par email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</si>
  <si>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- 1er draft report</t>
    </r>
  </si>
  <si>
    <t>INV 104.20.17</t>
  </si>
  <si>
    <t>INV FRA-002040 + INV FRA-002086</t>
  </si>
  <si>
    <t>INV 2005001</t>
  </si>
  <si>
    <t>INV 2005002</t>
  </si>
  <si>
    <t>INV 11933</t>
  </si>
  <si>
    <t>Commande de matières premières - Fabrication 600 kg ABX464</t>
  </si>
  <si>
    <r>
      <t xml:space="preserve">W18bis (WO2019#6) - </t>
    </r>
    <r>
      <rPr>
        <b/>
        <sz val="11"/>
        <rFont val="Calibri"/>
        <family val="2"/>
        <scheme val="minor"/>
      </rPr>
      <t>P00496_2019</t>
    </r>
  </si>
  <si>
    <r>
      <t xml:space="preserve">W19 (WO2020#1) - </t>
    </r>
    <r>
      <rPr>
        <b/>
        <sz val="11"/>
        <rFont val="Calibri"/>
        <family val="2"/>
        <scheme val="minor"/>
      </rPr>
      <t>P00563_2020</t>
    </r>
  </si>
  <si>
    <t>INV 90234</t>
  </si>
  <si>
    <t>INV EC2005116</t>
  </si>
  <si>
    <t>INV EC2004167</t>
  </si>
  <si>
    <t>INV EC2005117</t>
  </si>
  <si>
    <t>31/03/2020 + 30/04/2020 + 29/05/2020</t>
  </si>
  <si>
    <t>INV CSB77512</t>
  </si>
  <si>
    <t>INV CSC11205</t>
  </si>
  <si>
    <t>INV CQC11203 + INV CRC11204 + INV CSC11205</t>
  </si>
  <si>
    <t>INV 108914 + INV 108939 + INV 108953 + INV 108904</t>
  </si>
  <si>
    <t>27/04/2020 + 19/05/2020 + 04/06/2020 + 15/04/020</t>
  </si>
  <si>
    <t>INV 108735 - AV204573 - AV204574 + INV 108784 + INV 108824 + INV 108827 + INV 108864 + INV108953 + INV 108904</t>
  </si>
  <si>
    <t>27/09/2019 + 03/10/2019 + 11/11/2019 + 31/12/2019 + 31/12/2019 + 20/02/2020 + 04/06/2020 + 15/04/2020</t>
  </si>
  <si>
    <t>INV 108908 + INV 108889</t>
  </si>
  <si>
    <t>23/04/2020 + 25/03/2020</t>
  </si>
  <si>
    <t>Milestones vu avec DS par RS le 15/06/2020</t>
  </si>
  <si>
    <t xml:space="preserve"> 2-week Add Cost RATS + 1 semaine</t>
  </si>
  <si>
    <t xml:space="preserve">INV FA007579 </t>
  </si>
  <si>
    <t>ETUDE ANNULEE (CF mail DS du 18/06/2020)</t>
  </si>
  <si>
    <t>étude annulée (cf mail DS du 18/06/2020)</t>
  </si>
  <si>
    <r>
      <t xml:space="preserve">Devis 2019-19-4 - </t>
    </r>
    <r>
      <rPr>
        <b/>
        <strike/>
        <sz val="11"/>
        <rFont val="Calibri"/>
        <family val="2"/>
        <scheme val="minor"/>
      </rPr>
      <t>P00271_2019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</si>
  <si>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ABX464 - 30% Singature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</si>
  <si>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ABX464 - 15% a T+2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</si>
  <si>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ABX464 - 15% a T+4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</si>
  <si>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ABX464 - 15% a T+6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</si>
  <si>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ABX464 - 15 % à T+8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</si>
  <si>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ABX464 - 5 % aux resultats par email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</si>
  <si>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ABX464 - 5% au 1er rapport draft</t>
    </r>
  </si>
  <si>
    <t>vu avec JC le 18/06/2020 - travail finalisé en juin</t>
  </si>
  <si>
    <r>
      <t>Amended Statement of Work No 1-</t>
    </r>
    <r>
      <rPr>
        <b/>
        <sz val="11"/>
        <rFont val="Calibri"/>
        <family val="2"/>
        <scheme val="minor"/>
      </rPr>
      <t xml:space="preserve"> P00491_2019 = P00554_2020</t>
    </r>
    <r>
      <rPr>
        <sz val="11"/>
        <rFont val="Calibri"/>
        <family val="2"/>
        <scheme val="minor"/>
      </rPr>
      <t xml:space="preserve"> (doublon)</t>
    </r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</si>
  <si>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9 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P00672_2020</t>
    </r>
  </si>
  <si>
    <t>9-month cyno Groupe 4 coagulation blood</t>
  </si>
  <si>
    <r>
      <t xml:space="preserve">Amdt 5 P17797-VF-V1  version 4Week - </t>
    </r>
    <r>
      <rPr>
        <b/>
        <sz val="11"/>
        <rFont val="Calibri"/>
        <family val="2"/>
        <scheme val="minor"/>
      </rPr>
      <t>P00671_2020</t>
    </r>
  </si>
  <si>
    <t>4 week toxicity study in Cynomolgus monkeys followed by 1-week - Increase in cost</t>
  </si>
  <si>
    <t>Toxicokinetics calculation Study 48445 SAR - Respi Function</t>
  </si>
  <si>
    <t>Toxicokinetics calculation - Cardio Vascular System</t>
  </si>
  <si>
    <r>
      <t xml:space="preserve">CEVQ2020.06.08 - </t>
    </r>
    <r>
      <rPr>
        <b/>
        <sz val="11"/>
        <rFont val="Calibri"/>
        <family val="2"/>
        <scheme val="minor"/>
      </rPr>
      <t>P00669_2020</t>
    </r>
  </si>
  <si>
    <r>
      <t>CEVQ2020.06.09 -</t>
    </r>
    <r>
      <rPr>
        <b/>
        <sz val="11"/>
        <rFont val="Calibri"/>
        <family val="2"/>
        <scheme val="minor"/>
      </rPr>
      <t xml:space="preserve"> P00670_2020</t>
    </r>
  </si>
  <si>
    <t xml:space="preserve">Support to study n° 48444 SAR - Citoxlab </t>
  </si>
  <si>
    <t xml:space="preserve">Support to study n° 48445 SAR - Citoxlab </t>
  </si>
  <si>
    <t>Analyze step - Setp 1 - 30% a signature</t>
  </si>
  <si>
    <t>Analyze step - Setp 1 - 70% draft report</t>
  </si>
  <si>
    <t>ABX464 Dev. Tablet PHASE I - Preformulation/Formulation - 30% à signature</t>
  </si>
  <si>
    <t>Stduy 47824 VAS + WO n°1 - PAS DE PO - PAS DE DEVIS - Voir avec DS</t>
  </si>
  <si>
    <t>Validation of a high perf. Liquid chroma with UV detection</t>
  </si>
  <si>
    <r>
      <t xml:space="preserve">Stduy 47824 VAS WO2 - </t>
    </r>
    <r>
      <rPr>
        <b/>
        <sz val="11"/>
        <rFont val="Calibri"/>
        <family val="2"/>
        <scheme val="minor"/>
      </rPr>
      <t>P00662_2020</t>
    </r>
  </si>
  <si>
    <r>
      <t xml:space="preserve">CEVQ2020.06.03 - </t>
    </r>
    <r>
      <rPr>
        <b/>
        <sz val="11"/>
        <rFont val="Calibri"/>
        <family val="2"/>
        <scheme val="minor"/>
      </rPr>
      <t>Pas de PO</t>
    </r>
  </si>
  <si>
    <t>Toxicokinetics calculation Study 48444 SAR - System Nervous</t>
  </si>
  <si>
    <t>INV 105.20.18 + INV 106.20.19</t>
  </si>
  <si>
    <t>06/06/2020 + 18/06/2020</t>
  </si>
  <si>
    <t>Facturée selon l'ancien devis : PG dit c'est cloturé ils ne reviderons pas vers nous cf mail RS PG du 19/06/2019 - Relancé par ORION le 30/06/2020 - PG a dis : je leur dis que le budget est clos</t>
  </si>
  <si>
    <t>Audit site Belgique Octobre 2020</t>
  </si>
  <si>
    <r>
      <t xml:space="preserve">Quote du 26/06/2020 - </t>
    </r>
    <r>
      <rPr>
        <b/>
        <sz val="11"/>
        <rFont val="Calibri"/>
        <family val="2"/>
        <scheme val="minor"/>
      </rPr>
      <t>P00681_2020</t>
    </r>
  </si>
  <si>
    <r>
      <t xml:space="preserve">Quote du 29/06/2020 - </t>
    </r>
    <r>
      <rPr>
        <b/>
        <sz val="11"/>
        <rFont val="Calibri"/>
        <family val="2"/>
        <scheme val="minor"/>
      </rPr>
      <t>P00685_2020</t>
    </r>
  </si>
  <si>
    <t>Audite site Belgique UC103 Q4 2020</t>
  </si>
  <si>
    <t>Q4 2020</t>
  </si>
  <si>
    <r>
      <t xml:space="preserve">Quote du 29/06/2020 - </t>
    </r>
    <r>
      <rPr>
        <b/>
        <sz val="11"/>
        <rFont val="Calibri"/>
        <family val="2"/>
        <scheme val="minor"/>
      </rPr>
      <t>P00684_2020</t>
    </r>
  </si>
  <si>
    <t>Audite site Pologne UC103 Q4 2020</t>
  </si>
  <si>
    <r>
      <t xml:space="preserve">Quote du 29/06/2020 - </t>
    </r>
    <r>
      <rPr>
        <b/>
        <sz val="11"/>
        <rFont val="Calibri"/>
        <family val="2"/>
        <scheme val="minor"/>
      </rPr>
      <t>P00683_2020</t>
    </r>
  </si>
  <si>
    <t>Audite site Hongrie UC103 Q4 2020</t>
  </si>
  <si>
    <r>
      <t xml:space="preserve">Quote du 29/06/2020 - </t>
    </r>
    <r>
      <rPr>
        <b/>
        <sz val="11"/>
        <rFont val="Calibri"/>
        <family val="2"/>
        <scheme val="minor"/>
      </rPr>
      <t>P00682_2020</t>
    </r>
  </si>
  <si>
    <t>Audite site Rep. Tcheque UC103 Q4 2020</t>
  </si>
  <si>
    <r>
      <t xml:space="preserve">DDR 2020 092 V1 - </t>
    </r>
    <r>
      <rPr>
        <b/>
        <sz val="11"/>
        <rFont val="Calibri"/>
        <family val="2"/>
        <scheme val="minor"/>
      </rPr>
      <t>P00673_2020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</si>
  <si>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t>ABX464 Dev. Tablet PHASE II - EXECUTION - 30% à signature</t>
  </si>
  <si>
    <r>
      <t xml:space="preserve">L20_3117A - </t>
    </r>
    <r>
      <rPr>
        <b/>
        <sz val="11"/>
        <rFont val="Calibri"/>
        <family val="2"/>
        <scheme val="minor"/>
      </rPr>
      <t>P00676_2020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  <r>
      <rPr>
        <sz val="11"/>
        <rFont val="Calibri"/>
        <family val="2"/>
        <scheme val="minor"/>
      </rPr>
      <t xml:space="preserve"> ?</t>
    </r>
  </si>
  <si>
    <t>ABX464 Prod. 2 lot 35 Kg (25mg&amp;50mg) gélules - PRESTA ANALYTIQUE - 25% à la commande</t>
  </si>
  <si>
    <t>ABX464 Prod. 2 lot 35 Kg (25mg&amp;50mg) gélules - PRESTA ANALYTIQUE - 75% a la livraison</t>
  </si>
  <si>
    <t>ABX464 Prod. 2 lot 35 Kg (25mg&amp;50mg) gélules - Management de projet (1 640 € pdt 3 mois)</t>
  </si>
  <si>
    <t>Vehicle selection for administration of powder ABX464 DP - 100% upond completion</t>
  </si>
  <si>
    <r>
      <t xml:space="preserve">EVT09703 - </t>
    </r>
    <r>
      <rPr>
        <b/>
        <sz val="11"/>
        <rFont val="Calibri"/>
        <family val="2"/>
        <scheme val="minor"/>
      </rPr>
      <t>P00678_2020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?</t>
    </r>
  </si>
  <si>
    <t>Dev of Solid Oral Dosage Form (Solid Dispersion) - On start of analytical method set-up</t>
  </si>
  <si>
    <t>Dev of Solid Oral Dosage Form (Solid Dispersion) - On completion of drug product analytical method</t>
  </si>
  <si>
    <t>Dev of Solid Oral Dosage Form (Solid Dispersion) - On start of Spray Dry process transfer</t>
  </si>
  <si>
    <t>Dev of Solid Oral Dosage Form (Solid Dispersion) - On delivery of 2 aliquots characterization transfer</t>
  </si>
  <si>
    <t>Dev of Solid Oral Dosage Form (Solid Dispersion) - Upon initiation of ASD tech tranfer batch manufacture at 3rd party</t>
  </si>
  <si>
    <t>Dev of Solid Oral Dosage Form (Solid Dispersion) - Upon delivery of ASD dev. Batch aliquot at Aptuit</t>
  </si>
  <si>
    <t>Dev of Solid Oral Dosage Form (Solid Dispersion) - Upon ASD GMP batch aliquot at Aptuit</t>
  </si>
  <si>
    <t>Dev of Solid Oral Dosage Form (Solid Dispersion) - On delivery of Toulouse ASD characterization results</t>
  </si>
  <si>
    <t>Dev of Solid Oral Dosage Form (Solid Dispersion) - On delivery of excipients comptability results</t>
  </si>
  <si>
    <t>Dev of Solid Oral Dosage Form (Solid Dispersion) - Upon agreement of composition and process screening exprerimental desing</t>
  </si>
  <si>
    <t>Dev of Solid Oral Dosage Form (Solid Dispersion) - On stress stab set-down of drug product prototypes</t>
  </si>
  <si>
    <t>Dev of Solid Oral Dosage Form (Solid Dispersion) - On initiation of drug product technical batch manufacture</t>
  </si>
  <si>
    <t>Dev of Solid Oral Dosage Form (Solid Dispersion) - On completion of drug product technical batch manufacture</t>
  </si>
  <si>
    <t>Dev of Solid Oral Dosage Form (Solid Dispersion) - On set-down of drug product dev stab study</t>
  </si>
  <si>
    <t>INV 0808/20</t>
  </si>
  <si>
    <r>
      <t xml:space="preserve">DDR 2020 091 V1 - </t>
    </r>
    <r>
      <rPr>
        <b/>
        <sz val="11"/>
        <rFont val="Calibri"/>
        <family val="2"/>
        <scheme val="minor"/>
      </rPr>
      <t>P00659_2020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</si>
  <si>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r>
      <t xml:space="preserve">DDR 2020 091 V1 - </t>
    </r>
    <r>
      <rPr>
        <b/>
        <sz val="11"/>
        <rFont val="Calibri"/>
        <family val="2"/>
        <scheme val="minor"/>
      </rPr>
      <t>P00659_2020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</si>
  <si>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INV 0809/20</t>
  </si>
  <si>
    <t>INV 0810/20</t>
  </si>
  <si>
    <t>INV 17832</t>
  </si>
  <si>
    <t>Manuscript : Submission</t>
  </si>
  <si>
    <t>Postsubmission</t>
  </si>
  <si>
    <t>Vu avec RS - pas beosin de mettre de date de Milestones</t>
  </si>
  <si>
    <t>Presta Close CF mail JS et RS du 30/06/2020</t>
  </si>
  <si>
    <t>Finalisation etude - Milstones 22,5%</t>
  </si>
  <si>
    <t>Milestones passé de 15% à 22,50% : vu avec RS JS cf mail RS du 30/06/2020</t>
  </si>
  <si>
    <t>INV 108978</t>
  </si>
  <si>
    <t>60% Patients Randomised - 670 000 €</t>
  </si>
  <si>
    <t>80% Patients randomised - 670 000 €</t>
  </si>
  <si>
    <t>Last patient entered - 400 000 €</t>
  </si>
  <si>
    <t>Data base lock - 350 000 €</t>
  </si>
  <si>
    <t>Final CSR - 289 612,54 €</t>
  </si>
  <si>
    <t>Trial Master File sent back to ABIVAX - 100 000 €</t>
  </si>
  <si>
    <t>MSA_18231_WO1 - Annulé et remplacé par CO n°1</t>
  </si>
  <si>
    <r>
      <t>MSA_18231_WO1_</t>
    </r>
    <r>
      <rPr>
        <b/>
        <sz val="11"/>
        <color rgb="FFFF0000"/>
        <rFont val="Calibri"/>
        <family val="2"/>
        <scheme val="minor"/>
      </rPr>
      <t>CO1</t>
    </r>
  </si>
  <si>
    <t>At signature du Change Order 1</t>
  </si>
  <si>
    <t>INV FRA-002105</t>
  </si>
  <si>
    <t>INV BCI-0036955</t>
  </si>
  <si>
    <t>30/06/20202</t>
  </si>
  <si>
    <t>INV 0862/20</t>
  </si>
  <si>
    <t>INV 108981</t>
  </si>
  <si>
    <t>RA ABX464-302 Amdt 1 WO006 - Mail du 06/020 entre Lucy et PG</t>
  </si>
  <si>
    <t>RA302 - WO006 - PTC - Advance payement investigators fees S2 2020</t>
  </si>
  <si>
    <t>INV 108982</t>
  </si>
  <si>
    <t>INV 22867</t>
  </si>
  <si>
    <t>INV 108984</t>
  </si>
  <si>
    <t>INV 2006001</t>
  </si>
  <si>
    <t>INV 2006002</t>
  </si>
  <si>
    <t>INV 3900562174</t>
  </si>
  <si>
    <t>INV 20200178</t>
  </si>
  <si>
    <t>INV 71769</t>
  </si>
  <si>
    <r>
      <t xml:space="preserve">WO1 Devis 152188 </t>
    </r>
    <r>
      <rPr>
        <b/>
        <sz val="11"/>
        <rFont val="Calibri"/>
        <family val="2"/>
        <scheme val="minor"/>
      </rPr>
      <t>Study 48444 Central Nervous Système</t>
    </r>
    <r>
      <rPr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- </t>
    </r>
    <r>
      <rPr>
        <b/>
        <sz val="12"/>
        <rFont val="Calibri"/>
        <family val="2"/>
        <scheme val="minor"/>
      </rPr>
      <t>P00679_2020</t>
    </r>
  </si>
  <si>
    <r>
      <t>DEVIS No. PCMAP2020 07 06 042 - Addt Cost au PCMAP2020 06 02 031 -</t>
    </r>
    <r>
      <rPr>
        <b/>
        <sz val="12"/>
        <rFont val="Calibri"/>
        <family val="2"/>
        <scheme val="minor"/>
      </rPr>
      <t xml:space="preserve"> P00689_2020</t>
    </r>
  </si>
  <si>
    <t>INV EC2006007</t>
  </si>
  <si>
    <t>INV 108.20.21</t>
  </si>
  <si>
    <t>INV FRA-002086 + INV FRA-002115</t>
  </si>
  <si>
    <t>10/06/2020 + 10/07/2020</t>
  </si>
  <si>
    <t>ABX464-902 - DDI Trial - 50% a signature</t>
  </si>
  <si>
    <t>ABX464-902 - DDI Trial - 50% on submission of final synopsis</t>
  </si>
  <si>
    <t>INV 108994</t>
  </si>
  <si>
    <r>
      <t xml:space="preserve">ABX464-902 - DDI Trial - LOI - </t>
    </r>
    <r>
      <rPr>
        <b/>
        <sz val="11"/>
        <rFont val="Calibri"/>
        <family val="2"/>
        <scheme val="minor"/>
      </rPr>
      <t>P00699_2020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</si>
  <si>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</si>
  <si>
    <r>
      <t>RA ABX464-302 WO006</t>
    </r>
    <r>
      <rPr>
        <sz val="11"/>
        <color rgb="FFFF0000"/>
        <rFont val="Calibri"/>
        <family val="2"/>
        <scheme val="minor"/>
      </rPr>
      <t xml:space="preserve"> + Amdt 001</t>
    </r>
  </si>
  <si>
    <t>RA302 - WO006 - PTC - Inform fee ORACLE amdt 001</t>
  </si>
  <si>
    <t>RA302 - WO006 - MONTHLY MANAGMENT FEES - Janvier 2022</t>
  </si>
  <si>
    <t>Amendement 2 WO004</t>
  </si>
  <si>
    <t>Signature of Amendment #2</t>
  </si>
  <si>
    <t>INV 108993</t>
  </si>
  <si>
    <t>COVID-19 tasks</t>
  </si>
  <si>
    <t>INV 108969</t>
  </si>
  <si>
    <r>
      <t>RA301 - Monthly Management Fee (Avril 2020 à</t>
    </r>
    <r>
      <rPr>
        <strike/>
        <sz val="11"/>
        <color theme="9"/>
        <rFont val="Calibri"/>
        <family val="2"/>
        <scheme val="minor"/>
      </rPr>
      <t xml:space="preserve"> Dec 2020 </t>
    </r>
    <r>
      <rPr>
        <sz val="11"/>
        <color theme="9"/>
        <rFont val="Calibri"/>
        <family val="2"/>
        <scheme val="minor"/>
      </rPr>
      <t>Juin 2020) - durée 23 mois</t>
    </r>
  </si>
  <si>
    <t>RA301 - Monthly Management Fee (Juillet 2020 à Mai 2021) - durée 23 mois</t>
  </si>
  <si>
    <t>FNP S2 2018 - Annulation 01/2020</t>
  </si>
  <si>
    <t>OK vu avec  JD juin 2019, presta au H1 2019 - FNP Annulée 01/2020</t>
  </si>
  <si>
    <t>INV 108995</t>
  </si>
  <si>
    <t>INV 5000630</t>
  </si>
  <si>
    <t>INV FAC000210</t>
  </si>
  <si>
    <t>INV 11963</t>
  </si>
  <si>
    <t>DI902</t>
  </si>
  <si>
    <t>Milestones basée sur document fourni par PCAS</t>
  </si>
  <si>
    <t>100 Devices Added</t>
  </si>
  <si>
    <t>INV 20002060</t>
  </si>
  <si>
    <t>INV 71948</t>
  </si>
  <si>
    <t>INV 71949</t>
  </si>
  <si>
    <t>INV 71931</t>
  </si>
  <si>
    <t>INV 71932</t>
  </si>
  <si>
    <t>INV 71933</t>
  </si>
  <si>
    <t>INV 20200188</t>
  </si>
  <si>
    <t>INV FRA-002128</t>
  </si>
  <si>
    <t>ABX464 Capsules Drug Product analytical methods optimization-Validation - 30% a signature</t>
  </si>
  <si>
    <t>INV 0027/21</t>
  </si>
  <si>
    <r>
      <t xml:space="preserve">L20 3127A - </t>
    </r>
    <r>
      <rPr>
        <b/>
        <sz val="11"/>
        <rFont val="Calibri"/>
        <family val="2"/>
        <scheme val="minor"/>
      </rPr>
      <t>P00691_2020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</si>
  <si>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Production lot QbD phase 3 et reglementaires - Facbrication &amp; Conditionnement Campagne1</t>
  </si>
  <si>
    <t>Production lot QbD phase 3 et reglementaires - Facbrication &amp; Conditionnement Campagne2</t>
  </si>
  <si>
    <t>Production lot QbD phase 3 et reglementaires - Facbrication &amp; Conditionnement Campagne 1</t>
  </si>
  <si>
    <t>Production lot QbD phase 3 et reglementaires - Stabilité ICH 5 ans Lot 1 T0</t>
  </si>
  <si>
    <t>Production lot QbD phase 3 et reglementaires - Stabilité ICH 5 ans Lot 1 T3M</t>
  </si>
  <si>
    <t>Production lot QbD phase 3 et reglementaires - Stabilité ICH 5 ans Lot 1 T6M</t>
  </si>
  <si>
    <t>Production lot QbD phase 3 et reglementaires - Stabilité ICH 5 ans Lot 1 T9M</t>
  </si>
  <si>
    <t>Production lot QbD phase 3 et reglementaires - Stabilité ICH 5 ans Lot 1 T12M</t>
  </si>
  <si>
    <t>Production lot QbD phase 3 et reglementaires - Stabilité ICH 5 ans Lot 1 T18M</t>
  </si>
  <si>
    <t>Production lot QbD phase 3 et reglementaires - Stabilité ICH 5 ans Lot 1 T24M</t>
  </si>
  <si>
    <t>Production lot QbD phase 3 et reglementaires - Stabilité ICH 5 ans Lot 1 T30M</t>
  </si>
  <si>
    <t>Production lot QbD phase 3 et reglementaires - Stabilité ICH 5 ans Lot 1 T36M</t>
  </si>
  <si>
    <t>Production lot QbD phase 3 et reglementaires - Stabilité ICH 5 ans Lot 1 T48M</t>
  </si>
  <si>
    <t>Production lot QbD phase 3 et reglementaires - Stabilité ICH 5 ans Lot 1 T60M</t>
  </si>
  <si>
    <t>Production lot QbD phase 3 et reglementaires - Stabilité ICH 5 ans Lot 2 &amp; 3 T0</t>
  </si>
  <si>
    <t>Production lot QbD phase 3 et reglementaires - Stabilité ICH 5 ans Lot 2 &amp; 3 T3M</t>
  </si>
  <si>
    <t>Production lot QbD phase 3 et reglementaires - Stabilité ICH 5 ans Lot 2 &amp; 3 T6M</t>
  </si>
  <si>
    <t>Production lot QbD phase 3 et reglementaires - Stabilité ICH 5 ans Lot 2 &amp; 3 T9M</t>
  </si>
  <si>
    <t>Production lot QbD phase 3 et reglementaires - Stabilité ICH 5 ans Lot 2 &amp; 3 T12M</t>
  </si>
  <si>
    <t>Production lot QbD phase 3 et reglementaires - Stabilité ICH 5 ans Lot 2 &amp; 3 T18M</t>
  </si>
  <si>
    <t>Production lot QbD phase 3 et reglementaires - Stabilité ICH 5 ans Lot 2 &amp; 3 T24M</t>
  </si>
  <si>
    <t>Production lot QbD phase 3 et reglementaires - Stabilité ICH 5 ans Lot 2 &amp; 3 T30M</t>
  </si>
  <si>
    <t>Production lot QbD phase 3 et reglementaires - Stabilité ICH 5 ans Lot 2 &amp; 3 T36M</t>
  </si>
  <si>
    <t>Production lot QbD phase 3 et reglementaires - Stabilité ICH 5 ans Lot 2 &amp; 3 T48M</t>
  </si>
  <si>
    <t>Production lot QbD phase 3 et reglementaires - Stabilité ICH 5 ans Lot 2 &amp; 3 T60M</t>
  </si>
  <si>
    <t>Production lot QbD phase 3 et reglementaires - Management de projet (1 640 / 4 mois)</t>
  </si>
  <si>
    <t>Production lot QbD phase 3 et reglementaires - Complément QbD analyse stat + robustesse</t>
  </si>
  <si>
    <t>110 000 € advance payement pris via WO#7</t>
  </si>
  <si>
    <t>GMP Procution 300 Kg ( 2 450 € / Kg) - Process validation</t>
  </si>
  <si>
    <r>
      <t xml:space="preserve">W26 (WO2020#8) - </t>
    </r>
    <r>
      <rPr>
        <b/>
        <sz val="11"/>
        <rFont val="Calibri"/>
        <family val="2"/>
        <scheme val="minor"/>
      </rPr>
      <t>P00692_2020</t>
    </r>
    <r>
      <rPr>
        <sz val="11"/>
        <color theme="9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</si>
  <si>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W27 (WO2020#9) - </t>
    </r>
    <r>
      <rPr>
        <b/>
        <sz val="11"/>
        <rFont val="Calibri"/>
        <family val="2"/>
        <scheme val="minor"/>
      </rPr>
      <t xml:space="preserve">P00693_2020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</si>
  <si>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W27 (WO2020#9) - </t>
    </r>
    <r>
      <rPr>
        <b/>
        <sz val="11"/>
        <rFont val="Calibri"/>
        <family val="2"/>
        <scheme val="minor"/>
      </rPr>
      <t>P00693_2020</t>
    </r>
    <r>
      <rPr>
        <sz val="1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SEQS</t>
    </r>
  </si>
  <si>
    <t>Analytical methods validation RSMs</t>
  </si>
  <si>
    <t xml:space="preserve">Analytical methods validation intermediates </t>
  </si>
  <si>
    <r>
      <t>W29 (WO11#2020) -</t>
    </r>
    <r>
      <rPr>
        <b/>
        <sz val="11"/>
        <rFont val="Calibri"/>
        <family val="2"/>
        <scheme val="minor"/>
      </rPr>
      <t xml:space="preserve"> P00704_2020</t>
    </r>
    <r>
      <rPr>
        <b/>
        <sz val="11"/>
        <color theme="9"/>
        <rFont val="Calibri"/>
        <family val="2"/>
        <scheme val="minor"/>
      </rPr>
      <t xml:space="preserve"> - SEQS</t>
    </r>
  </si>
  <si>
    <r>
      <t xml:space="preserve">W30 (WO12#2020) - </t>
    </r>
    <r>
      <rPr>
        <b/>
        <sz val="11"/>
        <rFont val="Calibri"/>
        <family val="2"/>
        <scheme val="minor"/>
      </rPr>
      <t>P00705_2020</t>
    </r>
    <r>
      <rPr>
        <b/>
        <sz val="11"/>
        <color theme="9"/>
        <rFont val="Calibri"/>
        <family val="2"/>
        <scheme val="minor"/>
      </rPr>
      <t xml:space="preserve"> - SEQS</t>
    </r>
  </si>
  <si>
    <t>220 000 € advance payement pris via WO#7</t>
  </si>
  <si>
    <r>
      <t xml:space="preserve">W28 (WO10#2020) - </t>
    </r>
    <r>
      <rPr>
        <b/>
        <sz val="11"/>
        <rFont val="Calibri"/>
        <family val="2"/>
        <scheme val="minor"/>
      </rPr>
      <t>P00703_2020</t>
    </r>
    <r>
      <rPr>
        <b/>
        <sz val="11"/>
        <color theme="9"/>
        <rFont val="Calibri"/>
        <family val="2"/>
        <scheme val="minor"/>
      </rPr>
      <t xml:space="preserve"> - SEQS</t>
    </r>
  </si>
  <si>
    <t>QT901</t>
  </si>
  <si>
    <t>EUROFINS OPTIMED</t>
  </si>
  <si>
    <t>QT901 - Protocol dev for TQT Trial</t>
  </si>
  <si>
    <t>Scientific advice / Study Desing jour 1</t>
  </si>
  <si>
    <t>Scientific advice / Study Desing jour 2</t>
  </si>
  <si>
    <t>Sample size calculation and rationale writing</t>
  </si>
  <si>
    <t>Trial protocol preparation</t>
  </si>
  <si>
    <t>Sponsor Interaction</t>
  </si>
  <si>
    <t>INV 108472 + INV 109000</t>
  </si>
  <si>
    <t>08/02/2019 + 28/07/2020</t>
  </si>
  <si>
    <t>(INV FRA-001814 + 001815 + 001816) + INV FRA-001849 + INV FRA-001929 + INV FRA-001955 + INV FRA-002026 + INV FRA-002041 + INV FRA-002082 + INV FRA-002113</t>
  </si>
  <si>
    <t>(06/12/2019)+09/01/2020+10/02/2020+10/03/2020+15/04/2020+14/05/2020+08/06/2020+ 09/07/2020</t>
  </si>
  <si>
    <t>INV 2195</t>
  </si>
  <si>
    <t>SRV_20079</t>
  </si>
  <si>
    <t>Proposal for global proprietary brand ABX464 - 50% a signature</t>
  </si>
  <si>
    <t>Proposal for global proprietary brand ABX464 - 25% +60j</t>
  </si>
  <si>
    <t>Proposal for global proprietary brand ABX464 - 25% au rapport</t>
  </si>
  <si>
    <t>SRV_20078</t>
  </si>
  <si>
    <t>Proposal for risk assessment ABX464 in COVID indication - 50% signature</t>
  </si>
  <si>
    <t>Proposal for risk assessment ABX464 in COVID indication - 25% +60j</t>
  </si>
  <si>
    <t>Proposal for risk assessment ABX464 in COVID indication - 25 au rapport</t>
  </si>
  <si>
    <t>INV 2203</t>
  </si>
  <si>
    <t>INV 2204</t>
  </si>
  <si>
    <t>BDE</t>
  </si>
  <si>
    <t>INV 109.20.22 + INV 110.20.23</t>
  </si>
  <si>
    <t>24/07/2020 + 30/07/2020</t>
  </si>
  <si>
    <t>11969</t>
  </si>
  <si>
    <t>INV 00010 20002219 RI</t>
  </si>
  <si>
    <t>INV 0048/21</t>
  </si>
  <si>
    <r>
      <t xml:space="preserve">L20_3117B - </t>
    </r>
    <r>
      <rPr>
        <b/>
        <sz val="11"/>
        <rFont val="Calibri"/>
        <family val="2"/>
        <scheme val="minor"/>
      </rPr>
      <t>P00676_2020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</si>
  <si>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r>
      <t xml:space="preserve">L20_3117A + L20_3117B - </t>
    </r>
    <r>
      <rPr>
        <b/>
        <sz val="11"/>
        <rFont val="Calibri"/>
        <family val="2"/>
        <scheme val="minor"/>
      </rPr>
      <t>P00676_2020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</si>
  <si>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t>ABX464 Prod. 2 lot 35 Kg (25mg&amp;50mg) gélules - Stab IHC T0</t>
  </si>
  <si>
    <t>ABX464 Prod. 2 lot 35 Kg (25mg&amp;50mg) gélules - Stab IHC T3M</t>
  </si>
  <si>
    <t>ABX464 Prod. 2 lot 35 Kg (25mg&amp;50mg) gélules - Stab IHC T6M</t>
  </si>
  <si>
    <t>ABX464 Prod. 2 lot 35 Kg (25mg&amp;50mg) gélules - Stab IHC T9M</t>
  </si>
  <si>
    <t>ABX464 Prod. 2 lot 35 Kg (25mg&amp;50mg) gélules - Stab IHC T12M</t>
  </si>
  <si>
    <t>ABX464 Prod. 2 lot 35 Kg (25mg&amp;50mg) gélules - Stab IHC T18M</t>
  </si>
  <si>
    <t>ABX464 Prod. 2 lot 35 Kg (25mg&amp;50mg) gélules - Stab IHC T24M</t>
  </si>
  <si>
    <t>ABX464 Prod. 2 lot 35 Kg (25mg&amp;50mg) gélules - Stab IHC T30M</t>
  </si>
  <si>
    <t>ABX464 Prod. 2 lot 35 Kg (25mg&amp;50mg) gélules - Stab IHC T36M</t>
  </si>
  <si>
    <t>ABX464 Prod. 2 lot 35 Kg (25mg&amp;50mg) gélules - Stab IHC T48M</t>
  </si>
  <si>
    <t>ABX464 Prod. 2 lot 35 Kg (25mg&amp;50mg) gélules - Stab IHC T60M</t>
  </si>
  <si>
    <t>API dissolution investigation -Transport</t>
  </si>
  <si>
    <t>INV 0054/21</t>
  </si>
  <si>
    <t>INV 108976 + AV 204618</t>
  </si>
  <si>
    <t>01/07/2020 + 03/08/2020</t>
  </si>
  <si>
    <t>INV 109006</t>
  </si>
  <si>
    <t>INV 108977 + INV 204619</t>
  </si>
  <si>
    <t>INV 109007</t>
  </si>
  <si>
    <t>INV 109008</t>
  </si>
  <si>
    <r>
      <t xml:space="preserve">W32 (WO14#2020) - </t>
    </r>
    <r>
      <rPr>
        <b/>
        <sz val="11"/>
        <rFont val="Calibri"/>
        <family val="2"/>
        <scheme val="minor"/>
      </rPr>
      <t xml:space="preserve">P00721_2020 </t>
    </r>
    <r>
      <rPr>
        <b/>
        <sz val="11"/>
        <color theme="9"/>
        <rFont val="Calibri"/>
        <family val="2"/>
        <scheme val="minor"/>
      </rPr>
      <t>- SEQS</t>
    </r>
  </si>
  <si>
    <t>additionnal analytical dev RSM1 : purty method optimization</t>
  </si>
  <si>
    <t>additionnal analytical dev RSM2 : purty method optimization</t>
  </si>
  <si>
    <t>additionnal analytical dev RSM2 : Verification of the validation parameters</t>
  </si>
  <si>
    <r>
      <t xml:space="preserve">W33 (WO15#2020) - </t>
    </r>
    <r>
      <rPr>
        <b/>
        <sz val="11"/>
        <rFont val="Calibri"/>
        <family val="2"/>
        <scheme val="minor"/>
      </rPr>
      <t xml:space="preserve">P00722_2020 </t>
    </r>
    <r>
      <rPr>
        <b/>
        <sz val="11"/>
        <color theme="9"/>
        <rFont val="Calibri"/>
        <family val="2"/>
        <scheme val="minor"/>
      </rPr>
      <t>- SEQS</t>
    </r>
  </si>
  <si>
    <t>PAR/NOR Determination via QbD approach Fate &amp; Purge of impurties - QbD</t>
  </si>
  <si>
    <t>PAR/NOR Determination via QbD approach Fate &amp; Purge of impurties - Carry-Over</t>
  </si>
  <si>
    <t>PAR/NOR Determination via QbD approach Fate &amp; Purge of impurties - Wirting of full report at the end of study</t>
  </si>
  <si>
    <t>INV BCI-0037859</t>
  </si>
  <si>
    <t>Training and meeting (2.1)</t>
  </si>
  <si>
    <t>INV BCI-0035089 + INV BCI-0035980 + INV BCI-0036764 + INV BCI-0037859</t>
  </si>
  <si>
    <t>31/03/2020 + 30/04/2020 + 31/05/2020 + 31/07/2020</t>
  </si>
  <si>
    <t>INV 20200601583 + INV 20200601599 + INV 20200701621</t>
  </si>
  <si>
    <t>02/06/2020 + 30/06/2020 + 31/07/2020</t>
  </si>
  <si>
    <t>INV 20200601583 + INV 20200601598 + INV 20200701620</t>
  </si>
  <si>
    <t>INV VER202001739</t>
  </si>
  <si>
    <t>INV 3900562174 + INV 3900568894</t>
  </si>
  <si>
    <t>30/06/2020 + 31/07/2020</t>
  </si>
  <si>
    <t>INV 10000090</t>
  </si>
  <si>
    <t>INV 10000091</t>
  </si>
  <si>
    <t>INV 2007001</t>
  </si>
  <si>
    <t>INV 20027002</t>
  </si>
  <si>
    <t>INV 2007089</t>
  </si>
  <si>
    <t>INV 11993</t>
  </si>
  <si>
    <t>INV 23918</t>
  </si>
  <si>
    <t>INV CUC11207</t>
  </si>
  <si>
    <t>INV CUB77514</t>
  </si>
  <si>
    <t>INV 2020000090 du 27/04/2020</t>
  </si>
  <si>
    <t>INV 144.20.27</t>
  </si>
  <si>
    <r>
      <t xml:space="preserve">CEVQ2020.07.18 - </t>
    </r>
    <r>
      <rPr>
        <b/>
        <sz val="11"/>
        <rFont val="Calibri"/>
        <family val="2"/>
        <scheme val="minor"/>
      </rPr>
      <t>P00716_2020</t>
    </r>
  </si>
  <si>
    <t>INV 109014</t>
  </si>
  <si>
    <t>RA302 - WO006 - PTC - monitoring visits - MV</t>
  </si>
  <si>
    <t>MSA_19087 WO1_CNF1</t>
  </si>
  <si>
    <t>INV FRA-002168</t>
  </si>
  <si>
    <t>INV FRA-0021167</t>
  </si>
  <si>
    <t>INV 72069</t>
  </si>
  <si>
    <t>INV FA008453</t>
  </si>
  <si>
    <t>CHARLES RIVER</t>
  </si>
  <si>
    <t>Quote TYAA-02101-0</t>
  </si>
  <si>
    <t>In vitro metaboloic Stab - Metabolite Generation</t>
  </si>
  <si>
    <t>In vitro metaboloic Stab - Charge Animal hepatocytes</t>
  </si>
  <si>
    <t>In vitro metaboloic Stab - Charge humain hepatocytes</t>
  </si>
  <si>
    <t>In vitro metaboloic Stab - Metabolite Profiling</t>
  </si>
  <si>
    <t>In vitro metaboloite Profiling - Identification SDL-2 in 1st species</t>
  </si>
  <si>
    <t>In vitro metaboloite Profiling - Identification SDL-2 in additional species</t>
  </si>
  <si>
    <t>INV 93612559</t>
  </si>
  <si>
    <r>
      <t xml:space="preserve">ZNA79291 -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P00663_2020</t>
    </r>
  </si>
  <si>
    <r>
      <t xml:space="preserve">ZNA79291 -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P00738_2020</t>
    </r>
  </si>
  <si>
    <t>INV VER202001978</t>
  </si>
  <si>
    <t>INV 108934 + INV 108960 + INV 108989 + INV 109011 + INV 109014 + INV 109024</t>
  </si>
  <si>
    <t>12/05/2020 + 05/06/2020 + 08/07/2020 + 10/08/2020 + 17/08/2020 + 02/09/2020</t>
  </si>
  <si>
    <t>INV 109025</t>
  </si>
  <si>
    <t>INV 109026</t>
  </si>
  <si>
    <t>INV 109027</t>
  </si>
  <si>
    <t>INV BCI-0039262</t>
  </si>
  <si>
    <t>INV 3900568894 + INV 3900575840</t>
  </si>
  <si>
    <t>31/07/2020 + 31/08/2020</t>
  </si>
  <si>
    <t>INV FA008454</t>
  </si>
  <si>
    <t>INV FA008455</t>
  </si>
  <si>
    <t>INV 72076</t>
  </si>
  <si>
    <t>INV 20F0441</t>
  </si>
  <si>
    <r>
      <t xml:space="preserve">Devis 2020-130-1 - </t>
    </r>
    <r>
      <rPr>
        <b/>
        <sz val="11"/>
        <rFont val="Calibri"/>
        <family val="2"/>
        <scheme val="minor"/>
      </rPr>
      <t>P00694_2020</t>
    </r>
  </si>
  <si>
    <t>INV 20F0442</t>
  </si>
  <si>
    <r>
      <t xml:space="preserve">ATL-19/4065 - Change Order 1 - </t>
    </r>
    <r>
      <rPr>
        <b/>
        <sz val="11"/>
        <rFont val="Calibri"/>
        <family val="2"/>
        <scheme val="minor"/>
      </rPr>
      <t>P00730_2020</t>
    </r>
  </si>
  <si>
    <t>Analysis of 455 additionam TK samples</t>
  </si>
  <si>
    <r>
      <t xml:space="preserve">CEVQ2020.07.01 - </t>
    </r>
    <r>
      <rPr>
        <b/>
        <sz val="11"/>
        <rFont val="Calibri"/>
        <family val="2"/>
        <scheme val="minor"/>
      </rPr>
      <t>P00708_2020</t>
    </r>
  </si>
  <si>
    <t>Toxicokinetics interpretation pre and post natal dev in rats</t>
  </si>
  <si>
    <r>
      <t xml:space="preserve">CEVQ2020.07.02 - </t>
    </r>
    <r>
      <rPr>
        <b/>
        <sz val="11"/>
        <rFont val="Calibri"/>
        <family val="2"/>
        <scheme val="minor"/>
      </rPr>
      <t>P00709_2020</t>
    </r>
  </si>
  <si>
    <t>Toxicokinetics interpretation prelyminary pre and post natal dev in rats</t>
  </si>
  <si>
    <t>Toxicokinetics interpretation for fertility and early embrionic dev in rats</t>
  </si>
  <si>
    <r>
      <t>CRL-276018 - SFDC Opp-183253 -</t>
    </r>
    <r>
      <rPr>
        <b/>
        <sz val="11"/>
        <rFont val="Calibri"/>
        <family val="2"/>
        <scheme val="minor"/>
      </rPr>
      <t xml:space="preserve"> P00707_2020</t>
    </r>
  </si>
  <si>
    <t>LCMS determination ABX464 N Glu concentration in Marmoset plasma</t>
  </si>
  <si>
    <t>Preservation archives for 1 year</t>
  </si>
  <si>
    <r>
      <t xml:space="preserve">Admt 2 Devis 152188 Study </t>
    </r>
    <r>
      <rPr>
        <b/>
        <sz val="11"/>
        <rFont val="Calibri"/>
        <family val="2"/>
        <scheme val="minor"/>
      </rPr>
      <t>48445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Respiratory Function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- P00732_2020</t>
    </r>
  </si>
  <si>
    <t>Study Respiratory function - WO2</t>
  </si>
  <si>
    <r>
      <t xml:space="preserve">WO3 Devis 152188 </t>
    </r>
    <r>
      <rPr>
        <b/>
        <sz val="11"/>
        <rFont val="Calibri"/>
        <family val="2"/>
        <scheme val="minor"/>
      </rPr>
      <t>Study 48444 Central Nervous Système</t>
    </r>
    <r>
      <rPr>
        <sz val="11"/>
        <rFont val="Calibri"/>
        <family val="2"/>
        <scheme val="minor"/>
      </rPr>
      <t xml:space="preserve"> -</t>
    </r>
    <r>
      <rPr>
        <b/>
        <sz val="12"/>
        <rFont val="Calibri"/>
        <family val="2"/>
        <scheme val="minor"/>
      </rPr>
      <t xml:space="preserve"> P00733_2020</t>
    </r>
  </si>
  <si>
    <t>Study Central Nervous System -WO3</t>
  </si>
  <si>
    <t>SEM DRX PLM 8 samples / PSD 6 samples</t>
  </si>
  <si>
    <t>Preliminary &amp; Main GLP&amp;non-GLP juvenile with ABX64</t>
  </si>
  <si>
    <t>Preliminary &amp; Main GLP&amp;non-GLP juvenile with ABX64 N Glu</t>
  </si>
  <si>
    <t>Modification of autopsie schedule</t>
  </si>
  <si>
    <r>
      <t xml:space="preserve">CEVQ2020.07.03 - </t>
    </r>
    <r>
      <rPr>
        <b/>
        <sz val="11"/>
        <rFont val="Calibri"/>
        <family val="2"/>
        <scheme val="minor"/>
      </rPr>
      <t>P00710_2020</t>
    </r>
  </si>
  <si>
    <t>INV FA008488</t>
  </si>
  <si>
    <t>Ocular exam 9-month cyno (at the end of the treatment-free males &amp; females)</t>
  </si>
  <si>
    <t>INV 112.20.25 + INV 115.20.28</t>
  </si>
  <si>
    <t>27/08/2020 + 09/09/2020</t>
  </si>
  <si>
    <t>INV 25095</t>
  </si>
  <si>
    <t>INV 2008002</t>
  </si>
  <si>
    <t>INV 2008001</t>
  </si>
  <si>
    <t>INV 109029</t>
  </si>
  <si>
    <t>INV FAC000130 + INV FAC000240</t>
  </si>
  <si>
    <t>18/12/2019 + 07/09/2020</t>
  </si>
  <si>
    <t>INV 90649</t>
  </si>
  <si>
    <t>INV 90648</t>
  </si>
  <si>
    <t>INV PJ20201640</t>
  </si>
  <si>
    <t>INV VER202002020</t>
  </si>
  <si>
    <t>INV PHARM2020135</t>
  </si>
  <si>
    <t>31/03/2020 (reçu le 14/09/2020)</t>
  </si>
  <si>
    <t>INV 12014</t>
  </si>
  <si>
    <t>Transport Prélèvement et Envois vers la Suisse de 3,5 Kg</t>
  </si>
  <si>
    <r>
      <t>L20_3131B -</t>
    </r>
    <r>
      <rPr>
        <b/>
        <sz val="11"/>
        <color theme="9"/>
        <rFont val="Calibri"/>
        <family val="2"/>
        <scheme val="minor"/>
      </rPr>
      <t xml:space="preserve"> CAPS</t>
    </r>
  </si>
  <si>
    <t>DELPHARM REIMS</t>
  </si>
  <si>
    <r>
      <t>DDR 2021 010 V1 -</t>
    </r>
    <r>
      <rPr>
        <b/>
        <sz val="11"/>
        <rFont val="Calibri"/>
        <family val="2"/>
        <scheme val="minor"/>
      </rPr>
      <t xml:space="preserve"> P00744_2020</t>
    </r>
    <r>
      <rPr>
        <sz val="1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CAPS</t>
    </r>
  </si>
  <si>
    <t>INV 0097/21</t>
  </si>
  <si>
    <t>Dissolution analytical complements ABX464 - 30%</t>
  </si>
  <si>
    <t>Dissolution analytical complements ABX464 - 70%</t>
  </si>
  <si>
    <t>OLIVIER CHAUZI</t>
  </si>
  <si>
    <t>Audit of SEQENS at Larh (ALL)</t>
  </si>
  <si>
    <r>
      <t>DEVIS n° 2020.09.01 -</t>
    </r>
    <r>
      <rPr>
        <b/>
        <sz val="11"/>
        <rFont val="Calibri"/>
        <family val="2"/>
        <scheme val="minor"/>
      </rPr>
      <t xml:space="preserve"> P00752_2020</t>
    </r>
  </si>
  <si>
    <t>Development and validation of method for dertermination of ABX464 in Humain urine</t>
  </si>
  <si>
    <r>
      <t>DEVIS No. PCMAP2020 06 02 031 -</t>
    </r>
    <r>
      <rPr>
        <b/>
        <sz val="11"/>
        <rFont val="Calibri"/>
        <family val="2"/>
        <scheme val="minor"/>
      </rPr>
      <t xml:space="preserve"> P00748_2020</t>
    </r>
  </si>
  <si>
    <t>PTC WO CO1 - 3 456 027 - 3 235 584</t>
  </si>
  <si>
    <t>INV B18001119</t>
  </si>
  <si>
    <t>INV 20F0541</t>
  </si>
  <si>
    <t>INV  20F0542</t>
  </si>
  <si>
    <t>INV 2018043 (05/10/2018) + INV 2018050 (04/11/2018) + INV 2018056 (01/12/2018) + INV 2018064 (04/01/2019) + INV 20190006 (01/02/2019)+ INV 201900010 (01/03/2019) + INV 20190016 (01/04/2019) + INV 201900022 (01/05/2019) + INV 201900036 (01/07/2019) + INV 201900042 (01/08/2019) + INV 201900051 (04/09/2019) + INV 20100058 (30/09/2019) + INV 2019073 (01/01/2020) + INV 2020006 (01/02/2020) + INV 2020016 (31/03/2020) + INV 2020025 (05/04/2020) + INV 2020031 (02/06/2020) + INV INTU2020038 (03/07/2020) + INV INTU2020043 (02/08/2020) + INTU2020060 (15/09/2020)</t>
  </si>
  <si>
    <t>INV 108984 + INV 109016 + INV 109036</t>
  </si>
  <si>
    <t>07/07/2020 + 20/08/2020 + 15/09/2020</t>
  </si>
  <si>
    <t>INV 2239</t>
  </si>
  <si>
    <t>Achat d'un microscope pour l'utilisation de l'équipe de JT (ABIVAX + Hors ABIVAX)</t>
  </si>
  <si>
    <t>Determination of ABX464 in humain plasma and urine - Control Matrix Plasma + Urine</t>
  </si>
  <si>
    <t xml:space="preserve">Determination of ABX464 in humain plasma and urine - Analytical Documetation </t>
  </si>
  <si>
    <t>Determination of ABX464 in humain plasma and urine - ABX464 and metabolite Urine sample analysis : 2300€/batch – 4 batches</t>
  </si>
  <si>
    <t xml:space="preserve">Determination of ABX464 in humain plasma and urine - ABX464 and metabolite Plasma analysis </t>
  </si>
  <si>
    <t xml:space="preserve">Determination of ABX464 in humain plasma and urine - Moxifloxacine Plasma Analysis </t>
  </si>
  <si>
    <t xml:space="preserve">Determination of ABX464 in humain plasma and urine - ISR plasma analysis </t>
  </si>
  <si>
    <t xml:space="preserve">Determination of ABX464 in humain plasma and urine - ISR urine analysis </t>
  </si>
  <si>
    <t>Plus élévé que le PO car pour 4 batch vs 1 batch dans le PO</t>
  </si>
  <si>
    <t>Clinical Dev liaison &amp; patient nursing - Start-up cost</t>
  </si>
  <si>
    <t>ORPHAN (ODC)</t>
  </si>
  <si>
    <t>Clinical Dev liaison &amp; patient nursing - 400 enrolled patient</t>
  </si>
  <si>
    <t>Clinical Dev liaison &amp; patient nursing - 800 enrolled patient</t>
  </si>
  <si>
    <t>Clinical Dev liaison &amp; patient nursing - 900 enrolled patient</t>
  </si>
  <si>
    <t>CSL_20100</t>
  </si>
  <si>
    <t>INV 90823</t>
  </si>
  <si>
    <t>INV 90822</t>
  </si>
  <si>
    <t>INV CVC11208</t>
  </si>
  <si>
    <t>INV CVB77515</t>
  </si>
  <si>
    <t>INV FA008516</t>
  </si>
  <si>
    <t>INV EC2008045</t>
  </si>
  <si>
    <r>
      <t xml:space="preserve">Quote 702072388 - </t>
    </r>
    <r>
      <rPr>
        <b/>
        <sz val="11"/>
        <rFont val="Calibri"/>
        <family val="2"/>
        <scheme val="minor"/>
      </rPr>
      <t>P00775_202</t>
    </r>
  </si>
  <si>
    <t>Remplacement système par Cobalt X - 30% a siganture</t>
  </si>
  <si>
    <t>Remplacement système par Cobalt X - 70% 30 j après l'intervention</t>
  </si>
  <si>
    <t>INV 20200246</t>
  </si>
  <si>
    <t>INV 109040</t>
  </si>
  <si>
    <t>INV VER202002148</t>
  </si>
  <si>
    <t>INV 044/2020</t>
  </si>
  <si>
    <t>INV 0808/20 + INV 0145/21</t>
  </si>
  <si>
    <t>24/06/2020 + 28/09/2020</t>
  </si>
  <si>
    <t>QT901 - LOI Protocol dev for TQT Trial</t>
  </si>
  <si>
    <t>10 % upon execution of agreement</t>
  </si>
  <si>
    <t>10% upon 1st screening</t>
  </si>
  <si>
    <t>10% upon 1st subject included</t>
  </si>
  <si>
    <t>10% upon 24th subject included</t>
  </si>
  <si>
    <t>10% upon 48th subject included</t>
  </si>
  <si>
    <t>10% upon 72th subject included</t>
  </si>
  <si>
    <t>10% upon last subject included</t>
  </si>
  <si>
    <t>5% upon availabity ofthe CRF for data management activities</t>
  </si>
  <si>
    <t>10% at database lock</t>
  </si>
  <si>
    <t>5% upon acceptance by Abivax of the results and of the final raport</t>
  </si>
  <si>
    <t>PTC - Volunteers payments</t>
  </si>
  <si>
    <t>PTC - Expenses + External fee</t>
  </si>
  <si>
    <t>Milesones vu avec PP le 29/09/2020</t>
  </si>
  <si>
    <t>INV 200685</t>
  </si>
  <si>
    <t>INV 200684</t>
  </si>
  <si>
    <t>INV 200686</t>
  </si>
  <si>
    <t>INV 200736</t>
  </si>
  <si>
    <r>
      <t xml:space="preserve">SFDC Opp-193133 + Version revised - </t>
    </r>
    <r>
      <rPr>
        <b/>
        <sz val="11"/>
        <rFont val="Calibri"/>
        <family val="2"/>
        <scheme val="minor"/>
      </rPr>
      <t>P00758_2020</t>
    </r>
  </si>
  <si>
    <r>
      <t xml:space="preserve">ZNA79291 CO n°1 -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P00762_2020</t>
    </r>
  </si>
  <si>
    <t>INV VER202002189</t>
  </si>
  <si>
    <t>INV 00010 20003157 RI</t>
  </si>
  <si>
    <r>
      <t>Devis 12457-2 -</t>
    </r>
    <r>
      <rPr>
        <b/>
        <sz val="11"/>
        <rFont val="Calibri"/>
        <family val="2"/>
        <scheme val="minor"/>
      </rPr>
      <t xml:space="preserve"> P00778_2020</t>
    </r>
  </si>
  <si>
    <t>Etude 9010 préparation et distribution batch</t>
  </si>
  <si>
    <r>
      <t xml:space="preserve">W34 (WO16#2020) - </t>
    </r>
    <r>
      <rPr>
        <b/>
        <sz val="11"/>
        <rFont val="Calibri"/>
        <family val="2"/>
        <scheme val="minor"/>
      </rPr>
      <t xml:space="preserve">P00734_2020 </t>
    </r>
    <r>
      <rPr>
        <b/>
        <sz val="11"/>
        <color theme="9"/>
        <rFont val="Calibri"/>
        <family val="2"/>
        <scheme val="minor"/>
      </rPr>
      <t>- SEQS</t>
    </r>
  </si>
  <si>
    <t>Analytical methods development</t>
  </si>
  <si>
    <r>
      <t xml:space="preserve">D/098/2509/MPE/0833 </t>
    </r>
    <r>
      <rPr>
        <b/>
        <sz val="11"/>
        <rFont val="Calibri"/>
        <family val="2"/>
        <scheme val="minor"/>
      </rPr>
      <t>- P00783_2020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</si>
  <si>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10  - P00737_2020</t>
    </r>
  </si>
  <si>
    <t>INV 72239</t>
  </si>
  <si>
    <t>MSA_19087 WO1 CO1</t>
  </si>
  <si>
    <t>SRV_20113 - SOW ABX196</t>
  </si>
  <si>
    <t>Submission to journal</t>
  </si>
  <si>
    <t>Initiatation</t>
  </si>
  <si>
    <t>INV 18097</t>
  </si>
  <si>
    <t>INV 10000401</t>
  </si>
  <si>
    <t>INV 10000390</t>
  </si>
  <si>
    <t>INV BCI-0040098</t>
  </si>
  <si>
    <t>INV BCI-0037767 + INV BCI-0036452</t>
  </si>
  <si>
    <t>30/07/2020 + 30/09/2020</t>
  </si>
  <si>
    <t>INV BCI-0036452</t>
  </si>
  <si>
    <t>INV 109041</t>
  </si>
  <si>
    <t>INV 109042</t>
  </si>
  <si>
    <t>INV 109043</t>
  </si>
  <si>
    <t>Robart histopathology (2 biopsies/patients)</t>
  </si>
  <si>
    <t>HISTALIM / Cerba Research</t>
  </si>
  <si>
    <r>
      <t xml:space="preserve">DEVIS 2020-130-1 - </t>
    </r>
    <r>
      <rPr>
        <b/>
        <sz val="11"/>
        <rFont val="Calibri"/>
        <family val="2"/>
        <scheme val="minor"/>
      </rPr>
      <t>P00713_2020</t>
    </r>
  </si>
  <si>
    <r>
      <t xml:space="preserve">CEVQ2020.09.06 - </t>
    </r>
    <r>
      <rPr>
        <b/>
        <sz val="11"/>
        <rFont val="Calibri"/>
        <family val="2"/>
        <scheme val="minor"/>
      </rPr>
      <t>P00769_2020</t>
    </r>
  </si>
  <si>
    <t>Toxicolinetics interpretation and reporting in rat</t>
  </si>
  <si>
    <t>Milestones Vu avec RS qui a vu avec PP - Oct. 2020</t>
  </si>
  <si>
    <t>Somme de To be expected</t>
  </si>
  <si>
    <t>Étiquettes de lignes</t>
  </si>
  <si>
    <t>INV 00010 20002286 RI</t>
  </si>
  <si>
    <t>INV 00010 20002290 RI</t>
  </si>
  <si>
    <t>INV 0010 20002308 RI</t>
  </si>
  <si>
    <t>INV VER202002210</t>
  </si>
  <si>
    <t>INV FRA-002199</t>
  </si>
  <si>
    <t>INV FRA-002197</t>
  </si>
  <si>
    <t>INV 10000472</t>
  </si>
  <si>
    <t>INV 10000473</t>
  </si>
  <si>
    <t>INV 10000859</t>
  </si>
  <si>
    <t>INV 10000523</t>
  </si>
  <si>
    <t>INV 10001623</t>
  </si>
  <si>
    <t>INV 10002136</t>
  </si>
  <si>
    <t>CD201</t>
  </si>
  <si>
    <t>Rédaction du protocol CD201</t>
  </si>
  <si>
    <r>
      <t xml:space="preserve">ABX464-902 - DDI Trial - LOA- </t>
    </r>
    <r>
      <rPr>
        <b/>
        <sz val="11"/>
        <rFont val="Calibri"/>
        <family val="2"/>
        <scheme val="minor"/>
      </rPr>
      <t>P00787_2020</t>
    </r>
  </si>
  <si>
    <t>ABX464-902 - Setup activities - Upfront Professionnal fee</t>
  </si>
  <si>
    <t>ABX464-902 - Setup activities - Upfront PTC</t>
  </si>
  <si>
    <t>INV 109051</t>
  </si>
  <si>
    <t>INV 109052</t>
  </si>
  <si>
    <t>INV 72236</t>
  </si>
  <si>
    <t>INV 72237</t>
  </si>
  <si>
    <r>
      <t xml:space="preserve">SFDC Opp-168336 - </t>
    </r>
    <r>
      <rPr>
        <b/>
        <sz val="11"/>
        <rFont val="Calibri"/>
        <family val="2"/>
        <scheme val="minor"/>
      </rPr>
      <t>P00736_2020</t>
    </r>
  </si>
  <si>
    <t>INV 72256</t>
  </si>
  <si>
    <r>
      <t xml:space="preserve">Statement of Work du 14/02/2020 - </t>
    </r>
    <r>
      <rPr>
        <b/>
        <sz val="11"/>
        <rFont val="Calibri"/>
        <family val="2"/>
        <scheme val="minor"/>
      </rPr>
      <t>P00726_2020</t>
    </r>
  </si>
  <si>
    <t>INV 72257</t>
  </si>
  <si>
    <t>Quote 549367 V1 - P00796_2020</t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</si>
  <si>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11  - P00795_2020</t>
    </r>
  </si>
  <si>
    <t>Additional lab investigation and clinical examinations</t>
  </si>
  <si>
    <r>
      <t>Amdt 1 SFDC Opp-192045 -</t>
    </r>
    <r>
      <rPr>
        <b/>
        <sz val="11"/>
        <rFont val="Calibri"/>
        <family val="2"/>
        <scheme val="minor"/>
      </rPr>
      <t xml:space="preserve"> P00798_2020</t>
    </r>
  </si>
  <si>
    <t>Additional Long-term stability testing</t>
  </si>
  <si>
    <r>
      <t xml:space="preserve">Amdt 1 ATL-19/4138 - </t>
    </r>
    <r>
      <rPr>
        <b/>
        <sz val="11"/>
        <rFont val="Calibri"/>
        <family val="2"/>
        <scheme val="minor"/>
      </rPr>
      <t>P00797_2020</t>
    </r>
  </si>
  <si>
    <t>Addition of 698 bioanalytical samples 60 ISR 4 re-analysis - Monkey Plasma 9-month</t>
  </si>
  <si>
    <t>INV 26264</t>
  </si>
  <si>
    <t>INV 12036</t>
  </si>
  <si>
    <t>INV FRA-002205</t>
  </si>
  <si>
    <t>10% of Monitoring Visit &amp; Reports Completed</t>
  </si>
  <si>
    <t>INV 2009001</t>
  </si>
  <si>
    <t>INV 2009002</t>
  </si>
  <si>
    <r>
      <t xml:space="preserve">SFDC Opp-183256 - Study 48445 Respiratory function in rat - </t>
    </r>
    <r>
      <rPr>
        <b/>
        <sz val="11"/>
        <rFont val="Calibri"/>
        <family val="2"/>
        <scheme val="minor"/>
      </rPr>
      <t>P00665_2020</t>
    </r>
  </si>
  <si>
    <r>
      <t>SFDC Opp-183256 - Study 48444 Central Nervous System inr rat -</t>
    </r>
    <r>
      <rPr>
        <b/>
        <sz val="11"/>
        <rFont val="Calibri"/>
        <family val="2"/>
        <scheme val="minor"/>
      </rPr>
      <t xml:space="preserve"> P00664_2020</t>
    </r>
  </si>
  <si>
    <t>INV FA008543</t>
  </si>
  <si>
    <t>INV FA008540</t>
  </si>
  <si>
    <t>INV 20201001677</t>
  </si>
  <si>
    <r>
      <rPr>
        <b/>
        <sz val="11"/>
        <rFont val="Calibri"/>
        <family val="2"/>
        <scheme val="minor"/>
      </rPr>
      <t xml:space="preserve">LOI </t>
    </r>
    <r>
      <rPr>
        <sz val="11"/>
        <rFont val="Calibri"/>
        <family val="2"/>
        <scheme val="minor"/>
      </rPr>
      <t>CSL_20100</t>
    </r>
  </si>
  <si>
    <t>Clinical Dev liaison &amp; patient nursing - Start-up cost from LOI</t>
  </si>
  <si>
    <t>INV EC2009228</t>
  </si>
  <si>
    <t>INV CVWB77516</t>
  </si>
  <si>
    <t>INV CWB77516</t>
  </si>
  <si>
    <t>INV CTB7513</t>
  </si>
  <si>
    <t>INV CTB77513</t>
  </si>
  <si>
    <t>INV CTC11206</t>
  </si>
  <si>
    <t>INV CUC11207 + INV CVC11208 + INV CTC11206</t>
  </si>
  <si>
    <t>31/07/2020 + 31/08/2020 + 30/06/2020</t>
  </si>
  <si>
    <t>INV CWC11209</t>
  </si>
  <si>
    <t>INV 109057</t>
  </si>
  <si>
    <t>INV 00010 20003369 RI</t>
  </si>
  <si>
    <t>INV FA008577</t>
  </si>
  <si>
    <t>INV FA008578</t>
  </si>
  <si>
    <t>INV 119.20.32</t>
  </si>
  <si>
    <t>INV 118.20.31</t>
  </si>
  <si>
    <t>CRL-291232 - LC-MS/MS Determination of ABX464 concentration in dose formulation</t>
  </si>
  <si>
    <t>CRL-291593 - LC-MS/MS Determination of ABX464 concentration in dose formulation</t>
  </si>
  <si>
    <t>CRL-291233 - LC-MS/MS Determination of ABX464 concentration in rat plasma</t>
  </si>
  <si>
    <t>INV FA008580</t>
  </si>
  <si>
    <t>INV FRA-002189 + INV FRA-002219</t>
  </si>
  <si>
    <t>14/09/2020 + 16/10/2020</t>
  </si>
  <si>
    <t>Interim data presentation and analysis for 9-month CYNO study</t>
  </si>
  <si>
    <t>INV 120.20.33</t>
  </si>
  <si>
    <r>
      <t>CEVQ2020.10.02 -</t>
    </r>
    <r>
      <rPr>
        <b/>
        <sz val="11"/>
        <rFont val="Calibri"/>
        <family val="2"/>
        <scheme val="minor"/>
      </rPr>
      <t xml:space="preserve"> P00817_2020</t>
    </r>
  </si>
  <si>
    <t>CHARLES RIVER EDINBURGH</t>
  </si>
  <si>
    <t>OPP-197430 - CRL-298745 + CRL-299515 - Pas de PO</t>
  </si>
  <si>
    <t>Review of chonic tox in Marmosets (Phase 1)</t>
  </si>
  <si>
    <t>Review of chonic tox in  Cyno (Phase 2)</t>
  </si>
  <si>
    <r>
      <t xml:space="preserve">EVT10430 - </t>
    </r>
    <r>
      <rPr>
        <b/>
        <sz val="11"/>
        <rFont val="Calibri"/>
        <family val="2"/>
        <scheme val="minor"/>
      </rPr>
      <t>P00790_2020</t>
    </r>
  </si>
  <si>
    <t>Complement of ASD Screening ABX464</t>
  </si>
  <si>
    <r>
      <t xml:space="preserve">Devis 20202-10_06 - </t>
    </r>
    <r>
      <rPr>
        <b/>
        <sz val="11"/>
        <rFont val="Calibri"/>
        <family val="2"/>
        <scheme val="minor"/>
      </rPr>
      <t>P00814_2020</t>
    </r>
  </si>
  <si>
    <t>LABSERVICE</t>
  </si>
  <si>
    <t>Validation methode PSD actif micronisé et non mirconisé</t>
  </si>
  <si>
    <r>
      <t xml:space="preserve">Quote PSG-A-1027572.V2 - </t>
    </r>
    <r>
      <rPr>
        <b/>
        <sz val="11"/>
        <rFont val="Calibri"/>
        <family val="2"/>
        <scheme val="minor"/>
      </rPr>
      <t>P00789_2020</t>
    </r>
  </si>
  <si>
    <t>Ancillaries and kit manufacturing - Clinical Ancillaries</t>
  </si>
  <si>
    <t>Ancillaries and kit manufacturing - Packaging</t>
  </si>
  <si>
    <t>Ancillaries and kit manufacturing - Labeling Services</t>
  </si>
  <si>
    <t>Ancillaries and kit manufacturing - Inveroty Management</t>
  </si>
  <si>
    <r>
      <t xml:space="preserve">M 20 2677-C - </t>
    </r>
    <r>
      <rPr>
        <b/>
        <sz val="11"/>
        <rFont val="Calibri"/>
        <family val="2"/>
        <scheme val="minor"/>
      </rPr>
      <t>P00816_2020</t>
    </r>
  </si>
  <si>
    <t>Synthesis of GMP grade radiolabelled ABX464 - On signature</t>
  </si>
  <si>
    <t>Synthesis of GMP grade radiolabelled ABX464 - On provision of the draft analytical validation report</t>
  </si>
  <si>
    <t>Synthesis of GMP grade radiolabelled ABX464 - On completion of the low specific activity trial synthesis</t>
  </si>
  <si>
    <t>Synthesis of GMP grade radiolabelled ABX464 - On completion of the stability study</t>
  </si>
  <si>
    <t>Synthesis of GMP grade radiolabelled ABX464 - On initiation of the clinical fomulation dev.</t>
  </si>
  <si>
    <t>Synthesis of GMP grade radiolabelled ABX464 - On provision of the draft clinical formulation dev. Report</t>
  </si>
  <si>
    <t>Synthesis of GMP grade radiolabelled ABX464 - On placement of order for the radiolabelled starting material</t>
  </si>
  <si>
    <t>Synthesis of GMP grade radiolabelled ABX464 - On initiation of GMP synthesis</t>
  </si>
  <si>
    <t>Synthesis of GMP grade radiolabelled ABX464 - Optional activities - Preparation of dossier drug substance for IND or IMPD - 35%</t>
  </si>
  <si>
    <t>Synthesis of GMP grade radiolabelled ABX464 - Optional activities - Preparation of dossier drug product for IND or IMPD - 35%</t>
  </si>
  <si>
    <t>Synthesis of GMP grade radiolabelled ABX464 - On completion of the technical batch synthesis and initiation of the stability study</t>
  </si>
  <si>
    <t>Synthesis of GMP grade radiolabelled ABX464 - On completion of the bulk clinical product manu.</t>
  </si>
  <si>
    <t>Absolute quantification of mir124.1 on clinical trial samples - Setup 30%</t>
  </si>
  <si>
    <t>Absolute quantification of mir124.1 on clinical trial samples - Setup 70%</t>
  </si>
  <si>
    <t>Absolute quantification of mir124.1 on clinical trial samples - Testing of clinical samples</t>
  </si>
  <si>
    <t>Absolute quantification of mir124.1 on clinical trial samples - Study report &amp; Follow up</t>
  </si>
  <si>
    <r>
      <t xml:space="preserve">Quote 20200310_01_NBR_301 - </t>
    </r>
    <r>
      <rPr>
        <b/>
        <sz val="11"/>
        <rFont val="Calibri"/>
        <family val="2"/>
        <scheme val="minor"/>
      </rPr>
      <t>P00813_2020</t>
    </r>
  </si>
  <si>
    <t>Absolute quantification of mir124.1 on clinical trial samples - Setup</t>
  </si>
  <si>
    <r>
      <t xml:space="preserve">DDR 20221 021 V1 - </t>
    </r>
    <r>
      <rPr>
        <b/>
        <sz val="11"/>
        <rFont val="Calibri"/>
        <family val="2"/>
        <scheme val="minor"/>
      </rPr>
      <t>P00822_2020 -</t>
    </r>
    <r>
      <rPr>
        <b/>
        <sz val="11"/>
        <color theme="9"/>
        <rFont val="Calibri"/>
        <family val="2"/>
        <scheme val="minor"/>
      </rPr>
      <t xml:space="preserve"> CAPS</t>
    </r>
  </si>
  <si>
    <t>Analytical devlopment capsule - CAPS - ANVISA complement</t>
  </si>
  <si>
    <r>
      <t>Devis 12539 -</t>
    </r>
    <r>
      <rPr>
        <b/>
        <sz val="11"/>
        <rFont val="Calibri"/>
        <family val="2"/>
        <scheme val="minor"/>
      </rPr>
      <t xml:space="preserve"> P00824_2020</t>
    </r>
  </si>
  <si>
    <t>Impurities for carry over synthesis + Amendement WO2020#13 - CHG Impurities for carry over synthesis</t>
  </si>
  <si>
    <r>
      <t xml:space="preserve">W31 (WO13#2020) + (A1WO13#2020) - </t>
    </r>
    <r>
      <rPr>
        <b/>
        <sz val="11"/>
        <rFont val="Calibri"/>
        <family val="2"/>
        <scheme val="minor"/>
      </rPr>
      <t>P00702_2020</t>
    </r>
    <r>
      <rPr>
        <b/>
        <sz val="11"/>
        <color theme="9"/>
        <rFont val="Calibri"/>
        <family val="2"/>
        <scheme val="minor"/>
      </rPr>
      <t xml:space="preserve"> - SEQS</t>
    </r>
  </si>
  <si>
    <t>ABX-464 sampling and shipping for drug product formulation study</t>
  </si>
  <si>
    <t>KF - Analytical method implementation and verification</t>
  </si>
  <si>
    <t>INV 108</t>
  </si>
  <si>
    <t>INV 122.20.35</t>
  </si>
  <si>
    <t>INV 10000633</t>
  </si>
  <si>
    <t>INV 18158</t>
  </si>
  <si>
    <t>INV 0095838771 + INV 0095839238 + INV 0095839239 + INV 0095839240 + INV 0095839241 + INV 0095839560 + INV 0095839635 + INV 0095839636 + INV 0095839884 + INV 0095839885 + INV 0095839886 + INV 0095840215 + INV 0095840229 + INV 0095840589 + INV 0095841026 + INV 0095841030 + INV 0095841028 + INV 0095841197</t>
  </si>
  <si>
    <t>21/07/2020 + 31/07/2020 + 14/08/2020 + 24/08/2020 + 24/08/2020 + 31/08/2020 + 31/08/2020 + 31/08/2020 + 22/09/2020 + 22/09/2020 + 30/09/2020 + 21/10/2020 + 21/10/2020 + 21/10/2020 + 27/10/2020</t>
  </si>
  <si>
    <t>INV 91035</t>
  </si>
  <si>
    <t>INV 91036</t>
  </si>
  <si>
    <t>INV 408517</t>
  </si>
  <si>
    <t>INV F19000966 + INV F20001323</t>
  </si>
  <si>
    <t>26/06/2019 + 29/10/2020</t>
  </si>
  <si>
    <t>INV 00010 20002362 RI</t>
  </si>
  <si>
    <t>31/08/2020 (reçue Oct. 2020)</t>
  </si>
  <si>
    <t>INV 00010 2003497 RI</t>
  </si>
  <si>
    <t>INV 00010 20002363 RI</t>
  </si>
  <si>
    <t>31/08/2020 (Reçue en Oct. 2020)</t>
  </si>
  <si>
    <t>INV 00010 20003154 RI</t>
  </si>
  <si>
    <t>INV 4272</t>
  </si>
  <si>
    <t>INV 4258</t>
  </si>
  <si>
    <t>FUNDACIÓ PRIVADA INSTITUT DE RECERCA DE LA SIDA-CAIXA</t>
  </si>
  <si>
    <t>Milestone 1: Start of the activity</t>
  </si>
  <si>
    <t>CO401</t>
  </si>
  <si>
    <t>Milestone 2: Vero E6 experiments to assess antiviral activity of ABX464 Finished</t>
  </si>
  <si>
    <t>Milestone 3: Calu-3 experiments to assess antiviral activity of ABX464 Finished.</t>
  </si>
  <si>
    <t>SRV_20118</t>
  </si>
  <si>
    <t>INV 2010001</t>
  </si>
  <si>
    <t>INV 2010002</t>
  </si>
  <si>
    <t>INV BCI-0041023</t>
  </si>
  <si>
    <t>INV F020-SIN-0001082</t>
  </si>
  <si>
    <t>INV 109073</t>
  </si>
  <si>
    <t>INV 109070</t>
  </si>
  <si>
    <t>INV 109069</t>
  </si>
  <si>
    <t>INV 109071</t>
  </si>
  <si>
    <t>INV VER202002513</t>
  </si>
  <si>
    <t>ptc</t>
  </si>
  <si>
    <t>service fees</t>
  </si>
  <si>
    <t>14/05/2020 + 10/06/2020</t>
  </si>
  <si>
    <t>INV FRA-002115</t>
  </si>
  <si>
    <r>
      <t xml:space="preserve">07/02/2019 + 07/03/2019 </t>
    </r>
    <r>
      <rPr>
        <sz val="11"/>
        <rFont val="Calibri"/>
        <family val="2"/>
        <scheme val="minor"/>
      </rPr>
      <t>+ 10/04/2019</t>
    </r>
    <r>
      <rPr>
        <sz val="11"/>
        <color theme="5" tint="-0.249977111117893"/>
        <rFont val="Calibri"/>
        <family val="2"/>
        <scheme val="minor"/>
      </rPr>
      <t xml:space="preserve"> + 10/05/2019 + 18/06/2019 + 12/07/2019 + 07/08/2019 + 11/09/2019</t>
    </r>
  </si>
  <si>
    <t>INV FRA-002219 + INV FRA-001823</t>
  </si>
  <si>
    <t>16/10/2020 + 09/12/2019</t>
  </si>
  <si>
    <t>INV 20F0696</t>
  </si>
  <si>
    <t>Telemetry Marsmoset - Step 2 Blood sampling</t>
  </si>
  <si>
    <t>Additional blood sampling</t>
  </si>
  <si>
    <t>Audit APTUIT EVOTEC</t>
  </si>
  <si>
    <r>
      <t xml:space="preserve">DEVIS n° 2020.10.02 - </t>
    </r>
    <r>
      <rPr>
        <b/>
        <sz val="11"/>
        <rFont val="Calibri"/>
        <family val="2"/>
        <scheme val="minor"/>
      </rPr>
      <t>P00827_2020</t>
    </r>
  </si>
  <si>
    <t>Professional fees COVID</t>
  </si>
  <si>
    <t>Upon execution of CO1 8.12%</t>
  </si>
  <si>
    <t>INV FRA-002240</t>
  </si>
  <si>
    <t>SRV_18232_W5 - CO4</t>
  </si>
  <si>
    <t>SRV_18232_W4 - CO3</t>
  </si>
  <si>
    <t>SRV_18232_W3 - CO2</t>
  </si>
  <si>
    <t>SRV_18232_W1 + SRV_18232_W3 CO2</t>
  </si>
  <si>
    <t>SRV_18232_W2 - CO1</t>
  </si>
  <si>
    <t>INV 2007090 + INV 2007091 + INV 2008081 + INV 2009085 + INV 2010084</t>
  </si>
  <si>
    <t>30/07/2020 + 30/07/2020 + 30/08/2020 + 30/09/2020 + 30/10/2020</t>
  </si>
  <si>
    <t>INV 27629</t>
  </si>
  <si>
    <t>INV 72426</t>
  </si>
  <si>
    <t>Payée via la LOI</t>
  </si>
  <si>
    <t>Analytical development RSMs - References qualification (one for each RSM) - 7 000 € annulé par PCAs car Fisher s'en charge</t>
  </si>
  <si>
    <t xml:space="preserve">Dev of Solid Oral Dosage Form (Solid Dispersion) - On delivery draft report of 1 month testing </t>
  </si>
  <si>
    <t xml:space="preserve">Dev of Solid Oral Dosage Form (Solid Dispersion) - On delivery draft report of 9 month testing </t>
  </si>
  <si>
    <t xml:space="preserve">Dev of Solid Oral Dosage Form (Solid Dispersion) - On delivery draft report of 12 month testing </t>
  </si>
  <si>
    <t>Dev of Solid Oral Dosage Form (Solid Dispersion) - Additional assays ASD and stab study - CO1 on signature</t>
  </si>
  <si>
    <t>Dev of Solid Oral Dosage Form (Solid Dispersion) - Additional assays ASD and stab study - CO1 On completion of the further crystal pollution investigation</t>
  </si>
  <si>
    <t>Dev of Solid Oral Dosage Form (Solid Dispersion) - Additional assays ASD and stab study - CO1 On delivery of GMP batch characterization</t>
  </si>
  <si>
    <t>Dev of Solid Oral Dosage Form (Solid Dispersion) - Additional assays ASD and stab study - CO1 On completion of Method Validation for ASD</t>
  </si>
  <si>
    <t>API methods co-validation</t>
  </si>
  <si>
    <r>
      <t>L20_3201 A -</t>
    </r>
    <r>
      <rPr>
        <b/>
        <sz val="11"/>
        <rFont val="Calibri"/>
        <family val="2"/>
        <scheme val="minor"/>
      </rPr>
      <t xml:space="preserve"> P00836_2020</t>
    </r>
  </si>
  <si>
    <t>Nitrosamine RA</t>
  </si>
  <si>
    <t>UC103 - Extension de prémemption des coffrets</t>
  </si>
  <si>
    <r>
      <t xml:space="preserve">EVT10559 - </t>
    </r>
    <r>
      <rPr>
        <b/>
        <sz val="11"/>
        <rFont val="Calibri"/>
        <family val="2"/>
        <scheme val="minor"/>
      </rPr>
      <t>P00838_2020</t>
    </r>
  </si>
  <si>
    <t xml:space="preserve">Complement of Salt and Co-Crystal study of ABX464 </t>
  </si>
  <si>
    <r>
      <t>OPP-197430 Amdt n°1 - CRL-299515 -</t>
    </r>
    <r>
      <rPr>
        <b/>
        <sz val="11"/>
        <rFont val="Calibri"/>
        <family val="2"/>
        <scheme val="minor"/>
      </rPr>
      <t xml:space="preserve"> P00839_2020</t>
    </r>
  </si>
  <si>
    <t>Review of chonic tox in  Cyno (Phase 2) - Add Review</t>
  </si>
  <si>
    <r>
      <t>Devis Q1900305 V2 -</t>
    </r>
    <r>
      <rPr>
        <b/>
        <sz val="11"/>
        <rFont val="Calibri"/>
        <family val="2"/>
        <scheme val="minor"/>
      </rPr>
      <t xml:space="preserve"> P00784_2020 (remplace le P00342)</t>
    </r>
  </si>
  <si>
    <r>
      <t xml:space="preserve">Devis Q1900305 - </t>
    </r>
    <r>
      <rPr>
        <b/>
        <sz val="11"/>
        <rFont val="Calibri"/>
        <family val="2"/>
        <scheme val="minor"/>
      </rPr>
      <t>P00828_2020</t>
    </r>
  </si>
  <si>
    <t>Q1 2021</t>
  </si>
  <si>
    <t>Milestone vu avec JS 16/11/2020</t>
  </si>
  <si>
    <t>Robart histopathology (2 biopsies/patients) -70% à la fin - 59087</t>
  </si>
  <si>
    <t xml:space="preserve">ANNULEE et REMPLACEE PAR CERBA </t>
  </si>
  <si>
    <r>
      <t>DQ201900305 -</t>
    </r>
    <r>
      <rPr>
        <b/>
        <sz val="11"/>
        <rFont val="Calibri"/>
        <family val="2"/>
        <scheme val="minor"/>
      </rPr>
      <t xml:space="preserve"> P00342_2019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+ P00358_2019</t>
    </r>
    <r>
      <rPr>
        <sz val="1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>Annulée et remplacée par PO00784 CERBA</t>
    </r>
  </si>
  <si>
    <t>Additionnal cost Geboes et Nancy testing</t>
  </si>
  <si>
    <t>Clinical Study ABX464-101 - 30%  Signature</t>
  </si>
  <si>
    <t>Clinical Study ABX464-101 - 70 % a la fin : un peu plus : 87 echantillons au lieu de 60</t>
  </si>
  <si>
    <t>RNPVIR</t>
  </si>
  <si>
    <t>PERKIN</t>
  </si>
  <si>
    <r>
      <t xml:space="preserve">Devis 40668386 - </t>
    </r>
    <r>
      <rPr>
        <b/>
        <sz val="11"/>
        <rFont val="Calibri"/>
        <family val="2"/>
        <scheme val="minor"/>
      </rPr>
      <t>P00830_2020</t>
    </r>
  </si>
  <si>
    <t>Maintenance annuelle OPREA Phenix - 01/11/2020 au 31/10/2021</t>
  </si>
  <si>
    <t>Maintenance annuelle Twister III Square Base - 01/11/2020 au 31/10/2021</t>
  </si>
  <si>
    <t>Maintenance annuelle Forfait santé-sécurité - 01/11/2020 au 31/10/2021</t>
  </si>
  <si>
    <t>Mise à jour du PC harmony sous Windows 10</t>
  </si>
  <si>
    <r>
      <t xml:space="preserve">Devis WO-01024184 - </t>
    </r>
    <r>
      <rPr>
        <b/>
        <sz val="11"/>
        <rFont val="Calibri"/>
        <family val="2"/>
        <scheme val="minor"/>
      </rPr>
      <t>P00831_2020</t>
    </r>
  </si>
  <si>
    <r>
      <t xml:space="preserve">Devis WO-01024196 - </t>
    </r>
    <r>
      <rPr>
        <b/>
        <sz val="11"/>
        <rFont val="Calibri"/>
        <family val="2"/>
        <scheme val="minor"/>
      </rPr>
      <t>P00832_2020</t>
    </r>
  </si>
  <si>
    <t>Installation PC for Workstation</t>
  </si>
  <si>
    <t>Installation PC for Workstation - System integration and testing</t>
  </si>
  <si>
    <t>Installation PC for Workstation - Upgrade to plate works 6.20</t>
  </si>
  <si>
    <t>Installation PC for Workstation - Automatisation Installation</t>
  </si>
  <si>
    <t>Installation PC for Workstation - ADM fee</t>
  </si>
  <si>
    <t>SRV_18232_W6 - CO5</t>
  </si>
  <si>
    <t>6 month extension (end October 2020) + change in the number of patients 244</t>
  </si>
  <si>
    <r>
      <t xml:space="preserve">W25 (WO2020#7) - </t>
    </r>
    <r>
      <rPr>
        <b/>
        <sz val="11"/>
        <rFont val="Calibri"/>
        <family val="2"/>
        <scheme val="minor"/>
      </rPr>
      <t>P00654_2020</t>
    </r>
  </si>
  <si>
    <t>INV 72670</t>
  </si>
  <si>
    <t>ABIVAX20201005 - Amdt 14</t>
  </si>
  <si>
    <t>INV L2D20-027-156</t>
  </si>
  <si>
    <t>FIONA BOOTH - RICHMOND QA</t>
  </si>
  <si>
    <t>INV 108763 + INV 108784 + INV 108824 + INV 108827 + INV 108864 + INV 108914 + INV 108938 + INV 108953 + INV 108904 + INV 109057 + INV 109081</t>
  </si>
  <si>
    <t>24/10/2019 + 11/11/2019 + 31/12/2019 + 31/12/2019 + 20/02/2020 + 27/04/2020 + 19/05/2020 + 04/06/2020 + 15/04/2020 + 13/10/2020 +11/11/2020</t>
  </si>
  <si>
    <t>INV 109036 + INV 109057 + INV 109081</t>
  </si>
  <si>
    <t>15/09/2020 + 13/10/2020 + 11/11/2020</t>
  </si>
  <si>
    <t>INV 00010 2003616 RI</t>
  </si>
  <si>
    <t>Analytical methods validation API - elemental impurties</t>
  </si>
  <si>
    <t>Analytical methods validation API - API Residual solvent</t>
  </si>
  <si>
    <t>Analytical methods validation API - API Residual Benzene</t>
  </si>
  <si>
    <t>Analytical methods validation API - Water Content</t>
  </si>
  <si>
    <t>INV 2020/493</t>
  </si>
  <si>
    <t>INV 4339</t>
  </si>
  <si>
    <t>INV 12049</t>
  </si>
  <si>
    <t>US Agent Services 2020 - 01/12/2020 au 01/12/2021</t>
  </si>
  <si>
    <r>
      <t>SRV_20155 - US Agent Services 2020 -</t>
    </r>
    <r>
      <rPr>
        <b/>
        <sz val="11"/>
        <rFont val="Calibri"/>
        <family val="2"/>
        <scheme val="minor"/>
      </rPr>
      <t xml:space="preserve"> P00844_2020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</si>
  <si>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12  - P00841_2020</t>
    </r>
  </si>
  <si>
    <t>Microscopic examination on treatment free animals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</si>
  <si>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2</t>
    </r>
    <r>
      <rPr>
        <sz val="11"/>
        <rFont val="Calibri"/>
        <family val="2"/>
        <scheme val="minor"/>
      </rPr>
      <t xml:space="preserve">  -</t>
    </r>
    <r>
      <rPr>
        <b/>
        <sz val="11"/>
        <rFont val="Calibri"/>
        <family val="2"/>
        <scheme val="minor"/>
      </rPr>
      <t xml:space="preserve"> P00502_2019</t>
    </r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</si>
  <si>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3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P00517_2019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</si>
  <si>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 xml:space="preserve">Work No 1 </t>
    </r>
    <r>
      <rPr>
        <sz val="11"/>
        <rFont val="Calibri"/>
        <family val="2"/>
        <scheme val="minor"/>
      </rPr>
      <t>-</t>
    </r>
    <r>
      <rPr>
        <b/>
        <sz val="11"/>
        <rFont val="Calibri"/>
        <family val="2"/>
        <scheme val="minor"/>
      </rPr>
      <t xml:space="preserve"> P00492_2019</t>
    </r>
  </si>
  <si>
    <t>INC CXA77517</t>
  </si>
  <si>
    <t>INV CWB77516 + INV CXA77517</t>
  </si>
  <si>
    <t>30/09/2020 + 30/10/2020</t>
  </si>
  <si>
    <t>INV CXC11210</t>
  </si>
  <si>
    <r>
      <t>CRL-276018-2 - SFDC Opp-183253 -</t>
    </r>
    <r>
      <rPr>
        <b/>
        <sz val="11"/>
        <rFont val="Calibri"/>
        <family val="2"/>
        <scheme val="minor"/>
      </rPr>
      <t xml:space="preserve"> P00761_2020</t>
    </r>
  </si>
  <si>
    <t>INV FA008610</t>
  </si>
  <si>
    <t>Determination of caféine and paraxanthine in humain palsma (Study 291400 + 291401)</t>
  </si>
  <si>
    <t>INV FA008609</t>
  </si>
  <si>
    <r>
      <t xml:space="preserve">W35 (WO17#2020) - </t>
    </r>
    <r>
      <rPr>
        <b/>
        <sz val="11"/>
        <rFont val="Calibri"/>
        <family val="2"/>
        <scheme val="minor"/>
      </rPr>
      <t xml:space="preserve">P00779_2020 </t>
    </r>
    <r>
      <rPr>
        <b/>
        <sz val="11"/>
        <color theme="9"/>
        <rFont val="Calibri"/>
        <family val="2"/>
        <scheme val="minor"/>
      </rPr>
      <t>- SEQS</t>
    </r>
  </si>
  <si>
    <t>INV 00010 20003498 RI + INV 00010 2003662 RI</t>
  </si>
  <si>
    <t>30/10/2020 + 17/11/2020</t>
  </si>
  <si>
    <t>INV FRA-002115 + INV FRA-002152 + INV FRA-002189 + INV FRA-002257</t>
  </si>
  <si>
    <t>10/07/2020 + 11/08/2020 + 14/09/2020 + 13/11/2020</t>
  </si>
  <si>
    <t>INV FRA-002113 + INV FRA-002155 + INV FRA-002185 + INV FRA-002203 + INV FRA-002256</t>
  </si>
  <si>
    <t>09/07/2020 + 11/08/2020 + 10/09/2020 + 08/10/2020 + 13/11/2020</t>
  </si>
  <si>
    <t>Erreur PO de PP : vu avec elle le 23/11/2020 - correction faite</t>
  </si>
  <si>
    <t>2017 + EC1801057 + EC1802108 + EC1803102 + EC1804104 + EC1805072 + EC1806003 + EC1808099 + EC2006003 + EC2009224 + EC2010099</t>
  </si>
  <si>
    <t>INV EC1908116 + INV EC1909189 + INV EC1910107 + INV EC1911115 + INV EC1912046 + INV EC2001109 + INV EC2002092 + INV EC2003099 + EC2004167 + EC2005116 + EC2006006 + EC2008044 + EC2009227 + EC2010102</t>
  </si>
  <si>
    <t>EC2009227 + EC2010102</t>
  </si>
  <si>
    <r>
      <t xml:space="preserve">Amendement 2 Devis 11751 - </t>
    </r>
    <r>
      <rPr>
        <b/>
        <sz val="11"/>
        <rFont val="Calibri"/>
        <family val="2"/>
        <scheme val="minor"/>
      </rPr>
      <t>P00823_2020</t>
    </r>
  </si>
  <si>
    <t>Etude Clinique RA 301 Extension - réétiquetage</t>
  </si>
  <si>
    <t>INV EC2010104</t>
  </si>
  <si>
    <t>prestation "arrêtée" cf mail DS 23/11/2020</t>
  </si>
  <si>
    <r>
      <t xml:space="preserve">SRV_16124 </t>
    </r>
    <r>
      <rPr>
        <b/>
        <strike/>
        <sz val="11"/>
        <rFont val="Calibri"/>
        <family val="2"/>
        <scheme val="minor"/>
      </rPr>
      <t>M00030 de 2016</t>
    </r>
  </si>
  <si>
    <t>Milestones vu avec PP - Mail du 24/11/2020</t>
  </si>
  <si>
    <t>INV 20F0308</t>
  </si>
  <si>
    <t>29/05/2020 (reçu le 24/11/2020)</t>
  </si>
  <si>
    <t>INV FA019983</t>
  </si>
  <si>
    <r>
      <t>W33_A1 (Amdt1 WO15#2020)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</si>
  <si>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PAR/NOR Determination via QbD approach Fate &amp; Purge of impurties - Amendement 1 Item 21-2 </t>
    </r>
    <r>
      <rPr>
        <b/>
        <sz val="11"/>
        <rFont val="Calibri"/>
        <family val="2"/>
        <scheme val="minor"/>
      </rPr>
      <t>21-AMD</t>
    </r>
  </si>
  <si>
    <t>DMF writing - signature</t>
  </si>
  <si>
    <t>DMF writing - upon emission of the first file</t>
  </si>
  <si>
    <t>DMF writing - upon emission of the final DMF</t>
  </si>
  <si>
    <r>
      <t xml:space="preserve">W36 (WO18#2020) - </t>
    </r>
    <r>
      <rPr>
        <b/>
        <sz val="11"/>
        <rFont val="Calibri"/>
        <family val="2"/>
        <scheme val="minor"/>
      </rPr>
      <t xml:space="preserve">P00821_2020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</si>
  <si>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W37 (WO19#2020) - </t>
    </r>
    <r>
      <rPr>
        <b/>
        <sz val="11"/>
        <rFont val="Calibri"/>
        <family val="2"/>
        <scheme val="minor"/>
      </rPr>
      <t xml:space="preserve">P00825_2020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</si>
  <si>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W38 (WO20#2020) - </t>
    </r>
    <r>
      <rPr>
        <b/>
        <sz val="11"/>
        <rFont val="Calibri"/>
        <family val="2"/>
        <scheme val="minor"/>
      </rPr>
      <t xml:space="preserve">P00835_2020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</si>
  <si>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W39 (WO21#2020) - </t>
    </r>
    <r>
      <rPr>
        <b/>
        <sz val="11"/>
        <rFont val="Calibri"/>
        <family val="2"/>
        <scheme val="minor"/>
      </rPr>
      <t xml:space="preserve">P00840_2020 </t>
    </r>
    <r>
      <rPr>
        <b/>
        <sz val="11"/>
        <color theme="9"/>
        <rFont val="Calibri"/>
        <family val="2"/>
        <scheme val="minor"/>
      </rPr>
      <t>- SEQS</t>
    </r>
  </si>
  <si>
    <t>W40 (WO22#2020) - Pas de PO</t>
  </si>
  <si>
    <t>Transport annuel</t>
  </si>
  <si>
    <t>INV 00010 20003739 RI</t>
  </si>
  <si>
    <t>INV 2011034</t>
  </si>
  <si>
    <t>INV 2020-019</t>
  </si>
  <si>
    <r>
      <t xml:space="preserve">Quote du 03/03/2020 - </t>
    </r>
    <r>
      <rPr>
        <b/>
        <sz val="11"/>
        <rFont val="Calibri"/>
        <family val="2"/>
        <scheme val="minor"/>
      </rPr>
      <t>P00582_2020</t>
    </r>
  </si>
  <si>
    <t>Audit site Hongrie Avril 2020</t>
  </si>
  <si>
    <t>INV 2020-018</t>
  </si>
  <si>
    <t>INV 91245</t>
  </si>
  <si>
    <t>INV 91244</t>
  </si>
  <si>
    <t>INV F020-SIN-000129</t>
  </si>
  <si>
    <t>L20_3215 - P00846 bis</t>
  </si>
  <si>
    <t>Co-Validation SEQENS - validation methodes analytiques - 25% a signature</t>
  </si>
  <si>
    <t>Co-Validation SEQENS - validation methodes analytiques - 75% au rapport</t>
  </si>
  <si>
    <t>Co-Validation SEQENS Management de projet</t>
  </si>
  <si>
    <t>INV 10000823</t>
  </si>
  <si>
    <t>ABX464 Dev. Tablet PHASE I - Preformulation/Formulation</t>
  </si>
  <si>
    <t>ABX464 Dev. Tablet PHASE II - EXECUTION</t>
  </si>
  <si>
    <t>ABX464 Capsules Drug Product analytical methods optimization-Validation</t>
  </si>
  <si>
    <t>API dissolution investigation - Step 2 - Dissolution Investigation Micronization/Milling</t>
  </si>
  <si>
    <t>INV 20201101724</t>
  </si>
  <si>
    <t>Qualification &amp; Clinical testing of multiple inflamotory biomarkers RA301 - upfront</t>
  </si>
  <si>
    <t>INV 109090</t>
  </si>
  <si>
    <t>INV 109089</t>
  </si>
  <si>
    <t>31/07/2020 + 30/11/2020</t>
  </si>
  <si>
    <t>INV 00010 20003825 RI</t>
  </si>
  <si>
    <t>INV BCI-0041872</t>
  </si>
  <si>
    <r>
      <t xml:space="preserve">W20 (WO2020#2) - </t>
    </r>
    <r>
      <rPr>
        <b/>
        <sz val="11"/>
        <rFont val="Calibri"/>
        <family val="2"/>
        <scheme val="minor"/>
      </rPr>
      <t>P00642_2020</t>
    </r>
    <r>
      <rPr>
        <sz val="11"/>
        <rFont val="Calibri"/>
        <family val="2"/>
        <scheme val="minor"/>
      </rPr>
      <t xml:space="preserve"> - SEQS</t>
    </r>
  </si>
  <si>
    <r>
      <t xml:space="preserve">W21 (WO2020#3) - </t>
    </r>
    <r>
      <rPr>
        <b/>
        <sz val="11"/>
        <rFont val="Calibri"/>
        <family val="2"/>
        <scheme val="minor"/>
      </rPr>
      <t>P00643_2020</t>
    </r>
    <r>
      <rPr>
        <sz val="11"/>
        <rFont val="Calibri"/>
        <family val="2"/>
        <scheme val="minor"/>
      </rPr>
      <t xml:space="preserve"> - SEQS</t>
    </r>
  </si>
  <si>
    <r>
      <t xml:space="preserve">W22 (WO2020#4) - </t>
    </r>
    <r>
      <rPr>
        <b/>
        <sz val="11"/>
        <rFont val="Calibri"/>
        <family val="2"/>
        <scheme val="minor"/>
      </rPr>
      <t>P00644_2020</t>
    </r>
    <r>
      <rPr>
        <sz val="11"/>
        <rFont val="Calibri"/>
        <family val="2"/>
        <scheme val="minor"/>
      </rPr>
      <t xml:space="preserve"> - SEQS</t>
    </r>
  </si>
  <si>
    <r>
      <t xml:space="preserve">W23 (WO2020#5) - </t>
    </r>
    <r>
      <rPr>
        <b/>
        <sz val="11"/>
        <rFont val="Calibri"/>
        <family val="2"/>
        <scheme val="minor"/>
      </rPr>
      <t>P00645_2020</t>
    </r>
    <r>
      <rPr>
        <sz val="11"/>
        <rFont val="Calibri"/>
        <family val="2"/>
        <scheme val="minor"/>
      </rPr>
      <t xml:space="preserve"> - SEQS</t>
    </r>
  </si>
  <si>
    <r>
      <t>W24 (WO2020#6) -</t>
    </r>
    <r>
      <rPr>
        <b/>
        <sz val="11"/>
        <rFont val="Calibri"/>
        <family val="2"/>
        <scheme val="minor"/>
      </rPr>
      <t xml:space="preserve"> P00646_2020</t>
    </r>
    <r>
      <rPr>
        <sz val="11"/>
        <rFont val="Calibri"/>
        <family val="2"/>
        <scheme val="minor"/>
      </rPr>
      <t xml:space="preserve"> - SEQS</t>
    </r>
  </si>
  <si>
    <r>
      <t xml:space="preserve">OPP-197691 - </t>
    </r>
    <r>
      <rPr>
        <b/>
        <sz val="11"/>
        <rFont val="Calibri"/>
        <family val="2"/>
        <scheme val="minor"/>
      </rPr>
      <t>P00847_2020</t>
    </r>
  </si>
  <si>
    <t>Study CRL-299650 - Validation of analytical method for parent ABX464</t>
  </si>
  <si>
    <t>Study CRL-299651 - Validation of the anlytical method for the metabolitute N-Glu</t>
  </si>
  <si>
    <t>Study CRL-299649 - Evaluation in vitro phototoxicity on Balb/c 3T3 fibroblast</t>
  </si>
  <si>
    <t>Study CRL-299656 - Phototoxicity A 3-day study to determine the effect on eyes and skin in rats</t>
  </si>
  <si>
    <t>PTC hors milestone</t>
  </si>
  <si>
    <t>65% of Total CRF Pages Monitored (Source Data Verified)</t>
  </si>
  <si>
    <t>75% of Total CRF Pages Monitored (Source Data Verifsed)</t>
  </si>
  <si>
    <t>ABX464-902 - DDI Trial - MSA</t>
  </si>
  <si>
    <t>Professional fees - Signature du WO</t>
  </si>
  <si>
    <t>Professional fees - First Subject Screened</t>
  </si>
  <si>
    <t>Professional fees - Part A Cohort 1 First Dose</t>
  </si>
  <si>
    <t>Professional fees - Part B Cohort 2 First Dose</t>
  </si>
  <si>
    <t>Professional fees - Part B Cohort 3 First Dose</t>
  </si>
  <si>
    <t>Professional fees - Part B Cohort 4 Last Dose</t>
  </si>
  <si>
    <t>Professional fees - Database Lock</t>
  </si>
  <si>
    <t>Professional fees - Draft CSR</t>
  </si>
  <si>
    <t>PTC - Voluteer expenses</t>
  </si>
  <si>
    <r>
      <t xml:space="preserve">Evaluation of effect on cardio Marmoset - Plasma collection at Atlanbio </t>
    </r>
    <r>
      <rPr>
        <b/>
        <sz val="11"/>
        <rFont val="Calibri"/>
        <family val="2"/>
        <scheme val="minor"/>
      </rPr>
      <t>(Telemetry 4.1)</t>
    </r>
  </si>
  <si>
    <r>
      <t xml:space="preserve">ABX464-N-Glucuronide - Add cost ETUDE : 20200058PCMAP - 100% à siganture </t>
    </r>
    <r>
      <rPr>
        <b/>
        <sz val="11"/>
        <rFont val="Calibri"/>
        <family val="2"/>
        <scheme val="minor"/>
      </rPr>
      <t>(Telemetry 4.1)</t>
    </r>
  </si>
  <si>
    <t>INV 10002183</t>
  </si>
  <si>
    <t>26/06/2020 RECU le 01/12/2020</t>
  </si>
  <si>
    <t>INV 1000232</t>
  </si>
  <si>
    <t>28/08/2020 RECU 01/12/2020</t>
  </si>
  <si>
    <t>ABX464 Prod. 2 lot 35 Kg (25mg&amp;50mg) gélules - FABRICATION &amp; CONDITIONNEMENT - Lot verum clinique pour 1 000 piluliers - 25%</t>
  </si>
  <si>
    <t>ABX464 Prod. 2 lot 35 Kg (25mg&amp;50mg) gélules - FABRICATION &amp; CONDITIONNEMENT - Lot verum clinique pour 1 000 piluliers - 75%</t>
  </si>
  <si>
    <t>ABX464 Prod. 2 lot 35 Kg (25mg&amp;50mg) gélules - FABRICATION &amp; CONDITIONNEMENT - Campagne 1 /2 clinique - Documentation - 25%</t>
  </si>
  <si>
    <t>ABX464 Prod. 2 lot 35 Kg (25mg&amp;50mg) gélules - FABRICATION &amp; CONDITIONNEMENT - Campagne 1 /2 clinique - Documentation -75%</t>
  </si>
  <si>
    <t>ABX464 Prod. 2 lot 35 Kg (25mg&amp;50mg) gélules - FABRICATION &amp; CONDITIONNEMENT - Campagne 1 /2 clinique - Fabrication &amp; coordination - 25%</t>
  </si>
  <si>
    <t>ABX464 Prod. 2 lot 35 Kg (25mg&amp;50mg) gélules - FABRICATION &amp; CONDITIONNEMENT - Campagne 1 /2 clinique - Fabrication &amp; coordination - 75%</t>
  </si>
  <si>
    <t>ABX464 Prod. 2 lot 35 Kg (25mg&amp;50mg) gélules - FABRICATION &amp; CONDITIONNEMENT - Campagne 1 /2 clinique - Analyses - 25%</t>
  </si>
  <si>
    <t>ABX464 Prod. 2 lot 35 Kg (25mg&amp;50mg) gélules - FABRICATION &amp; CONDITIONNEMENT - Campagne 1 /2 clinique - Analyses - 75%</t>
  </si>
  <si>
    <t>ABX464 Prod. 2 lot 35 Kg (25mg&amp;50mg) gélules - FABRICATION &amp; CONDITIONNEMENT - Campagne 1 /2 clinique - Packaging -25%</t>
  </si>
  <si>
    <t>ABX464 Prod. 2 lot 35 Kg (25mg&amp;50mg) gélules - FABRICATION &amp; CONDITIONNEMENT - Campagne 1 /2 clinique - Packaging -75%</t>
  </si>
  <si>
    <t>INV 1000401</t>
  </si>
  <si>
    <t>INV 100003232</t>
  </si>
  <si>
    <t>28/08/2020 (Recu 01/12/2020)</t>
  </si>
  <si>
    <t>INV 10000190</t>
  </si>
  <si>
    <t>24/08/2020 (Recu 01/12/2020)</t>
  </si>
  <si>
    <t>INV 10000092 + INV 10000342 + INV 10000189</t>
  </si>
  <si>
    <t>31/07/2020 + 07/09/2020 + 24/08/2020 (Recu 01/12/2020)</t>
  </si>
  <si>
    <t>INV FRGRE0299</t>
  </si>
  <si>
    <t>INV FRGRE0038</t>
  </si>
  <si>
    <t>INV FRGRE0050</t>
  </si>
  <si>
    <t>INV FRGRE0111</t>
  </si>
  <si>
    <t>INV FRGRE0136</t>
  </si>
  <si>
    <t>INV FRGRE0167</t>
  </si>
  <si>
    <t xml:space="preserve">INV FRGRE0188 </t>
  </si>
  <si>
    <t>INV FRGRE0210</t>
  </si>
  <si>
    <t>INV FRGRE0242</t>
  </si>
  <si>
    <t>INV FRGRE0271</t>
  </si>
  <si>
    <t>INV FRGRE0302</t>
  </si>
  <si>
    <t>INV 2314</t>
  </si>
  <si>
    <t>INV 20190006 (01/02/2019) + INV 201900010 (01/03/2019 )+ INV 20190016 (01/04/2019) + INV 2019073 (01/01/2020) + INV 2020025 (05/04/2020) + INV INTU2020043 (02/08/2020) + INV INV INTU2020060 (15/09/2020) + INV INTU2020067 (04/10/2020) + INV INTU2020079 (13/11/2020) + INV INTU2020085 (04/12/2020)</t>
  </si>
  <si>
    <t>INV 3900581998 + INV 9423</t>
  </si>
  <si>
    <t>INV 9423 + INV 12913</t>
  </si>
  <si>
    <t>30/10/2020 + 30/11/2020</t>
  </si>
  <si>
    <t>INV 109101</t>
  </si>
  <si>
    <t>INV 28790</t>
  </si>
  <si>
    <t>INV FRA-002295</t>
  </si>
  <si>
    <t>INV 00010 20003156 RI + INV 00010 20003502 RI + INV 00010 20003443 RI + INV 00010 20003900 RI</t>
  </si>
  <si>
    <t>29/09/2020 + 30/10/2020 + 26/10/2020 + 09/12/2020</t>
  </si>
  <si>
    <t>CO 4.5</t>
  </si>
  <si>
    <t xml:space="preserve">CO 4.4 </t>
  </si>
  <si>
    <t>CO 4.1</t>
  </si>
  <si>
    <t xml:space="preserve">CO 4.6 </t>
  </si>
  <si>
    <t>CO 4.6</t>
  </si>
  <si>
    <r>
      <t xml:space="preserve">CEVQ2020.12.01 - </t>
    </r>
    <r>
      <rPr>
        <b/>
        <sz val="11"/>
        <rFont val="Calibri"/>
        <family val="2"/>
        <scheme val="minor"/>
      </rPr>
      <t>P00856_2020</t>
    </r>
  </si>
  <si>
    <t>Tk interpretation for fertility and early embrionic dev in rat</t>
  </si>
  <si>
    <r>
      <t>Devis 11718-1-Avenant n°4 -</t>
    </r>
    <r>
      <rPr>
        <b/>
        <sz val="11"/>
        <rFont val="Calibri"/>
        <family val="2"/>
        <scheme val="minor"/>
      </rPr>
      <t xml:space="preserve"> P00837_2020</t>
    </r>
    <r>
      <rPr>
        <sz val="11"/>
        <rFont val="Calibri"/>
        <family val="2"/>
        <scheme val="minor"/>
      </rPr>
      <t xml:space="preserve"> V2</t>
    </r>
  </si>
  <si>
    <t>INV 109081 + INV 109106</t>
  </si>
  <si>
    <t>11/11/2020 + 09/12/2020</t>
  </si>
  <si>
    <t>INV FRA-001823 + INV FRA-002315</t>
  </si>
  <si>
    <t>09/12/2019 + 11/12/2020</t>
  </si>
  <si>
    <t>INV CYB53309</t>
  </si>
  <si>
    <t>INV CYB77518</t>
  </si>
  <si>
    <t>INV CXA77517</t>
  </si>
  <si>
    <t>30/09/2020 + 30/10/2020 + 30/11/2020</t>
  </si>
  <si>
    <t>INV CYC11211</t>
  </si>
  <si>
    <t>INV CWC11209 + INV CXC11210 + INV CYC11211</t>
  </si>
  <si>
    <t>INV COB71805 + INV CPB71807 + INV CRB71809 + INV CYB71810</t>
  </si>
  <si>
    <t>31/01/2020 + 28/02/2020 + 30/04/2020 + 30/11/2020</t>
  </si>
  <si>
    <t>INV CYB71810</t>
  </si>
  <si>
    <t>INV FA019983 + INV FA020380</t>
  </si>
  <si>
    <t>19/11/2020 + 14/12/2020</t>
  </si>
  <si>
    <t>INV FA008210 + INV FA008378 + INV FA008674</t>
  </si>
  <si>
    <t>03/03/2020 + 16/06/2020 + 11/12/2020</t>
  </si>
  <si>
    <t>INV FA008675</t>
  </si>
  <si>
    <t>INV 12072</t>
  </si>
  <si>
    <t>INV 72783</t>
  </si>
  <si>
    <t>INV 72808</t>
  </si>
  <si>
    <r>
      <t xml:space="preserve">DV-ABI-1220-1315 </t>
    </r>
    <r>
      <rPr>
        <b/>
        <sz val="11"/>
        <rFont val="Calibri"/>
        <family val="2"/>
        <scheme val="minor"/>
      </rPr>
      <t>- P00867_2020</t>
    </r>
  </si>
  <si>
    <t>Rapatriation 9-month cyno from Chrales Rivers To Cell&amp;Co + conservation 12 mois</t>
  </si>
  <si>
    <t>Analyse of truculture tubes from RA patients</t>
  </si>
  <si>
    <t>INV 71878</t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</si>
  <si>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+ Amdt 1 WO004 - Mail de 06/2020 accord avec Lucy et PG</t>
    </r>
  </si>
  <si>
    <t>INV 108946 + INV 108981</t>
  </si>
  <si>
    <t>29/05/2020 + 02/07/2020</t>
  </si>
  <si>
    <t>INV 108981 + INV 109111</t>
  </si>
  <si>
    <t>02/07/2020 + 15/12/2020</t>
  </si>
  <si>
    <t>INV 20F0252</t>
  </si>
  <si>
    <t>19/05/2020 recu le 01/12/2020</t>
  </si>
  <si>
    <r>
      <t xml:space="preserve">ZNA79291 CO n°2 -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P00860_2020</t>
    </r>
  </si>
  <si>
    <t>Dev of Solid Oral Dosage Form (Solid Dispersion) - CO2 Signature</t>
  </si>
  <si>
    <r>
      <t>Dev of Solid Oral Dosage Form (Solid Dispersion) - CO2 on delivery of draft MBR for drug product batch</t>
    </r>
    <r>
      <rPr>
        <b/>
        <sz val="11"/>
        <rFont val="Calibri"/>
        <family val="2"/>
        <scheme val="minor"/>
      </rPr>
      <t xml:space="preserve"> manufacture</t>
    </r>
  </si>
  <si>
    <r>
      <t xml:space="preserve">Dev of Solid Oral Dosage Form (Solid Dispersion) - CO2 on delivery of draft MBR for drug product batch </t>
    </r>
    <r>
      <rPr>
        <b/>
        <sz val="11"/>
        <rFont val="Calibri"/>
        <family val="2"/>
        <scheme val="minor"/>
      </rPr>
      <t>packaging</t>
    </r>
  </si>
  <si>
    <t>Dev of Solid Oral Dosage Form (Solid Dispersion) - CO2 Upin  release of clincal supplies</t>
  </si>
  <si>
    <r>
      <t xml:space="preserve">ZNA79291 CO n°2 -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P00860_2020</t>
    </r>
  </si>
  <si>
    <t>Dev of Solid Oral Dosage Form (Solid Dispersion) - CO1 on delivery draft report of 6 months testing for ASD Formal Stab study</t>
  </si>
  <si>
    <t>Dev of Solid Oral Dosage Form (Solid Dispersion) - CO2 on delivery draft report of 6 months testing for ASD Bulk - Informal Stab Study</t>
  </si>
  <si>
    <t>Dev of Solid Oral Dosage Form (Solid Dispersion) - CO2 on delivery draft report of 6 months testing for ASD Formal Stab study</t>
  </si>
  <si>
    <t>Dev of Solid Oral Dosage Form (Solid Dispersion) - CO1 on delivery draft report of 6 months testing for ASD Bulk - Informal Stab Study</t>
  </si>
  <si>
    <t>INV 20F0253</t>
  </si>
  <si>
    <t>19/05/2020 (recu 01/12/2020)</t>
  </si>
  <si>
    <r>
      <t xml:space="preserve">Devis complémentaire n°1 au 2019-19-5 - </t>
    </r>
    <r>
      <rPr>
        <b/>
        <sz val="11"/>
        <rFont val="Calibri"/>
        <family val="2"/>
        <scheme val="minor"/>
      </rPr>
      <t>P00390_2019</t>
    </r>
  </si>
  <si>
    <t>INV 165</t>
  </si>
  <si>
    <t>INV 109114</t>
  </si>
  <si>
    <t>INV 1032010306 + INV 1032010305 + INV 1032010304</t>
  </si>
  <si>
    <t>INV 22001608</t>
  </si>
  <si>
    <t>24/11/2020 + 21/12/2020</t>
  </si>
  <si>
    <t>INV PJ20202645</t>
  </si>
  <si>
    <t>INV PJ2020293</t>
  </si>
  <si>
    <t>INV VER202003046</t>
  </si>
  <si>
    <t>INV VER202003079</t>
  </si>
  <si>
    <t>INV 00010 200004086 RI</t>
  </si>
  <si>
    <t>INV VER202003108</t>
  </si>
  <si>
    <t>INV 91533</t>
  </si>
  <si>
    <t>INV 91534</t>
  </si>
  <si>
    <t>INV 20F0872</t>
  </si>
  <si>
    <t>INV 20F0700 + INV 20F463 + INV 20F0872</t>
  </si>
  <si>
    <t>22/10/2020 (recu le 17/12/2020) + 31/07/2020 (recu le 18/12/2020) + 24/12/2020</t>
  </si>
  <si>
    <t>INV 46028031</t>
  </si>
  <si>
    <t>INV 00010 20002278 + INV 00010 20003772 RI</t>
  </si>
  <si>
    <t>INV 00010 200004020 RI</t>
  </si>
  <si>
    <r>
      <t xml:space="preserve">L20_3233A - </t>
    </r>
    <r>
      <rPr>
        <b/>
        <sz val="11"/>
        <rFont val="Calibri"/>
        <family val="2"/>
        <scheme val="minor"/>
      </rPr>
      <t>P00869_2020</t>
    </r>
  </si>
  <si>
    <t>Co-Validation SEQENS - Validation KF</t>
  </si>
  <si>
    <t>INV 10001049</t>
  </si>
  <si>
    <r>
      <t xml:space="preserve">W41 (WO23#2020) - </t>
    </r>
    <r>
      <rPr>
        <b/>
        <sz val="11"/>
        <rFont val="Calibri"/>
        <family val="2"/>
        <scheme val="minor"/>
      </rPr>
      <t>P00871_2020</t>
    </r>
  </si>
  <si>
    <t>Production batch GMP 2 x 300 kg + 600 kg de quinolinone</t>
  </si>
  <si>
    <t>Analytical  dev - residual solvant and impurties</t>
  </si>
  <si>
    <r>
      <t xml:space="preserve">Devis 11751 - </t>
    </r>
    <r>
      <rPr>
        <b/>
        <sz val="11"/>
        <rFont val="Calibri"/>
        <family val="2"/>
        <scheme val="minor"/>
      </rPr>
      <t>P00873_2020</t>
    </r>
  </si>
  <si>
    <t>RA301 - Extension péremption Réétiquetage</t>
  </si>
  <si>
    <t>UC103 / UC104</t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</si>
  <si>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</si>
  <si>
    <t>ZINAIDA LINEVYCH</t>
  </si>
  <si>
    <r>
      <t xml:space="preserve">Quote du 11/01/2021 - </t>
    </r>
    <r>
      <rPr>
        <b/>
        <sz val="11"/>
        <rFont val="Calibri"/>
        <family val="2"/>
        <scheme val="minor"/>
      </rPr>
      <t>P00011_2021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</si>
  <si>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of Abivax UC study ABX464-103/104 Ukraine - site audit planning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</si>
  <si>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of Abivax UC study ABX464-103/104 Ukraine - Conduct of the audits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</si>
  <si>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of Abivax UC study ABX464-103/104 Ukraine - Post audit activities</t>
    </r>
  </si>
  <si>
    <t>Add cost Validation methode PSD actif micronisé et non mirconisé</t>
  </si>
  <si>
    <r>
      <t xml:space="preserve">Devis 20202-10_06 - </t>
    </r>
    <r>
      <rPr>
        <b/>
        <sz val="11"/>
        <rFont val="Calibri"/>
        <family val="2"/>
        <scheme val="minor"/>
      </rPr>
      <t>P00814_2020</t>
    </r>
    <r>
      <rPr>
        <sz val="11"/>
        <rFont val="Calibri"/>
        <family val="2"/>
        <scheme val="minor"/>
      </rPr>
      <t xml:space="preserve"> V2</t>
    </r>
  </si>
  <si>
    <t>INV 2020000337</t>
  </si>
  <si>
    <t>INV 00011 20000350 RI</t>
  </si>
  <si>
    <t>INV L2D20-027-196</t>
  </si>
  <si>
    <t>INV FA008692</t>
  </si>
  <si>
    <t>INV FA008693</t>
  </si>
  <si>
    <t>INV VER202002774</t>
  </si>
  <si>
    <t>INV 4480</t>
  </si>
  <si>
    <t>UC-102 - WO003 Amt 3</t>
  </si>
  <si>
    <t>Signature of Amendement WO003 Amdt 3</t>
  </si>
  <si>
    <t>Last patient complete 3 years</t>
  </si>
  <si>
    <t>INV 109116</t>
  </si>
  <si>
    <t>Monthly fees / 20 mois 4 698 € - Nov. 2020 à Nov. 2022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</si>
  <si>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</si>
  <si>
    <t>RA302 - WO006 - MONTHLY MANAGMENT FEES - Août 2022</t>
  </si>
  <si>
    <t>RA302 - WO006 - MONTHLY MANAGMENT FEES - Janvier 2023</t>
  </si>
  <si>
    <t>RA ABX464-302 WO006 Amdt 002</t>
  </si>
  <si>
    <t>RA302 - WO006 - PTC - Inform fee ORACLE amdt 002</t>
  </si>
  <si>
    <t>Janv 2022 à Mai 2023</t>
  </si>
  <si>
    <t>RA ABX464-302 WO006 + Amdt 002</t>
  </si>
  <si>
    <t>RA302 - WO006 - PTC - Project management costs Admt 002</t>
  </si>
  <si>
    <t>INV 109115</t>
  </si>
  <si>
    <t>INV 0145/21 + INV 0219/21 + INV 0231/21 + INV 0319/21 + INV 0311/21 + INV 0353/21</t>
  </si>
  <si>
    <t>28/09/2020 + 29/10/2020 + 29/10/2020 + 30/11/2020 + 27/11/2020 + 21/12/2020</t>
  </si>
  <si>
    <t>2016 = 954,65 + 2017 = 1832,10 + EC1808097 + EC1809112 + EC1810052 + EC1811092 + EC1812100 + EC1901086 + EC1902085 + EC1903089 + EC1904062 + EC1905087 + EC1906005 + EC1908111 + EC1909184 + EC1910102 + EC1911110 + EC1912041 + EC200104 + EC2002087 + EC2003094 + EC2004162 + EC2005111 + EC2006001 + EC2008039 + EC2009222 + EC1010097 + EC2011098 + EC2012069</t>
  </si>
  <si>
    <t>Last Juin 2018 + EC1808098 + EC1809113 + EC1810053 + EC1811093 + EC1812101 + (EC1901087 + EC1902086 + EC1903090 + EC1904063 + EC1905088 + EC1906006 + EC1908112 + EC1909185 + EC1910103 + EC1911111 + EC1912042)+(EC200105 + EC2002088 + EC2003095  + EC2004163 + EC2005112 + EC2006002 + EC2008040 + EC2009223 + EC2010098 + EC2011099 + EC2012070 )</t>
  </si>
  <si>
    <t>2017 + EC1801057 + EC1802108 + EC1803102 + EC1804104 + EC1805072 + EC1806003 + EC1808099 + EC1809114 + EC1810054 + EC1811094 + EC1812102 + (EC1901088 + EC190287 + EC1903091 + EC1904064 + EC1905089 + EC1906007 + EC1908113 + EC1909186 + EC1910104 + EC1911112 + EC1912043)+(EC200106 + EC2002089 + EC2003096 + EC2004164 + EC2005113 + EC2008041 + EC2010099 + EC2011100 + EC2012071)</t>
  </si>
  <si>
    <t>2017 + EC1801058 + EC1802109 + EC1803103 + EC1804105 + EC1805073 + EC1806004 + EC1808100 + EC1809115 + EC1810055 + EC1811095 + EC1812103 + (EC1901089 + EC190288 + EC1903092 + EC1904065 + EC1905090 + EC1906008 + EC1908114 + EC1909187 + EC19101105 + INV EC1911113 + EC1912044)+(EC2001107 + EC2002090 + EC2003097 + EC2004165 + EC2005114 + EC2006004 + EC2008042 + EC2009225 + EC2010100 + EC2011101 + EC2012072)</t>
  </si>
  <si>
    <t>30/08/2019 + 30/09/2019 + 31/10/2019 + 30/11/2019 + 31/12/2019 + 31/01/2020 + 30/04/2020 + 29/05/2020 + 30/06/2020 + 31/08/2020 + 30/09/2020 + 30/10/2020 + 30/11/2020</t>
  </si>
  <si>
    <t>EC2011103</t>
  </si>
  <si>
    <t>EC2011103 + EC2012074</t>
  </si>
  <si>
    <t>30/11/2020 + 31/12/2020</t>
  </si>
  <si>
    <t>INV EC2011105</t>
  </si>
  <si>
    <t>INV CZB77519</t>
  </si>
  <si>
    <t>INV CZC11212</t>
  </si>
  <si>
    <t>Batch Manufacturing and stability study complements - Technical batches manufacturing and stability studies - 30% a signature</t>
  </si>
  <si>
    <t>Batch Manufacturing and stability study complements - Technical batches manufacturing and stability studies - 70 % solde</t>
  </si>
  <si>
    <t>INV 0413/21</t>
  </si>
  <si>
    <t>INV 46028305</t>
  </si>
  <si>
    <t>INV 00010 21000131 RI</t>
  </si>
  <si>
    <t>INV 4555</t>
  </si>
  <si>
    <t>INV 10001082</t>
  </si>
  <si>
    <t>INV FRA-002315 + INV FRA-002374</t>
  </si>
  <si>
    <t>11/12/2020 + 13/01/2021</t>
  </si>
  <si>
    <t>INV 00010 21000109 RI</t>
  </si>
  <si>
    <t>Additional short trem Stab + Analytical suppport</t>
  </si>
  <si>
    <t>INV FA008737</t>
  </si>
  <si>
    <t>INV 109134</t>
  </si>
  <si>
    <t>INV 109106 + INV 109134</t>
  </si>
  <si>
    <t>09/12/2020 + 14/01/2021</t>
  </si>
  <si>
    <t>INV 109121</t>
  </si>
  <si>
    <t>INV 109122</t>
  </si>
  <si>
    <r>
      <t>RA ABX464-302 WO006 + Amdt 001 +</t>
    </r>
    <r>
      <rPr>
        <sz val="11"/>
        <color theme="8" tint="0.39997558519241921"/>
        <rFont val="Calibri"/>
        <family val="2"/>
        <scheme val="minor"/>
      </rPr>
      <t xml:space="preserve"> Amdt 002</t>
    </r>
    <r>
      <rPr>
        <sz val="11"/>
        <rFont val="Calibri"/>
        <family val="2"/>
        <scheme val="minor"/>
      </rPr>
      <t xml:space="preserve"> (+inflation)</t>
    </r>
  </si>
  <si>
    <t>RA ABX464-302 WO006 + Amdt 001 + Amdt 002 (+inflation)</t>
  </si>
  <si>
    <t>UC-102 - WO003 Amt 3 (+inflation)</t>
  </si>
  <si>
    <t>INV 109120</t>
  </si>
  <si>
    <t>INV FA-202101003</t>
  </si>
  <si>
    <t>INV F020-SIN-0001173</t>
  </si>
  <si>
    <t>INV F020-SIN-0001175</t>
  </si>
  <si>
    <t>ABX464 Dev. Tablet PHASE II - PILOT SCALE PROGRAM - 30% signature</t>
  </si>
  <si>
    <t>INV 0220/21</t>
  </si>
  <si>
    <t>INV 0246/21</t>
  </si>
  <si>
    <t>INV 0095841942 + 0095841943 + 0095841944 + 0095841945 + 0095842169 + 0095842170 + 0095842171 + 0095842611 + 0095842535 + 0095842536 + 0095842537 + 0095842538 + 0095842539 + 0095842542 + 0095842543 + 0095842544 + 0095842545 + 0095842546 + 0095842547 + 0095842548 + 0095842549 + 0095842550 + 0095842551 + 0095843285 + 0095843426 + 0095843427 + 0095843428</t>
  </si>
  <si>
    <t>27/11/2020 + 27/11/2020 + 27/11/2020 + 27/11/2020 + 30/11/2020 + 30/11/2020 + 30/11/2020 + 24/12/2020 + 23/12/2020 + 14/01/2021 + 25/01/2021 + 25/01/2021 + 25/01/2021</t>
  </si>
  <si>
    <t>INV 109091 + AV 204626</t>
  </si>
  <si>
    <t>02/12/2020 + 20/01/2021</t>
  </si>
  <si>
    <t>INV 10001071</t>
  </si>
  <si>
    <t>INV 30029</t>
  </si>
  <si>
    <t>INV 12094</t>
  </si>
  <si>
    <t>INV 00010 21000028 RI</t>
  </si>
  <si>
    <t>INV 125.21.01</t>
  </si>
  <si>
    <t>INV 6700219321</t>
  </si>
  <si>
    <t xml:space="preserve">TK calculation for PK comparison in two weeks oral toxicity study in rat. </t>
  </si>
  <si>
    <t>INV 127.21.03</t>
  </si>
  <si>
    <r>
      <t xml:space="preserve">CEVQ2021.01.01 - </t>
    </r>
    <r>
      <rPr>
        <b/>
        <sz val="11"/>
        <rFont val="Calibri"/>
        <family val="2"/>
        <scheme val="minor"/>
      </rPr>
      <t>P00021_2021</t>
    </r>
  </si>
  <si>
    <t>RA301 - devis PH21002</t>
  </si>
  <si>
    <t>PH21008</t>
  </si>
  <si>
    <t>Consulting Cli 50h</t>
  </si>
  <si>
    <t>3. Ad-hoc consulting services capped to 30h/month 1050*10mois</t>
  </si>
  <si>
    <t>FNP S2 2019 - Annulée il s'agissait d'une option non utilisée au final</t>
  </si>
  <si>
    <t>budget 2021 (RS le 8/02/2021)</t>
  </si>
  <si>
    <t>FNP 2020</t>
  </si>
  <si>
    <t>budget 2021 Q1 (RS le 8 février 2021)</t>
  </si>
  <si>
    <t>PO 37 fait en 2021</t>
  </si>
  <si>
    <t>INV 109146</t>
  </si>
  <si>
    <t>INV 109148</t>
  </si>
  <si>
    <t>INV 109147</t>
  </si>
  <si>
    <t>INV FRGRE2021043</t>
  </si>
  <si>
    <t>INV PJ20180889</t>
  </si>
  <si>
    <t>INV 10001163</t>
  </si>
  <si>
    <t>Analytical dev - QbD Crystallisation step - 35% signature</t>
  </si>
  <si>
    <t>Analytical dev - QbD Crystallisation step - 65% solde</t>
  </si>
  <si>
    <t>INV 00010 21000228 RI</t>
  </si>
  <si>
    <t>INV 0010 21000216 RI</t>
  </si>
  <si>
    <t>INV 2012001</t>
  </si>
  <si>
    <t>INV 2101001</t>
  </si>
  <si>
    <t>INV 21210101756</t>
  </si>
  <si>
    <t xml:space="preserve"> INV 20201101724 + INV 20201201734 + INV 21210101756</t>
  </si>
  <si>
    <t>30/11/2020 + 28/12/2020 + 27/01/2021</t>
  </si>
  <si>
    <r>
      <rPr>
        <b/>
        <sz val="11"/>
        <rFont val="Calibri"/>
        <family val="2"/>
        <scheme val="minor"/>
      </rPr>
      <t>Clinical testing</t>
    </r>
    <r>
      <rPr>
        <sz val="11"/>
        <rFont val="Calibri"/>
        <family val="2"/>
        <scheme val="minor"/>
      </rPr>
      <t xml:space="preserve"> of multiple inflamotory biomarkers RA301</t>
    </r>
  </si>
  <si>
    <r>
      <rPr>
        <b/>
        <sz val="11"/>
        <rFont val="Calibri"/>
        <family val="2"/>
        <scheme val="minor"/>
      </rPr>
      <t xml:space="preserve">Qualification </t>
    </r>
    <r>
      <rPr>
        <sz val="11"/>
        <rFont val="Calibri"/>
        <family val="2"/>
        <scheme val="minor"/>
      </rPr>
      <t>of multiple inflamotory biomarkers RA301</t>
    </r>
  </si>
  <si>
    <r>
      <rPr>
        <b/>
        <sz val="11"/>
        <rFont val="Calibri"/>
        <family val="2"/>
        <scheme val="minor"/>
      </rPr>
      <t>Qualification</t>
    </r>
    <r>
      <rPr>
        <sz val="11"/>
        <rFont val="Calibri"/>
        <family val="2"/>
        <scheme val="minor"/>
      </rPr>
      <t xml:space="preserve"> &amp; testing of multiple inflamotory biomarkers RA301</t>
    </r>
  </si>
  <si>
    <r>
      <t xml:space="preserve">OPP-185665 - Study CRL-280219 - </t>
    </r>
    <r>
      <rPr>
        <b/>
        <sz val="11"/>
        <rFont val="Calibri"/>
        <family val="2"/>
        <scheme val="minor"/>
      </rPr>
      <t>P00763_2020</t>
    </r>
  </si>
  <si>
    <t>PK comparaison of amorphous and crystalline form 2 week Rat - 30% upon signature</t>
  </si>
  <si>
    <t>PK comparaison of amorphous and crystalline form 2 week Rat - 35% on completion In-Life</t>
  </si>
  <si>
    <t>PK comparaison of amorphous and crystalline form 2 week Rat - 35% Draft report</t>
  </si>
  <si>
    <r>
      <t xml:space="preserve">OPP-185865 - Study CRL-281296 - </t>
    </r>
    <r>
      <rPr>
        <b/>
        <sz val="11"/>
        <rFont val="Calibri"/>
        <family val="2"/>
        <scheme val="minor"/>
      </rPr>
      <t>P00763_2020</t>
    </r>
  </si>
  <si>
    <t>LC-MS/MS Detremniation of ABX464 Concentration in rat plasma</t>
  </si>
  <si>
    <t>INV FA008767</t>
  </si>
  <si>
    <t>PK comparaison of amorphous and crystalline form 2 week Rat - Statistical analysis Lyon</t>
  </si>
  <si>
    <t>INV 73044</t>
  </si>
  <si>
    <t>INV 0095834656+0095834950+0095834951+0095834949+0095843685</t>
  </si>
  <si>
    <t>21/01/2020 + 29/01/2020 + 28/02/2021</t>
  </si>
  <si>
    <r>
      <t xml:space="preserve">SRV_20016_A1 - </t>
    </r>
    <r>
      <rPr>
        <b/>
        <sz val="11"/>
        <rFont val="Calibri"/>
        <family val="2"/>
        <scheme val="minor"/>
      </rPr>
      <t>P00030_2021</t>
    </r>
  </si>
  <si>
    <t>INV 21.01.77</t>
  </si>
  <si>
    <t>INV Lab02/21</t>
  </si>
  <si>
    <t>INV 31282</t>
  </si>
  <si>
    <t>INV FRA-002412</t>
  </si>
  <si>
    <r>
      <t xml:space="preserve">M 20 2677-C - CO2 - </t>
    </r>
    <r>
      <rPr>
        <b/>
        <sz val="11"/>
        <rFont val="Calibri"/>
        <family val="2"/>
        <scheme val="minor"/>
      </rPr>
      <t>P00036_2021</t>
    </r>
  </si>
  <si>
    <t>Synthesis of GMP grade radiolabelled ABX464 - Optional activities - PSD method</t>
  </si>
  <si>
    <t>INV 4621</t>
  </si>
  <si>
    <r>
      <t xml:space="preserve">M 20 2677-C - CO1 - </t>
    </r>
    <r>
      <rPr>
        <b/>
        <sz val="11"/>
        <rFont val="Calibri"/>
        <family val="2"/>
        <scheme val="minor"/>
      </rPr>
      <t>P00015_2021</t>
    </r>
  </si>
  <si>
    <t>INV CJB77501 + INV CKN77504 + INV CLB77505 + INV CMB77506 + INV CNB77507 + INV COB77508 + INV CPB77509 + INV CQB77510 + INV CRB77511 + INV CSB77512 + INV CUC77514 + INV CVB77515 + INV CWB77516 + INV CTB77513 + INV CXA77517 + INV CYB77518 + CZB77519 + INV FA210006</t>
  </si>
  <si>
    <t>30/08/2019 + 30/09/2019 + 31/10/2019 + 29/11/2019 + 31/12/2019 + 31/01/2020 + 28/02/2020 + 31/03/2020 + 30/04/2020 + 29/05/2020 + 31/07/2020 + 31/08/2020 + 30/09/2020 + 30/06/2020 + 30/10/2020 + 30/11/2020 + 31/12/2020 + 29/01/2021</t>
  </si>
  <si>
    <t>INV CJB77501 + INV CKN77504 + INV CLB77505 + INV CMB77506 + INV CNB77507 + INV COB77508 + INV CPB77509 + INV CQB77510 + INV CRB77511 + INV CSB77512 + INV CUC77514 + INV CVB77515 + INV CWB77516 + INV CTB77513 + INV CXA77517 + INV CYB77518 + INV CZB77519 + INV FA210006</t>
  </si>
  <si>
    <t>30/08/2019 + 30/09/2019 + 31/10/2019 + 29/11/2019 + 31/12/2019 + 31/01/2020 + 28/02/2020 + 30/03/2020 + 30/04/2020 + 29/05/2020 + 31/07/2020 + 31/08/2020 + 30/09/2020 + 30/06/2020 + 30/10/2020 + 30/11/2020 + 31/12/2020 + 29/01/2021</t>
  </si>
  <si>
    <t>31/12/2020 + 29/01/2021</t>
  </si>
  <si>
    <t>INV FA210020</t>
  </si>
  <si>
    <t>INV CZC11212 + INV FA210020</t>
  </si>
  <si>
    <t>INV CDB53302 du 28/02/2019 + INV FA210176 du 29/01/2021</t>
  </si>
  <si>
    <t>EC1801059 + EC1802110 + EC1803104 + EC1804106 + EC1805074 + EC1806005 + EC1808101 + EC1809116 + EC1810056 + EC1811096 + EC1812104 + (EC1901090 + EC1902089 + EC1903093 + EC1904066 + EC1905091 + EC1906009 + EC1908115 + EC1909188 + EC1910106 + EC1911114 + EC1912045)+(EC2001108 + EC2002091 + EC2003098 + EC2004166 + EC2005115 + EC2006005 + EC2008043 + EC2009226 + EC2010101 + EC2011102 + EC2012073) + FA210049</t>
  </si>
  <si>
    <t>INV 91906</t>
  </si>
  <si>
    <t>INV F020-SIN-0001199</t>
  </si>
  <si>
    <t>INV 109158</t>
  </si>
  <si>
    <t>INV 108883 + INV 108908 + INV 108954 + INV 109059 + INV 109158</t>
  </si>
  <si>
    <t>11/03/2020 + 23/04/2020 + 04/06/2020 + 13/10/2020 + 10/02/2022</t>
  </si>
  <si>
    <t>INV 109152</t>
  </si>
  <si>
    <t>INV 109153</t>
  </si>
  <si>
    <t>INV PJ20180977</t>
  </si>
  <si>
    <r>
      <t xml:space="preserve">ZNA79291 CO n°3 -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P00027_2021</t>
    </r>
  </si>
  <si>
    <t>Dev of Solid Oral Dosage Form (Solid Dispersion) - CO3 on delivery draft report of 6 months testing for ASD Formal Stab study</t>
  </si>
  <si>
    <t>Dev of Solid Oral Dosage Form (Solid Dispersion) - CO3 On completion of the further crystal pollution investigation</t>
  </si>
  <si>
    <t>Dev of Solid Oral Dosage Form (Solid Dispersion) - CO3 On signature of CO3</t>
  </si>
  <si>
    <t>Dev of Solid Oral Dosage Form (Solid Dispersion) - CO3 on delivery of XRPD result</t>
  </si>
  <si>
    <t>Dev of Solid Oral Dosage Form (Solid Dispersion) - CO3 On completion of DP Tech Batch manu</t>
  </si>
  <si>
    <t>Dev of Solid Oral Dosage Form (Solid Dispersion) - CO3 On completion of the drug product GMP</t>
  </si>
  <si>
    <t>Dev of Solid Oral Dosage Form (Solid Dispersion) - CO3 On delivery of draft report of 6 month testing STAB/922</t>
  </si>
  <si>
    <t>Dev of Solid Oral Dosage Form (Solid Dispersion) - CO3 On delivery of draft report of 6 month testing STAB/904</t>
  </si>
  <si>
    <t>Dev of Solid Oral Dosage Form (Solid Dispersion) - CO3 On delivery of draft report of 1 month testing STAB/922</t>
  </si>
  <si>
    <t>Dev of Solid Oral Dosage Form (Solid Dispersion) - CO3 On delivery of draft report of 2 month testing STAB/922</t>
  </si>
  <si>
    <t>Dev of Solid Oral Dosage Form (Solid Dispersion) - CO3 On delivery of draft report of 3 month testing STAB/922</t>
  </si>
  <si>
    <t>Dev of Solid Oral Dosage Form (Solid Dispersion) - CO3 On delivery of draft report of 4 month testing STAB/922</t>
  </si>
  <si>
    <t>Dev of Solid Oral Dosage Form (Solid Dispersion) - CO3 On delivery of draft report of 12 month testing STAB/922</t>
  </si>
  <si>
    <t>Dev of Solid Oral Dosage Form (Solid Dispersion) - CO3 On delivery of draft report of 18 month testing STAB/922</t>
  </si>
  <si>
    <t>Dev of Solid Oral Dosage Form (Solid Dispersion) - CO3 On delivery of draft report of 24 month testing STAB/922</t>
  </si>
  <si>
    <t>Dev of Solid Oral Dosage Form (Solid Dispersion) - CO3 On delivery of draft report of 36 month testing STAB/922</t>
  </si>
  <si>
    <t>Dev of Solid Oral Dosage Form (Solid Dispersion) - CO3 On set-down of dev stab study STAB/914</t>
  </si>
  <si>
    <t>Dev of Solid Oral Dosage Form (Solid Dispersion) - CO3 on delivery of draft report of 1 month testing STAB/914</t>
  </si>
  <si>
    <t>Dev of Solid Oral Dosage Form (Solid Dispersion) - CO3 on delivery of draft report of 2 month testing STAB/914</t>
  </si>
  <si>
    <t>Dev of Solid Oral Dosage Form (Solid Dispersion) - CO3 on delivery of draft report of 3 month testing STAB/914</t>
  </si>
  <si>
    <t>Dev of Solid Oral Dosage Form (Solid Dispersion) - CO3 on delivery of draft report of 4 month testing STAB/914</t>
  </si>
  <si>
    <t>Dev of Solid Oral Dosage Form (Solid Dispersion) - CO3 on delivery of draft report of 6 month testing STAB/914</t>
  </si>
  <si>
    <t>Dev of Solid Oral Dosage Form (Solid Dispersion) - CO3 on delivery of draft report of 12 month testing STAB/914</t>
  </si>
  <si>
    <t>Dev of Solid Oral Dosage Form (Solid Dispersion) - CO3 on delivery of draft report of 9 month testing STAB/914</t>
  </si>
  <si>
    <t>Dev of Solid Oral Dosage Form (Solid Dispersion) - CO3 on delivery of draft report of 18 month testing STAB/914</t>
  </si>
  <si>
    <t>Dev of Solid Oral Dosage Form (Solid Dispersion) - CO3 on delivery of draft report of 24 month testing STAB/914</t>
  </si>
  <si>
    <t>Dev of Solid Oral Dosage Form (Solid Dispersion) - CO3 on delivery of draft report of 36 month testing STAB/914</t>
  </si>
  <si>
    <t>INV PJ20180958</t>
  </si>
  <si>
    <t>ABX464 Dev. Tablet PHASE IV - CLINICAL LABSCALE PROGRAM - 30% signature</t>
  </si>
  <si>
    <t>INV 91767</t>
  </si>
  <si>
    <t>Japan PMDE support ABX464</t>
  </si>
  <si>
    <t xml:space="preserve">Morphological analysis </t>
  </si>
  <si>
    <t>Impurities for carry over synthesis</t>
  </si>
  <si>
    <r>
      <t xml:space="preserve">(A2WO13#2020) - </t>
    </r>
    <r>
      <rPr>
        <b/>
        <sz val="11"/>
        <rFont val="Calibri"/>
        <family val="2"/>
        <scheme val="minor"/>
      </rPr>
      <t>P00064_2021</t>
    </r>
    <r>
      <rPr>
        <b/>
        <sz val="11"/>
        <color theme="9"/>
        <rFont val="Calibri"/>
        <family val="2"/>
        <scheme val="minor"/>
      </rPr>
      <t xml:space="preserve"> - SEQS</t>
    </r>
  </si>
  <si>
    <t>Sampling and shipping - collection documenttation and management</t>
  </si>
  <si>
    <t>Sampling and shipping - shippment to Arcinova 100g</t>
  </si>
  <si>
    <t>Sampling and shipping - Shippment to PRA 15g</t>
  </si>
  <si>
    <t>Sampling and shipping - Shippment to Charles River NL 17g</t>
  </si>
  <si>
    <t>Sampling and shipping - Shippment to Charles River NL 7g</t>
  </si>
  <si>
    <r>
      <t>ABI-1096 -</t>
    </r>
    <r>
      <rPr>
        <b/>
        <sz val="11"/>
        <rFont val="Calibri"/>
        <family val="2"/>
        <scheme val="minor"/>
      </rPr>
      <t xml:space="preserve"> P00062_2021</t>
    </r>
  </si>
  <si>
    <t>Biorepositoty précli - Conservations échantillons 2021</t>
  </si>
  <si>
    <r>
      <t xml:space="preserve">IV-01210007-ABI - </t>
    </r>
    <r>
      <rPr>
        <b/>
        <sz val="11"/>
        <rFont val="Calibri"/>
        <family val="2"/>
        <scheme val="minor"/>
      </rPr>
      <t>P00045_2021</t>
    </r>
  </si>
  <si>
    <r>
      <t xml:space="preserve">IV-01210008-ABI - </t>
    </r>
    <r>
      <rPr>
        <b/>
        <sz val="11"/>
        <rFont val="Calibri"/>
        <family val="2"/>
        <scheme val="minor"/>
      </rPr>
      <t>P00046_2021</t>
    </r>
  </si>
  <si>
    <t>Conservation échantillons UC101 2021</t>
  </si>
  <si>
    <r>
      <t xml:space="preserve">IV-01210009-ABI - </t>
    </r>
    <r>
      <rPr>
        <b/>
        <sz val="11"/>
        <rFont val="Calibri"/>
        <family val="2"/>
        <scheme val="minor"/>
      </rPr>
      <t>P00047_2021</t>
    </r>
  </si>
  <si>
    <t>Conservation échantillons ABX196 2021</t>
  </si>
  <si>
    <r>
      <t xml:space="preserve">IV-01210010-ABI - </t>
    </r>
    <r>
      <rPr>
        <b/>
        <sz val="11"/>
        <rFont val="Calibri"/>
        <family val="2"/>
        <scheme val="minor"/>
      </rPr>
      <t>P00048_2021</t>
    </r>
  </si>
  <si>
    <t>Conservation échantillons HIV005 2021</t>
  </si>
  <si>
    <r>
      <t xml:space="preserve">IV-01210011-ABI - </t>
    </r>
    <r>
      <rPr>
        <b/>
        <sz val="11"/>
        <rFont val="Calibri"/>
        <family val="2"/>
        <scheme val="minor"/>
      </rPr>
      <t>P00049_2021</t>
    </r>
  </si>
  <si>
    <t>Conservation échantillons HIV003 2021</t>
  </si>
  <si>
    <r>
      <t xml:space="preserve">IV-01210012-ABI - </t>
    </r>
    <r>
      <rPr>
        <b/>
        <sz val="11"/>
        <rFont val="Calibri"/>
        <family val="2"/>
        <scheme val="minor"/>
      </rPr>
      <t>P00050_2021</t>
    </r>
  </si>
  <si>
    <t>Conservation échantillons HIV004 2021</t>
  </si>
  <si>
    <r>
      <t xml:space="preserve">IV-01210013-ABI - </t>
    </r>
    <r>
      <rPr>
        <b/>
        <sz val="11"/>
        <rFont val="Calibri"/>
        <family val="2"/>
        <scheme val="minor"/>
      </rPr>
      <t>P00051_2021</t>
    </r>
  </si>
  <si>
    <t>Conservation échantillons RA301 2021</t>
  </si>
  <si>
    <t>464-001 FE</t>
  </si>
  <si>
    <r>
      <t xml:space="preserve">IV-01210017-ABI - </t>
    </r>
    <r>
      <rPr>
        <b/>
        <sz val="11"/>
        <rFont val="Calibri"/>
        <family val="2"/>
        <scheme val="minor"/>
      </rPr>
      <t>P00052_2021</t>
    </r>
  </si>
  <si>
    <t>Conservation échantillons 464-001 FE 2021</t>
  </si>
  <si>
    <r>
      <t>Devis DA198-21014v2 -</t>
    </r>
    <r>
      <rPr>
        <b/>
        <sz val="11"/>
        <rFont val="Calibri"/>
        <family val="2"/>
        <scheme val="minor"/>
      </rPr>
      <t xml:space="preserve"> P00053_2021</t>
    </r>
  </si>
  <si>
    <t>Investigation autour de la formulation pour étude carcino souris - A Test d'une méthode HPLC</t>
  </si>
  <si>
    <t>Investigation autour de la formulation pour étude carcino souris - B Compréhension</t>
  </si>
  <si>
    <t>Investigation autour de la formulation pour étude carcino souris - C Recherche d'une formulation</t>
  </si>
  <si>
    <t>Investigation autour de la formulation pour étude carcino souris - D Test de la formulation</t>
  </si>
  <si>
    <t>Investigation autour de la formulation pour étude carcino souris - C Option de Stab</t>
  </si>
  <si>
    <t>TRICLINIUM</t>
  </si>
  <si>
    <r>
      <t xml:space="preserve">Devis ABI_A_20201214 - </t>
    </r>
    <r>
      <rPr>
        <b/>
        <sz val="11"/>
        <rFont val="Calibri"/>
        <family val="2"/>
        <scheme val="minor"/>
      </rPr>
      <t>P00026_2021</t>
    </r>
  </si>
  <si>
    <r>
      <rPr>
        <b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Audit en Pologne UC study UC103/UC104</t>
    </r>
  </si>
  <si>
    <r>
      <t xml:space="preserve">EVT10729 - </t>
    </r>
    <r>
      <rPr>
        <b/>
        <sz val="11"/>
        <rFont val="Calibri"/>
        <family val="2"/>
        <scheme val="minor"/>
      </rPr>
      <t>P00028_2021</t>
    </r>
  </si>
  <si>
    <t>PK study ABX464 in brain in mice</t>
  </si>
  <si>
    <t>CERB - ERBC</t>
  </si>
  <si>
    <r>
      <t>DEVIS No. TMAP2020 06 02 030 -</t>
    </r>
    <r>
      <rPr>
        <b/>
        <sz val="11"/>
        <rFont val="Calibri"/>
        <family val="2"/>
        <scheme val="minor"/>
      </rPr>
      <t xml:space="preserve"> P00037_2021</t>
    </r>
  </si>
  <si>
    <r>
      <t>ATL-19/3883 -</t>
    </r>
    <r>
      <rPr>
        <b/>
        <sz val="11"/>
        <rFont val="Calibri"/>
        <family val="2"/>
        <scheme val="minor"/>
      </rPr>
      <t xml:space="preserve"> P00055_2021</t>
    </r>
  </si>
  <si>
    <t>LC-MS/MS Detremniation of ABX464 an its N-Glu Metabolit</t>
  </si>
  <si>
    <t>ANITA VOOS</t>
  </si>
  <si>
    <r>
      <rPr>
        <b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Audit Sites au Brésil site 5506, 5507, 5509, 5517</t>
    </r>
  </si>
  <si>
    <r>
      <t>Devis di 11/02/2021 -</t>
    </r>
    <r>
      <rPr>
        <b/>
        <sz val="11"/>
        <rFont val="Calibri"/>
        <family val="2"/>
        <scheme val="minor"/>
      </rPr>
      <t xml:space="preserve"> P00061_2021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</si>
  <si>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Sites au Brésil site 5505, 5502</t>
    </r>
  </si>
  <si>
    <t>API dissolution analytical complements</t>
  </si>
  <si>
    <t>ABX464 25mg &amp; 50mg gélule - Transfert technique zone HP&amp;Scale up - Prestation de fabrication &amp; Conditionnement Campagne 1</t>
  </si>
  <si>
    <t>ABX464 25mg &amp; 50mg gélule - Transfert technique zone HP&amp;Scale up - Prestation de fabrication &amp; Conditionnement Campagne 2</t>
  </si>
  <si>
    <t>ABX464 25mg &amp; 50mg gélule - Transfert technique zone HP&amp;Scale up - Management de projet 3 mois</t>
  </si>
  <si>
    <t>ABX464 25mg &amp; 50mg gélule - Transfert technique zone HP&amp;Scale up - Consomable de labo dédiés 1 Colone HPLC</t>
  </si>
  <si>
    <t>ABX464 25mg &amp; 50mg gélule - Transfert technique zone HP&amp;Scale up - Consomable de labo dédiés 1 CPG Methode</t>
  </si>
  <si>
    <t>ABX464 25mg &amp; 50mg gélule - Transfert technique zone HP&amp;Scale up - Outillage fab</t>
  </si>
  <si>
    <t>Production of 1 500 kg of ABX-Quinolinone in Q3 2021 - 1 - Reservation fee part 1</t>
  </si>
  <si>
    <t>Production of 1 500 kg of ABX-Quinolinone in Q3 2021 - 2 - Reservation fee part 2</t>
  </si>
  <si>
    <t>Production of 1 500 kg of ABX-Quinolinone in Q3 2021 - 3 - 1 500 kg livraison</t>
  </si>
  <si>
    <r>
      <t xml:space="preserve">Quote du 01/03/2021 - </t>
    </r>
    <r>
      <rPr>
        <b/>
        <sz val="11"/>
        <rFont val="Calibri"/>
        <family val="2"/>
        <scheme val="minor"/>
      </rPr>
      <t>P00074_2021</t>
    </r>
  </si>
  <si>
    <r>
      <t>PH21004 -</t>
    </r>
    <r>
      <rPr>
        <b/>
        <sz val="11"/>
        <rFont val="Calibri"/>
        <family val="2"/>
        <scheme val="minor"/>
      </rPr>
      <t xml:space="preserve"> P00075_2021</t>
    </r>
  </si>
  <si>
    <t>ABX464-904 PK Analysis - At signature</t>
  </si>
  <si>
    <t>ABX464-904 PK Analysis - At completion of analysis plan</t>
  </si>
  <si>
    <t>ABX464-904 PK Analysis - At completion of PK analysis</t>
  </si>
  <si>
    <t>ABX464-904 PK Analysis - At first release of the draftreport</t>
  </si>
  <si>
    <t>ABX464-904 PK Analysis - At the relese of draft report</t>
  </si>
  <si>
    <t>INV IV-01210009-ABI</t>
  </si>
  <si>
    <t>INV IV-01210010-ABI</t>
  </si>
  <si>
    <t>INV IV-01210011-ABI</t>
  </si>
  <si>
    <t>INV IV-01210012-ABI</t>
  </si>
  <si>
    <t>INV IV-01210013-ABI</t>
  </si>
  <si>
    <t>INV IV-01210017-ABI</t>
  </si>
  <si>
    <t>INV IV-01210008-ABI</t>
  </si>
  <si>
    <t>INV IV-01210007-ABI</t>
  </si>
  <si>
    <t>INV-1011 + INV-1018 + INV 1020 + Inv 1024</t>
  </si>
  <si>
    <t>19/10/2020 + 30/12/2020 + 01/02/2021 + 16/02/2021</t>
  </si>
  <si>
    <t>INV-1011 + INV-1020 + INV 1024</t>
  </si>
  <si>
    <t>19/10/2020 + 01/02/2021 + 16/02/2021</t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</si>
  <si>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Ukraine 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</si>
  <si>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Ukraine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</si>
  <si>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Ukraine - review of the proposed CAPA plans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</si>
  <si>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Poland 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</si>
  <si>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Poland 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</si>
  <si>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Poland  - review of the proposed CAPA plans</t>
    </r>
  </si>
  <si>
    <t>INV 4657</t>
  </si>
  <si>
    <t>INV 4676</t>
  </si>
  <si>
    <t>INV 129.21.05</t>
  </si>
  <si>
    <t>INV 73365</t>
  </si>
  <si>
    <r>
      <t xml:space="preserve">Amdt 1 OPP-185665 - Study CRL-280219 - </t>
    </r>
    <r>
      <rPr>
        <b/>
        <sz val="11"/>
        <rFont val="Calibri"/>
        <family val="2"/>
        <scheme val="minor"/>
      </rPr>
      <t>P00004_2021</t>
    </r>
  </si>
  <si>
    <t>PK comparaison of amorphous and crystalline form 2 week Rat - Additionnal work</t>
  </si>
  <si>
    <t>INV 73224</t>
  </si>
  <si>
    <t>INV FA008822</t>
  </si>
  <si>
    <t>INV 80.19.29 + INV 78.19.27 bis</t>
  </si>
  <si>
    <t>06/11/2019 + 28/10/2019 (recu en 2021)</t>
  </si>
  <si>
    <t>INV FA008809</t>
  </si>
  <si>
    <t>INV 21F0062</t>
  </si>
  <si>
    <t>INV 201034</t>
  </si>
  <si>
    <t>30/11/2020 (recu en 2021)</t>
  </si>
  <si>
    <t>INV 201025</t>
  </si>
  <si>
    <t>26/11/2020 (recu en 2021)</t>
  </si>
  <si>
    <t>INV 00010 21000482 RI</t>
  </si>
  <si>
    <t>INV 19232 + INV 24390</t>
  </si>
  <si>
    <t>19/01/2021 + 17/02/2021</t>
  </si>
  <si>
    <t>INV 24390</t>
  </si>
  <si>
    <t>INV PJ20181049</t>
  </si>
  <si>
    <t>Dev of Solid Oral Dosage Form (Solid Dispersion) - CO3 On set-down of short term stab study STAB/904</t>
  </si>
  <si>
    <t>Dev of Solid Oral Dosage Form (Solid Dispersion) - CO3 On set-down of dev stab study STAB/922</t>
  </si>
  <si>
    <r>
      <t xml:space="preserve">ZNA79291 -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P00870_2020</t>
    </r>
  </si>
  <si>
    <t>INV FRA-002442</t>
  </si>
  <si>
    <t>INV 00011 21000067 RI</t>
  </si>
  <si>
    <t>INV 00010 21000218 RI + INV 00010 21000517 RI</t>
  </si>
  <si>
    <t>29/01/2021 + 26/02/2021</t>
  </si>
  <si>
    <t>INV 10001318</t>
  </si>
  <si>
    <t>INV 108055 (15/04/2018) + INV 108140 (17/05/2018) + INV 108181 (14/06/2018) + INV 108235 (27/07/2018) + INV 108310 (04/10/2018) + INV 108339 (02/11/2018) + INV 108391 (14/12/2018) + INV 108407 (31/12/2018) + INV 108419 (08/01/2019) + INV 108424 (11/01/2019) + INV 108442 (21/01/2019) + INV 108459 (05/02/2019) + INV 108503 (13/03/2019) + INV 108511 (19/03/2019) + INV 108484 (25/02/2019) + INV 108611 (01/07/2019) + INV 204550 (03/07/2019) : Investigator fee de Mai 2018 - double facturation via INV 108339 de NOv 2018 + INV 108669 (20/09/2019) + INV 109171 (26/02/2021)</t>
  </si>
  <si>
    <t>INV 109175</t>
  </si>
  <si>
    <t>INV 109173</t>
  </si>
  <si>
    <t>INV 2102001</t>
  </si>
  <si>
    <t>INV BCI-0044667</t>
  </si>
  <si>
    <t>INV 210138 + INV 210263</t>
  </si>
  <si>
    <t>29/01/2021 + 24/02/2021</t>
  </si>
  <si>
    <t xml:space="preserve"> INV 210263</t>
  </si>
  <si>
    <t>Quote 20200310_01_NBR_301 WO n°1</t>
  </si>
  <si>
    <t>Absolute quantification of mir124.1 on clinical trial samples - Setup WO1</t>
  </si>
  <si>
    <t>Absolute quantification of mir124.1 on clinical trial samples - Testing of clinical samples WO1</t>
  </si>
  <si>
    <t>INV 32</t>
  </si>
  <si>
    <t>KEYRUS</t>
  </si>
  <si>
    <t>SRV_21002</t>
  </si>
  <si>
    <t>réalisation du safety data pooling de l’ensemble des études d’ABIVAX - Contract sign 25%</t>
  </si>
  <si>
    <t>réalisation du safety data pooling de l’ensemble des études d’ABIVAX - Final SAP 25%</t>
  </si>
  <si>
    <t>réalisation du safety data pooling de l’ensemble des études d’ABIVAX - SDTM pool 14 studies 25%</t>
  </si>
  <si>
    <t>réalisation du safety data pooling de l’ensemble des études d’ABIVAX - TFLs 25%</t>
  </si>
  <si>
    <r>
      <t xml:space="preserve">DDR 2021 049 V1 - </t>
    </r>
    <r>
      <rPr>
        <b/>
        <sz val="11"/>
        <rFont val="Calibri"/>
        <family val="2"/>
        <scheme val="minor"/>
      </rPr>
      <t>P00068_2021</t>
    </r>
  </si>
  <si>
    <r>
      <t xml:space="preserve">L21_3265A - </t>
    </r>
    <r>
      <rPr>
        <b/>
        <sz val="11"/>
        <rFont val="Calibri"/>
        <family val="2"/>
        <scheme val="minor"/>
      </rPr>
      <t>P00070_2021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</si>
  <si>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INV PJ20181124</t>
  </si>
  <si>
    <t>IINV PJ20181124</t>
  </si>
  <si>
    <t>INV Lab06/21</t>
  </si>
  <si>
    <t>AD903</t>
  </si>
  <si>
    <t>SRV_20167</t>
  </si>
  <si>
    <t>ADME study - 15% signature</t>
  </si>
  <si>
    <t>ADME study - 10% Upon approval ofthe IEC</t>
  </si>
  <si>
    <t>ADME study - 12,5% Upon Fisrt Subject Dosed, PK</t>
  </si>
  <si>
    <t>ADME study - 12,5% Upon Fisrt Subject Dosed, ADME Groupe 1</t>
  </si>
  <si>
    <t>ADME study - 12,5% Upon Fisrt Subject Dosed, ADME Groupe 3</t>
  </si>
  <si>
    <t>ADME study - 12,5% Upon last subject Last visit</t>
  </si>
  <si>
    <t>ADME study - 10% Upon hard lock</t>
  </si>
  <si>
    <t>ADME study - 2,5% Upon submission of draft report</t>
  </si>
  <si>
    <t>ADME study - 2,5% Upon submission of final report</t>
  </si>
  <si>
    <t>ADME study - PTC - 15% upon signature</t>
  </si>
  <si>
    <t>ADME study - PTC - Remainder</t>
  </si>
  <si>
    <t>INV GR00337238</t>
  </si>
  <si>
    <t>INV GR00337345</t>
  </si>
  <si>
    <t>amorphe/cristal</t>
  </si>
  <si>
    <t>Ref.</t>
  </si>
  <si>
    <t>Primary blister and secondary pack ABX464 Clinical study - TOTAL</t>
  </si>
  <si>
    <t>INV FA210515</t>
  </si>
  <si>
    <t>g) Etude Clinique UC 103 Distribution Resverse Logistique - Retours</t>
  </si>
  <si>
    <t>INV FA210512</t>
  </si>
  <si>
    <t>INV 32441</t>
  </si>
  <si>
    <t>INV 109190</t>
  </si>
  <si>
    <t>INV 109192</t>
  </si>
  <si>
    <r>
      <t xml:space="preserve">Amendement 1 WO004 </t>
    </r>
    <r>
      <rPr>
        <sz val="11"/>
        <color theme="5"/>
        <rFont val="Calibri"/>
        <family val="2"/>
        <scheme val="minor"/>
      </rPr>
      <t>+ Amendement 2 WO004</t>
    </r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</si>
  <si>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  <scheme val="minor"/>
      </rPr>
      <t>+ Amdt 1 WO004</t>
    </r>
    <r>
      <rPr>
        <sz val="11"/>
        <color theme="5"/>
        <rFont val="Calibri"/>
        <family val="2"/>
        <scheme val="minor"/>
      </rPr>
      <t xml:space="preserve"> + Amdt 2 WOO2</t>
    </r>
  </si>
  <si>
    <r>
      <t>RA301 - PTC Project Management (telecommunication + courier cost) +</t>
    </r>
    <r>
      <rPr>
        <sz val="11"/>
        <color theme="5"/>
        <rFont val="Calibri"/>
        <family val="2"/>
        <scheme val="minor"/>
      </rPr>
      <t xml:space="preserve"> Amdt 2 (6 350/9)</t>
    </r>
  </si>
  <si>
    <t>Amdt 2 WOO2</t>
  </si>
  <si>
    <t xml:space="preserve">RA301 - PTC - Other - ORACLE (InForm fee) - </t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</si>
  <si>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  <scheme val="minor"/>
      </rPr>
      <t>+ Amdt 1 WO004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2 WOO2</t>
    </r>
  </si>
  <si>
    <t>RA301 - PTC  MONTHLY INVESTIGATOR FEES</t>
  </si>
  <si>
    <t>RA301 - PTC MONTHLY INVESTIGATOR FEES</t>
  </si>
  <si>
    <t>INV 109111</t>
  </si>
  <si>
    <t>INV 109189</t>
  </si>
  <si>
    <t>INV 12152</t>
  </si>
  <si>
    <t>INV 12117 + INV 12152</t>
  </si>
  <si>
    <t>09/02/2021 + 10/03/2021</t>
  </si>
  <si>
    <t>INV NUK-003267 + INV NUK-003405</t>
  </si>
  <si>
    <t>11/12/2020 + 08/03/2021</t>
  </si>
  <si>
    <t>INV FRA-002461</t>
  </si>
  <si>
    <t>INV FRA-002460</t>
  </si>
  <si>
    <t>Professionnal fees (Study cost)</t>
  </si>
  <si>
    <r>
      <t>MSA_18231_WO1_</t>
    </r>
    <r>
      <rPr>
        <b/>
        <sz val="11"/>
        <color theme="9"/>
        <rFont val="Calibri"/>
        <family val="2"/>
        <scheme val="minor"/>
      </rPr>
      <t>CO2</t>
    </r>
  </si>
  <si>
    <t>PTC WO CO2</t>
  </si>
  <si>
    <r>
      <t xml:space="preserve">MSA_18231_WO1_CO1_CNF1 inclue dans la </t>
    </r>
    <r>
      <rPr>
        <b/>
        <sz val="11"/>
        <color theme="9"/>
        <rFont val="Calibri"/>
        <family val="2"/>
        <scheme val="minor"/>
      </rPr>
      <t>CO2</t>
    </r>
  </si>
  <si>
    <r>
      <t xml:space="preserve">MSA_18231_WO1_CO1_CNF2 inclue dans la </t>
    </r>
    <r>
      <rPr>
        <b/>
        <sz val="11"/>
        <color theme="9"/>
        <rFont val="Calibri"/>
        <family val="2"/>
        <scheme val="minor"/>
      </rPr>
      <t>CO2</t>
    </r>
  </si>
  <si>
    <t>professionnal fees - 69347,56</t>
  </si>
  <si>
    <t>Professionnal fees (Study cost) - 467993,94</t>
  </si>
  <si>
    <t>Investigator fees - 65853,38</t>
  </si>
  <si>
    <t>Project exepense - 131861</t>
  </si>
  <si>
    <t>21/08/2020 + 16/02/2021</t>
  </si>
  <si>
    <t>INV FRA-002166 + INV FRA-00242 (at signature CO2)</t>
  </si>
  <si>
    <t>INV IT00121V0000036</t>
  </si>
  <si>
    <t>INV IT00121V0000037</t>
  </si>
  <si>
    <t>INV 00010 21000646 RI</t>
  </si>
  <si>
    <t>INV 00010 21000216 RI</t>
  </si>
  <si>
    <t>INV IV-01210108-ABI + INV IV-02210139-ABI</t>
  </si>
  <si>
    <t>31/01/2021 + 28/02/2021</t>
  </si>
  <si>
    <t>INV 4550</t>
  </si>
  <si>
    <t>Synthesis of GMP grade radiolabelled ABX464 - Optional activities - On receipt of PO for CO1</t>
  </si>
  <si>
    <t>Synthesis of GMP grade radiolabelled ABX464 - Optional activities - Add cost - On placement of order for additionnal CO1</t>
  </si>
  <si>
    <t>Synthesis of GMP grade radiolabelled ABX464 - Optional activities - Add cost - On provision of draft report genotoxic impurty</t>
  </si>
  <si>
    <t>Synthesis of GMP grade radiolabelled ABX464 - Optional activities - Add cost - On provision of the firts draft of CMC dossier - Drogue subtance</t>
  </si>
  <si>
    <t>Synthesis of GMP grade radiolabelled ABX464 - Optional activities - Add cost - On provision of the first of each CMC dossier - Drogue Product</t>
  </si>
  <si>
    <t>Synthesis of GMP grade radiolabelled ABX464 - On completion of GMP synthesis - 23 746 €</t>
  </si>
  <si>
    <t>Synthesis of GMP grade radiolabelled ABX464 - On provision of the draft certif. Of anlysis for GMP grade drug - 6 911 €</t>
  </si>
  <si>
    <t>Synthesis of GMP grade radiolabelled ABX464 - Optional activities - Preparation of dossier drug substance for IND or IMPD - 65% - 10377,9 €</t>
  </si>
  <si>
    <t>Synthesis of GMP grade radiolabelled ABX464 - Optional activities - Preparation of dossier drug product for IND or IMPD - 65% - 9 906 €</t>
  </si>
  <si>
    <t>Synthesis of GMP grade radiolabelled ABX464 - Optional activities - Add cost - On provison of PSD and XRPD</t>
  </si>
  <si>
    <t>INV 4732</t>
  </si>
  <si>
    <t>INV 4736</t>
  </si>
  <si>
    <t>CO 4.17</t>
  </si>
  <si>
    <t>CO 4.7</t>
  </si>
  <si>
    <t>16/02/2021 + 15/03/2021</t>
  </si>
  <si>
    <t>INV-1026</t>
  </si>
  <si>
    <t>INV-1011 + INV-1018 + INV 1026</t>
  </si>
  <si>
    <t>19/10/2020 + 30/12/2020 + 15/03/2021</t>
  </si>
  <si>
    <t>Carcino 2 ans rats Plasma analyse 2 ans - LC-MS/MS Determination of ABX464 and its metabolite Concentrations in Rat Plasma (GLP)</t>
  </si>
  <si>
    <t>Carcino 6 mois souris Plasma analyse 6 mois - LC-MS/MS Determination of ABX464 and its metabolite Concentrations in Mouse Plasma (GLP)</t>
  </si>
  <si>
    <t>Validation LC-MS/MS Method for the Determination of Test Item in Mouse plasma 10% Study Payment Authorization</t>
  </si>
  <si>
    <t>Validation LC-MS/MS Method for the Determination of Test Item in Mouse plasma 40% At study initiation</t>
  </si>
  <si>
    <t>Validation LC-MS/MS Method for the Determination of Test Item in Mouse plasma 50% Submission of Draft Report</t>
  </si>
  <si>
    <t>7Day study LC-MS/MS Determination of ABX464 and its metabolite Concentrations in Mouse Plasma 100% au rapport</t>
  </si>
  <si>
    <r>
      <t xml:space="preserve">Opp-203531 - Study CRL-309915 - </t>
    </r>
    <r>
      <rPr>
        <b/>
        <sz val="11"/>
        <rFont val="Calibri"/>
        <family val="2"/>
        <scheme val="minor"/>
      </rPr>
      <t>P00868_2020</t>
    </r>
  </si>
  <si>
    <r>
      <t xml:space="preserve">Opp-203531 - Study CLR-309916 - </t>
    </r>
    <r>
      <rPr>
        <b/>
        <sz val="11"/>
        <rFont val="Calibri"/>
        <family val="2"/>
        <scheme val="minor"/>
      </rPr>
      <t>P00868_2020</t>
    </r>
  </si>
  <si>
    <t>LC-MSMS Determination of ABX464 Concentration in Rat Plasma - 100% au rapport</t>
  </si>
  <si>
    <t>JP921</t>
  </si>
  <si>
    <t>4 Week study LC-MS/MS Determination of ABX464 and its metabolite Concentrations in Mouse Plasma 100% au rapport</t>
  </si>
  <si>
    <r>
      <t xml:space="preserve">(WO29#2021) - </t>
    </r>
    <r>
      <rPr>
        <b/>
        <sz val="11"/>
        <rFont val="Calibri"/>
        <family val="2"/>
        <scheme val="minor"/>
      </rPr>
      <t>P00071_2021</t>
    </r>
    <r>
      <rPr>
        <sz val="11"/>
        <rFont val="Calibri"/>
        <family val="2"/>
        <scheme val="minor"/>
      </rPr>
      <t xml:space="preserve"> - Annulé</t>
    </r>
  </si>
  <si>
    <r>
      <t xml:space="preserve">(WO29#2021) - </t>
    </r>
    <r>
      <rPr>
        <b/>
        <sz val="11"/>
        <rFont val="Calibri"/>
        <family val="2"/>
        <scheme val="minor"/>
      </rPr>
      <t>P00071_2021</t>
    </r>
    <r>
      <rPr>
        <sz val="11"/>
        <rFont val="Calibri"/>
        <family val="2"/>
        <scheme val="minor"/>
      </rPr>
      <t xml:space="preserve"> - Frais d'annulation</t>
    </r>
  </si>
  <si>
    <t>Production of 1 500 kg of ABX-Quinolinone in Q3 2021 - 3 - Frais d'annulation + Achat de la 4-Chlorocinnamic acid</t>
  </si>
  <si>
    <t>BE904</t>
  </si>
  <si>
    <r>
      <t xml:space="preserve">OPP-209967 - CRL-320992 - </t>
    </r>
    <r>
      <rPr>
        <b/>
        <sz val="11"/>
        <rFont val="Calibri"/>
        <family val="2"/>
        <scheme val="minor"/>
      </rPr>
      <t>P00085_2021</t>
    </r>
  </si>
  <si>
    <t>LC-MS/MS Determination of ABX464 in Human plasma</t>
  </si>
  <si>
    <t>INV L2D21-027-017</t>
  </si>
  <si>
    <t>CO 4.10</t>
  </si>
  <si>
    <t>CO 4.11</t>
  </si>
  <si>
    <t>INV FRA-002374 + INV FRA-002418 + INV FRA-002473</t>
  </si>
  <si>
    <t>13/01/2021 + 11/02/2021 + 16/03/2021</t>
  </si>
  <si>
    <t>INV 00011 21000070 RI</t>
  </si>
  <si>
    <t>INV 27696</t>
  </si>
  <si>
    <t>INV F21-851</t>
  </si>
  <si>
    <t>INV 10000524 - AV13000060 + INV 10001394</t>
  </si>
  <si>
    <t>30/09/2020 - 30/09/2020 + 18/03/2021</t>
  </si>
  <si>
    <t>ALTASCIENCES</t>
  </si>
  <si>
    <r>
      <t xml:space="preserve">ABB-P9-497 - SRV_21026 - </t>
    </r>
    <r>
      <rPr>
        <b/>
        <sz val="11"/>
        <rFont val="Calibri"/>
        <family val="2"/>
        <scheme val="minor"/>
      </rPr>
      <t>P00086_2021</t>
    </r>
  </si>
  <si>
    <r>
      <t xml:space="preserve">Devis Q2100100 - </t>
    </r>
    <r>
      <rPr>
        <b/>
        <sz val="11"/>
        <rFont val="Calibri"/>
        <family val="2"/>
        <scheme val="minor"/>
      </rPr>
      <t>P00088_2021 Suplément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P00828_2020</t>
    </r>
  </si>
  <si>
    <t>Histopathology scoring</t>
  </si>
  <si>
    <r>
      <t xml:space="preserve">Devis 00029409 - </t>
    </r>
    <r>
      <rPr>
        <b/>
        <sz val="11"/>
        <rFont val="Calibri"/>
        <family val="2"/>
        <scheme val="minor"/>
      </rPr>
      <t>P00087_2021</t>
    </r>
  </si>
  <si>
    <r>
      <t xml:space="preserve">Devis 00029409 - </t>
    </r>
    <r>
      <rPr>
        <b/>
        <strike/>
        <sz val="11"/>
        <rFont val="Calibri"/>
        <family val="2"/>
        <scheme val="minor"/>
      </rPr>
      <t>P00866_2020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Annulé et remplacé par P00087</t>
    </r>
  </si>
  <si>
    <t>Audit DELPHARM REIMS</t>
  </si>
  <si>
    <r>
      <t xml:space="preserve">DEVIS n° 2021.03.04 V2 - </t>
    </r>
    <r>
      <rPr>
        <b/>
        <sz val="11"/>
        <rFont val="Calibri"/>
        <family val="2"/>
        <scheme val="minor"/>
      </rPr>
      <t>P00088_2021</t>
    </r>
  </si>
  <si>
    <r>
      <t xml:space="preserve">CEVQ2020.07.04 - </t>
    </r>
    <r>
      <rPr>
        <b/>
        <sz val="11"/>
        <rFont val="Calibri"/>
        <family val="2"/>
        <scheme val="minor"/>
      </rPr>
      <t>P00711_2020</t>
    </r>
  </si>
  <si>
    <t>Pharmacokinetics interpretation and reporting for 2 week bioequ in rat</t>
  </si>
  <si>
    <t>INV 130.21.06</t>
  </si>
  <si>
    <t>INV 0011 21000081 RI</t>
  </si>
  <si>
    <r>
      <t xml:space="preserve">(WO33#2021) - </t>
    </r>
    <r>
      <rPr>
        <b/>
        <sz val="11"/>
        <rFont val="Calibri"/>
        <family val="2"/>
        <scheme val="minor"/>
      </rPr>
      <t>P00093_2021</t>
    </r>
  </si>
  <si>
    <t>Toxicological evaluation of 2 impurties</t>
  </si>
  <si>
    <t>INV 00010 21000764 RI</t>
  </si>
  <si>
    <t>INV BCI-0042783</t>
  </si>
  <si>
    <t>INV BCI-0043764</t>
  </si>
  <si>
    <t>31/12//2021</t>
  </si>
  <si>
    <t>Histopathology Scoring ABX464-104 - STAINING</t>
  </si>
  <si>
    <t>Histopathology Scoring ABX464-104 - HISTOPATHOLOGY SCORING</t>
  </si>
  <si>
    <t>Histopathology Scoring ABX464-104 - STUDY MANAGEMENT &amp; FEES</t>
  </si>
  <si>
    <t>INV F20001556</t>
  </si>
  <si>
    <t>09/12/20200</t>
  </si>
  <si>
    <t>INV 4763</t>
  </si>
  <si>
    <r>
      <t xml:space="preserve">(WO31#2021) - </t>
    </r>
    <r>
      <rPr>
        <b/>
        <sz val="11"/>
        <rFont val="Calibri"/>
        <family val="2"/>
        <scheme val="minor"/>
      </rPr>
      <t>P00063_2021</t>
    </r>
    <r>
      <rPr>
        <sz val="11"/>
        <rFont val="Calibri"/>
        <family val="2"/>
        <scheme val="minor"/>
      </rPr>
      <t xml:space="preserve"> - SEQS</t>
    </r>
  </si>
  <si>
    <r>
      <t xml:space="preserve">(WO27#2021) - </t>
    </r>
    <r>
      <rPr>
        <b/>
        <sz val="11"/>
        <rFont val="Calibri"/>
        <family val="2"/>
        <scheme val="minor"/>
      </rPr>
      <t>P00065_2021</t>
    </r>
    <r>
      <rPr>
        <sz val="11"/>
        <rFont val="Calibri"/>
        <family val="2"/>
        <scheme val="minor"/>
      </rPr>
      <t xml:space="preserve"> - SEQS</t>
    </r>
  </si>
  <si>
    <r>
      <t xml:space="preserve">W42 (WO24#2020) - </t>
    </r>
    <r>
      <rPr>
        <b/>
        <sz val="11"/>
        <rFont val="Calibri"/>
        <family val="2"/>
        <scheme val="minor"/>
      </rPr>
      <t>P00872_2020</t>
    </r>
    <r>
      <rPr>
        <sz val="11"/>
        <rFont val="Calibri"/>
        <family val="2"/>
        <scheme val="minor"/>
      </rPr>
      <t xml:space="preserve"> - SEQS</t>
    </r>
  </si>
  <si>
    <t>INV A21-10941 + AV A21-10941CR</t>
  </si>
  <si>
    <t>17/03/2021 + 31/03/2021</t>
  </si>
  <si>
    <t>INV FA008880</t>
  </si>
  <si>
    <t>INV 109200</t>
  </si>
  <si>
    <t>INV BCI-0045600</t>
  </si>
  <si>
    <t>INV F020-SIN-0001251</t>
  </si>
  <si>
    <t>réalisation du safety data pooling de l’ensemble des études d’ABIVAX - Option</t>
  </si>
  <si>
    <t>INV SI_KSA2101272</t>
  </si>
  <si>
    <t>INV 2103001</t>
  </si>
  <si>
    <t>INV 1907001 + INV 1908001 + INV 1909001 + INV 1910001 + INV 1911002 + INV 1912001 + INV 2001001 + INV 2002001 + INV 2003001 + INV 2004001 + INV 2005001 + INV 2006001 + INV 2008001 +  INV 2009001 + INV 2010001 + INV 2102001 + INV 2103001</t>
  </si>
  <si>
    <t>15/07/2019 + 15/08/2019 + 15/09/2019 + 15/10/2019 + 15/11/2019 + 15/12/2019 + 15/01/2020 + 15/02/2020 + 15/03/2020 + 15/04/2020 + 15/05/2020 + 15/06/2020 + 15/08/2020 + 15/09/2020 + 15/10/2020 + 15/02/2021 + 15/03/2021</t>
  </si>
  <si>
    <t>INV 73691</t>
  </si>
  <si>
    <t>INV 109207</t>
  </si>
  <si>
    <t>INV 109206</t>
  </si>
  <si>
    <t>INV 109174</t>
  </si>
  <si>
    <t>INV 109205</t>
  </si>
  <si>
    <t>INV PJ20181410</t>
  </si>
  <si>
    <r>
      <t xml:space="preserve">DEVIS n° 2021.03.05 - </t>
    </r>
    <r>
      <rPr>
        <b/>
        <sz val="11"/>
        <rFont val="Calibri"/>
        <family val="2"/>
        <scheme val="minor"/>
      </rPr>
      <t>P00100_2021</t>
    </r>
  </si>
  <si>
    <t>INV 6700220623</t>
  </si>
  <si>
    <t>INV 20002062 + INV 21000288 + INV 21000919</t>
  </si>
  <si>
    <t>23/07/2020 + 03/02/2021 + 30/03/2021</t>
  </si>
  <si>
    <t>26/03/2021 + 29/03/2021</t>
  </si>
  <si>
    <t>GMP Production 150 Kg (2 450 € / Kg)  - Batch 2 - Réalité 143,70 Kg (6,3 en moins)</t>
  </si>
  <si>
    <t>GMP Production 150 Kg (2 450 € / Kg)  - Batch 1 - Réalité 164,70 Kg ( 14,7 en trop)</t>
  </si>
  <si>
    <t>INV 00010 21000783 RI</t>
  </si>
  <si>
    <t>INV 10001508</t>
  </si>
  <si>
    <t>INV 10001507</t>
  </si>
  <si>
    <t>INV 10001440</t>
  </si>
  <si>
    <t>INV 10001318 + INV 10001440</t>
  </si>
  <si>
    <t>26/02/2021 + 29/03/2021</t>
  </si>
  <si>
    <t>INV 0427/21 + INV 0510/21 + INV 0590/21</t>
  </si>
  <si>
    <t>25/01/2021 + 22/02/2021 + 25/03/2021</t>
  </si>
  <si>
    <t>INV 0356/21 + INV 0605/21</t>
  </si>
  <si>
    <t>21/12/2020 + 31/03/2021</t>
  </si>
  <si>
    <t>INV 0428/21 + INV 0511/21 + INV 0608/21</t>
  </si>
  <si>
    <t>25/01/2021 + 22/02/2021 + 31/03/2021</t>
  </si>
  <si>
    <t>INV 008177</t>
  </si>
  <si>
    <t>INV 4773</t>
  </si>
  <si>
    <t>Synthesis of GMP grade radiolabelled ABX464 - Optional activities - Additionnal cold recrystallisation</t>
  </si>
  <si>
    <t>INV 4780</t>
  </si>
  <si>
    <r>
      <t xml:space="preserve">M 20 2677-C - CO4 - </t>
    </r>
    <r>
      <rPr>
        <b/>
        <sz val="11"/>
        <rFont val="Calibri"/>
        <family val="2"/>
        <scheme val="minor"/>
      </rPr>
      <t>P00109_2021</t>
    </r>
  </si>
  <si>
    <r>
      <t xml:space="preserve">Amdt 2 OPP-185665 - Study CRL-280219 - </t>
    </r>
    <r>
      <rPr>
        <b/>
        <sz val="11"/>
        <rFont val="Calibri"/>
        <family val="2"/>
        <scheme val="minor"/>
      </rPr>
      <t>P00078_2021</t>
    </r>
  </si>
  <si>
    <t>PK comparaison of amorphous and crystalline form 2 week Rat - Add calculation Cmax/AUC</t>
  </si>
  <si>
    <t>Histopathology Scoring ABX464-104 - BLOCK MANUFACTURING</t>
  </si>
  <si>
    <r>
      <t xml:space="preserve">Devis Q2100099 - </t>
    </r>
    <r>
      <rPr>
        <b/>
        <sz val="11"/>
        <rFont val="Calibri"/>
        <family val="2"/>
        <scheme val="minor"/>
      </rPr>
      <t>P00101_2021 (Supplé P00852)</t>
    </r>
  </si>
  <si>
    <t>Histopathology Scoring ABX464-104 - HE STAINING</t>
  </si>
  <si>
    <r>
      <t xml:space="preserve">Devis Q2000553 - </t>
    </r>
    <r>
      <rPr>
        <b/>
        <sz val="11"/>
        <rFont val="Calibri"/>
        <family val="2"/>
        <scheme val="minor"/>
      </rPr>
      <t>P00852_2020</t>
    </r>
  </si>
  <si>
    <t>Combined 7-Day Dose Range Finding Study in mice - 10% Study Payment Authorization</t>
  </si>
  <si>
    <t>Combined 7-Day Dose Range Finding Study in mice - 65% at animal ordering (approx. 60D prior to animal arrival)</t>
  </si>
  <si>
    <t>Combined 7-Day Dose Range Finding Study in mice - 25% Submission of Draft Report</t>
  </si>
  <si>
    <t>Combined 7-Day Dose Range Finding Study in mice - Add on price : Toxicokinetics (limited end of the 7D period)</t>
  </si>
  <si>
    <t>Combined 4 Week Oral Toxicity Study in wt mice - 10% Study Payment Authorization</t>
  </si>
  <si>
    <t>Combined 4 Week Oral Toxicity Study in wt mice - 20% at animal ordering (approx. 60D prior to animal arrival)</t>
  </si>
  <si>
    <t>Combined 4 Week Oral Toxicity Study in wt mice - 30% Study Initiation</t>
  </si>
  <si>
    <t>Combined 4 Week Oral Toxicity Study in wt mice - 30% Completion of Inlife</t>
  </si>
  <si>
    <t>Combined 4 Week Oral Toxicity Study in wt mice - 10% Submission of Draft Report</t>
  </si>
  <si>
    <r>
      <t>OPP-157779 - Study CRL-229189</t>
    </r>
    <r>
      <rPr>
        <b/>
        <sz val="11"/>
        <rFont val="Calibri"/>
        <family val="2"/>
        <scheme val="minor"/>
      </rPr>
      <t xml:space="preserve"> - P00103_2021</t>
    </r>
  </si>
  <si>
    <r>
      <t>OPP-157779 - Study CRL-229187 -</t>
    </r>
    <r>
      <rPr>
        <b/>
        <sz val="11"/>
        <rFont val="Calibri"/>
        <family val="2"/>
        <scheme val="minor"/>
      </rPr>
      <t xml:space="preserve"> P00103_2021</t>
    </r>
  </si>
  <si>
    <r>
      <t xml:space="preserve">OPP-157779 - Study CRL-280312 - </t>
    </r>
    <r>
      <rPr>
        <b/>
        <sz val="11"/>
        <rFont val="Calibri"/>
        <family val="2"/>
        <scheme val="minor"/>
      </rPr>
      <t>P00103_2021</t>
    </r>
  </si>
  <si>
    <r>
      <t xml:space="preserve">OPP-157779 - Study CRL-280313 - </t>
    </r>
    <r>
      <rPr>
        <b/>
        <sz val="11"/>
        <rFont val="Calibri"/>
        <family val="2"/>
        <scheme val="minor"/>
      </rPr>
      <t>P00103_2021</t>
    </r>
  </si>
  <si>
    <r>
      <t>OPP-185865 - Study CRL-280327 -</t>
    </r>
    <r>
      <rPr>
        <b/>
        <sz val="11"/>
        <rFont val="Calibri"/>
        <family val="2"/>
        <scheme val="minor"/>
      </rPr>
      <t xml:space="preserve"> P00104_2021</t>
    </r>
  </si>
  <si>
    <r>
      <t xml:space="preserve">OPP-185865 - Study CRL-280328 - </t>
    </r>
    <r>
      <rPr>
        <b/>
        <sz val="11"/>
        <rFont val="Calibri"/>
        <family val="2"/>
        <scheme val="minor"/>
      </rPr>
      <t>P00104_2021</t>
    </r>
  </si>
  <si>
    <r>
      <t>OPP-185865 - Study CRL-278830 -</t>
    </r>
    <r>
      <rPr>
        <b/>
        <sz val="11"/>
        <rFont val="Calibri"/>
        <family val="2"/>
        <scheme val="minor"/>
      </rPr>
      <t xml:space="preserve"> P00104_2021</t>
    </r>
  </si>
  <si>
    <t>Carcino 2 ans rats - Study Payment Authorization and start of protocol writing - 10%</t>
  </si>
  <si>
    <t>Carcino 2 ans rats - At animal ordering, approx. 60 days prior to animal arrival: early Q1 2021) - 10%</t>
  </si>
  <si>
    <t>Carcino 2 ans rats - Study Initiation - 15%</t>
  </si>
  <si>
    <t>Carcino 2 ans rats - Study Week 26 - 15%</t>
  </si>
  <si>
    <t>Carcino 2 ans rats - Study Week 52 - 15%</t>
  </si>
  <si>
    <t>Carcino 2 ans rats - Study Week 78 - 15%</t>
  </si>
  <si>
    <t>Carcino 2 ans rats - Completion of Inlife - 10%</t>
  </si>
  <si>
    <t>Carcino 2 ans rats - submission of Draft Report - 10%</t>
  </si>
  <si>
    <t>Carcino 6 mois souris - 30% Study Payment Authorization  (invoiced 60 days prior to scheduled animal ordering, approx. 5 Months prior to animal arrival: early Q1 2021)</t>
  </si>
  <si>
    <t>Carcino 6 mois souris - 20% Study Initiation</t>
  </si>
  <si>
    <t>Carcino 6 mois souris - 20% Interim – Month 4</t>
  </si>
  <si>
    <t>Carcino 6 mois souris - 20% Completion of Inlife</t>
  </si>
  <si>
    <t>Carcino 6 mois souris - 10% Submission of Draft Report</t>
  </si>
  <si>
    <r>
      <t xml:space="preserve">OPP-185865 - Study CRL-278830 - </t>
    </r>
    <r>
      <rPr>
        <b/>
        <sz val="11"/>
        <rFont val="Calibri"/>
        <family val="2"/>
        <scheme val="minor"/>
      </rPr>
      <t>P00104_2021</t>
    </r>
  </si>
  <si>
    <r>
      <t xml:space="preserve">Devis 11744 AVENANT 3 - </t>
    </r>
    <r>
      <rPr>
        <b/>
        <sz val="11"/>
        <rFont val="Calibri"/>
        <family val="2"/>
        <scheme val="minor"/>
      </rPr>
      <t>P00106_2021</t>
    </r>
  </si>
  <si>
    <t>Etude Clinique UC 104 Conditionnement secondaire -Expiry date extension</t>
  </si>
  <si>
    <t>Conditionnement, Stockage, Distribution et destruction - Expiry date extension</t>
  </si>
  <si>
    <t>UC103/UC104</t>
  </si>
  <si>
    <t>Mail du 24/03/2021</t>
  </si>
  <si>
    <r>
      <t xml:space="preserve">(A3WO13#2020) - </t>
    </r>
    <r>
      <rPr>
        <b/>
        <sz val="11"/>
        <rFont val="Calibri"/>
        <family val="2"/>
        <scheme val="minor"/>
      </rPr>
      <t>P00098_2019</t>
    </r>
    <r>
      <rPr>
        <b/>
        <sz val="11"/>
        <color theme="9"/>
        <rFont val="Calibri"/>
        <family val="2"/>
        <scheme val="minor"/>
      </rPr>
      <t xml:space="preserve"> - SEQS</t>
    </r>
  </si>
  <si>
    <r>
      <t xml:space="preserve">(WO35#2021) - </t>
    </r>
    <r>
      <rPr>
        <b/>
        <sz val="11"/>
        <rFont val="Calibri"/>
        <family val="2"/>
        <scheme val="minor"/>
      </rPr>
      <t>P00095_2021</t>
    </r>
  </si>
  <si>
    <t>Validation batches additional analysis</t>
  </si>
  <si>
    <r>
      <t xml:space="preserve">(WO32#2021) - </t>
    </r>
    <r>
      <rPr>
        <b/>
        <sz val="11"/>
        <rFont val="Calibri"/>
        <family val="2"/>
        <scheme val="minor"/>
      </rPr>
      <t>P00092_2021</t>
    </r>
  </si>
  <si>
    <r>
      <t xml:space="preserve">(WO34#2021) - </t>
    </r>
    <r>
      <rPr>
        <b/>
        <sz val="11"/>
        <rFont val="Calibri"/>
        <family val="2"/>
        <scheme val="minor"/>
      </rPr>
      <t>P00094_2021</t>
    </r>
  </si>
  <si>
    <t>Forced degradation study  -Sudy report</t>
  </si>
  <si>
    <t>Forced degradation study - 1 month analysis</t>
  </si>
  <si>
    <t>INV FRGRE2021071</t>
  </si>
  <si>
    <t>INV FRGRE2021098</t>
  </si>
  <si>
    <t>INV 33798</t>
  </si>
  <si>
    <t>INV 10001512</t>
  </si>
  <si>
    <t>INV 109134 + INV 109160 + INV 109125</t>
  </si>
  <si>
    <t>14/01/2021 + 10/02/2021 + 09/04/2021</t>
  </si>
  <si>
    <t>INV 108763 + INV 108784 + INV 108824 + INV 108827 + INV 108864 + INV 108904 + INV 108984 + INV 109215</t>
  </si>
  <si>
    <t>24/10/2019 + 11/11/2019 + 31/12/2019 + 31/12/2019 + 20/02/2020 + 15/04/2020 + 07/07/2020 + 09/04/2021</t>
  </si>
  <si>
    <t>INV 109160 + INV 109186 + INV 209215</t>
  </si>
  <si>
    <t>10/02/2021 + 08/03/2021 + 09/04/2021</t>
  </si>
  <si>
    <t>INV 109212</t>
  </si>
  <si>
    <t>INV 12183</t>
  </si>
  <si>
    <t>Montant = 0 €</t>
  </si>
  <si>
    <t>ABX464-904 Startup Agreement - Termination fees</t>
  </si>
  <si>
    <t>ABX464-904 Startup Agreement - 50% upon signature - 39 722 €</t>
  </si>
  <si>
    <t>ABX464-904 Startup Agreement - 50% upon CTA Submission - 39 722 €</t>
  </si>
  <si>
    <t>INV A21-11158</t>
  </si>
  <si>
    <t>Etude en standby - mais frais réels a venir : venu le 08/04/21</t>
  </si>
  <si>
    <r>
      <t xml:space="preserve">DEVIS n° 2021.04.01 - </t>
    </r>
    <r>
      <rPr>
        <b/>
        <sz val="11"/>
        <rFont val="Calibri"/>
        <family val="2"/>
        <scheme val="minor"/>
      </rPr>
      <t>P00112_2021</t>
    </r>
  </si>
  <si>
    <t>Audit CREAPHARM BDX</t>
  </si>
  <si>
    <t>INV FRA-002473 + INV FRA-002530</t>
  </si>
  <si>
    <t>16/03/2021 + 09/04/2021</t>
  </si>
  <si>
    <t>INV FRA-002256 + INV FRA-002311 + INV FRA-002371 + INV FRA-002419 + INV FRA-002466 + INV FRA-002529</t>
  </si>
  <si>
    <t>13/11/2020 + 11/12/2020 + 11/01/2021 + 11/02/2021 + 11/03/2021 + 09/04/2021</t>
  </si>
  <si>
    <t>INV 71878 + INV 71408 + 70223</t>
  </si>
  <si>
    <t>23/06/2020 + 03/02/2020 + 08/10/2019</t>
  </si>
  <si>
    <t>Dates vu avec RS le 16/04/2021</t>
  </si>
  <si>
    <t xml:space="preserve">LC-MSMS determination of ABX464 in rat support PPND rat study </t>
  </si>
  <si>
    <t>CO4.5</t>
  </si>
  <si>
    <t>CRL-291234 - Pas de PO</t>
  </si>
  <si>
    <t>INV FA008823</t>
  </si>
  <si>
    <r>
      <t>SFDC Opp-192045 - CRL-291232 -</t>
    </r>
    <r>
      <rPr>
        <b/>
        <sz val="11"/>
        <rFont val="Calibri"/>
        <family val="2"/>
        <scheme val="minor"/>
      </rPr>
      <t xml:space="preserve"> P00766_2020</t>
    </r>
  </si>
  <si>
    <r>
      <t>SFDC Opp-192045 - CRL-291232  -</t>
    </r>
    <r>
      <rPr>
        <b/>
        <sz val="11"/>
        <rFont val="Calibri"/>
        <family val="2"/>
        <scheme val="minor"/>
      </rPr>
      <t xml:space="preserve"> P00766_2020</t>
    </r>
  </si>
  <si>
    <r>
      <t>Amdt 2 SFDC Opp-192045 -  CRL-291232 -</t>
    </r>
    <r>
      <rPr>
        <b/>
        <sz val="11"/>
        <rFont val="Calibri"/>
        <family val="2"/>
        <scheme val="minor"/>
      </rPr>
      <t xml:space="preserve"> P00001_2021</t>
    </r>
  </si>
  <si>
    <t>Q1 2022</t>
  </si>
  <si>
    <t>Date vu avec RS 16/04/2021</t>
  </si>
  <si>
    <t>LC-MSMS Determination of ABX464 Concentration in Dose Formulation  100% au rapport</t>
  </si>
  <si>
    <t>INV FA008910</t>
  </si>
  <si>
    <t>INV FA008911</t>
  </si>
  <si>
    <r>
      <t xml:space="preserve">SFDC Opp-193136 - CRL-291485 - </t>
    </r>
    <r>
      <rPr>
        <b/>
        <sz val="11"/>
        <rFont val="Calibri"/>
        <family val="2"/>
        <scheme val="minor"/>
      </rPr>
      <t>P00759_2020</t>
    </r>
  </si>
  <si>
    <t>INV FA008908</t>
  </si>
  <si>
    <t>INV FA008607 + FA008608 + INV FA008907</t>
  </si>
  <si>
    <t>16/11/2020 + 16/11/2020 + 14/04/2021</t>
  </si>
  <si>
    <t>Etude annulée</t>
  </si>
  <si>
    <t>Milestone 4: Antiviral activity evaluation of ABX464 in combination with Remdesivir. Luminiscence results delivered - 44 000 €</t>
  </si>
  <si>
    <t>Milestone 5: Antiviral activity evaluation of ABX464 in combination with Remdesivir. ELISA results delivered. - 16 000 €</t>
  </si>
  <si>
    <t>INV Lab14/21</t>
  </si>
  <si>
    <t>INV FRA-002540</t>
  </si>
  <si>
    <t>ACTIVE BIOMARKERS (EX ABL LYON)</t>
  </si>
  <si>
    <r>
      <t>Devis D/098/140421/MPA/0892 -</t>
    </r>
    <r>
      <rPr>
        <b/>
        <sz val="11"/>
        <rFont val="Calibri"/>
        <family val="2"/>
        <scheme val="minor"/>
      </rPr>
      <t xml:space="preserve"> P00116_2021</t>
    </r>
  </si>
  <si>
    <t>Cytokines assessments in serum - set up fees</t>
  </si>
  <si>
    <t>Cytokines assessments in serum - monthy invoices</t>
  </si>
  <si>
    <t>INV 109125 + INV 109224</t>
  </si>
  <si>
    <t>09/04/2021 + 19/04/2021</t>
  </si>
  <si>
    <t>INV 109224</t>
  </si>
  <si>
    <t>INV 407174 + INV 407289 + INV 407811 + INV 408776 + INV 408775 + INV 408843 + INV 409004</t>
  </si>
  <si>
    <t>15/07/2019 + 23/08/2019 + 26/02/2020 + 22/02/2021 + 22/02/2021 + 22/02/2021 + 14/04/2021</t>
  </si>
  <si>
    <t>2020 - Q2 (10 FTE * 180 000 /4)/3 150 000 €</t>
  </si>
  <si>
    <t>Cloturé CF mail DS du 22/04/2021</t>
  </si>
  <si>
    <t>INV 10001440 + INV 10001578</t>
  </si>
  <si>
    <t>29/03/2021 + 26/04/2021</t>
  </si>
  <si>
    <t>INV 1001578</t>
  </si>
  <si>
    <t>INV SI_KSA2101803</t>
  </si>
  <si>
    <t>INV 109111 + INV 109230</t>
  </si>
  <si>
    <t>15/12/2021 + 23/04/2021</t>
  </si>
  <si>
    <t>INV 27696 + INV 33019</t>
  </si>
  <si>
    <t>12/03/2021 + 16/04/2021</t>
  </si>
  <si>
    <t>INV 33019</t>
  </si>
  <si>
    <t>API dissolution analytical complements - OPTIONS</t>
  </si>
  <si>
    <t>INV 0525/21 + INV 0658/21</t>
  </si>
  <si>
    <t>28/02/2021 + 21/04/2021</t>
  </si>
  <si>
    <t>30/09/2020 + 16/03/2021 + 27/04/2021</t>
  </si>
  <si>
    <t>INV 00010 21001109 RI</t>
  </si>
  <si>
    <t>INV 00010 2003490 RI</t>
  </si>
  <si>
    <t>INV 00010 2003173 RI + INV 00010 2100674 RI + INV 00010 21001109 RI</t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</si>
  <si>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</t>
    </r>
    <r>
      <rPr>
        <b/>
        <sz val="11"/>
        <rFont val="Calibri"/>
        <family val="2"/>
        <scheme val="minor"/>
      </rPr>
      <t>Ukraine</t>
    </r>
    <r>
      <rPr>
        <sz val="11"/>
        <rFont val="Calibri"/>
        <family val="2"/>
        <scheme val="minor"/>
      </rPr>
      <t xml:space="preserve"> - site audit planning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</si>
  <si>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</t>
    </r>
    <r>
      <rPr>
        <b/>
        <sz val="11"/>
        <rFont val="Calibri"/>
        <family val="2"/>
        <scheme val="minor"/>
      </rPr>
      <t>Poland</t>
    </r>
    <r>
      <rPr>
        <sz val="11"/>
        <rFont val="Calibri"/>
        <family val="2"/>
        <scheme val="minor"/>
      </rPr>
      <t xml:space="preserve">  - site audit planning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</si>
  <si>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7313 + 7316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</si>
  <si>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4823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</si>
  <si>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4802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</si>
  <si>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4804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</si>
  <si>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3603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</si>
  <si>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</t>
    </r>
    <r>
      <rPr>
        <b/>
        <sz val="11"/>
        <rFont val="Calibri"/>
        <family val="2"/>
        <scheme val="minor"/>
      </rPr>
      <t>Hungary</t>
    </r>
    <r>
      <rPr>
        <sz val="11"/>
        <rFont val="Calibri"/>
        <family val="2"/>
        <scheme val="minor"/>
      </rPr>
      <t xml:space="preserve"> - site audit planning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</si>
  <si>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Hungary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</si>
  <si>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Hungary - review of the proposed CAPA plans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</si>
  <si>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Hungary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</si>
  <si>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Poland - site audit planning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</si>
  <si>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Poland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</si>
  <si>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Poland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</si>
  <si>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Poland - review of the proposed CAPA plans</t>
    </r>
  </si>
  <si>
    <t>INV-1029</t>
  </si>
  <si>
    <t>INV-1024 + INV-1026</t>
  </si>
  <si>
    <t>INV-1024</t>
  </si>
  <si>
    <t>INV-1020 + INV-1024 + INV-1026</t>
  </si>
  <si>
    <t>01/02/2021 + 16/02/2021 + 15/03/2021</t>
  </si>
  <si>
    <t>INV-1026 + INV-1029</t>
  </si>
  <si>
    <t>15/03/2021 + 19/04/2021</t>
  </si>
  <si>
    <t>INV-1025 + INV-1026 + INV-1029</t>
  </si>
  <si>
    <t>01/02/2021 + 15/03/2021 + 19/04/2021</t>
  </si>
  <si>
    <r>
      <t xml:space="preserve">SRV_19037_A1 - </t>
    </r>
    <r>
      <rPr>
        <b/>
        <sz val="11"/>
        <rFont val="Calibri"/>
        <family val="2"/>
        <scheme val="minor"/>
      </rPr>
      <t>P00118_2021</t>
    </r>
  </si>
  <si>
    <t>Additionnal point de Stab - Etdue de Stab à 2/8°C T48M</t>
  </si>
  <si>
    <t>Dev of Solid Oral Dosage Form (Solid Dispersion) - CO3 On delivery of draft report of 9 month testing STAB/922</t>
  </si>
  <si>
    <r>
      <t xml:space="preserve">W43 (WO25#2020) - </t>
    </r>
    <r>
      <rPr>
        <b/>
        <sz val="11"/>
        <rFont val="Calibri"/>
        <family val="2"/>
        <scheme val="minor"/>
      </rPr>
      <t>P00874_2020</t>
    </r>
    <r>
      <rPr>
        <sz val="11"/>
        <rFont val="Calibri"/>
        <family val="2"/>
        <scheme val="minor"/>
      </rPr>
      <t xml:space="preserve"> - SEQS</t>
    </r>
  </si>
  <si>
    <r>
      <t>W43 (WO25#2020) -</t>
    </r>
    <r>
      <rPr>
        <b/>
        <sz val="11"/>
        <rFont val="Calibri"/>
        <family val="2"/>
        <scheme val="minor"/>
      </rPr>
      <t xml:space="preserve"> P00874_2020</t>
    </r>
    <r>
      <rPr>
        <sz val="11"/>
        <rFont val="Calibri"/>
        <family val="2"/>
        <scheme val="minor"/>
      </rPr>
      <t xml:space="preserve"> - SEQS</t>
    </r>
  </si>
  <si>
    <t xml:space="preserve">INV 00010 21000541 RI </t>
  </si>
  <si>
    <t>Prélèvement et conditionnement</t>
  </si>
  <si>
    <t>INV Honorarium01</t>
  </si>
  <si>
    <t>INV F20001625 + INV F21000563</t>
  </si>
  <si>
    <t>29/12/2020 (reçu mars 2021) + 29/04/2021</t>
  </si>
  <si>
    <t>INV F21000563</t>
  </si>
  <si>
    <t>INV 10001625</t>
  </si>
  <si>
    <t xml:space="preserve">INV F21-867 + F21-873 + INV F21-879 </t>
  </si>
  <si>
    <t>09/04/2021 + 30/04/2021 + 30/04/2021</t>
  </si>
  <si>
    <t>INV PJ20181761</t>
  </si>
  <si>
    <t>INV PJ20181802</t>
  </si>
  <si>
    <t>INV PJ20181824</t>
  </si>
  <si>
    <t>P00127_2021</t>
  </si>
  <si>
    <t>INV 20210129</t>
  </si>
  <si>
    <t>INV 0606/21 + INV 0689/21</t>
  </si>
  <si>
    <t>31/03/2021 + 29/04/2021</t>
  </si>
  <si>
    <t>INV 109233</t>
  </si>
  <si>
    <t>INV 109232</t>
  </si>
  <si>
    <t>INV 108542 + INV 108556 + INV 109057 + INV 109231</t>
  </si>
  <si>
    <t>17/04/2019 + 14/05/2019 + 13/10/2020 + 28/04/2021</t>
  </si>
  <si>
    <t>INV 00010 21001176 RI</t>
  </si>
  <si>
    <t>INV 00010 21001135 RI</t>
  </si>
  <si>
    <r>
      <t xml:space="preserve">ZNA79291 CO n°4 -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P00125_2021</t>
    </r>
  </si>
  <si>
    <t>Dev of Solid Oral Dosage Form (Solid Dispersion) - CO4 on delivery of draft report of 1 month testing STAB/949</t>
  </si>
  <si>
    <t>Dev of Solid Oral Dosage Form (Solid Dispersion) - CO4 on signature</t>
  </si>
  <si>
    <t>Dev of Solid Oral Dosage Form (Solid Dispersion) - CO4 on delivery of draft report of 2 month testing STAB/949</t>
  </si>
  <si>
    <t>Dev of Solid Oral Dosage Form (Solid Dispersion) - CO4 on set down of clinical stab studt STAB/949</t>
  </si>
  <si>
    <t>Dev of Solid Oral Dosage Form (Solid Dispersion) - CO4 on delivery of draft report of 3 month testing STAB/949</t>
  </si>
  <si>
    <t>Dev of Solid Oral Dosage Form (Solid Dispersion) - CO4 on delivery of draft report of 6 month testing STAB/949</t>
  </si>
  <si>
    <t>Dev of Solid Oral Dosage Form (Solid Dispersion) - CO4 on delivery of draft report of 9 month testing STAB/949</t>
  </si>
  <si>
    <t>Dev of Solid Oral Dosage Form (Solid Dispersion) - CO4 on delivery of draft report of 12 month testing STAB/949</t>
  </si>
  <si>
    <t>Dev of Solid Oral Dosage Form (Solid Dispersion) - CO4 on delivery of draft report of 18 month testing STAB/949</t>
  </si>
  <si>
    <t>Dev of Solid Oral Dosage Form (Solid Dispersion) - CO4 on delivery of draft report of 24 month testing STAB/949</t>
  </si>
  <si>
    <r>
      <t xml:space="preserve">CRL-325507 - </t>
    </r>
    <r>
      <rPr>
        <b/>
        <sz val="11"/>
        <rFont val="Calibri"/>
        <family val="2"/>
        <scheme val="minor"/>
      </rPr>
      <t>P00123_2021</t>
    </r>
  </si>
  <si>
    <t>LC-MS/MS Determination of ABX464 in Human plasma + Options</t>
  </si>
  <si>
    <r>
      <t xml:space="preserve">(WO37#2021) - </t>
    </r>
    <r>
      <rPr>
        <b/>
        <sz val="11"/>
        <rFont val="Calibri"/>
        <family val="2"/>
        <scheme val="minor"/>
      </rPr>
      <t>P00135_2021</t>
    </r>
  </si>
  <si>
    <t>PSD analyses in Lab Services (Regulatory batch)</t>
  </si>
  <si>
    <r>
      <t xml:space="preserve">(WO38#2021) - </t>
    </r>
    <r>
      <rPr>
        <b/>
        <sz val="11"/>
        <rFont val="Calibri"/>
        <family val="2"/>
        <scheme val="minor"/>
      </rPr>
      <t>P00128_2021</t>
    </r>
  </si>
  <si>
    <t>Repacking and shipping - Collection, management, packaging</t>
  </si>
  <si>
    <t>Repacking and shipping - Shipping</t>
  </si>
  <si>
    <t>Audit site Slovenie site 4104</t>
  </si>
  <si>
    <r>
      <t xml:space="preserve">Quote du 29/04/2021 - </t>
    </r>
    <r>
      <rPr>
        <b/>
        <sz val="11"/>
        <rFont val="Calibri"/>
        <family val="2"/>
        <scheme val="minor"/>
      </rPr>
      <t>P00133_2021</t>
    </r>
    <r>
      <rPr>
        <sz val="11"/>
        <rFont val="Calibri"/>
        <family val="2"/>
        <scheme val="minor"/>
      </rPr>
      <t xml:space="preserve"> Site 4104</t>
    </r>
  </si>
  <si>
    <r>
      <t xml:space="preserve">DEVIS n° 2021.04.04 - </t>
    </r>
    <r>
      <rPr>
        <b/>
        <sz val="11"/>
        <rFont val="Calibri"/>
        <family val="2"/>
        <scheme val="minor"/>
      </rPr>
      <t>P00132_2021</t>
    </r>
  </si>
  <si>
    <t>Audit ARCINOVA Facilities</t>
  </si>
  <si>
    <r>
      <t xml:space="preserve">Quote 20200310_01_NBR_103 CHANGE OREDR - </t>
    </r>
    <r>
      <rPr>
        <b/>
        <sz val="11"/>
        <rFont val="Calibri"/>
        <family val="2"/>
        <scheme val="minor"/>
      </rPr>
      <t>P00136_2021</t>
    </r>
  </si>
  <si>
    <t>Absolute quantification of mir124.1 on clinical trial samples - Set up etablishment of AP and DTP</t>
  </si>
  <si>
    <t>Absolute quantification of mir124.1 on clinical trial samples - Development of custum ELN &amp; SOP + test run</t>
  </si>
  <si>
    <t>Absolute quantification of mir124.1 on clinical trial samples - Lot Quality verification</t>
  </si>
  <si>
    <t>Absolute quantification of mir124.1 on clinical trial samples -Testing of 12 batch of 190 clinical samples</t>
  </si>
  <si>
    <t>Absolute quantification of mir124.1 on clinical trial samples -Study report</t>
  </si>
  <si>
    <r>
      <t xml:space="preserve">Quote 20200310_01_NBR_103 - </t>
    </r>
    <r>
      <rPr>
        <b/>
        <strike/>
        <sz val="11"/>
        <rFont val="Calibri"/>
        <family val="2"/>
        <scheme val="minor"/>
      </rPr>
      <t>P00812_2020</t>
    </r>
  </si>
  <si>
    <t>21/12/2020 + 26/10/2020</t>
  </si>
  <si>
    <t>INV 165 + INV 108</t>
  </si>
  <si>
    <t>Absolute quantification of mir124.1 on clinical trial samples - Hight-troughpu extraction method validation</t>
  </si>
  <si>
    <r>
      <t>Quote 20191010_01_NBR_v02 -</t>
    </r>
    <r>
      <rPr>
        <b/>
        <strike/>
        <sz val="11"/>
        <rFont val="Calibri"/>
        <family val="2"/>
        <scheme val="minor"/>
      </rPr>
      <t xml:space="preserve"> P00556_2020</t>
    </r>
  </si>
  <si>
    <r>
      <t>CEVQ2019.10.04 -</t>
    </r>
    <r>
      <rPr>
        <b/>
        <sz val="11"/>
        <rFont val="Calibri"/>
        <family val="2"/>
        <scheme val="minor"/>
      </rPr>
      <t xml:space="preserve"> Pas réalisé</t>
    </r>
  </si>
  <si>
    <t>INV 134.21.10</t>
  </si>
  <si>
    <t>INV 133.21.09</t>
  </si>
  <si>
    <t>CEVQ2019.07.08 - PAS DE PO</t>
  </si>
  <si>
    <t>INV 135.21.11</t>
  </si>
  <si>
    <t>INV 136.21.12</t>
  </si>
  <si>
    <t>INV 138.21.14</t>
  </si>
  <si>
    <r>
      <t xml:space="preserve">Toxicokinetics calculation on D88 9-month </t>
    </r>
    <r>
      <rPr>
        <strike/>
        <sz val="11"/>
        <rFont val="Calibri"/>
        <family val="2"/>
        <scheme val="minor"/>
      </rPr>
      <t>marmosset</t>
    </r>
    <r>
      <rPr>
        <sz val="11"/>
        <rFont val="Calibri"/>
        <family val="2"/>
        <scheme val="minor"/>
      </rPr>
      <t xml:space="preserve"> Cyno</t>
    </r>
  </si>
  <si>
    <t>12/06/2019 + 31/07/2019 + 04/05/2021</t>
  </si>
  <si>
    <t>INV 63.19.12 + INV 67.19.16 + INV 137.21.13</t>
  </si>
  <si>
    <t>INV 66.16.15 + INV 139.21.15</t>
  </si>
  <si>
    <t>24/07/2019 + 04/05/2021</t>
  </si>
  <si>
    <t>INV 65.19.14 + INV 140.21.16</t>
  </si>
  <si>
    <t>09/07/2019 + 04/05/2021</t>
  </si>
  <si>
    <t>CEVQ2019.02.02 - PAS DE PO - Prestation annulée</t>
  </si>
  <si>
    <t>Les 13 800 € restant sont pour Aout 2019 - Finalement annulée 05/2021</t>
  </si>
  <si>
    <t>Finalement annulé 05/2021</t>
  </si>
  <si>
    <t>study initiation mai 2021 - vu le 05/05/2021</t>
  </si>
  <si>
    <t>vu RS/DS le 05/05/2021</t>
  </si>
  <si>
    <t>Année 2021</t>
  </si>
  <si>
    <t>QT901 - Protocol dev for TQT Trial + Admdt n°1</t>
  </si>
  <si>
    <t>11,5% upon 96th subject included</t>
  </si>
  <si>
    <t>INV 18329</t>
  </si>
  <si>
    <t>INV 00010 21001205 RI</t>
  </si>
  <si>
    <t>INV BCI-0046585</t>
  </si>
  <si>
    <t>INV 2104001</t>
  </si>
  <si>
    <t>INV QJP-040943 + INV QJP-040942 + INV QJP-041894 - INV QJP-041895</t>
  </si>
  <si>
    <t>11/03/2021 + 11/03/2021 + 07/05/2021 + 07/05/2021</t>
  </si>
  <si>
    <t>INV 109235</t>
  </si>
  <si>
    <t>INV 109236</t>
  </si>
  <si>
    <t>INV 109237</t>
  </si>
  <si>
    <t>INV 35311</t>
  </si>
  <si>
    <t>INV FRGRE2021134</t>
  </si>
  <si>
    <t>INV PJ20210769</t>
  </si>
  <si>
    <t>INV 21210101756 + INV 20210401813</t>
  </si>
  <si>
    <t>27/01/2021 + 30/04/2021</t>
  </si>
  <si>
    <t>INV 20210401813</t>
  </si>
  <si>
    <t>INV 20210401817</t>
  </si>
  <si>
    <t>Travaux clos cf mail RS 07/05/21</t>
  </si>
  <si>
    <t>INV 109248</t>
  </si>
  <si>
    <t>INV 109249</t>
  </si>
  <si>
    <t>INV 108735 + INV 108763 + INV 108914 + INV 108984 + INV 109249</t>
  </si>
  <si>
    <t>27/09/2019 + 24/10/2019 + 27/04/2020 + 07/07/2020 + 11/05/2021</t>
  </si>
  <si>
    <t>INV 109057 + INV 109249</t>
  </si>
  <si>
    <t>13/10/2020 + 11/05/2021</t>
  </si>
  <si>
    <t>INV FA211533</t>
  </si>
  <si>
    <t>INV FA2111533</t>
  </si>
  <si>
    <t>26/02/2021 + 30/04/2021</t>
  </si>
  <si>
    <t>INV FA210512 + INV FA211532</t>
  </si>
  <si>
    <t>INV FA210990</t>
  </si>
  <si>
    <t>EC2002091 + EC2003098 + EC2004166 + EC2005115 + EC2005115 + EC2008043 + EC2009226 + EC2010101 + EC2011102 + EC2012073 + FA210049 + FA210509 + FA211063 + FA211751</t>
  </si>
  <si>
    <t>Etude clinique UC102</t>
  </si>
  <si>
    <t>FA210049 + FA210509 + FA211751 + FA211063</t>
  </si>
  <si>
    <t>29/01/2021 + 26/02/2021 + 30/04/2021 + 31/03/2021</t>
  </si>
  <si>
    <t>INV 12199</t>
  </si>
  <si>
    <t>INV PJ20181900</t>
  </si>
  <si>
    <t>INV 109253</t>
  </si>
  <si>
    <t>ABX464 25mg &amp; 50mg gélule - Lot cliniques - Presta analytiques transfert des methodes ana</t>
  </si>
  <si>
    <t>ABX464 25mg &amp; 50mg gélule - Lot cliniques - Fabrication &amp; Conditionnement - Campagne 1/2 - Documentation</t>
  </si>
  <si>
    <t>ABX464 25mg &amp; 50mg gélule - Lot cliniques - Fabrication &amp; Conditionnement - Campagne 1/2 - analyse</t>
  </si>
  <si>
    <t>ABX464 25mg &amp; 50mg gélule - Lot cliniques - Fabrication &amp; Conditionnement - Campagne 1/2 - fabrication &amp; coodination</t>
  </si>
  <si>
    <t>ABX464 25mg &amp; 50mg gélule - Lot cliniques - Fabrication &amp; Conditionnement - Campagne 2/2 - Documentation</t>
  </si>
  <si>
    <t>ABX464 25mg &amp; 50mg gélule - Lot cliniques - Fabrication &amp; Conditionnement - Campagne 2/2 - fabrication &amp; coodination</t>
  </si>
  <si>
    <t>ABX464 25mg &amp; 50mg gélule - Lot cliniques - Fabrication &amp; Conditionnement - Campagne 2/2 - analyse</t>
  </si>
  <si>
    <t>ABX464 25mg &amp; 50mg gélule - Lot cliniques - Management de projet 4 mois</t>
  </si>
  <si>
    <t xml:space="preserve">Etude impact process API dissolution </t>
  </si>
  <si>
    <r>
      <t xml:space="preserve">DDR 2021 071 V1 - </t>
    </r>
    <r>
      <rPr>
        <b/>
        <sz val="11"/>
        <rFont val="Calibri"/>
        <family val="2"/>
        <scheme val="minor"/>
      </rPr>
      <t xml:space="preserve">P00139_2021 - </t>
    </r>
    <r>
      <rPr>
        <b/>
        <sz val="11"/>
        <color theme="9"/>
        <rFont val="Calibri"/>
        <family val="2"/>
        <scheme val="minor"/>
      </rPr>
      <t>CAPS</t>
    </r>
  </si>
  <si>
    <t>Capsule investigation batch manufacturing - Analysis</t>
  </si>
  <si>
    <t>Capsule investigation batch manufacturing - Project management</t>
  </si>
  <si>
    <r>
      <t>Devis 12457-2 Amdt 1 -</t>
    </r>
    <r>
      <rPr>
        <b/>
        <sz val="11"/>
        <rFont val="Calibri"/>
        <family val="2"/>
        <scheme val="minor"/>
      </rPr>
      <t xml:space="preserve"> P00137_2021</t>
    </r>
  </si>
  <si>
    <t xml:space="preserve">New packaging run use ABX464-401 for ABX464-901 </t>
  </si>
  <si>
    <r>
      <t xml:space="preserve">Devis 12804 - </t>
    </r>
    <r>
      <rPr>
        <b/>
        <sz val="11"/>
        <rFont val="Calibri"/>
        <family val="2"/>
        <scheme val="minor"/>
      </rPr>
      <t>P00147_2021</t>
    </r>
  </si>
  <si>
    <t>Confidentiality option on UIPAC name 1</t>
  </si>
  <si>
    <t>Confidentiality option on UIPAC name 2</t>
  </si>
  <si>
    <t>Confidentiality option on UIPAC name 3</t>
  </si>
  <si>
    <t>Confidentiality option on UIPAC name 4</t>
  </si>
  <si>
    <t>Confidentiality option on UIPAC name 5</t>
  </si>
  <si>
    <r>
      <t xml:space="preserve">(WO39#2021) - </t>
    </r>
    <r>
      <rPr>
        <b/>
        <sz val="11"/>
        <rFont val="Calibri"/>
        <family val="2"/>
        <scheme val="minor"/>
      </rPr>
      <t>P00146_2021</t>
    </r>
  </si>
  <si>
    <t>Dev of Solid Oral Dosage Form (Solid Dispersion) - CO5 upon delivering of draft report for the solid Form ABX464 API</t>
  </si>
  <si>
    <r>
      <t xml:space="preserve">ZNA79291 CO n°5 -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P00144_2021</t>
    </r>
  </si>
  <si>
    <r>
      <t xml:space="preserve">ECH210058 - </t>
    </r>
    <r>
      <rPr>
        <b/>
        <sz val="11"/>
        <rFont val="Calibri"/>
        <family val="2"/>
        <scheme val="minor"/>
      </rPr>
      <t>P00141_2021</t>
    </r>
  </si>
  <si>
    <t>Rapatriement d'échantillon préclinique</t>
  </si>
  <si>
    <t>Study CRL-299651 - Study CRL-48876 VAS - Validation of the anlytical method for the metabolitute N-Glu</t>
  </si>
  <si>
    <r>
      <t xml:space="preserve">ECH210059 - </t>
    </r>
    <r>
      <rPr>
        <b/>
        <sz val="11"/>
        <rFont val="Calibri"/>
        <family val="2"/>
        <scheme val="minor"/>
      </rPr>
      <t>P00140_2021</t>
    </r>
  </si>
  <si>
    <t>Destruction d'échantillon préclinique</t>
  </si>
  <si>
    <t>Stand by</t>
  </si>
  <si>
    <t>ABX464 Backup identification - Month 1</t>
  </si>
  <si>
    <t>ABX464 Backup identification - Month 2</t>
  </si>
  <si>
    <t>ABX464 Backup identification - Month 3</t>
  </si>
  <si>
    <t>ABX464 Backup identification - Month 4</t>
  </si>
  <si>
    <t>ABX464 Backup identification - Month 5</t>
  </si>
  <si>
    <t>ABX464 Backup identification - Month 6</t>
  </si>
  <si>
    <t>ABX464 Backup identification - Month 7</t>
  </si>
  <si>
    <t>ABX464 Backup identification - Month 8</t>
  </si>
  <si>
    <t>ABX464 Backup identification - Month 9</t>
  </si>
  <si>
    <t>ABX464 Backup identification - Month 10</t>
  </si>
  <si>
    <t>Traget ID and complete profinling ABX3966 and ABX4004  - Month 1</t>
  </si>
  <si>
    <t>Traget ID and complete profinling ABX3966 and ABX4004  - Month 2</t>
  </si>
  <si>
    <t>Traget ID and complete profinling ABX3966 and ABX4004  - Month 3</t>
  </si>
  <si>
    <t>Traget ID and complete profinling ABX3966 and ABX4004  - Month 4</t>
  </si>
  <si>
    <t>Traget ID and complete profinling ABX3966 and ABX4004  - Month 5</t>
  </si>
  <si>
    <t>Traget ID and complete profinling ABX3966 and ABX4004  - Month 6</t>
  </si>
  <si>
    <t>Traget ID and complete profinling ABX3966 and ABX4004  - Month 7</t>
  </si>
  <si>
    <t>Traget ID and complete profinling ABX3966 and ABX4004  - Month 8</t>
  </si>
  <si>
    <t>Traget ID and complete profinling ABX3966 and ABX4004  - Month 9</t>
  </si>
  <si>
    <t>Traget ID and complete profinling ABX3966 and ABX4004  - Month 10</t>
  </si>
  <si>
    <t>PH21028</t>
  </si>
  <si>
    <t>UC103 - At signature</t>
  </si>
  <si>
    <t>UC103 - At completion of SAP</t>
  </si>
  <si>
    <t>UC103 - At completion of PK analysis</t>
  </si>
  <si>
    <t>UC103 - At the first release of the darft report</t>
  </si>
  <si>
    <t>ABX464-902 - DDI Trial - Amd 1 WO007</t>
  </si>
  <si>
    <t>Professional fees - Signature du WO Amdt 1</t>
  </si>
  <si>
    <t>Professional fees - PTC Amdt 1</t>
  </si>
  <si>
    <t>Non déduit dans le WO07 c'est normal ? (20/05/2021)</t>
  </si>
  <si>
    <t>A déduir des PTC globaux ? (20/05/2021)</t>
  </si>
  <si>
    <r>
      <t xml:space="preserve">OPP-221065 - </t>
    </r>
    <r>
      <rPr>
        <b/>
        <sz val="11"/>
        <rFont val="Calibri"/>
        <family val="2"/>
        <scheme val="minor"/>
      </rPr>
      <t>P00154_2021</t>
    </r>
  </si>
  <si>
    <t>CRL-342406 - ABX464 Stab in Humain Plasma 1 year - 50% signature</t>
  </si>
  <si>
    <t>CRL-342406 - ABX464 Stab in Humain Plasma 1 year - 50% draft report</t>
  </si>
  <si>
    <t>INV 407174 + INV 407289 + INV 409052</t>
  </si>
  <si>
    <t>15/07/2019 + 23/08/2019 + 29/04/2021</t>
  </si>
  <si>
    <t>INV 10001662</t>
  </si>
  <si>
    <t>INV 109263</t>
  </si>
  <si>
    <t>INV FRA-002588</t>
  </si>
  <si>
    <r>
      <t>DV-ABI-0521-1228 -</t>
    </r>
    <r>
      <rPr>
        <b/>
        <sz val="11"/>
        <rFont val="Calibri"/>
        <family val="2"/>
        <scheme val="minor"/>
      </rPr>
      <t xml:space="preserve"> P00155_2021</t>
    </r>
  </si>
  <si>
    <t>Transport Stockage échantillon ABX464-301</t>
  </si>
  <si>
    <r>
      <t>DV-ABI-0421-1214 -</t>
    </r>
    <r>
      <rPr>
        <b/>
        <sz val="11"/>
        <rFont val="Calibri"/>
        <family val="2"/>
        <scheme val="minor"/>
      </rPr>
      <t xml:space="preserve"> P00150_2021</t>
    </r>
  </si>
  <si>
    <t>Transport Stockage échantillon préclinique</t>
  </si>
  <si>
    <t>AD903 - At signature</t>
  </si>
  <si>
    <t>AD903 - At completion of SAP</t>
  </si>
  <si>
    <t>AD903 - At completion of PK analysis</t>
  </si>
  <si>
    <t>AD903 - At the first release of the darft report</t>
  </si>
  <si>
    <r>
      <t xml:space="preserve">PH21040 - </t>
    </r>
    <r>
      <rPr>
        <b/>
        <sz val="11"/>
        <rFont val="Calibri"/>
        <family val="2"/>
        <scheme val="minor"/>
      </rPr>
      <t>P00153_2021</t>
    </r>
  </si>
  <si>
    <t>Sorption study phase I</t>
  </si>
  <si>
    <r>
      <rPr>
        <sz val="11"/>
        <rFont val="Calibri"/>
        <family val="2"/>
        <scheme val="minor"/>
      </rPr>
      <t>2008014 Rev 04</t>
    </r>
    <r>
      <rPr>
        <b/>
        <sz val="11"/>
        <rFont val="Calibri"/>
        <family val="2"/>
        <scheme val="minor"/>
      </rPr>
      <t xml:space="preserve"> - P00148_2021</t>
    </r>
  </si>
  <si>
    <t>BIOSYNTH</t>
  </si>
  <si>
    <r>
      <t xml:space="preserve">Devis 10091701 - </t>
    </r>
    <r>
      <rPr>
        <b/>
        <sz val="11"/>
        <rFont val="Calibri"/>
        <family val="2"/>
        <scheme val="minor"/>
      </rPr>
      <t>P00151_2021</t>
    </r>
  </si>
  <si>
    <t>Dev WP1A - Developpement work and report of improvements</t>
  </si>
  <si>
    <r>
      <t xml:space="preserve">Devis 10091701 - </t>
    </r>
    <r>
      <rPr>
        <b/>
        <sz val="11"/>
        <rFont val="Calibri"/>
        <family val="2"/>
        <scheme val="minor"/>
      </rPr>
      <t>P00152_2021</t>
    </r>
  </si>
  <si>
    <t>Dev WP2 - Analytical Method Implementation and Development</t>
  </si>
  <si>
    <t>CHARLES RIVER LYON</t>
  </si>
  <si>
    <t>CRL-328757 - Prelim Embryo-Fetal Dev in RATS - 30% upon signature</t>
  </si>
  <si>
    <t>CRL-328758 - Prelim Embryo-Fetal Dev in RABBIT - 30% upon signature</t>
  </si>
  <si>
    <t>CRL-328757 - Prelim Embryo-Fetal Dev in RATS - 70%</t>
  </si>
  <si>
    <t>CRL-328758 - Prelim Embryo-Fetal Dev in RABBIT - 70%</t>
  </si>
  <si>
    <t>INV 47607905</t>
  </si>
  <si>
    <t>INV 47607906</t>
  </si>
  <si>
    <t>INV 00010 21001326 RI</t>
  </si>
  <si>
    <t>INV 0001 20003160 RI + INV 00010 20003519 RI + INV 00010 20003767 RI + INV 00010 20004013 RI + INV 00010 20004082 + INV 00010 21000783 RI + INV 00010 21001332 RI</t>
  </si>
  <si>
    <t>29/09/2020 + 30/10/2020 + 30/11/2020 + 18/12/2020 + 28/12/2020 + 29/03/2021 + 25/05/2021</t>
  </si>
  <si>
    <t>INV 00010 21001332 RI</t>
  </si>
  <si>
    <t>INV 00010 21000513 RI + INV 00010 21000818 RI + INV 00010 21001340 RI</t>
  </si>
  <si>
    <t>26/02/2021 + 30/03/2021 + 26/05/2021</t>
  </si>
  <si>
    <t>INV-1032</t>
  </si>
  <si>
    <t>INV-1026 + INV-1029 + INV-1032</t>
  </si>
  <si>
    <t>15/03/2021 + 19/04/2021 + 25/05/2021</t>
  </si>
  <si>
    <t>INV-1029 + INV-1032</t>
  </si>
  <si>
    <t>19/04/2021 + 25/05/2021</t>
  </si>
  <si>
    <t>INV 33019 + INV 38649</t>
  </si>
  <si>
    <t>16/04/2021 + 20/05/2021</t>
  </si>
  <si>
    <t>INV 0735/21</t>
  </si>
  <si>
    <t>CEVQ2020.07.10 - Pas de PO</t>
  </si>
  <si>
    <t>Ocular exam Rats (males et femelles) 2 ans</t>
  </si>
  <si>
    <t>INV 00010 21000445 RI + INV 00010 21000821 RI + INV 00010 21001363 RI</t>
  </si>
  <si>
    <t>23/02/2021 + 30/03/2021 + 28/05/2021</t>
  </si>
  <si>
    <t>INV FRA-002595</t>
  </si>
  <si>
    <t>INV 143.21.19</t>
  </si>
  <si>
    <t>INV FAC21041-DA198</t>
  </si>
  <si>
    <t>INV 2021-03-07 + INV 2021-06-01</t>
  </si>
  <si>
    <t>31/03/2021 + 01/06/2021</t>
  </si>
  <si>
    <t>Remise car Audit en visio</t>
  </si>
  <si>
    <t>INV PJ20182148</t>
  </si>
  <si>
    <t>INV 0728/21</t>
  </si>
  <si>
    <t>INV 59000123</t>
  </si>
  <si>
    <t>INV 59000124</t>
  </si>
  <si>
    <t>INV FA008674 + INV FA008785 + INV FA008857 + INV 59000116</t>
  </si>
  <si>
    <t>11/12/2020 + 11/02/2021 + 23/03/2021 + 20/05/2021</t>
  </si>
  <si>
    <t>SRV_20118_A1</t>
  </si>
  <si>
    <t>Terminaison cost</t>
  </si>
  <si>
    <t>Site Selection Approval</t>
  </si>
  <si>
    <t>Pre-payment upon Signature of ATP</t>
  </si>
  <si>
    <t>INV FRA-002598</t>
  </si>
  <si>
    <t>30/04/2021 + 31/05/2021</t>
  </si>
  <si>
    <t>INV PJ20211165</t>
  </si>
  <si>
    <t>INV PJ20211164</t>
  </si>
  <si>
    <t>INV 109268</t>
  </si>
  <si>
    <t>INV 109267</t>
  </si>
  <si>
    <t>Avance provisionnée sur PTC</t>
  </si>
  <si>
    <t>Avance provisionnée PTC</t>
  </si>
  <si>
    <t>Micronisation 2 lots de 2kg</t>
  </si>
  <si>
    <r>
      <t xml:space="preserve">L21_3340A - </t>
    </r>
    <r>
      <rPr>
        <b/>
        <sz val="11"/>
        <rFont val="Calibri"/>
        <family val="2"/>
        <scheme val="minor"/>
      </rPr>
      <t>P00168_2021</t>
    </r>
  </si>
  <si>
    <t>Prélèvement et envois d'API ABX464</t>
  </si>
  <si>
    <r>
      <t xml:space="preserve">DDR 2021 0478 V1 - </t>
    </r>
    <r>
      <rPr>
        <b/>
        <sz val="11"/>
        <rFont val="Calibri"/>
        <family val="2"/>
        <scheme val="minor"/>
      </rPr>
      <t>P00169_2021</t>
    </r>
  </si>
  <si>
    <t>Solubility Test</t>
  </si>
  <si>
    <t>Anlaytical Test</t>
  </si>
  <si>
    <r>
      <t xml:space="preserve">(WO40#2021) - </t>
    </r>
    <r>
      <rPr>
        <b/>
        <sz val="11"/>
        <rFont val="Calibri"/>
        <family val="2"/>
        <scheme val="minor"/>
      </rPr>
      <t>P00163_2021</t>
    </r>
  </si>
  <si>
    <t>Morphological study ABX464 particles</t>
  </si>
  <si>
    <r>
      <t xml:space="preserve">W40 (WO22#2020) - Nov. 2020 à Mai 2021 - </t>
    </r>
    <r>
      <rPr>
        <b/>
        <sz val="11"/>
        <rFont val="Calibri"/>
        <family val="2"/>
        <scheme val="minor"/>
      </rPr>
      <t>P00166_2021</t>
    </r>
  </si>
  <si>
    <r>
      <t>ABI-1100 -</t>
    </r>
    <r>
      <rPr>
        <b/>
        <sz val="11"/>
        <rFont val="Calibri"/>
        <family val="2"/>
        <scheme val="minor"/>
      </rPr>
      <t xml:space="preserve"> P00161_2021</t>
    </r>
  </si>
  <si>
    <t>Réévaluation and shipping of DEX566 and DEX571</t>
  </si>
  <si>
    <r>
      <t xml:space="preserve">(WO36#2021) - </t>
    </r>
    <r>
      <rPr>
        <b/>
        <sz val="11"/>
        <rFont val="Calibri"/>
        <family val="2"/>
        <scheme val="minor"/>
      </rPr>
      <t>P00134_2021</t>
    </r>
    <r>
      <rPr>
        <sz val="11"/>
        <rFont val="Calibri"/>
        <family val="2"/>
        <scheme val="minor"/>
      </rPr>
      <t xml:space="preserve"> + (WO36#2021 Amdt 1) -</t>
    </r>
    <r>
      <rPr>
        <b/>
        <sz val="11"/>
        <rFont val="Calibri"/>
        <family val="2"/>
        <scheme val="minor"/>
      </rPr>
      <t xml:space="preserve"> P00162_2021</t>
    </r>
  </si>
  <si>
    <t>Stability Study tests in LAHR site Intermediates Stage 1;2;3;4 - At the beginning</t>
  </si>
  <si>
    <t>Stability Study tests in LAHR site Intermediates Stage 1;2;3;4 - At the end of the stab study (March  2023)</t>
  </si>
  <si>
    <t>INV 00010 21001453 RI</t>
  </si>
  <si>
    <t>INV 00010 21001464 RI</t>
  </si>
  <si>
    <t>INV 00010 21001475 RI</t>
  </si>
  <si>
    <t>INV BCI-0047560</t>
  </si>
  <si>
    <t>INV 36619</t>
  </si>
  <si>
    <r>
      <t xml:space="preserve">SFDC Opp-163950 + Amended Statement of Work No 01 Study CRL-240515 - </t>
    </r>
    <r>
      <rPr>
        <b/>
        <sz val="11"/>
        <rFont val="Calibri"/>
        <family val="2"/>
        <scheme val="minor"/>
      </rPr>
      <t>P00542_2020</t>
    </r>
  </si>
  <si>
    <r>
      <t xml:space="preserve">SFDC Opp-163950 Study CRL-240515 - </t>
    </r>
    <r>
      <rPr>
        <b/>
        <sz val="11"/>
        <rFont val="Calibri"/>
        <family val="2"/>
        <scheme val="minor"/>
      </rPr>
      <t>P00542_2020</t>
    </r>
  </si>
  <si>
    <t>INV 00011 21000089 RI + INV 00011 21000092 RI</t>
  </si>
  <si>
    <t>INV 00011 21000089 RI + INV 00011 21000090 RI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</si>
  <si>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</si>
  <si>
    <t>Upon release of medication</t>
  </si>
  <si>
    <t>CLI / CMC</t>
  </si>
  <si>
    <t>General consulting agreement ABX464-905 - 50% upon signature</t>
  </si>
  <si>
    <t>General consulting agreement ABX464-905 - 50% Upon Reg Authorities feedback</t>
  </si>
  <si>
    <t>UC-103 WO3 - WO3 A1 - WO3 A2 - WO3 A3</t>
  </si>
  <si>
    <t>I. Study start-up - 2019</t>
  </si>
  <si>
    <t>INV 21900023</t>
  </si>
  <si>
    <t>I. Study start-up - 2020</t>
  </si>
  <si>
    <t>INV 22000097 + INV 22000235 + INV 22001607</t>
  </si>
  <si>
    <t>20/01/2020 + 17/02/2020 + 21/12/2020</t>
  </si>
  <si>
    <t>I. Study start-up - 2021</t>
  </si>
  <si>
    <t>II. Project &amp; Data Management - 2019</t>
  </si>
  <si>
    <t>INV 21900878+INV 21901052+INV 21901206+INV 21901295+INV 201901484+INV 21901615</t>
  </si>
  <si>
    <t>08/07/2019+16/08/2019+16/09/2019+16/10/2019+18/11/2019+16/12/2019</t>
  </si>
  <si>
    <t>II. Project &amp; Data Management - 2020</t>
  </si>
  <si>
    <t>INV 22000097 + INV 22000235 + INV 22000385 + INV 22000519 + INV 22000642 + INV 22000745 + INV 22000943 + INV 22001050 + INV 22001189 + INV 22001290 + INV 22001429 + INV 22001607</t>
  </si>
  <si>
    <t>20/01/2020 + 17/02/2020+ 18/03/2020 + 17/04/2020 + 18/05/2020 + 15/06/2020 + 15/07/2020 + 14/08/2020 + 17/09/2020 + 15/10/2020 + 24/11/2020 + 21/12/2020</t>
  </si>
  <si>
    <t>II. Project &amp; Data Management - 2021</t>
  </si>
  <si>
    <t>III. Kits and Supplies - 2019</t>
  </si>
  <si>
    <t>INV 21901295+INV 21901484+ INV 21901615</t>
  </si>
  <si>
    <t>16/10/2019+18/11/2021+16/12/2019</t>
  </si>
  <si>
    <t>III. Kits and Supplies - 2020</t>
  </si>
  <si>
    <t>20/01/2020 + 17/02/2020 + 18/03/2020 + 17/04/2020 + 18/05/2020 + 15/06/2020 + 15/07/2020 + 14/08/2020 + 17/09/2020 + 15/10/2020 + 24/11/2020 + 21/12/2020</t>
  </si>
  <si>
    <t>III. Kits and Supplies - 2021</t>
  </si>
  <si>
    <t>IV. Specimen Management - 2019</t>
  </si>
  <si>
    <t>IV. Specimen Management - 2020</t>
  </si>
  <si>
    <t>INV 22001429 + INV 22001607</t>
  </si>
  <si>
    <t>IV. Specimen Management - 2021</t>
  </si>
  <si>
    <t>V. Laboratory Analysis - 2019</t>
  </si>
  <si>
    <t>V. Laboratory Analysis - 2020</t>
  </si>
  <si>
    <t>INV 22000385 + INV 22000519 + INV 22000642 + INV 22000745 + INV 22000943 + INV 22001050 + INV 22001189 + INV 22001290 + INV 22001429 + INV 22001607</t>
  </si>
  <si>
    <t>18/03/2020 + 17/04/2020 + 18/05/2020 + 15/06/2020 + 15/07/2020 + 14/08/2020 + 17/09/2020 + 15/10/2020 + 24/11/2020 + 21/12/2020</t>
  </si>
  <si>
    <t>V. Laboratory Analysis - 2021</t>
  </si>
  <si>
    <t>VI. PTC Transport and Rental - 2019</t>
  </si>
  <si>
    <t>08/07/2019+16/08/2021+16/09/2021+16/10/2019+18/11/2019+16/12/2019</t>
  </si>
  <si>
    <t>VI. PTC Transport and Rental - 2020</t>
  </si>
  <si>
    <t>VI. PTC Transport and Rental - 2021</t>
  </si>
  <si>
    <t>INV FRGRE2021168</t>
  </si>
  <si>
    <t>INV 58000636</t>
  </si>
  <si>
    <t>INV 58000630</t>
  </si>
  <si>
    <t>INV 109278</t>
  </si>
  <si>
    <t>INV 12208</t>
  </si>
  <si>
    <t>INV 2021-04-03 + INV 2021-06-02</t>
  </si>
  <si>
    <t>26/04/2021 + 10/06/2021</t>
  </si>
  <si>
    <t>FA210049 + FA210509 + FA211751 + FA212239</t>
  </si>
  <si>
    <t>29/01/2021 + 26/02/2021 + 30/04/2021 + 31/05/2021</t>
  </si>
  <si>
    <t>INV FA212040</t>
  </si>
  <si>
    <t>INV FA212031</t>
  </si>
  <si>
    <t>INV FA211532 + INV FA212030</t>
  </si>
  <si>
    <t>INV BWB77516 + INV CXA77517 + INV CYB77518 + INV CZB77519 + INV FA211532 + INV FA212030</t>
  </si>
  <si>
    <t>30/09/2020 + 30/10/2020 + 30/11/2020 + 31/12/2020 + 30/04/2021 + 31/05/2021</t>
  </si>
  <si>
    <t>INV FA212030 + INV FA211026</t>
  </si>
  <si>
    <t>31/05/2021 + 31/03/2021</t>
  </si>
  <si>
    <t>INV FA211026</t>
  </si>
  <si>
    <t>IV FA211037</t>
  </si>
  <si>
    <t>INV FA211037</t>
  </si>
  <si>
    <t>INV CNB92202 + INV CZB92204 + INV FA212117</t>
  </si>
  <si>
    <t>31/12/2019 + 31/12/2020 + 31/05/2021</t>
  </si>
  <si>
    <t>INV 109230 + INV 109254 + INV 109288</t>
  </si>
  <si>
    <t>23/04/2021 + 14/05/2021 + 16/06/2021</t>
  </si>
  <si>
    <t>INV 109288</t>
  </si>
  <si>
    <t>ABX464 sample from regulatory batches</t>
  </si>
  <si>
    <t>INV 00011 21000087 RI</t>
  </si>
  <si>
    <t>25/03/2021 (saisie en Juin)</t>
  </si>
  <si>
    <t>INV 5069</t>
  </si>
  <si>
    <t>INV 109286</t>
  </si>
  <si>
    <t>INV108784+INV108824+INV108864+INV108914+INV108953+INV108984+ INV 109057 + Inv 109134 + INV 109160 + INV 109186 + INV 109284</t>
  </si>
  <si>
    <t>11/11/2019+31/12/2019+20/02/2020+27/04/2020+04/06/2020+07/07/2020 + 13/10/2020 + 14/01/2021 + 10/02/2021 + 08/03/2021 + 14/06/2021</t>
  </si>
  <si>
    <t>INV 209215 + INV 109249 + INV 109284</t>
  </si>
  <si>
    <t>09/04/2021 + 11/05/2021 + 14/06/2021</t>
  </si>
  <si>
    <t>INV 108953 + INV 109160 + INV 109231 + INV 109249 + INV 109284</t>
  </si>
  <si>
    <t>04/06/2020 + 10/02/2021 + 28/04/2021 + 11/05/2021 + 14/06/2021</t>
  </si>
  <si>
    <t>INV 139</t>
  </si>
  <si>
    <t>INV 00010 21001555 RI</t>
  </si>
  <si>
    <t>INV 12913 + INV 19232</t>
  </si>
  <si>
    <t>30/11/2020 + 19/01/2021</t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</si>
  <si>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13  - P00175_2021</t>
    </r>
  </si>
  <si>
    <t>Decrease of cost study</t>
  </si>
  <si>
    <r>
      <t xml:space="preserve">OCS/L/21/2281 - </t>
    </r>
    <r>
      <rPr>
        <b/>
        <sz val="11"/>
        <rFont val="Calibri"/>
        <family val="2"/>
        <scheme val="minor"/>
      </rPr>
      <t>P00174_2021</t>
    </r>
  </si>
  <si>
    <r>
      <t xml:space="preserve">Quote du 14/06/2021 - </t>
    </r>
    <r>
      <rPr>
        <b/>
        <sz val="11"/>
        <rFont val="Calibri"/>
        <family val="2"/>
        <scheme val="minor"/>
      </rPr>
      <t>P00173_2021</t>
    </r>
    <r>
      <rPr>
        <sz val="11"/>
        <rFont val="Calibri"/>
        <family val="2"/>
        <scheme val="minor"/>
      </rPr>
      <t xml:space="preserve"> Site 3316 (France) </t>
    </r>
  </si>
  <si>
    <t>Audit site France site 3316</t>
  </si>
  <si>
    <t>CRL-345366 - ABX464 concentration in humain plasma</t>
  </si>
  <si>
    <r>
      <t xml:space="preserve">OPP-224653 - </t>
    </r>
    <r>
      <rPr>
        <b/>
        <sz val="11"/>
        <rFont val="Calibri"/>
        <family val="2"/>
        <scheme val="minor"/>
      </rPr>
      <t>P00172_2021</t>
    </r>
  </si>
  <si>
    <r>
      <t>SRV_21045 -</t>
    </r>
    <r>
      <rPr>
        <b/>
        <sz val="11"/>
        <rFont val="Calibri"/>
        <family val="2"/>
        <scheme val="minor"/>
      </rPr>
      <t xml:space="preserve"> P00171_2021</t>
    </r>
  </si>
  <si>
    <r>
      <t xml:space="preserve">DDR 2021 072 V1 - </t>
    </r>
    <r>
      <rPr>
        <b/>
        <sz val="11"/>
        <rFont val="Calibri"/>
        <family val="2"/>
        <scheme val="minor"/>
      </rPr>
      <t>P00165_2021</t>
    </r>
  </si>
  <si>
    <t>INV IT00121V0000481</t>
  </si>
  <si>
    <t>ABX464-902 - DDI Trial - CIS #2 WO007</t>
  </si>
  <si>
    <t>Destruction of back-up PK sample</t>
  </si>
  <si>
    <t>INV 109290</t>
  </si>
  <si>
    <t>INV 21001867</t>
  </si>
  <si>
    <t>Dertemination of caféine and praxanthine and ABC464-n-Glu in humane plasma</t>
  </si>
  <si>
    <t>INV 59000136</t>
  </si>
  <si>
    <r>
      <t xml:space="preserve">L21_3342A - </t>
    </r>
    <r>
      <rPr>
        <b/>
        <sz val="11"/>
        <rFont val="Calibri"/>
        <family val="2"/>
        <scheme val="minor"/>
      </rPr>
      <t>P00181_2021</t>
    </r>
  </si>
  <si>
    <t>Re test des lots cliniques 81262 &amp; 00818 &amp; 00819</t>
  </si>
  <si>
    <r>
      <t>2008014 Rev 04</t>
    </r>
    <r>
      <rPr>
        <b/>
        <sz val="11"/>
        <rFont val="Calibri"/>
        <family val="2"/>
        <scheme val="minor"/>
      </rPr>
      <t xml:space="preserve"> - P00182_2021</t>
    </r>
  </si>
  <si>
    <t>Sorption study phase II</t>
  </si>
  <si>
    <r>
      <t xml:space="preserve">(WO41#2021) - </t>
    </r>
    <r>
      <rPr>
        <b/>
        <sz val="11"/>
        <rFont val="Calibri"/>
        <family val="2"/>
        <scheme val="minor"/>
      </rPr>
      <t>P00180_2021</t>
    </r>
  </si>
  <si>
    <t>Grinding tests and analytical follow-up</t>
  </si>
  <si>
    <t>UC-104 WO4 + Amendement 2 +  Amendement 3</t>
  </si>
  <si>
    <t>INV 21901625</t>
  </si>
  <si>
    <t>INV 22000052 + INV 22000214 + INV 22000386 + INV 22000520 + INV 22000643 + INV 22000746 + INV 22000944 + INV 22001051 + INV 22001191 + INV 22001291 + INV 22001432 + INV 22001608</t>
  </si>
  <si>
    <t>15/01/2020 + 17/02/2020 + 18/03/2020 + 17/04/2020 + 18/05/2020 + 15/06/2020 + 15/07/2020 + 14/08/2020 + 17/09/2020 + 15/10/2020 + 24/11/2020 + 21/12/2020</t>
  </si>
  <si>
    <t>III. Kits &amp; Supplies - 2020</t>
  </si>
  <si>
    <t>INV 22000214 + INV 22000386 + INV 22000520 + INV 22000643 + INV 22000746 + INV 22000944 + INV 22001051 + INV 22001191 + INV 22001291 + INV 22001432 + INV 22001608</t>
  </si>
  <si>
    <t>17/02/2021 + 18/03/2020 + 17/04/2020 + 18/05/2020 + 15/06/2020 + 15/07/2020 + 14/08/2020 + 17/09/2020 + 15/10/2020 + 24/11/2020 + 21/12/2020</t>
  </si>
  <si>
    <t>III. Kits &amp; Supplies -2021</t>
  </si>
  <si>
    <t>IV. Speciemen Management - 2021</t>
  </si>
  <si>
    <t>VI. PTC - 2021</t>
  </si>
  <si>
    <r>
      <t xml:space="preserve">Work Order ZZA12851/00160070 - </t>
    </r>
    <r>
      <rPr>
        <b/>
        <sz val="11"/>
        <rFont val="Calibri"/>
        <family val="2"/>
        <scheme val="minor"/>
      </rPr>
      <t>P00791_2020</t>
    </r>
  </si>
  <si>
    <t xml:space="preserve">(WO33#2021 Amdt 1) - </t>
  </si>
  <si>
    <t>LOI a été signée pour des questions juridiques,, il n’y aura pas de fact</t>
  </si>
  <si>
    <t>INV 38649 + INV 42627</t>
  </si>
  <si>
    <t>20/05/2021 + 15/06/2021</t>
  </si>
  <si>
    <t>INV IT00121V0000274</t>
  </si>
  <si>
    <t>INV F020-SIN-0001332</t>
  </si>
  <si>
    <t>INV 10001787</t>
  </si>
  <si>
    <t>INV PJ20182318</t>
  </si>
  <si>
    <t>INV 008279</t>
  </si>
  <si>
    <t>INV 00010 21001684 RI</t>
  </si>
  <si>
    <t>ABX464 Dev. Tablet PHASE III - QBD program</t>
  </si>
  <si>
    <t>ABX464 Dev. Tablet PHASE V - CLINICAL Phase Pilot Program</t>
  </si>
  <si>
    <t>ABX464 Dev. Tablet PHASE II - PILOT SCALE PROGRAM</t>
  </si>
  <si>
    <t>ABX464 Dev. Tablet PHASE IV - CLINICAL LABSCALE PROGRAM</t>
  </si>
  <si>
    <t>INV 0855/21</t>
  </si>
  <si>
    <t>ABX464 Dev. Tablet Matière et contrôle Phase III clinique</t>
  </si>
  <si>
    <t>INV 0608/21 + INV 0690/21 + INV 0854/21 + INV 0886/21</t>
  </si>
  <si>
    <t>31/03/2021 + 29/04/2021 + 25/06/2021 + 28/06/2021</t>
  </si>
  <si>
    <t>INV 0590/21 + INV 0681/21 + INV 0728/21 + INV 0907/21</t>
  </si>
  <si>
    <t>25/03/2021 + 28/04/2021 + 21/05/2021 + 26/06/2021</t>
  </si>
  <si>
    <r>
      <t xml:space="preserve">Devis 2455 - </t>
    </r>
    <r>
      <rPr>
        <b/>
        <sz val="11"/>
        <rFont val="Calibri"/>
        <family val="2"/>
        <scheme val="minor"/>
      </rPr>
      <t>P00164_202</t>
    </r>
    <r>
      <rPr>
        <sz val="11"/>
        <rFont val="Calibri"/>
        <family val="2"/>
        <scheme val="minor"/>
      </rPr>
      <t>1</t>
    </r>
  </si>
  <si>
    <t>INV 210856</t>
  </si>
  <si>
    <t>CRL-328757 - Prelim Embryo-Fetal Dev in RATS -Amdt 1</t>
  </si>
  <si>
    <r>
      <t>Amdt 1 OPP-213342 -</t>
    </r>
    <r>
      <rPr>
        <b/>
        <sz val="11"/>
        <rFont val="Calibri"/>
        <family val="2"/>
        <scheme val="minor"/>
      </rPr>
      <t xml:space="preserve"> P00184_2021</t>
    </r>
  </si>
  <si>
    <r>
      <t xml:space="preserve">Amdt 1 OPP-213342 - </t>
    </r>
    <r>
      <rPr>
        <b/>
        <sz val="11"/>
        <rFont val="Calibri"/>
        <family val="2"/>
        <scheme val="minor"/>
      </rPr>
      <t>P00184_2021</t>
    </r>
  </si>
  <si>
    <t>CRL-328758 - Prelim Embryo-Fetal Dev in RABBIT - Add cost</t>
  </si>
  <si>
    <t>Solubility measurements for 2 soldi materials in vitro</t>
  </si>
  <si>
    <t>MSA_19087 WO1 CO2</t>
  </si>
  <si>
    <t>Upon execution of WO2</t>
  </si>
  <si>
    <r>
      <t>MSA_19087 WO1 +</t>
    </r>
    <r>
      <rPr>
        <sz val="11"/>
        <color theme="9"/>
        <rFont val="Calibri"/>
        <family val="2"/>
        <scheme val="minor"/>
      </rPr>
      <t xml:space="preserve"> MSA_19087 WO1 CO2</t>
    </r>
  </si>
  <si>
    <t>ABIVAX20201005 - Amdt 17</t>
  </si>
  <si>
    <t>EMA CMC Scientific Advise Packaging Review and Sub</t>
  </si>
  <si>
    <t>Preparation for US FDA breifing book for EOP2 Meeting</t>
  </si>
  <si>
    <t>INV-1032 + INV-1035</t>
  </si>
  <si>
    <t>25/05/2021 + 01/07/2021</t>
  </si>
  <si>
    <t>INV-1029 + INV-1032 + INV-1035</t>
  </si>
  <si>
    <t>19/04/2021 + 25/05/2021 + 01/07/2021</t>
  </si>
  <si>
    <r>
      <t>Quote du 07/01/2021 -</t>
    </r>
    <r>
      <rPr>
        <b/>
        <sz val="11"/>
        <rFont val="Calibri"/>
        <family val="2"/>
        <scheme val="minor"/>
      </rPr>
      <t xml:space="preserve"> P00005_2021 </t>
    </r>
    <r>
      <rPr>
        <sz val="11"/>
        <rFont val="Calibri"/>
        <family val="2"/>
        <scheme val="minor"/>
      </rPr>
      <t>Site 4818</t>
    </r>
  </si>
  <si>
    <t>INV-1011 + INV-1014 + INV-1018 + INV-1035</t>
  </si>
  <si>
    <t>19/10/2020 + 13/11/2020 + 30/12/2020 + 01/07/2021</t>
  </si>
  <si>
    <t>INV 10001889</t>
  </si>
  <si>
    <t>INV 10001788 + INV 10001890</t>
  </si>
  <si>
    <t>21/06/2021 + 29/06/2021</t>
  </si>
  <si>
    <t>INV 0924/21</t>
  </si>
  <si>
    <t>ABX464 CAPS new size - Batch manufacturing / analysis + Project management</t>
  </si>
  <si>
    <t>ABX464 CAPS new size - Option</t>
  </si>
  <si>
    <t>INV F21-913</t>
  </si>
  <si>
    <r>
      <t xml:space="preserve">PH21003 - </t>
    </r>
    <r>
      <rPr>
        <b/>
        <sz val="11"/>
        <rFont val="Calibri"/>
        <family val="2"/>
        <scheme val="minor"/>
      </rPr>
      <t>P00185_2021</t>
    </r>
  </si>
  <si>
    <t>JP921 - PK analysis - At signature</t>
  </si>
  <si>
    <t>JP921 - PK analysis - At completion of Analysis Plan</t>
  </si>
  <si>
    <t>JP921 - PK analysis - At completion of PK analysis</t>
  </si>
  <si>
    <t>JP921 - PK analysis - At Draft PK report</t>
  </si>
  <si>
    <t>JP921 - PK analysis - At Final PK report</t>
  </si>
  <si>
    <t>Amendement 3 WO004</t>
  </si>
  <si>
    <r>
      <t xml:space="preserve">WO004 - P00319_2019 + </t>
    </r>
    <r>
      <rPr>
        <b/>
        <sz val="16"/>
        <color theme="9"/>
        <rFont val="Calibri"/>
        <family val="2"/>
        <scheme val="minor"/>
      </rPr>
      <t>Amdt 1 WO004</t>
    </r>
    <r>
      <rPr>
        <b/>
        <sz val="16"/>
        <rFont val="Calibri"/>
        <family val="2"/>
        <scheme val="minor"/>
      </rPr>
      <t xml:space="preserve"> +</t>
    </r>
    <r>
      <rPr>
        <b/>
        <sz val="16"/>
        <color theme="5"/>
        <rFont val="Calibri"/>
        <family val="2"/>
        <scheme val="minor"/>
      </rPr>
      <t xml:space="preserve"> Amendement 2 WO004 </t>
    </r>
    <r>
      <rPr>
        <b/>
        <sz val="16"/>
        <rFont val="Calibri"/>
        <family val="2"/>
        <scheme val="minor"/>
      </rPr>
      <t>+</t>
    </r>
    <r>
      <rPr>
        <b/>
        <sz val="16"/>
        <color theme="4"/>
        <rFont val="Calibri"/>
        <family val="2"/>
        <scheme val="minor"/>
      </rPr>
      <t xml:space="preserve"> Amendement 3 WO004</t>
    </r>
  </si>
  <si>
    <t>ALL PTC fusionné dans une seule ligne - garde les ligne spour n° de factures et dates</t>
  </si>
  <si>
    <t>RA301 - Monthly Management Fee (Juin 2021 à Aout 2021) - durée 3 mois</t>
  </si>
  <si>
    <t>Signature of Amendment #3</t>
  </si>
  <si>
    <t>T&amp;M Activities to be invoice with Signature of Amendment #3</t>
  </si>
  <si>
    <t>PTC INVESTIGATOR FEE</t>
  </si>
  <si>
    <t>PTC ORACLE</t>
  </si>
  <si>
    <t>T&amp;M Activities</t>
  </si>
  <si>
    <t>INV Prise dans Investigator fee</t>
  </si>
  <si>
    <t>INV 73128 + INV 58000738</t>
  </si>
  <si>
    <t>19/01/2021 + 21/06/2021</t>
  </si>
  <si>
    <t>INV 58000738</t>
  </si>
  <si>
    <t>INV 59000158</t>
  </si>
  <si>
    <t>INV 58000737</t>
  </si>
  <si>
    <t>INV FRGRE2021193</t>
  </si>
  <si>
    <t>INV 109295</t>
  </si>
  <si>
    <t>INV 109297</t>
  </si>
  <si>
    <t>INV 109301</t>
  </si>
  <si>
    <t>INV 109300</t>
  </si>
  <si>
    <t>INV 109298</t>
  </si>
  <si>
    <t>INV PJ20211428</t>
  </si>
  <si>
    <t>INV PJ20211429</t>
  </si>
  <si>
    <t>Traget ID and complete profinling ABX3966 and ABX4004  - Reliquat</t>
  </si>
  <si>
    <t>INV FRA-002640</t>
  </si>
  <si>
    <t>INV BCI-0048511</t>
  </si>
  <si>
    <r>
      <t xml:space="preserve">OCS/L/20/1134 - </t>
    </r>
    <r>
      <rPr>
        <b/>
        <sz val="11"/>
        <rFont val="Calibri"/>
        <family val="2"/>
        <scheme val="minor"/>
      </rPr>
      <t>P00610_2020</t>
    </r>
  </si>
  <si>
    <t xml:space="preserve">Consulting analysis Labo </t>
  </si>
  <si>
    <t>INV FAC/L/21/0291</t>
  </si>
  <si>
    <t>INV 10000008</t>
  </si>
  <si>
    <t>INV IV-06210359-ABI</t>
  </si>
  <si>
    <t>INV 0011 21000080 RI</t>
  </si>
  <si>
    <t>INV F21-915</t>
  </si>
  <si>
    <t>ICH Stability studies for technical and validation item 1 - At the beginning of the study</t>
  </si>
  <si>
    <t>ICH Stability studies for technical and validation item 2 - At issu of 12 months results</t>
  </si>
  <si>
    <t>ICH Stability studies for technical and validation item 3 - At the issu of of 24 months results</t>
  </si>
  <si>
    <t>ICH Stability studies for technical and validation item 4 - At the issu of of 36 months results</t>
  </si>
  <si>
    <t>ICH Stability studies for technical and validation item 5 - At the issu of of 48 months results</t>
  </si>
  <si>
    <t>ICH Stability studies for technical and validation item 6 - At the issu of of 60 months results</t>
  </si>
  <si>
    <t>ICH Stability studies for technical and validation item 7 - At the issu of of 72 months results</t>
  </si>
  <si>
    <t>ICH Stability studies for technical and validation Item 1 - At the beginning of the study</t>
  </si>
  <si>
    <t>ICH Stability studies for technical and validation Item 2 - At issu of 12 months results</t>
  </si>
  <si>
    <t>ICH Stability studies for technical and validation Item 3 - At the issu of of 24 months results</t>
  </si>
  <si>
    <t>ICH Stability studies for technical and validation Item 4 - At the issu of of 36 months results</t>
  </si>
  <si>
    <t>ICH Stability studies for technical and validation Item 5 - At the issu of of 48 months results</t>
  </si>
  <si>
    <t>ICH Stability studies for technical and validation Item 6 - At the issu of of 60 months results</t>
  </si>
  <si>
    <t>ICH Stability studies for technical and validation Item 7 - At the issu of of 72 months results</t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</si>
  <si>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Réglementaire 1</t>
    </r>
  </si>
  <si>
    <r>
      <t xml:space="preserve">(WO26#2021) - </t>
    </r>
    <r>
      <rPr>
        <b/>
        <sz val="11"/>
        <rFont val="Calibri"/>
        <family val="2"/>
        <scheme val="minor"/>
      </rPr>
      <t xml:space="preserve">P00069_2021 </t>
    </r>
    <r>
      <rPr>
        <sz val="11"/>
        <rFont val="Calibri"/>
        <family val="2"/>
        <scheme val="minor"/>
      </rPr>
      <t>- Lot Réglementaire 1</t>
    </r>
  </si>
  <si>
    <r>
      <t>(WO26#2021) -</t>
    </r>
    <r>
      <rPr>
        <b/>
        <sz val="11"/>
        <rFont val="Calibri"/>
        <family val="2"/>
        <scheme val="minor"/>
      </rPr>
      <t xml:space="preserve"> P00069_2021</t>
    </r>
    <r>
      <rPr>
        <sz val="11"/>
        <rFont val="Calibri"/>
        <family val="2"/>
        <scheme val="minor"/>
      </rPr>
      <t xml:space="preserve"> - Lot Réglementaire 1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</si>
  <si>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réglementaire 2</t>
    </r>
  </si>
  <si>
    <r>
      <t xml:space="preserve">(WO26#2021) - </t>
    </r>
    <r>
      <rPr>
        <b/>
        <sz val="11"/>
        <rFont val="Calibri"/>
        <family val="2"/>
        <scheme val="minor"/>
      </rPr>
      <t xml:space="preserve">P00069_2021 </t>
    </r>
    <r>
      <rPr>
        <sz val="11"/>
        <rFont val="Calibri"/>
        <family val="2"/>
        <scheme val="minor"/>
      </rPr>
      <t>- Lot de validation 1</t>
    </r>
  </si>
  <si>
    <r>
      <t>(WO26#2021) -</t>
    </r>
    <r>
      <rPr>
        <b/>
        <sz val="11"/>
        <rFont val="Calibri"/>
        <family val="2"/>
        <scheme val="minor"/>
      </rPr>
      <t xml:space="preserve"> P00069_2021</t>
    </r>
    <r>
      <rPr>
        <sz val="11"/>
        <rFont val="Calibri"/>
        <family val="2"/>
        <scheme val="minor"/>
      </rPr>
      <t xml:space="preserve"> - Lot de validation 1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</si>
  <si>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de validation 1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</si>
  <si>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de validation 2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</si>
  <si>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de validation 3</t>
    </r>
  </si>
  <si>
    <t>INV 00010 21001799 RI</t>
  </si>
  <si>
    <t>INV 40023</t>
  </si>
  <si>
    <t>EMA Scientific Advise Briefing Package Prepartion and Sub ABX464</t>
  </si>
  <si>
    <t>PRA HEALTH - ICON</t>
  </si>
  <si>
    <t>INV GR00351346</t>
  </si>
  <si>
    <r>
      <t>PH21002 -</t>
    </r>
    <r>
      <rPr>
        <b/>
        <sz val="11"/>
        <rFont val="Calibri"/>
        <family val="2"/>
        <scheme val="minor"/>
      </rPr>
      <t xml:space="preserve"> P00193_2021</t>
    </r>
  </si>
  <si>
    <t>INV F21-914 + INV F21-917</t>
  </si>
  <si>
    <t>05/07/2021 + 09/07/2021</t>
  </si>
  <si>
    <t>INV 107994 + INV 108010</t>
  </si>
  <si>
    <t>PTC ORACLE ADVANCE COST</t>
  </si>
  <si>
    <t>INV 108084 + INV 108286 + INV 108356</t>
  </si>
  <si>
    <t>16/04/2018 + 04/09/2018 + 26/11/2018</t>
  </si>
  <si>
    <t>03/01/2018 +  17/01/2018</t>
  </si>
  <si>
    <t>PTC ORACLE 2018 - 04/04/2018 AU 03/01/2019</t>
  </si>
  <si>
    <t>PTC ORACLE 2019</t>
  </si>
  <si>
    <t>INV 108632 + INV 108575 + INV 108658 + INV 108783</t>
  </si>
  <si>
    <t>09/07/2019 + 12/07/2019 + 30/07/2019 + 11/11/2019</t>
  </si>
  <si>
    <t>PTC ORACLE 2020</t>
  </si>
  <si>
    <t>INV 108931 + INV 108955 + INV 109017 + INV 109033</t>
  </si>
  <si>
    <t>07/05/2020 + 04/06/2020 + 20/08/2020 + 09/09/2020</t>
  </si>
  <si>
    <r>
      <t>UC-102 - WO003 +</t>
    </r>
    <r>
      <rPr>
        <sz val="11"/>
        <color theme="9"/>
        <rFont val="Calibri"/>
        <family val="2"/>
        <scheme val="minor"/>
      </rPr>
      <t xml:space="preserve"> Amt1</t>
    </r>
    <r>
      <rPr>
        <sz val="11"/>
        <rFont val="Calibri"/>
        <family val="2"/>
        <scheme val="minor"/>
      </rPr>
      <t xml:space="preserve"> +</t>
    </r>
    <r>
      <rPr>
        <sz val="11"/>
        <color theme="5"/>
        <rFont val="Calibri"/>
        <family val="2"/>
        <scheme val="minor"/>
      </rPr>
      <t xml:space="preserve"> Amdt 2 </t>
    </r>
    <r>
      <rPr>
        <sz val="11"/>
        <rFont val="Calibri"/>
        <family val="2"/>
        <scheme val="minor"/>
      </rPr>
      <t xml:space="preserve">+ </t>
    </r>
    <r>
      <rPr>
        <sz val="11"/>
        <color theme="4"/>
        <rFont val="Calibri"/>
        <family val="2"/>
        <scheme val="minor"/>
      </rPr>
      <t>Admt 3</t>
    </r>
  </si>
  <si>
    <t>PTC INVESTIGATOR FEES 2020</t>
  </si>
  <si>
    <t>PTC INVESTIGATOR FEES 2018-2019</t>
  </si>
  <si>
    <t>08/01/2020 + 30/01/2020 + 06/02/2020 +24/02/2020+ 29/02/2020 + 18/04/2020 + 05/05/2020 + 29/05/2020 + 15/06/2020 + 02/07/2020 + 15/12/2020</t>
  </si>
  <si>
    <t>INV 10001710</t>
  </si>
  <si>
    <t>raport non reçu mais à recevoir</t>
  </si>
  <si>
    <t>à supprimer car non réaliser</t>
  </si>
  <si>
    <t>FNP S1 2020</t>
  </si>
  <si>
    <r>
      <t xml:space="preserve">DDR 2021 084 V1 - </t>
    </r>
    <r>
      <rPr>
        <b/>
        <sz val="11"/>
        <rFont val="Calibri"/>
        <family val="2"/>
        <scheme val="minor"/>
      </rPr>
      <t>P00195_2021</t>
    </r>
  </si>
  <si>
    <t>ABX464 CAPS 12,5 mg Technical batches 10 batches</t>
  </si>
  <si>
    <t>ABX464 CAPS 12,5 mg Technical batches 10 batches - Analyticial UPLC equipement</t>
  </si>
  <si>
    <r>
      <t xml:space="preserve">Devis 12804 Amdt 2 - </t>
    </r>
    <r>
      <rPr>
        <b/>
        <sz val="11"/>
        <rFont val="Calibri"/>
        <family val="2"/>
        <scheme val="minor"/>
      </rPr>
      <t>P00187_2021</t>
    </r>
  </si>
  <si>
    <t>IP supply ABX464 25mg/50mg/placebo blister</t>
  </si>
  <si>
    <t xml:space="preserve">Packing &amp; Shippement to Japan </t>
  </si>
  <si>
    <t>DI902 - Labelling of Wallet Cards</t>
  </si>
  <si>
    <t>CA905</t>
  </si>
  <si>
    <t>Cristallin vs Amorphus</t>
  </si>
  <si>
    <r>
      <t xml:space="preserve">Devis 12850-1 - </t>
    </r>
    <r>
      <rPr>
        <b/>
        <sz val="11"/>
        <rFont val="Calibri"/>
        <family val="2"/>
        <scheme val="minor"/>
      </rPr>
      <t>P00186_2021</t>
    </r>
  </si>
  <si>
    <t>IP supply ABX464 25mg capsules cards</t>
  </si>
  <si>
    <t>QRC Consultant</t>
  </si>
  <si>
    <t>SOP WRITING</t>
  </si>
  <si>
    <r>
      <t>AVX-21-01 v3 -</t>
    </r>
    <r>
      <rPr>
        <b/>
        <sz val="11"/>
        <rFont val="Calibri"/>
        <family val="2"/>
        <scheme val="minor"/>
      </rPr>
      <t xml:space="preserve"> P00192_2021</t>
    </r>
  </si>
  <si>
    <r>
      <t xml:space="preserve">SRV_21066 - </t>
    </r>
    <r>
      <rPr>
        <b/>
        <sz val="11"/>
        <rFont val="Calibri"/>
        <family val="2"/>
        <scheme val="minor"/>
      </rPr>
      <t>P00189_2021</t>
    </r>
  </si>
  <si>
    <r>
      <t xml:space="preserve">SRV_21067 - </t>
    </r>
    <r>
      <rPr>
        <b/>
        <sz val="11"/>
        <rFont val="Calibri"/>
        <family val="2"/>
        <scheme val="minor"/>
      </rPr>
      <t>P00190_2021</t>
    </r>
  </si>
  <si>
    <r>
      <t xml:space="preserve">OPP-218322 - </t>
    </r>
    <r>
      <rPr>
        <b/>
        <sz val="11"/>
        <rFont val="Calibri"/>
        <family val="2"/>
        <scheme val="minor"/>
      </rPr>
      <t>P00191_2021</t>
    </r>
  </si>
  <si>
    <r>
      <t>SRV_21077 -</t>
    </r>
    <r>
      <rPr>
        <b/>
        <sz val="11"/>
        <rFont val="Calibri"/>
        <family val="2"/>
        <scheme val="minor"/>
      </rPr>
      <t xml:space="preserve"> P00202_2021</t>
    </r>
  </si>
  <si>
    <t>Redaction protocol études UC105 / UC106 / UC107</t>
  </si>
  <si>
    <t>INV FA212710</t>
  </si>
  <si>
    <r>
      <t xml:space="preserve">Etude clinique UC102 extension de 132 unités ABX464 + Reception et Stockage </t>
    </r>
    <r>
      <rPr>
        <b/>
        <sz val="11"/>
        <rFont val="Calibri"/>
        <family val="2"/>
        <scheme val="minor"/>
      </rPr>
      <t>de retour</t>
    </r>
  </si>
  <si>
    <r>
      <t xml:space="preserve">Devis 11744 AVENANT 1 - </t>
    </r>
    <r>
      <rPr>
        <b/>
        <sz val="11"/>
        <rFont val="Calibri"/>
        <family val="2"/>
        <scheme val="minor"/>
      </rPr>
      <t>P00523_2020</t>
    </r>
    <r>
      <rPr>
        <sz val="11"/>
        <rFont val="Calibri"/>
        <family val="2"/>
        <scheme val="minor"/>
      </rPr>
      <t xml:space="preserve"> + Devis 11744-1 Avenant 2 -</t>
    </r>
    <r>
      <rPr>
        <b/>
        <sz val="11"/>
        <rFont val="Calibri"/>
        <family val="2"/>
        <scheme val="minor"/>
      </rPr>
      <t xml:space="preserve"> P00601_2020</t>
    </r>
  </si>
  <si>
    <t>EC2002091 + EC2003098 + EC2004166 + EC2005115 + EC2005115 + EC2008043 + EC2009226 + EC2010101 + EC2011102 + EC2012073 + FA211063 + FA212582</t>
  </si>
  <si>
    <t>FA210053 + FA210510 + FA211064 + FA211752 + FA212241 + FA212583</t>
  </si>
  <si>
    <t>29/01/2021 + 26/02/2021 + 31/03/2021 + 30/04/2021 + 31/05/2021 + 30/06/2021</t>
  </si>
  <si>
    <t>DELPHARM PARIS</t>
  </si>
  <si>
    <t>B 21 214 V2</t>
  </si>
  <si>
    <t>ABX464 DISSOLUTION TESTS devis basé sur cout unitaire</t>
  </si>
  <si>
    <t>INV 59000162</t>
  </si>
  <si>
    <t>06/07/202</t>
  </si>
  <si>
    <t>INV 59000203</t>
  </si>
  <si>
    <t>Audit ARCINOVA et PRA</t>
  </si>
  <si>
    <t>INV 2021-04-01 + INV 2021-07-01</t>
  </si>
  <si>
    <t>01/04/2021 + 13/07/2021</t>
  </si>
  <si>
    <t>INV 12241</t>
  </si>
  <si>
    <t>ABX464-902 - DDI Trial - CIS #3 WO007</t>
  </si>
  <si>
    <t>??</t>
  </si>
  <si>
    <t>INV 109308</t>
  </si>
  <si>
    <t>INV 109316</t>
  </si>
  <si>
    <t>CEVQ2020.07.06 - Pas de PO</t>
  </si>
  <si>
    <t>CEVQ2020.07.08 - Pas de PO</t>
  </si>
  <si>
    <t>Ocular exam Mice (males et femelles) 4 week ABX464-N-Glucuronide</t>
  </si>
  <si>
    <t>Ocular exam Mice (males et femelles) 4 week ABX464</t>
  </si>
  <si>
    <t>Pre-payment upon Signature of WO</t>
  </si>
  <si>
    <t>50% of Site Qualification Visits &amp; Reports Completed</t>
  </si>
  <si>
    <t>First Site Initiated</t>
  </si>
  <si>
    <t>FPI on Single Dose Part</t>
  </si>
  <si>
    <t>FPI of Multiple Dose Part</t>
  </si>
  <si>
    <t>Planned Statistical Analysis Complete</t>
  </si>
  <si>
    <t>Credit Back</t>
  </si>
  <si>
    <t>Monthly Payment 1</t>
  </si>
  <si>
    <t>Monthly Payment 2</t>
  </si>
  <si>
    <t>Monthly Payment 3</t>
  </si>
  <si>
    <t>Monthly Payment 4</t>
  </si>
  <si>
    <t>Monthly Payment 5</t>
  </si>
  <si>
    <t>Monthly Payment 6</t>
  </si>
  <si>
    <t>Monthly Payment 7</t>
  </si>
  <si>
    <t>Pass-Through costs*</t>
  </si>
  <si>
    <t>Investigator costs**</t>
  </si>
  <si>
    <t>Pass-Through costs - Upfront 20%</t>
  </si>
  <si>
    <t>Investigator costs - Upfont 20%</t>
  </si>
  <si>
    <t>L18_2534C</t>
  </si>
  <si>
    <t>Etude de stabilité lots cliniques présentation blister T60M</t>
  </si>
  <si>
    <t>Etude de stabilité lots cliniques présentation blister T48M</t>
  </si>
  <si>
    <t>Etude de stabilité lots cliniques présentation blister T42M</t>
  </si>
  <si>
    <r>
      <t xml:space="preserve">Devis 12892-1 - </t>
    </r>
    <r>
      <rPr>
        <b/>
        <sz val="11"/>
        <rFont val="Calibri"/>
        <family val="2"/>
        <scheme val="minor"/>
      </rPr>
      <t>P00206_2021</t>
    </r>
  </si>
  <si>
    <t>Blistering and shipement ABX464 12,5mg non-GMP</t>
  </si>
  <si>
    <t>INV 73129 + INV 58000799</t>
  </si>
  <si>
    <t>19/01/2021 + 02/07/2021</t>
  </si>
  <si>
    <t>INV 58000796</t>
  </si>
  <si>
    <r>
      <t xml:space="preserve">OPP-217005 - Study CRL-333576 - </t>
    </r>
    <r>
      <rPr>
        <b/>
        <sz val="11"/>
        <rFont val="Calibri"/>
        <family val="2"/>
        <scheme val="minor"/>
      </rPr>
      <t>P00210_2021</t>
    </r>
  </si>
  <si>
    <t>ABX464 new validation concentration LT study</t>
  </si>
  <si>
    <t>ABX464-NGlu new validation concentration LT study</t>
  </si>
  <si>
    <t xml:space="preserve">Combined 4 Week Oral Toxicity Study in wt mice - Add ophtalmology + Add TK </t>
  </si>
  <si>
    <t>INV 59000205</t>
  </si>
  <si>
    <r>
      <t>ATL-19/3868 -</t>
    </r>
    <r>
      <rPr>
        <b/>
        <sz val="11"/>
        <rFont val="Calibri"/>
        <family val="2"/>
        <scheme val="minor"/>
      </rPr>
      <t xml:space="preserve"> P00240</t>
    </r>
    <r>
      <rPr>
        <sz val="11"/>
        <rFont val="Calibri"/>
        <family val="2"/>
        <scheme val="minor"/>
      </rPr>
      <t>_2019</t>
    </r>
  </si>
  <si>
    <r>
      <t>ATL-19/3868 -</t>
    </r>
    <r>
      <rPr>
        <b/>
        <sz val="11"/>
        <rFont val="Calibri"/>
        <family val="2"/>
        <scheme val="minor"/>
      </rPr>
      <t xml:space="preserve"> P00240_2019</t>
    </r>
  </si>
  <si>
    <t>INV 59000204</t>
  </si>
  <si>
    <t>On supprimer le reste : cf RS vu avec JD le 21/07/2021</t>
  </si>
  <si>
    <t>P00102 A garder car il y a encore de activités de stabilité en cours. : RS le 21/07/2021</t>
  </si>
  <si>
    <t>Split : voir fichier excel "DDR 2020 087 V1 - ABX464"</t>
  </si>
  <si>
    <r>
      <t xml:space="preserve">ABX464 Dev. Tablet PHASE I - Preformulation/Formulation - </t>
    </r>
    <r>
      <rPr>
        <b/>
        <sz val="11"/>
        <rFont val="Calibri"/>
        <family val="2"/>
        <scheme val="minor"/>
      </rPr>
      <t>STAB</t>
    </r>
  </si>
  <si>
    <r>
      <t xml:space="preserve">ABX464 Dev. Tablet PHASE II - PILOT SCALE PROGRAM - </t>
    </r>
    <r>
      <rPr>
        <b/>
        <sz val="11"/>
        <rFont val="Calibri"/>
        <family val="2"/>
        <scheme val="minor"/>
      </rPr>
      <t>STAB</t>
    </r>
  </si>
  <si>
    <r>
      <t xml:space="preserve">ABX464 Dev. Tablet PHASE IV - CLINICAL LABSCALE PROGRAM - </t>
    </r>
    <r>
      <rPr>
        <b/>
        <sz val="11"/>
        <rFont val="Calibri"/>
        <family val="2"/>
        <scheme val="minor"/>
      </rPr>
      <t>STAB</t>
    </r>
  </si>
  <si>
    <t>INV 58000739 - AV 58000940</t>
  </si>
  <si>
    <t>21/06/2021 + 23/07/2021</t>
  </si>
  <si>
    <t>INV 42627 + INV 47429</t>
  </si>
  <si>
    <t>15/06/2021 + 19/07/2021</t>
  </si>
  <si>
    <t>INV 47429</t>
  </si>
  <si>
    <t>INV 0019/22</t>
  </si>
  <si>
    <t>INV 0146/21 + INV 0232/21 + INV 0354/21 + INV 0445/21 + INV 0715/21 + INV 0035/22</t>
  </si>
  <si>
    <t>28/09/2020 + 29/10/2020 + 21/12/2020 + 28/01/2021 + 19/05/2021 + 23/07/2021</t>
  </si>
  <si>
    <r>
      <t xml:space="preserve">(INV 108100 (23/04/2018) + INV 108231 (25/07/2018)) </t>
    </r>
    <r>
      <rPr>
        <sz val="11"/>
        <color theme="9"/>
        <rFont val="Calibri"/>
        <family val="2"/>
        <scheme val="minor"/>
      </rPr>
      <t>+ [INV 108308 (04/10/2018)-AV 204498)]</t>
    </r>
    <r>
      <rPr>
        <sz val="11"/>
        <rFont val="Calibri"/>
        <family val="2"/>
        <scheme val="minor"/>
      </rPr>
      <t xml:space="preserve"> + INV 108338 (02/11/2018) + INV 108392 (14/12/2018) + INV 108420 (08/01/2019) + INV 108425 (11/01/2019) + INV 108443 (21/01/2019) + INV 108460 (05/02/2019) + INV 108504 (13/03/2019)+ INV 108522 (01/04/2019) + INV 108552 (08/05/2019) + INV 108567 (20/05/2019) + INV 108572  (22/05/2019) + INV 108588 (10/06/2019) + INV 108607 (25/06/2019) + INV 108612 (01/07/2019) + [INV 108636 (15/07/2019)+INV 108640 (16/07/2019)+INV 108643 (19/07/2019)+INV 108670 (06/08/2019)+INV 108674 (14/08/2019)+INV 108698 du 23/08/2019+INV108719 du 13/09/2019+INV108734(26/09/2019)+INV108746(02/10/2019)+INV108756(16/10/2019)+INV108786(13/11/2019)+INV108803(29/11/2019)+INV108814(16/12/2019)]</t>
    </r>
  </si>
  <si>
    <t>INV 108833 + INV 108843 + INV 108851 + INV108867 + INV108876 + INV108907 + INV108924 + INV 108945 +  INV 108968 + INV 108980 (Advance) + INV 109112 (Advance)</t>
  </si>
  <si>
    <t>ALL PTC fusionné dans une seule ligne - garde les lignes pour n° de factures et dates</t>
  </si>
  <si>
    <t>INV 47022858 + INV 47024072</t>
  </si>
  <si>
    <t>Study CRL-299642 - Evaluation of in vitro phototoxicity on Balb/c 3T3 fibroblast</t>
  </si>
  <si>
    <t>Study CRL-299654 - Phototoxicity A 3-day study to determine the effect on eyes and skin in rats</t>
  </si>
  <si>
    <r>
      <t xml:space="preserve">Devis 12891-1 - </t>
    </r>
    <r>
      <rPr>
        <b/>
        <sz val="11"/>
        <rFont val="Calibri"/>
        <family val="2"/>
        <scheme val="minor"/>
      </rPr>
      <t>P00204_2021</t>
    </r>
  </si>
  <si>
    <t xml:space="preserve">Achat de materiel et equipement </t>
  </si>
  <si>
    <t>13/04/2021 + 22/06/2021 (saisie 01/07/2021)</t>
  </si>
  <si>
    <t>INV 00010 21002021 RI</t>
  </si>
  <si>
    <t>INV FRA-002668</t>
  </si>
  <si>
    <t>Validation LC-MS/MS Method for the Determination of Test Item in Mouse plasma</t>
  </si>
  <si>
    <r>
      <t xml:space="preserve">EVT10795 - </t>
    </r>
    <r>
      <rPr>
        <b/>
        <sz val="11"/>
        <rFont val="Calibri"/>
        <family val="2"/>
        <scheme val="minor"/>
      </rPr>
      <t>P00209_2021</t>
    </r>
    <r>
      <rPr>
        <sz val="11"/>
        <rFont val="Calibri"/>
        <family val="2"/>
        <scheme val="minor"/>
      </rPr>
      <t xml:space="preserve"> - senario 2</t>
    </r>
  </si>
  <si>
    <r>
      <t xml:space="preserve">EVT10794 - </t>
    </r>
    <r>
      <rPr>
        <b/>
        <sz val="11"/>
        <rFont val="Calibri"/>
        <family val="2"/>
        <scheme val="minor"/>
      </rPr>
      <t>P00208_2021</t>
    </r>
  </si>
  <si>
    <r>
      <t xml:space="preserve">EVT11251 - </t>
    </r>
    <r>
      <rPr>
        <b/>
        <sz val="11"/>
        <rFont val="Calibri"/>
        <family val="2"/>
        <scheme val="minor"/>
      </rPr>
      <t>P00207_2021</t>
    </r>
  </si>
  <si>
    <t>Tissue distribution study 2 test on Lon Evans RATS</t>
  </si>
  <si>
    <r>
      <t>ZNA79291 CO n°6 -</t>
    </r>
    <r>
      <rPr>
        <b/>
        <sz val="11"/>
        <color theme="9"/>
        <rFont val="Calibri"/>
        <family val="2"/>
        <scheme val="minor"/>
      </rPr>
      <t xml:space="preserve"> APTU </t>
    </r>
    <r>
      <rPr>
        <sz val="11"/>
        <rFont val="Calibri"/>
        <family val="2"/>
        <scheme val="minor"/>
      </rPr>
      <t xml:space="preserve">- </t>
    </r>
    <r>
      <rPr>
        <b/>
        <sz val="11"/>
        <rFont val="Calibri"/>
        <family val="2"/>
        <scheme val="minor"/>
      </rPr>
      <t>P00205_2021</t>
    </r>
  </si>
  <si>
    <r>
      <t xml:space="preserve">Devis 11922-2 Amdt 4 - </t>
    </r>
    <r>
      <rPr>
        <b/>
        <sz val="11"/>
        <rFont val="Calibri"/>
        <family val="2"/>
        <scheme val="minor"/>
      </rPr>
      <t>P00214_2021</t>
    </r>
  </si>
  <si>
    <t>UC104 Bottling 1400 bottles ABX464 25mg capsules</t>
  </si>
  <si>
    <r>
      <t xml:space="preserve">Devis 11922-2 Amdt 3 - </t>
    </r>
    <r>
      <rPr>
        <b/>
        <sz val="11"/>
        <rFont val="Calibri"/>
        <family val="2"/>
        <scheme val="minor"/>
      </rPr>
      <t>P00215_2021</t>
    </r>
  </si>
  <si>
    <t>UC104 Clincal packing additionnal bottles</t>
  </si>
  <si>
    <t>UC104 Bottling of blick 25mg capsule</t>
  </si>
  <si>
    <r>
      <t>Devis 11922-2 Amdt 2 -</t>
    </r>
    <r>
      <rPr>
        <b/>
        <sz val="11"/>
        <rFont val="Calibri"/>
        <family val="2"/>
        <scheme val="minor"/>
      </rPr>
      <t xml:space="preserve"> P00196_2021</t>
    </r>
  </si>
  <si>
    <r>
      <t>Devis 11922-2 Amdt 1 -</t>
    </r>
    <r>
      <rPr>
        <b/>
        <sz val="11"/>
        <rFont val="Calibri"/>
        <family val="2"/>
        <scheme val="minor"/>
      </rPr>
      <t xml:space="preserve"> P00107_2021</t>
    </r>
  </si>
  <si>
    <t>Dev of Solid Oral Dosage Form (Solid Dispersion) - CO6 On delivery of draft MBR for drug product clinical GMP batch manufacture (15mg)</t>
  </si>
  <si>
    <t>Dev of Solid Oral Dosage Form (Solid Dispersion) - CO6 On completion of the drug product GMP manufacture and packaging (15mg)</t>
  </si>
  <si>
    <t>Dev of Solid Oral Dosage Form (Solid Dispersion) - CO6 Upon release of clinical supplies (15mg)</t>
  </si>
  <si>
    <t>Dev of Solid Oral Dosage Form (Solid Dispersion) - CO6 On set-down of clinical stability study STAB/1001</t>
  </si>
  <si>
    <t>Dev of Solid Oral Dosage Form (Solid Dispersion) - CO6 on delivery of draft report of 1 month testing  STAB/1001</t>
  </si>
  <si>
    <t>Dev of Solid Oral Dosage Form (Solid Dispersion) - CO6 on delivery of draft report of 6 month testing  STAB/1001</t>
  </si>
  <si>
    <t>Dev of Solid Oral Dosage Form (Solid Dispersion) - CO6 on delivery of draft report of 12 month testing  STAB/1001</t>
  </si>
  <si>
    <t>Dev of Solid Oral Dosage Form (Solid Dispersion) - CO6 on delivery of draft report of 24 month testing  STAB/1001</t>
  </si>
  <si>
    <t>Dev of Solid Oral Dosage Form (Solid Dispersion) - CO6 on delivery of draft report of 12 month testing for ASD in Bulk - STAB/858</t>
  </si>
  <si>
    <t>Dev of Solid Oral Dosage Form (Solid Dispersion) - CO6 ANNULATION CO5</t>
  </si>
  <si>
    <t>étape annulée dans le CO6</t>
  </si>
  <si>
    <t>INV PJ20182639</t>
  </si>
  <si>
    <t>INV 22100067 + INV 22100200 + INV 22100344 + INV 22100476 + INV 22100621 + INV 22100867</t>
  </si>
  <si>
    <t>22/01/2021 + 18/02/2021 + 23/03/2021 + 22/04/2021 + 31/05/2021 + 23/07/2021</t>
  </si>
  <si>
    <t>INV 22100724 + INV 22100868</t>
  </si>
  <si>
    <t>22/06/2021 + 23/07/2021</t>
  </si>
  <si>
    <t>INV 10000083</t>
  </si>
  <si>
    <t>INV 2021-06-04 + INV 2021-07-05</t>
  </si>
  <si>
    <t>29/06/2021 + 29/07/2021</t>
  </si>
  <si>
    <t>INV 2020-11-02 + INV 2021-07-03</t>
  </si>
  <si>
    <t>10/11/2020 + 29/07/2021</t>
  </si>
  <si>
    <t>INV F20001323 + INV F21000241 + INV F21001027</t>
  </si>
  <si>
    <t>29/10/2020 + 26/02/2021 + 30/07/2021</t>
  </si>
  <si>
    <r>
      <t xml:space="preserve">Quote 20200310_01_NBR_103 CHANGE ORRDER - </t>
    </r>
    <r>
      <rPr>
        <b/>
        <sz val="11"/>
        <rFont val="Calibri"/>
        <family val="2"/>
        <scheme val="minor"/>
      </rPr>
      <t>P00136_2021</t>
    </r>
  </si>
  <si>
    <t>INV PJ20182738</t>
  </si>
  <si>
    <t>INV PJ20182433</t>
  </si>
  <si>
    <t>30/06/2021 (recu le 01/07/2021)</t>
  </si>
  <si>
    <t>ABX464-NGlu new validation concentration LT study - Additional stability</t>
  </si>
  <si>
    <t>MSA_19134_WO1 + WO2 + WO3 + WO4</t>
  </si>
  <si>
    <t>Monthly fee - Sur toute l'étude</t>
  </si>
  <si>
    <t>SCRIPPS RESEARCH SERVICES</t>
  </si>
  <si>
    <t>SRV_19591</t>
  </si>
  <si>
    <t>TOTAL BUDGET - a mettre à jour après travaux d'Helen</t>
  </si>
  <si>
    <t>INV 5212</t>
  </si>
  <si>
    <t>INV PJ20211648</t>
  </si>
  <si>
    <t>INV PJ20211644</t>
  </si>
  <si>
    <t>INV 109333</t>
  </si>
  <si>
    <t>INV 109334</t>
  </si>
  <si>
    <t>INV 109335</t>
  </si>
  <si>
    <t>Invoice for Start Up Cost</t>
  </si>
  <si>
    <t>Invoice for IRB Amendment</t>
  </si>
  <si>
    <t>Invoice for patient visits</t>
  </si>
  <si>
    <t>Invoice for participant travel reimbursement</t>
  </si>
  <si>
    <t>Invoice for Annual Maintenance</t>
  </si>
  <si>
    <t>Invoice for IRB Renewal</t>
  </si>
  <si>
    <t>Invoice for Screen Fail</t>
  </si>
  <si>
    <t>Monitoring Visit Fee</t>
  </si>
  <si>
    <t>Invoice for patient activity</t>
  </si>
  <si>
    <t>65104-5646-5479-01</t>
  </si>
  <si>
    <t>65104-5646-5479-02</t>
  </si>
  <si>
    <t>65104-5646-5479-03</t>
  </si>
  <si>
    <t>65104-5646-5479-04</t>
  </si>
  <si>
    <t>65104-5646-5479-05</t>
  </si>
  <si>
    <t>65104-5646-5479-06</t>
  </si>
  <si>
    <t>65104-5646-5479-07</t>
  </si>
  <si>
    <t>65104-5646-5479-10</t>
  </si>
  <si>
    <t>65104-5646-5479-08</t>
  </si>
  <si>
    <t>65104-5646-5479-09</t>
  </si>
  <si>
    <t>65104-5646-5479-11</t>
  </si>
  <si>
    <t>65104-5646-5479-12</t>
  </si>
  <si>
    <t>65104-5646-5479-13</t>
  </si>
  <si>
    <t>65104-5646-5479-14</t>
  </si>
  <si>
    <t>65104-5646-5479-15</t>
  </si>
  <si>
    <t>65104-5646-5479-16</t>
  </si>
  <si>
    <t>65104-5646-5479-17</t>
  </si>
  <si>
    <t>65104-5646-5479-18</t>
  </si>
  <si>
    <t>65104-5646-5479-19</t>
  </si>
  <si>
    <t>65104-5646-5479-20</t>
  </si>
  <si>
    <t>65104-5646-05479-21</t>
  </si>
  <si>
    <t>65104-5646-05479-22</t>
  </si>
  <si>
    <t>20/09/2020 comptabilisée 01/02/2021</t>
  </si>
  <si>
    <t>Invoiceables ( ABX 196-001 ) PTC</t>
  </si>
  <si>
    <t>RS demande a AV si la LOI est comprise dans le budget MSA_19134</t>
  </si>
  <si>
    <t>INV FRGRE2021240</t>
  </si>
  <si>
    <t>INV BCI-0049572</t>
  </si>
  <si>
    <t>INV BCI-0041872 + INB BCI-0042783 + INV BCI-0047560 + INV BCI-0048511 + INV BCI-0049572</t>
  </si>
  <si>
    <t>30/11/2020 + 31/12/2020 + 31/05/2021 + 30/06/2021 + 31/07/2021</t>
  </si>
  <si>
    <t>INV F21-927</t>
  </si>
  <si>
    <t>INV F21-938</t>
  </si>
  <si>
    <r>
      <t>CO n°1 OPP-157779 - Study CRL-280312 -</t>
    </r>
    <r>
      <rPr>
        <b/>
        <sz val="11"/>
        <rFont val="Calibri"/>
        <family val="2"/>
        <scheme val="minor"/>
      </rPr>
      <t xml:space="preserve"> P00222_2021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</si>
  <si>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14  - P00227_2021</t>
    </r>
  </si>
  <si>
    <t>Heart microscopic observation</t>
  </si>
  <si>
    <r>
      <t xml:space="preserve">Monthly fee - services </t>
    </r>
    <r>
      <rPr>
        <b/>
        <sz val="11"/>
        <rFont val="Calibri"/>
        <family val="2"/>
        <scheme val="minor"/>
      </rPr>
      <t>- 20 000 USD Deposit 400 000 / 20 mois</t>
    </r>
  </si>
  <si>
    <t>Facture = 400 000 deposit - Deposit LOI + 119 632,64 USD de services - a contrôler pour le solde a la fin de l'étude</t>
  </si>
  <si>
    <t>UC104 ABX464 blister for stability of clinical batch</t>
  </si>
  <si>
    <r>
      <t xml:space="preserve">Devis 12932 - </t>
    </r>
    <r>
      <rPr>
        <b/>
        <sz val="11"/>
        <rFont val="Calibri"/>
        <family val="2"/>
        <scheme val="minor"/>
      </rPr>
      <t>P00223_2021</t>
    </r>
  </si>
  <si>
    <t>SCOPE INTERNATIONAL</t>
  </si>
  <si>
    <r>
      <t>SRV_21082 - LOI -</t>
    </r>
    <r>
      <rPr>
        <b/>
        <sz val="11"/>
        <rFont val="Calibri"/>
        <family val="2"/>
        <scheme val="minor"/>
      </rPr>
      <t xml:space="preserve"> P00217_2021</t>
    </r>
  </si>
  <si>
    <t>To speed enrolment in France</t>
  </si>
  <si>
    <r>
      <t xml:space="preserve">Task Order COVID-19 - </t>
    </r>
    <r>
      <rPr>
        <b/>
        <sz val="11"/>
        <rFont val="Calibri"/>
        <family val="2"/>
        <scheme val="minor"/>
      </rPr>
      <t>P00221_2021</t>
    </r>
  </si>
  <si>
    <r>
      <t xml:space="preserve">Devis 12795-1 - </t>
    </r>
    <r>
      <rPr>
        <b/>
        <sz val="11"/>
        <rFont val="Calibri"/>
        <family val="2"/>
        <scheme val="minor"/>
      </rPr>
      <t>P00230_2021</t>
    </r>
  </si>
  <si>
    <t>Translation of English master label for phase III</t>
  </si>
  <si>
    <r>
      <t xml:space="preserve">Quote du 04/08/2021 - </t>
    </r>
    <r>
      <rPr>
        <b/>
        <sz val="11"/>
        <rFont val="Calibri"/>
        <family val="2"/>
        <scheme val="minor"/>
      </rPr>
      <t>P00228_2021</t>
    </r>
  </si>
  <si>
    <t>Audit of Intuvigilance vendor</t>
  </si>
  <si>
    <t>INV FA213183</t>
  </si>
  <si>
    <t>INV FA213246</t>
  </si>
  <si>
    <t>INV CUB77514 + INV CVB77515 + INV CXA77517 + INV CYB77518 + INV FA210006 + INV FA213212</t>
  </si>
  <si>
    <t>31/07/2020 + 31/08/2020 + 30/10/2020 + 30/11/2020 + 29/01/2021 + 30/07/2021</t>
  </si>
  <si>
    <t>INV FA213182</t>
  </si>
  <si>
    <r>
      <t xml:space="preserve">Devis 11936 - </t>
    </r>
    <r>
      <rPr>
        <b/>
        <sz val="11"/>
        <rFont val="Calibri"/>
        <family val="2"/>
        <scheme val="minor"/>
      </rPr>
      <t>P00450_2019</t>
    </r>
  </si>
  <si>
    <t>INV CLI/2021/02/ABI/04 + INV CLI/2021/02/ABI/06 + INV CLI/2021/05/ABI/01 + INV CLI/2021/06/ABI/01 + INV CLI/2021/08/ABI/02</t>
  </si>
  <si>
    <t>10/02/2021 + 21/02/2021 + 07/05/2021 + 21/06/2021 + 11/08/2021</t>
  </si>
  <si>
    <t>INV 40531</t>
  </si>
  <si>
    <t>INV GR00355244</t>
  </si>
  <si>
    <t>INV 47608401</t>
  </si>
  <si>
    <t>INV 47608400</t>
  </si>
  <si>
    <t>INV BNV2/2101101</t>
  </si>
  <si>
    <r>
      <t xml:space="preserve">DEVIS n° 2021.06.01 v2 - </t>
    </r>
    <r>
      <rPr>
        <b/>
        <sz val="11"/>
        <rFont val="Calibri"/>
        <family val="2"/>
        <scheme val="minor"/>
      </rPr>
      <t>P00194_2021</t>
    </r>
  </si>
  <si>
    <t>Audit of Iron Mountain Chartres Facilities</t>
  </si>
  <si>
    <t>INV-1035 + INV-1040</t>
  </si>
  <si>
    <t>01/07/2021 + 06/08/2021</t>
  </si>
  <si>
    <t>Absolute quantification of mir124.1 on clinical trial samples -Additional data-analysis</t>
  </si>
  <si>
    <t>Absolute quantification of mir124.1 on clinical trial samples - High-throughput extraction method validation on PAXgene tubes</t>
  </si>
  <si>
    <t>Absolute quantification of mir124.1 on clinical trial samples - Additional intermediate study report (rectal biopsies)</t>
  </si>
  <si>
    <t>SRV_21002_CO2</t>
  </si>
  <si>
    <t>réalisation du safety data pooling de l’ensemble des études d’ABIVAX - new derived pool+update of the pool with new data for 7 studies+minor updates to all 14 studies</t>
  </si>
  <si>
    <r>
      <t>Amdt 2 OPP-157779 - Study CRL-229187 -</t>
    </r>
    <r>
      <rPr>
        <b/>
        <sz val="11"/>
        <rFont val="Calibri"/>
        <family val="2"/>
        <scheme val="minor"/>
      </rPr>
      <t xml:space="preserve"> P00233_2021</t>
    </r>
  </si>
  <si>
    <t>Combined 4 Week Oral Toxicity Study in wt mice - error typing + add task</t>
  </si>
  <si>
    <r>
      <t xml:space="preserve">Amdt 1 OPP-157779 - Study CRL-229187 - </t>
    </r>
    <r>
      <rPr>
        <b/>
        <sz val="11"/>
        <rFont val="Calibri"/>
        <family val="2"/>
        <scheme val="minor"/>
      </rPr>
      <t>P00232_202</t>
    </r>
    <r>
      <rPr>
        <sz val="11"/>
        <rFont val="Calibri"/>
        <family val="2"/>
        <scheme val="minor"/>
      </rPr>
      <t>1</t>
    </r>
  </si>
  <si>
    <t>INV SI_KSA2103659</t>
  </si>
  <si>
    <t>INV 00010 21001516 RI</t>
  </si>
  <si>
    <t>09/06/2021 (recu en 09/2021)</t>
  </si>
  <si>
    <t>INV 00010 21001576 RI</t>
  </si>
  <si>
    <t>15/06/2021 (reçu en 09/2021)</t>
  </si>
  <si>
    <t>Date vu avec RS/DS le 24/06/2021</t>
  </si>
  <si>
    <t>SRV_21002_CO1</t>
  </si>
  <si>
    <t>réalisation du safety data pooling de l’ensemble des études d’ABIVAX - activation of certain options</t>
  </si>
  <si>
    <t>02/09/2021 : demande faite a PP pour savoir si ces options sont inclusent dans Option ligne 3588</t>
  </si>
  <si>
    <t>INV 22100621 + INV 22100967</t>
  </si>
  <si>
    <t>31/05/2021 + 22/08/2021</t>
  </si>
  <si>
    <t>INV 10001662 + INV 10000122</t>
  </si>
  <si>
    <t>19/05/2021 + 24/08/2021</t>
  </si>
  <si>
    <t>19/05/2021 + 25/08/2021</t>
  </si>
  <si>
    <t>INV 10000160</t>
  </si>
  <si>
    <t>INV 10000159</t>
  </si>
  <si>
    <t>INV 10000158</t>
  </si>
  <si>
    <t>INV 10000157</t>
  </si>
  <si>
    <t>INV 58001136</t>
  </si>
  <si>
    <t>INV 58001141</t>
  </si>
  <si>
    <t>INV 58001122</t>
  </si>
  <si>
    <r>
      <t xml:space="preserve">Opp-191738 - </t>
    </r>
    <r>
      <rPr>
        <b/>
        <sz val="11"/>
        <rFont val="Calibri"/>
        <family val="2"/>
        <scheme val="minor"/>
      </rPr>
      <t>P00746_2020</t>
    </r>
  </si>
  <si>
    <t>INV 109299 + INV 109364</t>
  </si>
  <si>
    <t>02/07/2021 + 26/08/2021</t>
  </si>
  <si>
    <t>Voir sur facture 109364 pour detail</t>
  </si>
  <si>
    <t>INV 109359</t>
  </si>
  <si>
    <t>INV 108966 + INV 109255 + INV 109358</t>
  </si>
  <si>
    <t>11/06/2020 + 14/05/2021 + 18/08/2021</t>
  </si>
  <si>
    <t>INV 109358</t>
  </si>
  <si>
    <t>INV 21002410</t>
  </si>
  <si>
    <t>INV GR00358062</t>
  </si>
  <si>
    <t>INV GR00351318</t>
  </si>
  <si>
    <t>07/07/2021 (reçu en 09/2021)</t>
  </si>
  <si>
    <t>INV PJ20182951</t>
  </si>
  <si>
    <t>INV 148.21.24 + INV 151.21.27 + INV 155.21.31 + INV 156.21.32</t>
  </si>
  <si>
    <t>19/07/2021 + 23/07/2021 + 01/09/2021 + 01/09/2021</t>
  </si>
  <si>
    <t>INV 150.21.26 + INV 152.21.28 + INV 158.21.34 + INV 157.21.33</t>
  </si>
  <si>
    <t>INV FRA-002701</t>
  </si>
  <si>
    <t>INV 109188 + INV 109211 + INV 109245 + INV 109357 + INV 109292</t>
  </si>
  <si>
    <t>09/03/2021 + 09/04/2021 + 07/05/2021 + 17/08/2021 + 29/06/2021</t>
  </si>
  <si>
    <t>INV FA213671</t>
  </si>
  <si>
    <t>INV FA210006  + INV FA210512 + INV FA211532 + INV FA212030 + INV FA211026 + INV FA212709 + INV FA213212 + FA213768</t>
  </si>
  <si>
    <t>29/01/2021 + 26/02/2021 + 30/04/2021 + 31/05/2021 + 31/03/2021 + 30/06/2021 + 30/07/2021 + 31/08/2021</t>
  </si>
  <si>
    <t>INV FA211026 + INV FA212709 + INV FA213212 + FA213768</t>
  </si>
  <si>
    <t>31/03/2021 + 30/06/2021 + 30/07/2021 + 31/08/2021</t>
  </si>
  <si>
    <t>FACT BVB17801 du 29/06/2018 + FACT CHB17805 du 28/06/2019</t>
  </si>
  <si>
    <t>INV FA213769</t>
  </si>
  <si>
    <t>INV 58001174</t>
  </si>
  <si>
    <t>INV 58001175</t>
  </si>
  <si>
    <t>INV 58000801 + INV 58001169</t>
  </si>
  <si>
    <t>02/07/2021 + 03/09/2021</t>
  </si>
  <si>
    <t>INV 20210401813 + INV 20210501820 + INV 20210701870 + INV 20210801894</t>
  </si>
  <si>
    <t>30/04/2021 + 31/05/2021 + 29/07/2021 + 31/08/2021</t>
  </si>
  <si>
    <r>
      <t>RA ABX464-302 WO006 + Amdt 001 +</t>
    </r>
    <r>
      <rPr>
        <sz val="11"/>
        <color theme="8" tint="0.39997558519241921"/>
        <rFont val="Calibri"/>
        <family val="2"/>
        <scheme val="minor"/>
      </rPr>
      <t xml:space="preserve"> Amdt 002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</si>
  <si>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</t>
    </r>
    <r>
      <rPr>
        <sz val="11"/>
        <color theme="5"/>
        <rFont val="Calibri"/>
        <family val="2"/>
        <scheme val="minor"/>
      </rPr>
      <t>Amdt 003</t>
    </r>
  </si>
  <si>
    <t>A RA302 - WO006 - Signature of the Work order</t>
  </si>
  <si>
    <t>B RA302 - WO006 - All submissions performed including compliance checked</t>
  </si>
  <si>
    <t>C RA302 - WO006 - Payment (go live eCRF and FPI)</t>
  </si>
  <si>
    <t>D RA302 - WO006 - First visit 50% subjects</t>
  </si>
  <si>
    <t>E RA302 - WO006 - Signature of Admt 2</t>
  </si>
  <si>
    <t>F RA302 - WO006 - First visit last subject</t>
  </si>
  <si>
    <t>G RA302 - WO006 - Last subject completes 6 months</t>
  </si>
  <si>
    <t>H RA302 - WO006 - Last subject completes 1 year</t>
  </si>
  <si>
    <t>I RA302 - WO006 - Last visit 50% subjects</t>
  </si>
  <si>
    <t>j RA302 - WO006 - Last visit Last subject</t>
  </si>
  <si>
    <t>k RA302 - WO006 - Data base lock</t>
  </si>
  <si>
    <t>l RA302 - WO006 - TLF (Final Table Listing and Figures)</t>
  </si>
  <si>
    <t>m RA302 - WO006 - Final CSR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</si>
  <si>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</si>
  <si>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  <r>
      <rPr>
        <sz val="11"/>
        <rFont val="Calibri"/>
        <family val="2"/>
        <scheme val="minor"/>
      </rPr>
      <t xml:space="preserve"> + Amdt 002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</si>
  <si>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</si>
  <si>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  <r>
      <rPr>
        <sz val="1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</si>
  <si>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+ </t>
    </r>
    <r>
      <rPr>
        <sz val="11"/>
        <color rgb="FFFF0000"/>
        <rFont val="Calibri"/>
        <family val="2"/>
        <scheme val="minor"/>
      </rPr>
      <t>Amdt 001</t>
    </r>
    <r>
      <rPr>
        <sz val="11"/>
        <rFont val="Calibri"/>
        <family val="2"/>
        <scheme val="minor"/>
      </rPr>
      <t xml:space="preserve"> + </t>
    </r>
    <r>
      <rPr>
        <sz val="11"/>
        <color theme="4"/>
        <rFont val="Calibri"/>
        <family val="2"/>
        <scheme val="minor"/>
      </rPr>
      <t>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</si>
  <si>
    <t>INV 109370</t>
  </si>
  <si>
    <t>INV BCI-0050566</t>
  </si>
  <si>
    <t>INV BCI-0037859 + INV BCI-0041872 + INV BCI-0043764 + INV BCI-0045600 + INV BCI-0046585 + INV BCI-0047560 + INV BCI-0048511 + INV BCI-0049572 + INV BCI-0050566</t>
  </si>
  <si>
    <t>31/07/2020 + 30/11/2020 + 31/01/2021 + 31/03/2021 + 30/04/2021 + 31/05/2021 + 30/06/2021 + 31/07/2021 + 31/08/2021</t>
  </si>
  <si>
    <t>INV BCI-0037859 + INV BCI-0043764 + INV BCI-0046585 + INV BCI-0047560 + INV BCI-0048511 + BCI-0049572 + INV BCI-0050566</t>
  </si>
  <si>
    <t>31/07/2020 + 31/01/2021 + 30/04/2021 + 31/05/2021 + 30/06/2021 + 31/07/2021 + 31/08/2021</t>
  </si>
  <si>
    <t>INV PJ20211931</t>
  </si>
  <si>
    <t>INV PJ20211932</t>
  </si>
  <si>
    <t>Upon Start of manufacturing</t>
  </si>
  <si>
    <t>INV GR00358557</t>
  </si>
  <si>
    <t>INV 58001187</t>
  </si>
  <si>
    <t>INV GR00352652 + INV GR00358624</t>
  </si>
  <si>
    <t>19/07/2021 + 09/09/2021</t>
  </si>
  <si>
    <t>INV 41037</t>
  </si>
  <si>
    <t>INV FRA-002737</t>
  </si>
  <si>
    <r>
      <t xml:space="preserve">PH21053 - </t>
    </r>
    <r>
      <rPr>
        <b/>
        <sz val="11"/>
        <rFont val="Calibri"/>
        <family val="2"/>
        <scheme val="minor"/>
      </rPr>
      <t>P00242_2021</t>
    </r>
  </si>
  <si>
    <t>Interim PK Analysis of Part A</t>
  </si>
  <si>
    <r>
      <t xml:space="preserve">Devis 12892-1 Avt 1 - </t>
    </r>
    <r>
      <rPr>
        <b/>
        <sz val="11"/>
        <rFont val="Calibri"/>
        <family val="2"/>
        <scheme val="minor"/>
      </rPr>
      <t>P00240_2021</t>
    </r>
  </si>
  <si>
    <t>Blistering of ABX464 stability size 4 capsules</t>
  </si>
  <si>
    <r>
      <t>SRV_21081 -</t>
    </r>
    <r>
      <rPr>
        <b/>
        <sz val="11"/>
        <rFont val="Calibri"/>
        <family val="2"/>
        <scheme val="minor"/>
      </rPr>
      <t xml:space="preserve"> P00239_2021</t>
    </r>
  </si>
  <si>
    <t>Upon execution of Agreement 15%</t>
  </si>
  <si>
    <t>Upon approval of the IEC 10%</t>
  </si>
  <si>
    <t>Upon first subject dosed 10%</t>
  </si>
  <si>
    <t>10th subject dosed 7,5%</t>
  </si>
  <si>
    <t>20th subject dosed 7,5%</t>
  </si>
  <si>
    <t>30th subject dosed 7,5%</t>
  </si>
  <si>
    <t>40th subject dosed 7,5%</t>
  </si>
  <si>
    <t>50th subject dosed 7,5%</t>
  </si>
  <si>
    <t>Last subject last visit 7,5%</t>
  </si>
  <si>
    <t>Database hard lock 10%</t>
  </si>
  <si>
    <t>Tables, Files, Listings 5%</t>
  </si>
  <si>
    <t>Final CSR 5%</t>
  </si>
  <si>
    <t>PTC - General consulting agreement ABX464-905 - PTC</t>
  </si>
  <si>
    <t>PTC - Upfront 20%</t>
  </si>
  <si>
    <t xml:space="preserve">PTC </t>
  </si>
  <si>
    <r>
      <t>Quotation 20200310_01_NBR_301_CO2 -</t>
    </r>
    <r>
      <rPr>
        <b/>
        <sz val="11"/>
        <rFont val="Calibri"/>
        <family val="2"/>
        <scheme val="minor"/>
      </rPr>
      <t xml:space="preserve"> P00238_2021</t>
    </r>
  </si>
  <si>
    <r>
      <t xml:space="preserve">Quote 20200310_01_NBR_103_CO2 - </t>
    </r>
    <r>
      <rPr>
        <b/>
        <sz val="11"/>
        <rFont val="Calibri"/>
        <family val="2"/>
        <scheme val="minor"/>
      </rPr>
      <t>P00237_2021</t>
    </r>
  </si>
  <si>
    <t>Destruction de 585 échantillons</t>
  </si>
  <si>
    <r>
      <t xml:space="preserve">ECH210077 study ATL-21-2221 - </t>
    </r>
    <r>
      <rPr>
        <b/>
        <sz val="11"/>
        <rFont val="Calibri"/>
        <family val="2"/>
        <scheme val="minor"/>
      </rPr>
      <t>P00236_2021</t>
    </r>
  </si>
  <si>
    <t>ocular examinations for phototox ABX464</t>
  </si>
  <si>
    <t>ocular examinations for phototox ABX464-Nglu</t>
  </si>
  <si>
    <r>
      <t xml:space="preserve">CEVQ2021.09.02 - </t>
    </r>
    <r>
      <rPr>
        <b/>
        <sz val="11"/>
        <rFont val="Calibri"/>
        <family val="2"/>
        <scheme val="minor"/>
      </rPr>
      <t>P00245_2021</t>
    </r>
  </si>
  <si>
    <r>
      <t xml:space="preserve">CEVQ2021.09.03 - </t>
    </r>
    <r>
      <rPr>
        <b/>
        <sz val="11"/>
        <rFont val="Calibri"/>
        <family val="2"/>
        <scheme val="minor"/>
      </rPr>
      <t>P00247_2021</t>
    </r>
  </si>
  <si>
    <t>CNF2</t>
  </si>
  <si>
    <t>INV 47608173 + INV 47608319 + INV 47608609</t>
  </si>
  <si>
    <t>16/06/2021 + 02/08/2021 + 15/09/2021</t>
  </si>
  <si>
    <t>INV 47608199 + INV 47608320 + INV 47608610</t>
  </si>
  <si>
    <t>23/06/2021 + 02/08/2021 + 15/09/2021</t>
  </si>
  <si>
    <t>INV 59000298</t>
  </si>
  <si>
    <t>INV SI_KSA2104291</t>
  </si>
  <si>
    <t>INV 00010 21002408 RI</t>
  </si>
  <si>
    <t>GMP Procution 300 Kg ( 2 450 € / Kg) - Batch 1 - Réalité 330,50 kg</t>
  </si>
  <si>
    <t>INV FRA-002745</t>
  </si>
  <si>
    <t>études reportées cf mail DS 17/09/21</t>
  </si>
  <si>
    <t>INV 109386</t>
  </si>
  <si>
    <t>INV 109380 du 10/09/2021</t>
  </si>
  <si>
    <t>INV 109369</t>
  </si>
  <si>
    <t>Study CRL-299654 - Phototoxicity A 3-day study to determine the effect on eyes and skin in rats Histopathology on the eyes of all animals (25 animals)</t>
  </si>
  <si>
    <t>Study CRL-299656 - Phototoxicity A 3-day study to determine the effect on eyes and skin in rats - Histopathology on the eyes of all animals (25 animals)</t>
  </si>
  <si>
    <t>ABX464-104</t>
  </si>
  <si>
    <t>1.1 - Study Set-Up</t>
  </si>
  <si>
    <t>1.5.1  - Scientific and Regulatory Services - Scientific Support and Consultation</t>
  </si>
  <si>
    <t>1.5.1  - Scientific and Regulatory Services - Cardiologist Support and Consultation</t>
  </si>
  <si>
    <t>1.5.3  - Scientific and Regulatory Services - Independent Review Charter Development</t>
  </si>
  <si>
    <t>1.2.1 - Study material development (Documentation)</t>
  </si>
  <si>
    <t>1.4.1 - Site and Equipment Assessment (Site Questionnaire)</t>
  </si>
  <si>
    <t>2.1.1 - Site Personnel Training - Web Training Content Development &amp; Portal Configuration</t>
  </si>
  <si>
    <t>2.1.1 - Site Personnel Training - Web Training User Set-up and Support</t>
  </si>
  <si>
    <t>3.1 - Study Management Services - Site Technical Support, Including Query Initiation &amp; Resolution (start-up)</t>
  </si>
  <si>
    <t>3.1 - Study Management Services - Site Technical Support, Including Query Initiation &amp; Resolution (execution)</t>
  </si>
  <si>
    <t>3.2 - Study Management Services - Project management (start-up)</t>
  </si>
  <si>
    <t>3.2 - Study Management Services - Project management (execution)</t>
  </si>
  <si>
    <t>4.1.1 - Electronic Image Transfer Services - Web-based image submission (study set-up)</t>
  </si>
  <si>
    <t>4.1.1 - Electronic Image Transfer Services - Monthly Electronic Image Transfer Fee (22 mois)</t>
  </si>
  <si>
    <t>5.1.1-5.1.2 - Image Tracking and Quality Review Services - Image data log-in and Image Data Quality Control, including test scans and test notification to Site/Sponsor (ECHO)</t>
  </si>
  <si>
    <t>6.1.1 - Image Analysis/Independent Reading Services - Data capture and reporting system set-up</t>
  </si>
  <si>
    <t>6.1.1 - Image Analysis/Independent Reading Services - Electronic Reading System (ECHO)</t>
  </si>
  <si>
    <t>6.1.1 - Image Analysis/Independent Reading Services - Citrix license tech support</t>
  </si>
  <si>
    <t>6.1.2 - Image Analysis/Independent Reading Services - Study Specifications Training Session Preparation</t>
  </si>
  <si>
    <t>6.1.2 - Image Analysis/Independent Reading Services - Cardiologist Attendance at Study Specifications Training</t>
  </si>
  <si>
    <t>6.1.3 - ECHO Image Analysis/Independent Reading Services - ECHO: Primary Review</t>
  </si>
  <si>
    <t>6.1.3 - ECHO Image Analysis/Independent Reading Services - ECHO: Reader Variability Monitoring</t>
  </si>
  <si>
    <t>6.1.4 - 8.1.1 -  ECHO Image Analysis/Independent Reading Services - Systems support and Ongoing Data Management</t>
  </si>
  <si>
    <t>6.1.5 -  ECHO Image Analysis/Independent Reading Services - Data validation plan</t>
  </si>
  <si>
    <t>7.2 - Study Reporting - MvE / Reconciliation Report Set-Up</t>
  </si>
  <si>
    <t>8.1.2 - Data Management and Transfer Services - Data transfer customization/programming</t>
  </si>
  <si>
    <t>8.1.3 - Data Management and Transfer Services - Number of milestone data transfers</t>
  </si>
  <si>
    <t>9.1 - Study close-out</t>
  </si>
  <si>
    <t>DISCOUNT</t>
  </si>
  <si>
    <t>WO004 - Sponsor Change in Scope Notification Letter</t>
  </si>
  <si>
    <t>Additional TFLs requested by sponsor.  Additional TFL implementation in CSR. Extension to study timeline</t>
  </si>
  <si>
    <t>INV 00010 21002459 RI</t>
  </si>
  <si>
    <t>ARCINOVA - QUOTIENT</t>
  </si>
  <si>
    <t>INV 5372</t>
  </si>
  <si>
    <t>Ingénieur staticticien confirmé (110 € / h) - 320h</t>
  </si>
  <si>
    <t>Ingénieur staticticien confirmé (110 € / h) - 80h</t>
  </si>
  <si>
    <r>
      <t>OCSL/L/21/2438 -</t>
    </r>
    <r>
      <rPr>
        <b/>
        <sz val="11"/>
        <rFont val="Calibri"/>
        <family val="2"/>
        <scheme val="minor"/>
      </rPr>
      <t xml:space="preserve"> P00248_2021</t>
    </r>
  </si>
  <si>
    <t>EMA</t>
  </si>
  <si>
    <t>Scientific Advise EMA 2021</t>
  </si>
  <si>
    <r>
      <t>EMA -</t>
    </r>
    <r>
      <rPr>
        <b/>
        <sz val="11"/>
        <rFont val="Calibri"/>
        <family val="2"/>
        <scheme val="minor"/>
      </rPr>
      <t xml:space="preserve"> P00252_2021</t>
    </r>
  </si>
  <si>
    <t>Clinical Logistic for sample shippment JP921</t>
  </si>
  <si>
    <r>
      <t xml:space="preserve">GCA-7198-16SEP2021-COREE-FR - </t>
    </r>
    <r>
      <rPr>
        <b/>
        <sz val="11"/>
        <rFont val="Calibri"/>
        <family val="2"/>
        <scheme val="minor"/>
      </rPr>
      <t>P00253_2021</t>
    </r>
  </si>
  <si>
    <r>
      <t>DEVIS n°2642 -</t>
    </r>
    <r>
      <rPr>
        <b/>
        <sz val="11"/>
        <rFont val="Calibri"/>
        <family val="2"/>
        <scheme val="minor"/>
      </rPr>
      <t xml:space="preserve"> P00258_2021</t>
    </r>
  </si>
  <si>
    <t>Essais de broyage 2x5 kg ABX464</t>
  </si>
  <si>
    <t>UC108</t>
  </si>
  <si>
    <t>UC105/106</t>
  </si>
  <si>
    <r>
      <t>Devis 12891-1 - Amdt 1 -</t>
    </r>
    <r>
      <rPr>
        <b/>
        <sz val="11"/>
        <rFont val="Calibri"/>
        <family val="2"/>
        <scheme val="minor"/>
      </rPr>
      <t xml:space="preserve"> P00259_2021</t>
    </r>
  </si>
  <si>
    <t xml:space="preserve">ABX464-105/106 Packaging purchase 12 000 Dualpack </t>
  </si>
  <si>
    <r>
      <t xml:space="preserve">Devis 12892-1 Avt 2 - </t>
    </r>
    <r>
      <rPr>
        <b/>
        <sz val="11"/>
        <rFont val="Calibri"/>
        <family val="2"/>
        <scheme val="minor"/>
      </rPr>
      <t>P00260_2021</t>
    </r>
  </si>
  <si>
    <t>Blistering of ABX464 stability</t>
  </si>
  <si>
    <r>
      <t>(WO43#2021) -</t>
    </r>
    <r>
      <rPr>
        <b/>
        <sz val="11"/>
        <rFont val="Calibri"/>
        <family val="2"/>
        <scheme val="minor"/>
      </rPr>
      <t xml:space="preserve"> P00249_2021</t>
    </r>
  </si>
  <si>
    <t xml:space="preserve">Short Stability study - ICH Stab Study test </t>
  </si>
  <si>
    <r>
      <t>(WO44#2021) -</t>
    </r>
    <r>
      <rPr>
        <b/>
        <sz val="11"/>
        <rFont val="Calibri"/>
        <family val="2"/>
        <scheme val="minor"/>
      </rPr>
      <t xml:space="preserve"> P00250_2021</t>
    </r>
  </si>
  <si>
    <r>
      <t>(WO45#2021) -</t>
    </r>
    <r>
      <rPr>
        <b/>
        <sz val="11"/>
        <rFont val="Calibri"/>
        <family val="2"/>
        <scheme val="minor"/>
      </rPr>
      <t xml:space="preserve"> P00251_2021</t>
    </r>
  </si>
  <si>
    <t>Milling assay A - Phase 0 à 3 - #1 Phase 0</t>
  </si>
  <si>
    <t>Milling assay A - Phase 0 à 3 - #2 Phase 1</t>
  </si>
  <si>
    <t>Milling assay A - Phase 0 à 3 - #3 Phase 2</t>
  </si>
  <si>
    <t>Milling assay A - Phase 0 à 3 - #4 Phase 3</t>
  </si>
  <si>
    <t>Milling assay A - Phase 0 à 3 - #5 Phase 4 - STANDBY - 4 800 €</t>
  </si>
  <si>
    <t>Milling assay B - 12 Milling tests with analysis</t>
  </si>
  <si>
    <t>INV 00010 21002485 RI</t>
  </si>
  <si>
    <t>UC105/106/107</t>
  </si>
  <si>
    <t>MSA_LOI-21109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</si>
  <si>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  <r>
      <rPr>
        <sz val="11"/>
        <rFont val="Calibri"/>
        <family val="2"/>
        <scheme val="minor"/>
      </rPr>
      <t xml:space="preserve"> + </t>
    </r>
    <r>
      <rPr>
        <sz val="11"/>
        <color theme="8" tint="-0.249977111117893"/>
        <rFont val="Calibri"/>
        <family val="2"/>
        <scheme val="minor"/>
      </rPr>
      <t>Amdt 2</t>
    </r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</si>
  <si>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  <r>
      <rPr>
        <sz val="11"/>
        <rFont val="Calibri"/>
        <family val="2"/>
        <scheme val="minor"/>
      </rPr>
      <t xml:space="preserve"> +</t>
    </r>
    <r>
      <rPr>
        <sz val="11"/>
        <color theme="8" tint="-0.249977111117893"/>
        <rFont val="Calibri"/>
        <family val="2"/>
        <scheme val="minor"/>
      </rPr>
      <t xml:space="preserve"> Amdt 2</t>
    </r>
  </si>
  <si>
    <t>Upon execution of amdt 2</t>
  </si>
  <si>
    <t>INV F020-SIN-0001424</t>
  </si>
  <si>
    <t>INV F020-SIN-0001214 + INV F020-SIN-0001259 + INV F020-SIN-0001333 + INV F020-SIN-0001420</t>
  </si>
  <si>
    <t>03/03/2021 + 06/04/2021 + 16/06/2021 + 18/08/2021</t>
  </si>
  <si>
    <t>QT901 - Protocol dev for TQT Trial + Amdt n°1 + Amdt n°2</t>
  </si>
  <si>
    <t>INV GR00359690</t>
  </si>
  <si>
    <t>INV GR00359746</t>
  </si>
  <si>
    <t>INV 47429 + INV 51714 + INV 56411</t>
  </si>
  <si>
    <t>19/07/2021 + 16/08/2021 + 16/09/2021</t>
  </si>
  <si>
    <t>INV S21-417281</t>
  </si>
  <si>
    <t>INV E21-418281 + INV E21-419281</t>
  </si>
  <si>
    <t>22/09/2021 + 22/09/2021</t>
  </si>
  <si>
    <r>
      <t>SRV_21082 - LOI -</t>
    </r>
    <r>
      <rPr>
        <b/>
        <sz val="11"/>
        <rFont val="Calibri"/>
        <family val="2"/>
        <scheme val="minor"/>
      </rPr>
      <t xml:space="preserve"> </t>
    </r>
  </si>
  <si>
    <t>4 Week study LC-MS/MS Determination of ABX464 and its metabolite Concentrations in Mouse Plasma</t>
  </si>
  <si>
    <r>
      <t xml:space="preserve">OPP-157779 - Study CRL-280314 - </t>
    </r>
    <r>
      <rPr>
        <b/>
        <sz val="11"/>
        <rFont val="Calibri"/>
        <family val="2"/>
        <scheme val="minor"/>
      </rPr>
      <t>P00103_2021</t>
    </r>
  </si>
  <si>
    <r>
      <t xml:space="preserve">OPP-157779 WO1  - Study CRL-280314 - </t>
    </r>
    <r>
      <rPr>
        <b/>
        <sz val="11"/>
        <rFont val="Calibri"/>
        <family val="2"/>
        <scheme val="minor"/>
      </rPr>
      <t>P00256_2021</t>
    </r>
  </si>
  <si>
    <r>
      <t xml:space="preserve">OPP-213342 - </t>
    </r>
    <r>
      <rPr>
        <b/>
        <sz val="11"/>
        <rFont val="Calibri"/>
        <family val="2"/>
        <scheme val="minor"/>
      </rPr>
      <t>P00270_2021</t>
    </r>
  </si>
  <si>
    <t>CO 4.10 - TOX</t>
  </si>
  <si>
    <t>CO 4.11 - TOX</t>
  </si>
  <si>
    <t>INV 207</t>
  </si>
  <si>
    <t>INV 22100067 + INV 22100200 + INV 22100344 + INV 22100476 + INV 22100621 + INV 22100723 + INV 22101124</t>
  </si>
  <si>
    <t>22/01/2021 + 18/02/2021 + 23/03/2021 + 22/04/2021 + 31/05/2021 + 22/06/2021 + 23/09/2021</t>
  </si>
  <si>
    <r>
      <t xml:space="preserve">OPP-217005 - Study CRL-333577 - </t>
    </r>
    <r>
      <rPr>
        <b/>
        <sz val="11"/>
        <rFont val="Calibri"/>
        <family val="2"/>
        <scheme val="minor"/>
      </rPr>
      <t>P00210_2021</t>
    </r>
  </si>
  <si>
    <r>
      <t xml:space="preserve">OPP-217005 Amdt 1 - Study CRL-333577  - </t>
    </r>
    <r>
      <rPr>
        <b/>
        <sz val="11"/>
        <rFont val="Calibri"/>
        <family val="2"/>
        <scheme val="minor"/>
      </rPr>
      <t>P00226_2021</t>
    </r>
  </si>
  <si>
    <t>INV 58001353</t>
  </si>
  <si>
    <t>INV 58000802 + INV 58001354</t>
  </si>
  <si>
    <t>02/07/2021 + 27/09/2021</t>
  </si>
  <si>
    <t>INV 109393</t>
  </si>
  <si>
    <t>ABX464 25mg &amp; 50mg gélule - Lot cliniques - Etude de stabilité lots verum 12,5mg &amp; 25 mg - T0</t>
  </si>
  <si>
    <t>ABX464 25mg &amp; 50mg gélule - Lot cliniques - Etude de stabilité lots verum 12,5mg &amp; 25 mg - T6M</t>
  </si>
  <si>
    <t>ABX464 25mg &amp; 50mg gélule - Lot cliniques - Etude de stabilité lots verum 12,5mg &amp; 25 mg - T9M</t>
  </si>
  <si>
    <t>ABX464 25mg &amp; 50mg gélule - Lot cliniques - Etude de stabilité lots verum 12,5mg &amp; 25 mg - T12M</t>
  </si>
  <si>
    <t>ABX464 25mg &amp; 50mg gélule - Lot cliniques - Etude de stabilité lots verum 12,5mg &amp; 25 mg - T18M</t>
  </si>
  <si>
    <t>ABX464 25mg &amp; 50mg gélule - Lot cliniques - Etude de stabilité lots verum 12,5mg &amp; 25 mg - T24M</t>
  </si>
  <si>
    <t>ABX464 25mg &amp; 50mg gélule - Lot cliniques - Etude de stabilité lots verum 12,5mg &amp; 25 mg - T36M</t>
  </si>
  <si>
    <t>ABX464 25mg &amp; 50mg gélule - Lot cliniques - Etude de stabilité lots verum 12,5mg &amp; 25 mg - T48M</t>
  </si>
  <si>
    <t>ABX464 25mg &amp; 50mg gélule - Lot cliniques - Etude de stabilité 3 lots clinique verum 5 ans - T0</t>
  </si>
  <si>
    <t>ABX464 25mg &amp; 50mg gélule - Lot cliniques - Etude de stabilité 3 lots clinique verum 5 ans - T3M</t>
  </si>
  <si>
    <t>ABX464 25mg &amp; 50mg gélule - Lot cliniques - Etude de stabilité 3 lots clinique verum 5 ans - T6M</t>
  </si>
  <si>
    <t>ABX464 25mg &amp; 50mg gélule - Lot cliniques - Etude de stabilité 3 lots clinique verum 5 ans - T9M</t>
  </si>
  <si>
    <t>ABX464 25mg &amp; 50mg gélule - Lot cliniques - Etude de stabilité 3 lots clinique verum 5 ans - T12M</t>
  </si>
  <si>
    <t>ABX464 25mg &amp; 50mg gélule - Lot cliniques - Etude de stabilité 3 lots clinique verum 5 ans - T18M</t>
  </si>
  <si>
    <t>ABX464 25mg &amp; 50mg gélule - Lot cliniques - Etude de stabilité 3 lots clinique verum 5 ans - T24M</t>
  </si>
  <si>
    <t>ABX464 25mg &amp; 50mg gélule - Lot cliniques - Etude de stabilité 3 lots clinique verum 5 ans - T30M</t>
  </si>
  <si>
    <t>ABX464 25mg &amp; 50mg gélule - Lot cliniques - Etude de stabilité 3 lots clinique verum 5 ans - T36M</t>
  </si>
  <si>
    <t>ABX464 25mg &amp; 50mg gélule - Lot cliniques - Etude de stabilité 3 lots clinique verum 5 ans - T48M</t>
  </si>
  <si>
    <t>ABX464 25mg &amp; 50mg gélule - Lot cliniques - Etude de stabilité 3 lots clinique verum 5 ans - T60M</t>
  </si>
  <si>
    <r>
      <t xml:space="preserve">L21_3318D - </t>
    </r>
    <r>
      <rPr>
        <b/>
        <sz val="11"/>
        <rFont val="Calibri"/>
        <family val="2"/>
        <scheme val="minor"/>
      </rPr>
      <t xml:space="preserve">P00261_2021 </t>
    </r>
    <r>
      <rPr>
        <sz val="11"/>
        <rFont val="Calibri"/>
        <family val="2"/>
        <scheme val="minor"/>
      </rPr>
      <t xml:space="preserve"> (ex </t>
    </r>
    <r>
      <rPr>
        <b/>
        <sz val="11"/>
        <rFont val="Calibri"/>
        <family val="2"/>
        <scheme val="minor"/>
      </rPr>
      <t>P00145)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</si>
  <si>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r>
      <t xml:space="preserve">L21_3318D - </t>
    </r>
    <r>
      <rPr>
        <b/>
        <sz val="11"/>
        <rFont val="Calibri"/>
        <family val="2"/>
        <scheme val="minor"/>
      </rPr>
      <t>P00261_2021</t>
    </r>
    <r>
      <rPr>
        <sz val="11"/>
        <rFont val="Calibri"/>
        <family val="2"/>
        <scheme val="minor"/>
      </rPr>
      <t xml:space="preserve">  (ex </t>
    </r>
    <r>
      <rPr>
        <b/>
        <sz val="11"/>
        <rFont val="Calibri"/>
        <family val="2"/>
        <scheme val="minor"/>
      </rPr>
      <t xml:space="preserve">P00145) </t>
    </r>
    <r>
      <rPr>
        <sz val="11"/>
        <rFont val="Calibri"/>
        <family val="2"/>
        <scheme val="minor"/>
      </rPr>
      <t xml:space="preserve">- </t>
    </r>
    <r>
      <rPr>
        <b/>
        <sz val="11"/>
        <color theme="9"/>
        <rFont val="Calibri"/>
        <family val="2"/>
        <scheme val="minor"/>
      </rPr>
      <t>CAPS</t>
    </r>
  </si>
  <si>
    <r>
      <t xml:space="preserve">L21_3318D - </t>
    </r>
    <r>
      <rPr>
        <b/>
        <sz val="11"/>
        <rFont val="Calibri"/>
        <family val="2"/>
        <scheme val="minor"/>
      </rPr>
      <t>P00261_2021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</si>
  <si>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CAPS</t>
  </si>
  <si>
    <t>INV 10000287</t>
  </si>
  <si>
    <t>INV 0125/22</t>
  </si>
  <si>
    <t>INV 25077537 + INV 25084389</t>
  </si>
  <si>
    <t>30/06/2021 + 23/09/2021</t>
  </si>
  <si>
    <t>INV SI21-444281</t>
  </si>
  <si>
    <t>INV 2604740</t>
  </si>
  <si>
    <t>INV PJ20183238</t>
  </si>
  <si>
    <t>INV AC210002</t>
  </si>
  <si>
    <r>
      <t xml:space="preserve">DEVIS 2687 - </t>
    </r>
    <r>
      <rPr>
        <b/>
        <sz val="11"/>
        <rFont val="Calibri"/>
        <family val="2"/>
        <scheme val="minor"/>
      </rPr>
      <t>P00264_2021</t>
    </r>
  </si>
  <si>
    <t>Essai Milling lot J001/J002/J003</t>
  </si>
  <si>
    <r>
      <t xml:space="preserve">Devis 11775-1 Avenant n°3 - </t>
    </r>
    <r>
      <rPr>
        <b/>
        <sz val="11"/>
        <rFont val="Calibri"/>
        <family val="2"/>
        <scheme val="minor"/>
      </rPr>
      <t>P00267_2021</t>
    </r>
  </si>
  <si>
    <t>ABX464-103 contrôle des retours</t>
  </si>
  <si>
    <t>COVID-19 in vitro archive rapatriation</t>
  </si>
  <si>
    <r>
      <t xml:space="preserve">D/098/270420/MPE/0804 - </t>
    </r>
    <r>
      <rPr>
        <b/>
        <sz val="11"/>
        <color theme="1"/>
        <rFont val="Calibri"/>
        <family val="2"/>
        <scheme val="minor"/>
      </rPr>
      <t>P00269_2021</t>
    </r>
  </si>
  <si>
    <r>
      <t xml:space="preserve">Quote 20210924_01_NBR_921 - </t>
    </r>
    <r>
      <rPr>
        <b/>
        <sz val="11"/>
        <color theme="1"/>
        <rFont val="Calibri"/>
        <family val="2"/>
        <scheme val="minor"/>
      </rPr>
      <t>P00271_2021</t>
    </r>
  </si>
  <si>
    <t>absolute quantification of mir124.1 on clinical trial samples - 40%</t>
  </si>
  <si>
    <t>absolute quantification of mir124.1 on clinical trial samples - 60%</t>
  </si>
  <si>
    <r>
      <t xml:space="preserve">Amdt 2 OPP-213342 - </t>
    </r>
    <r>
      <rPr>
        <b/>
        <sz val="11"/>
        <rFont val="Calibri"/>
        <family val="2"/>
        <scheme val="minor"/>
      </rPr>
      <t>P00272_2021</t>
    </r>
  </si>
  <si>
    <t>CRL-328758 - Prelim Embryo-Fetal Dev in RABBIT</t>
  </si>
  <si>
    <t>INV 210</t>
  </si>
  <si>
    <t>les animaux survivants ont été euthanasiés prématurément et le dosage des animaux du groupe 1 a été arrêté plus tôt que prévu.</t>
  </si>
  <si>
    <t>ABX464-902 - DDI Trial - CIS #4 WO007</t>
  </si>
  <si>
    <t>INV PJ20212180</t>
  </si>
  <si>
    <t>INV BCI-0051545</t>
  </si>
  <si>
    <t>INV PJ20212179</t>
  </si>
  <si>
    <t>INV 109405</t>
  </si>
  <si>
    <t>PTC - Add cost eCRF</t>
  </si>
  <si>
    <t>INV 109399</t>
  </si>
  <si>
    <t>INV 109400</t>
  </si>
  <si>
    <t>INV-1035 + INV-1040 + INV-1045</t>
  </si>
  <si>
    <t>01/07/2021 + 06/08/2021 + 04/10/2021</t>
  </si>
  <si>
    <t>INV-1032 + INV-1035 + INV-1040 + INV-1045</t>
  </si>
  <si>
    <t>25/05/2021 + 01/07/2021 + 06/08/2021 + 04/10/2021</t>
  </si>
  <si>
    <r>
      <t xml:space="preserve">Quote du 09/09/2021 - </t>
    </r>
    <r>
      <rPr>
        <b/>
        <sz val="11"/>
        <rFont val="Calibri"/>
        <family val="2"/>
        <scheme val="minor"/>
      </rPr>
      <t>P00241_2021</t>
    </r>
    <r>
      <rPr>
        <sz val="11"/>
        <rFont val="Calibri"/>
        <family val="2"/>
        <scheme val="minor"/>
      </rPr>
      <t xml:space="preserve"> Site 3307</t>
    </r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</si>
  <si>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  <r>
      <rPr>
        <sz val="11"/>
        <rFont val="Calibri"/>
        <family val="2"/>
        <scheme val="minor"/>
      </rPr>
      <t xml:space="preserve"> +</t>
    </r>
    <r>
      <rPr>
        <sz val="11"/>
        <color theme="8" tint="-0.249977111117893"/>
        <rFont val="Calibri"/>
        <family val="2"/>
        <scheme val="minor"/>
      </rPr>
      <t xml:space="preserve"> Amdt 2</t>
    </r>
    <r>
      <rPr>
        <sz val="11"/>
        <rFont val="Calibri"/>
        <family val="2"/>
        <scheme val="minor"/>
      </rPr>
      <t xml:space="preserve"> + </t>
    </r>
    <r>
      <rPr>
        <sz val="11"/>
        <color rgb="FFFF0000"/>
        <rFont val="Calibri"/>
        <family val="2"/>
        <scheme val="minor"/>
      </rPr>
      <t>Amdt 3</t>
    </r>
  </si>
  <si>
    <t>UC-104 WO4 + Amendement 2 +  Amendement 3 + Amendement 4</t>
  </si>
  <si>
    <t>I. Study start-up - 2021 part. 1</t>
  </si>
  <si>
    <t>I. Study start-up - 2021 part.2</t>
  </si>
  <si>
    <t>INV FRGRE2021282</t>
  </si>
  <si>
    <t>INV 47608705</t>
  </si>
  <si>
    <t>INV FAC/L/21/0292 + INV FAC/L/21/0472</t>
  </si>
  <si>
    <t>30/06/2021 + 30/09/2021</t>
  </si>
  <si>
    <t>INV L2D21-027-120 + INV L2D21-027-143 + INV L2D21-027-107</t>
  </si>
  <si>
    <t>31/07/2021 + 31/08/2021 + 30/09/2021</t>
  </si>
  <si>
    <t>INV 162.21.38 + INV 164.21.40</t>
  </si>
  <si>
    <t>04/10/2021 + 08/10/2021</t>
  </si>
  <si>
    <t>INV 41556</t>
  </si>
  <si>
    <t>INV CNB77507 + INV CZB77519 + INV CUB77514 + INV CZB77519 + INV CZB77519 + INV CUB77514 + INV CZB77519 + INV CUB77514 + INV CZB77519 + INV FA210512 + INV FA211532 + INV FA212030 + INV FA211026 + INV FA212709 + INV FA213212 + INV FA213768 + INV FA214207</t>
  </si>
  <si>
    <t>31/12/2019 + 31/12/2020 + 31/07/2020 + 31/12/2020 + 44196 + 31/07/2020 + 31/12/202031/07/2020 + 31/12/2020 + 26/06/2021 + 30/04/2021 + 31/05/2021 + 31/03/2021 + 30/06/2021 + 30/07/2021 + 31/08/2021 + 30/09/2021</t>
  </si>
  <si>
    <t>INV CZB71811 + INV FA210006 + INV FA212120 + FA213788</t>
  </si>
  <si>
    <t>31/12/2020 + 29/01/2021 + 31/05/2021 + 31/08/2021 + 30/09/2021</t>
  </si>
  <si>
    <t>PO Annulé par JS le 13/10/2021</t>
  </si>
  <si>
    <t>INV FA213669 + INV FA214209</t>
  </si>
  <si>
    <t>31/08/2021 + 30/09/2021</t>
  </si>
  <si>
    <t>INV FA214208</t>
  </si>
  <si>
    <t>11/11/2019 + 16/12/2019</t>
  </si>
  <si>
    <t>INV 11788 + INV 11806</t>
  </si>
  <si>
    <t>PIP</t>
  </si>
  <si>
    <t>SRV_21008</t>
  </si>
  <si>
    <t>SRV_21008_CO1</t>
  </si>
  <si>
    <t>PIP Module D.4 Support + Clinical Study Synopses</t>
  </si>
  <si>
    <t>INV INC-265070</t>
  </si>
  <si>
    <r>
      <t xml:space="preserve">PH21028A2 - </t>
    </r>
    <r>
      <rPr>
        <b/>
        <sz val="11"/>
        <rFont val="Calibri"/>
        <family val="2"/>
        <scheme val="minor"/>
      </rPr>
      <t>P00278_2021</t>
    </r>
  </si>
  <si>
    <t>PK comparative study 101-103</t>
  </si>
  <si>
    <r>
      <t>(WO47#2021) -</t>
    </r>
    <r>
      <rPr>
        <b/>
        <sz val="11"/>
        <rFont val="Calibri"/>
        <family val="2"/>
        <scheme val="minor"/>
      </rPr>
      <t xml:space="preserve"> P00277_2021</t>
    </r>
  </si>
  <si>
    <t>Research on the root cause / report</t>
  </si>
  <si>
    <r>
      <t xml:space="preserve">DV-ABI-1021-1400 - </t>
    </r>
    <r>
      <rPr>
        <b/>
        <sz val="11"/>
        <color theme="1"/>
        <rFont val="Calibri"/>
        <family val="2"/>
        <scheme val="minor"/>
      </rPr>
      <t>P00276_2021</t>
    </r>
  </si>
  <si>
    <t>Stockage échantillons étude ABX464-401</t>
  </si>
  <si>
    <r>
      <t xml:space="preserve">ADE-7305-06OCT2021-Hertogenbosch-V1.0 - </t>
    </r>
    <r>
      <rPr>
        <b/>
        <sz val="11"/>
        <color theme="1"/>
        <rFont val="Calibri"/>
        <family val="2"/>
        <scheme val="minor"/>
      </rPr>
      <t>P00274_2021</t>
    </r>
  </si>
  <si>
    <t>transport Montpellier-Hertogenbosch</t>
  </si>
  <si>
    <r>
      <t>Quote 702072388 -</t>
    </r>
    <r>
      <rPr>
        <b/>
        <sz val="11"/>
        <rFont val="Calibri"/>
        <family val="2"/>
        <scheme val="minor"/>
      </rPr>
      <t xml:space="preserve"> P00273_2021</t>
    </r>
  </si>
  <si>
    <r>
      <t>DDR 2022 013 V1 -</t>
    </r>
    <r>
      <rPr>
        <b/>
        <sz val="11"/>
        <rFont val="Calibri"/>
        <family val="2"/>
        <scheme val="minor"/>
      </rPr>
      <t xml:space="preserve"> P00279_2021</t>
    </r>
  </si>
  <si>
    <t>Stability studies size 4 and size 1</t>
  </si>
  <si>
    <t>INV 0095849902</t>
  </si>
  <si>
    <t>Synthesis of GMP grade radiolabelled ABX464 - On distribution of the GMP to the clinical facility</t>
  </si>
  <si>
    <t>INV 5466</t>
  </si>
  <si>
    <t>INV 2021-53</t>
  </si>
  <si>
    <t>INV 211274</t>
  </si>
  <si>
    <t>INV 211275</t>
  </si>
  <si>
    <t>INV PJ20182819</t>
  </si>
  <si>
    <t>INV GR00362093</t>
  </si>
  <si>
    <t>INV GR00362084</t>
  </si>
  <si>
    <t xml:space="preserve"> Regulatory Support CD UC Bioequivalence - Upon signature - ADVANCE PAYEMENT 1</t>
  </si>
  <si>
    <t xml:space="preserve"> Regulatory Support CD UC Bioequivalence - ADVANCE PAYEMENT 2</t>
  </si>
  <si>
    <t xml:space="preserve"> Regulatory Support CD UC Bioequivalence - ADVANCE PAYEMENT 3</t>
  </si>
  <si>
    <t xml:space="preserve"> Regulatory Support CD UC Bioequivalence - Travaux réalisés de Oct 2020 à Mars 2021</t>
  </si>
  <si>
    <t>72 000 € d'avance payement - 13 860 € de trevaux réalisés pour Amdt 14</t>
  </si>
  <si>
    <t>Travaux réalisée pour l'Amdt 14</t>
  </si>
  <si>
    <t>Task 1 : ASMF review + Task 2&amp;3 : preparation of the phase 3 IMPD + Task 4 :transfer of the IB into the IMPD + tasks 5 and 6 : brainstorming internally + tasks 7 and 8 : generation of CMC questions and company’s position
Heures de travails non inclues : 462 h prévues - 264h de l'acompte = 198 h * 220 €</t>
  </si>
  <si>
    <t>ABIVAX20201005 - Amdt 17 + 17 j cf email</t>
  </si>
  <si>
    <t>Task 1 : ASMF review + Task 2&amp;3 : preparation of the phase 3 IMPD + Task 4 :transfer of the IB into the IMPD + tasks 5 and 6 : brainstorming internally + tasks 7 and 8 : generation of CMC questions and company’s position
17j (136h) * 220 €</t>
  </si>
  <si>
    <t>OK vu par tel. Avec Candice le 15/10/2021</t>
  </si>
  <si>
    <t>heurs de travails inclues dans les 58 140 € cosommée entre avril 2021 et debut juillet 2021</t>
  </si>
  <si>
    <t>INV FRA-002811</t>
  </si>
  <si>
    <t>INV FRA-002810</t>
  </si>
  <si>
    <t>INV FRA-002804</t>
  </si>
  <si>
    <t>CLO_20061 - CryoVir</t>
  </si>
  <si>
    <t>INV 2020000317</t>
  </si>
  <si>
    <t>10/12/2020 (recu en 10/2021)</t>
  </si>
  <si>
    <r>
      <t xml:space="preserve">ABX464-102 Code projet 10008132 </t>
    </r>
    <r>
      <rPr>
        <sz val="11"/>
        <color rgb="FFFF0000"/>
        <rFont val="Calibri"/>
        <family val="2"/>
        <scheme val="minor"/>
      </rPr>
      <t>Admt 2</t>
    </r>
  </si>
  <si>
    <t>Reader Fee</t>
  </si>
  <si>
    <t>Services (1 à 9)</t>
  </si>
  <si>
    <t>INV 47025918</t>
  </si>
  <si>
    <t>INV 166.21.42 + INV 168.21.44</t>
  </si>
  <si>
    <t>11/10/2021 + 15/10/2021</t>
  </si>
  <si>
    <t>INV GR00359692</t>
  </si>
  <si>
    <t>INV GR00359989</t>
  </si>
  <si>
    <t>INV GR00362903</t>
  </si>
  <si>
    <t>INV 10001710 + INV 10000351</t>
  </si>
  <si>
    <t>31/05/2021 + 20/10/2021</t>
  </si>
  <si>
    <t>INV 10001662 + INV 10000351</t>
  </si>
  <si>
    <t>19/05/2021 + 20/10/2021</t>
  </si>
  <si>
    <t>INV 10000122 + INV 10000351</t>
  </si>
  <si>
    <t>25/08/2021 + 20/10/2021</t>
  </si>
  <si>
    <t>INV 109421</t>
  </si>
  <si>
    <t>RSV</t>
  </si>
  <si>
    <t>Back-up</t>
  </si>
  <si>
    <t>TOX / CO 4.4 Reprotox Ferti</t>
  </si>
  <si>
    <t>INV GR00363428</t>
  </si>
  <si>
    <t>INV 2021-08-03 + NV 2021-10-08</t>
  </si>
  <si>
    <t>06/08/2021 + 24/10/2021</t>
  </si>
  <si>
    <t>INV 6700225927</t>
  </si>
  <si>
    <t>INV F21-998</t>
  </si>
  <si>
    <t>INV F21-973 + INV F21-988 + F21-999 + INV F21-1000</t>
  </si>
  <si>
    <t>10/09/2021 + 11/10/2021 + 22/10/2021 + 22/10/2021</t>
  </si>
  <si>
    <t>INV 0095844870 + INV 0095845225</t>
  </si>
  <si>
    <t>22/03/2021 + 31/03/2021</t>
  </si>
  <si>
    <t>en attente rapport-devrait etre reçue en nov 21</t>
  </si>
  <si>
    <r>
      <t xml:space="preserve">OPP-197691  - CRL-299651 - </t>
    </r>
    <r>
      <rPr>
        <b/>
        <sz val="11"/>
        <rFont val="Calibri"/>
        <family val="2"/>
        <scheme val="minor"/>
      </rPr>
      <t>P00847_2020</t>
    </r>
  </si>
  <si>
    <r>
      <t xml:space="preserve">OPP-197691 - CRL-299651 - Amdt 1 - </t>
    </r>
    <r>
      <rPr>
        <b/>
        <sz val="11"/>
        <rFont val="Calibri"/>
        <family val="2"/>
        <scheme val="minor"/>
      </rPr>
      <t>P00119_2021</t>
    </r>
  </si>
  <si>
    <r>
      <t>OPP-197691 - CRL-299654 - Amdt 1 -</t>
    </r>
    <r>
      <rPr>
        <b/>
        <sz val="11"/>
        <rFont val="Calibri"/>
        <family val="2"/>
        <scheme val="minor"/>
      </rPr>
      <t xml:space="preserve"> P00255_2021</t>
    </r>
  </si>
  <si>
    <r>
      <t xml:space="preserve">OPP-197691 - CRL-299654 - </t>
    </r>
    <r>
      <rPr>
        <b/>
        <sz val="11"/>
        <rFont val="Calibri"/>
        <family val="2"/>
        <scheme val="minor"/>
      </rPr>
      <t>P00847_2020</t>
    </r>
  </si>
  <si>
    <r>
      <t xml:space="preserve">OPP-197691 -  CRL-299656 - </t>
    </r>
    <r>
      <rPr>
        <b/>
        <sz val="11"/>
        <rFont val="Calibri"/>
        <family val="2"/>
        <scheme val="minor"/>
      </rPr>
      <t>P00847_2020</t>
    </r>
  </si>
  <si>
    <r>
      <t>OPP-197691 -  CRL-299656 - Amdt 1 -</t>
    </r>
    <r>
      <rPr>
        <b/>
        <sz val="11"/>
        <rFont val="Calibri"/>
        <family val="2"/>
        <scheme val="minor"/>
      </rPr>
      <t xml:space="preserve"> P00255_2021</t>
    </r>
  </si>
  <si>
    <t>Study CRL-299656 - Phototoxicity A 3-day study to determine the effect on eyes and skin in rats - Study extended with three additional groups (5 animals/group).</t>
  </si>
  <si>
    <t>INV 10000385</t>
  </si>
  <si>
    <t>INV 10000383</t>
  </si>
  <si>
    <t>INV 2020-12-04 + INV 2021-10-10</t>
  </si>
  <si>
    <t>13/12/2020 + 27/10/2021</t>
  </si>
  <si>
    <r>
      <t>Quote OD723102 -</t>
    </r>
    <r>
      <rPr>
        <b/>
        <sz val="11"/>
        <rFont val="Calibri"/>
        <family val="2"/>
        <scheme val="minor"/>
      </rPr>
      <t xml:space="preserve"> P00770_2020</t>
    </r>
  </si>
  <si>
    <r>
      <t xml:space="preserve">Quote QTOC202989 - </t>
    </r>
    <r>
      <rPr>
        <b/>
        <sz val="11"/>
        <rFont val="Calibri"/>
        <family val="2"/>
        <scheme val="minor"/>
      </rPr>
      <t>P00289_2021</t>
    </r>
  </si>
  <si>
    <r>
      <t xml:space="preserve">Quote QTOC203059 - </t>
    </r>
    <r>
      <rPr>
        <b/>
        <sz val="11"/>
        <rFont val="Calibri"/>
        <family val="2"/>
        <scheme val="minor"/>
      </rPr>
      <t>P00290_2021</t>
    </r>
  </si>
  <si>
    <t>Maintenance du parc</t>
  </si>
  <si>
    <t>INV 233</t>
  </si>
  <si>
    <t>INV BCI-0052640</t>
  </si>
  <si>
    <t>INV 109428</t>
  </si>
  <si>
    <t>INV 109427</t>
  </si>
  <si>
    <t>INV PJ20183582</t>
  </si>
  <si>
    <t>INV PJ20183625</t>
  </si>
  <si>
    <t>INV PJ20183662</t>
  </si>
  <si>
    <t>INV 0926/21 + INV 0026/22 + INV 0044/22 + INV 0074/22 + INV 0076/22 + INV 0110/22 + INV 0133/22 + INV 0240/22</t>
  </si>
  <si>
    <t>30/06/2021 + 22/07/2021 + 10/08/2021 + 31/08/2021 + 31/08/2021 + 21/09/2021 + 27/09/2021 + 29/10/2021</t>
  </si>
  <si>
    <t>INV 10000424</t>
  </si>
  <si>
    <t>INV GR00359838</t>
  </si>
  <si>
    <t>INV 00010 21002906 RI</t>
  </si>
  <si>
    <t>INV PJ20212562</t>
  </si>
  <si>
    <t>INV PJ20212560</t>
  </si>
  <si>
    <r>
      <t xml:space="preserve">OPP-197691 -  CRL-299656 - Amdt 2 - </t>
    </r>
    <r>
      <rPr>
        <b/>
        <sz val="11"/>
        <rFont val="Calibri"/>
        <family val="2"/>
        <scheme val="minor"/>
      </rPr>
      <t>P00288_2021</t>
    </r>
  </si>
  <si>
    <r>
      <t xml:space="preserve">Quote du 24/10/2021 - </t>
    </r>
    <r>
      <rPr>
        <b/>
        <sz val="11"/>
        <rFont val="Calibri"/>
        <family val="2"/>
        <scheme val="minor"/>
      </rPr>
      <t>P00285_2021</t>
    </r>
  </si>
  <si>
    <t>Audit Voisin Consulting</t>
  </si>
  <si>
    <t>SRV_21002_CO3</t>
  </si>
  <si>
    <t>réalisation du safety data pooling de l’ensemble des études d’ABIVAX - 3 new studies</t>
  </si>
  <si>
    <r>
      <t xml:space="preserve">L21_3406A - </t>
    </r>
    <r>
      <rPr>
        <b/>
        <sz val="11"/>
        <rFont val="Calibri"/>
        <family val="2"/>
        <scheme val="minor"/>
      </rPr>
      <t>P00291_2021</t>
    </r>
  </si>
  <si>
    <t>Achat outillage dédié pour production de capsules size 4</t>
  </si>
  <si>
    <t>FILAB</t>
  </si>
  <si>
    <r>
      <t xml:space="preserve">Devis 2111002 - </t>
    </r>
    <r>
      <rPr>
        <b/>
        <sz val="11"/>
        <rFont val="Calibri"/>
        <family val="2"/>
        <scheme val="minor"/>
      </rPr>
      <t>P00294_2021</t>
    </r>
  </si>
  <si>
    <t>Specific surface Area Analysis</t>
  </si>
  <si>
    <t>INV 2111002</t>
  </si>
  <si>
    <t>INV FA214810</t>
  </si>
  <si>
    <t>INV FA210991 + INV FA214812</t>
  </si>
  <si>
    <t>INV FA213171 + INV FA214812</t>
  </si>
  <si>
    <t>INV FA213667 + INV FA214812</t>
  </si>
  <si>
    <t>31/08/2021 + 29/10/2021</t>
  </si>
  <si>
    <t>31/03/2021 (reçu le 01/08/2021) + 29/10/2021</t>
  </si>
  <si>
    <t>30/07/2021 + 29/10/2021</t>
  </si>
  <si>
    <t>INV FA214218 + INV FA214819</t>
  </si>
  <si>
    <t>30/09/2021 + 29/10/2021</t>
  </si>
  <si>
    <t>INV FA214950</t>
  </si>
  <si>
    <r>
      <t>Devis 12112-1 + Avenant 2 -</t>
    </r>
    <r>
      <rPr>
        <b/>
        <sz val="11"/>
        <rFont val="Calibri"/>
        <family val="2"/>
        <scheme val="minor"/>
      </rPr>
      <t xml:space="preserve"> P00544_2020 + P00268_2021</t>
    </r>
  </si>
  <si>
    <t>Distribution UC104 - c) Organiser et préparer les expéditions +  d) Transport + f) RETOURS + ABX464-104 contrôle des retours</t>
  </si>
  <si>
    <t>INV 42103</t>
  </si>
  <si>
    <t>PBMC freezing and iNKT validation - RELIQUAT</t>
  </si>
  <si>
    <t>devis 2791378</t>
  </si>
  <si>
    <t>UC107</t>
  </si>
  <si>
    <t>Market Access - Step 1 : HTA review and amendment of the clinical trial protocol</t>
  </si>
  <si>
    <t>Market Access - Step 2 : Review and adaptation of the electronic CRF</t>
  </si>
  <si>
    <t>Market Access - Step 3 : Review and adaptation/amendment of statistical analysis</t>
  </si>
  <si>
    <t>Market Access - PTC HTA accelerator access fee</t>
  </si>
  <si>
    <t>INV 109384 + INV 109443</t>
  </si>
  <si>
    <t>15/09/2021 + 15/11/2021</t>
  </si>
  <si>
    <t>INV 20210701871 + INV 20210901913 + INV 20211001955</t>
  </si>
  <si>
    <t>29/07/2021 + 27/09/2021 + 29/10/2021</t>
  </si>
  <si>
    <t>OCEAView Cloud - Abonnement initial</t>
  </si>
  <si>
    <t>INVOC1004708</t>
  </si>
  <si>
    <t>INV F21-1006</t>
  </si>
  <si>
    <t>INV F21-958</t>
  </si>
  <si>
    <t>INV 00010 21002968 RI</t>
  </si>
  <si>
    <t>Invoice for patient Visits</t>
  </si>
  <si>
    <t>65104-5646-05479-23</t>
  </si>
  <si>
    <t>65104-5646-05479-24</t>
  </si>
  <si>
    <t>Invoice for screen Fail</t>
  </si>
  <si>
    <t>65104-5646-05479-25</t>
  </si>
  <si>
    <t>65104-5646-05479-26</t>
  </si>
  <si>
    <t>65104-5646-05479-27</t>
  </si>
  <si>
    <t>INV 109438</t>
  </si>
  <si>
    <t>INV GR00365667</t>
  </si>
  <si>
    <t>INV GR00365669</t>
  </si>
  <si>
    <t>INV FRA-002851</t>
  </si>
  <si>
    <t>INV FRA-002852</t>
  </si>
  <si>
    <t>INV FRA-002529 + INV FRA-002571 + INV FRA-002617 + INV FRA-002656 + INV FRA-002697 + INV FRA-002738 + INV FRA-002789 + INV FRA-002845</t>
  </si>
  <si>
    <t>09/04/2021 + 10/05/2021 + 09/06/2021 + 13/07/2021 + 11/08/2021 + 08/09/2021 + 07/10/2021 + 05/11/2021</t>
  </si>
  <si>
    <t>INV FRA-002874</t>
  </si>
  <si>
    <t>INV FRGRE2021369</t>
  </si>
  <si>
    <t>INV FRGRE2021328</t>
  </si>
  <si>
    <t>Combined 4 Week Oral Toxicity Study in wt mice -microscopic exam</t>
  </si>
  <si>
    <t>ABX464-N-Glucuronide</t>
  </si>
  <si>
    <t>INV FRA-002873</t>
  </si>
  <si>
    <t>Facture en attente d'un avoir - MAD 18/11/21 : finalement on paye AV</t>
  </si>
  <si>
    <r>
      <t xml:space="preserve">Amdt 3 OPP-157779 - Study CRL-229187 - </t>
    </r>
    <r>
      <rPr>
        <b/>
        <sz val="11"/>
        <rFont val="Calibri"/>
        <family val="2"/>
        <scheme val="minor"/>
      </rPr>
      <t>P00305_2021</t>
    </r>
  </si>
  <si>
    <t>P00295_2021</t>
  </si>
  <si>
    <t>ABX464-N-Glu Analyses</t>
  </si>
  <si>
    <r>
      <t xml:space="preserve">CEVQ2021.11.01 - </t>
    </r>
    <r>
      <rPr>
        <b/>
        <sz val="11"/>
        <rFont val="Calibri"/>
        <family val="2"/>
        <scheme val="minor"/>
      </rPr>
      <t>P00297_2021</t>
    </r>
  </si>
  <si>
    <t>ocular exam ABX464 N Glu</t>
  </si>
  <si>
    <r>
      <t xml:space="preserve">ZNA79291 CO n°7 - APTU - </t>
    </r>
    <r>
      <rPr>
        <b/>
        <sz val="11"/>
        <rFont val="Calibri"/>
        <family val="2"/>
        <scheme val="minor"/>
      </rPr>
      <t>P00299_2021</t>
    </r>
  </si>
  <si>
    <t>Dev of Solid Oral Dosage Form (Solid Dispersion) - CO7 STAB/1101 DP ClinStab 15mg MN3 40/75</t>
  </si>
  <si>
    <t>Reasearch of the root cause of the change on the dissolution profile of ABX464</t>
  </si>
  <si>
    <t>a retirer</t>
  </si>
  <si>
    <t>x</t>
  </si>
  <si>
    <r>
      <t xml:space="preserve">DDR 2020 097 V - </t>
    </r>
    <r>
      <rPr>
        <b/>
        <sz val="11"/>
        <rFont val="Calibri"/>
        <family val="2"/>
        <scheme val="minor"/>
      </rPr>
      <t>P00690_2020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</si>
  <si>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Reanalyze product</t>
  </si>
  <si>
    <r>
      <t xml:space="preserve">DV-ABI-1121-1461 - </t>
    </r>
    <r>
      <rPr>
        <b/>
        <sz val="11"/>
        <color theme="1"/>
        <rFont val="Calibri"/>
        <family val="2"/>
        <scheme val="minor"/>
      </rPr>
      <t>P00309_2021</t>
    </r>
  </si>
  <si>
    <t>Rapatriement d'échantillon et conservation</t>
  </si>
  <si>
    <r>
      <t xml:space="preserve">DV-ABI-1121-1470 - </t>
    </r>
    <r>
      <rPr>
        <b/>
        <sz val="11"/>
        <color theme="1"/>
        <rFont val="Calibri"/>
        <family val="2"/>
        <scheme val="minor"/>
      </rPr>
      <t>P00310_2021</t>
    </r>
  </si>
  <si>
    <t>TMAP 2021-11-03-142</t>
  </si>
  <si>
    <t>INV GR00366956</t>
  </si>
  <si>
    <t>1.1 - Study Set-Up - Expedited</t>
  </si>
  <si>
    <t>1.2.1 - Documentation (ECHO) - Expedited</t>
  </si>
  <si>
    <t>1.4.1 - Site Questionnaire</t>
  </si>
  <si>
    <t>1.5.1 - Scientific Support and Consultation</t>
  </si>
  <si>
    <t>2.1.1 - Web Training Content Development &amp; Portal Configuration</t>
  </si>
  <si>
    <t>2.1.1 - Web Training User Set-up and Support</t>
  </si>
  <si>
    <t>3.1 - 3.2 - Site Management and Project management (start-up)</t>
  </si>
  <si>
    <t>3.1 - 3.2 - Site Management and Project management (execution)</t>
  </si>
  <si>
    <t>4.1.1 - Web-based image submission (study set-up)</t>
  </si>
  <si>
    <t>5.1.1- 5.1.2 - Image data log-in and Image Data Quality Control (ECHO)</t>
  </si>
  <si>
    <t>6.1.1 - Data capture and reporting system set-up</t>
  </si>
  <si>
    <t>6.1.2 - Systems support</t>
  </si>
  <si>
    <t>6.1.3 - Ongoing Data Management</t>
  </si>
  <si>
    <t>6.1.4 - Data validation plan</t>
  </si>
  <si>
    <t>7.2 - MvE / Reconciliation Report Set-Up per study</t>
  </si>
  <si>
    <t>OPTIONAL SERVICES - 1.1 - Study Set-Up - Expedited</t>
  </si>
  <si>
    <t>OPTIONAL SERVICES - 1.5.1 - Scientific Support and Consultation</t>
  </si>
  <si>
    <t>OPTIONAL SERVICES - 1.5.1 - Cardiologist Support and Consultation</t>
  </si>
  <si>
    <t>OPTIONAL SERVICES - 1.5.3 - Independent Review Charter Development</t>
  </si>
  <si>
    <t>OPTIONAL SERVICES - 3.1 - 3.2  - Site Management and Project management (execution)</t>
  </si>
  <si>
    <t>OPTIONAL SERVICES - 6.1.1 - Electronic Reading System (ECHO)</t>
  </si>
  <si>
    <t>OPTIONAL SERVICES - 6.1.1 - Citrix license tech support</t>
  </si>
  <si>
    <t>OPTIONAL SERVICES - 6.1.2 - Systems support</t>
  </si>
  <si>
    <t>OPTIONAL SERVICES - 6.1.3 - Ongoing Data Management</t>
  </si>
  <si>
    <t>OPTIONAL SERVICES - 6.1.5 - Study Specifications Training Session Preparation</t>
  </si>
  <si>
    <t>OPTIONAL SERVICES - 6.1.5 - Cardiologist Attendance at Study Specifications Training</t>
  </si>
  <si>
    <t>OPTIONAL SERVICES - 6.1.6 - ECHO: Primary Review</t>
  </si>
  <si>
    <t>OPTIONAL SERVICES - 8.1.1 - Data transfer customization/programming (ECHO)</t>
  </si>
  <si>
    <t>OPTIONAL SERVICES - 8.1.2 - Number of routine electronic data transfers (ECHO)</t>
  </si>
  <si>
    <t>OPTIONAL SERVICES - 8.1.2 - Number of milestone data transfers (ECHO)</t>
  </si>
  <si>
    <t>études 102,108 et 302, mais Laurence a indiqué de porter les montants sur l’étude 108.</t>
  </si>
  <si>
    <t>=0,33*384800</t>
  </si>
  <si>
    <t>INV 21F0857</t>
  </si>
  <si>
    <t>INV 22101310</t>
  </si>
  <si>
    <r>
      <t xml:space="preserve">PH21028A3 - </t>
    </r>
    <r>
      <rPr>
        <b/>
        <sz val="11"/>
        <rFont val="Calibri"/>
        <family val="2"/>
        <scheme val="minor"/>
      </rPr>
      <t>P00316_2021</t>
    </r>
  </si>
  <si>
    <t>Comparaison of concentration from AD903 study</t>
  </si>
  <si>
    <r>
      <t xml:space="preserve">Devis 11922-2 Amdt 5 - </t>
    </r>
    <r>
      <rPr>
        <b/>
        <sz val="11"/>
        <rFont val="Calibri"/>
        <family val="2"/>
        <scheme val="minor"/>
      </rPr>
      <t>P00312_2021</t>
    </r>
  </si>
  <si>
    <t>6.1.3 - Primary Review Notifications to Site/Sponsorper</t>
  </si>
  <si>
    <r>
      <t xml:space="preserve">W40 (WO22#2020) - Mai 2021 à Nov. 2021 - </t>
    </r>
    <r>
      <rPr>
        <b/>
        <sz val="11"/>
        <rFont val="Calibri"/>
        <family val="2"/>
        <scheme val="minor"/>
      </rPr>
      <t>P00324_2021</t>
    </r>
  </si>
  <si>
    <r>
      <t xml:space="preserve">Opp-192238 Amdt 1 - CRL-289874 - </t>
    </r>
    <r>
      <rPr>
        <b/>
        <sz val="11"/>
        <rFont val="Calibri"/>
        <family val="2"/>
        <scheme val="minor"/>
      </rPr>
      <t>P00323-2021</t>
    </r>
  </si>
  <si>
    <r>
      <t xml:space="preserve">Opp-192238 - CRL-289874 - </t>
    </r>
    <r>
      <rPr>
        <b/>
        <sz val="11"/>
        <rFont val="Calibri"/>
        <family val="2"/>
        <scheme val="minor"/>
      </rPr>
      <t>P00747_2020</t>
    </r>
  </si>
  <si>
    <r>
      <t xml:space="preserve">Devis OZY20063N - </t>
    </r>
    <r>
      <rPr>
        <b/>
        <sz val="11"/>
        <rFont val="Calibri"/>
        <family val="2"/>
        <scheme val="minor"/>
      </rPr>
      <t>P00321_2021</t>
    </r>
  </si>
  <si>
    <t>Tubes PAXgene ARN-2,5ml-16x100mm-CE/IVD</t>
  </si>
  <si>
    <t>Histopathology Scoring ABX464-104 - Ajout prélèvement W96</t>
  </si>
  <si>
    <r>
      <t xml:space="preserve">Devis Q2100407 - </t>
    </r>
    <r>
      <rPr>
        <b/>
        <sz val="11"/>
        <rFont val="Calibri"/>
        <family val="2"/>
        <scheme val="minor"/>
      </rPr>
      <t>P00320_2021</t>
    </r>
  </si>
  <si>
    <t>ABX464 - Technical confirmation batches (3 batches)</t>
  </si>
  <si>
    <r>
      <t>MSA_18231_W3LOA -</t>
    </r>
    <r>
      <rPr>
        <b/>
        <sz val="11"/>
        <rFont val="Calibri"/>
        <family val="2"/>
        <scheme val="minor"/>
      </rPr>
      <t xml:space="preserve"> P00167_2021</t>
    </r>
  </si>
  <si>
    <r>
      <t>MSA_18231_W3 -</t>
    </r>
    <r>
      <rPr>
        <b/>
        <sz val="11"/>
        <rFont val="Calibri"/>
        <family val="2"/>
        <scheme val="minor"/>
      </rPr>
      <t xml:space="preserve"> P00203_2021</t>
    </r>
  </si>
  <si>
    <r>
      <t>MSA_18231_W3_CO1 -</t>
    </r>
    <r>
      <rPr>
        <b/>
        <sz val="11"/>
        <rFont val="Calibri"/>
        <family val="2"/>
        <scheme val="minor"/>
      </rPr>
      <t xml:space="preserve"> P00059_2021</t>
    </r>
  </si>
  <si>
    <t>INV 00010 21003187 RI + INV 00010 21003186 RI</t>
  </si>
  <si>
    <t>30/11/2021 + 30/11/2021</t>
  </si>
  <si>
    <t>INV 00010 21003183 RI</t>
  </si>
  <si>
    <r>
      <t xml:space="preserve">(WO49#2021) - </t>
    </r>
    <r>
      <rPr>
        <b/>
        <sz val="11"/>
        <rFont val="Calibri"/>
        <family val="2"/>
        <scheme val="minor"/>
      </rPr>
      <t>P00302_2021</t>
    </r>
  </si>
  <si>
    <r>
      <t xml:space="preserve">(WO50#2021) - </t>
    </r>
    <r>
      <rPr>
        <b/>
        <sz val="11"/>
        <rFont val="Calibri"/>
        <family val="2"/>
        <scheme val="minor"/>
      </rPr>
      <t>P00307_2021</t>
    </r>
  </si>
  <si>
    <t>INV 0240/22 + INV 0311/22</t>
  </si>
  <si>
    <t>29/10/2021 + 30/11/2021</t>
  </si>
  <si>
    <t>INV FRA-002907</t>
  </si>
  <si>
    <t>INV PJ20183955</t>
  </si>
  <si>
    <t>INV PJ20183886</t>
  </si>
  <si>
    <t>PJ20183886</t>
  </si>
  <si>
    <t>FACT CLI/2019/03/ABI/01du 08/03/2019 + FACT CLI/2019/04/ABI/01 du 12/04/2019 + FACT CLI/2019/05/ABI/01 du 10/05/2019 + FACT CLI/2019/06/ABI/01 du 11/06/2019 + FACT CLI/2019/07/ABI/01 du 10/07/2019 + FACT CLI/2019/08/ABI/01 du 12/05/2019 + FACT CLI/2019/08/ABI/01 du 12/05/2019 + FACT CLI/2019/09/ABI/02 du 12/09/2019 + FACT CLI/2019/10/ABI/05 du 29/10/2019 + FACT CLI/2019/11/ABI/03 du 25/11/2019</t>
  </si>
  <si>
    <t>ecart de 7 490 € car facturé 85 650 au lieu de 78 160 sur le WO1</t>
  </si>
  <si>
    <t>INV CLI/2019/12/ABI/04 + INV CLI/2020/01/ABI/03 + INV CLI/2020/02/ABI/03 + INV CLI/2020/03/ABI/02 + INV CLI/2020/04/ABI/02 + INV CLI/2020/08/ABI/03 + INV/CLI/2020/09/ABI/01 + INV CLI/2020/10/ABI/01 + INV CLI/2020/11/ABI/01 + INV CLI/2020/12/ABI/05</t>
  </si>
  <si>
    <t>SERVICES MOINS LES 85 650 déjà facturé dans le WO1</t>
  </si>
  <si>
    <t>PTC MOINS LES 8060,49 déjà facturé dans le WO1</t>
  </si>
  <si>
    <t>20/12/2019 + 23/01/2020 + 27/02/2020 + 11/03/2020 + 24/09/2020 + 19/10/2020 + 28/11/2020 + 31/12/2020 + 03/02/2021 + 21/02/2021 + 06/04/2021 + 27/04/2021 + 31/05/2021 + 15/07/2021 + 07/09/2021 + 17/10/2021</t>
  </si>
  <si>
    <t>(20/12/2019 + 23/01/2020 + 27/02/2020 + 11/03/2020 + 15/04/2020 + 31/08/2020 + 24/09/2020 + 19/10/2020 + 28/11/2020)</t>
  </si>
  <si>
    <t>INV CLI/2019/12/ABI/04  + INV CLI/2020/01/ABI/03 + INV CLI/2020/02/ABI/03 + INV CLI/2020/03/ABI/02 + INV CLI/2021/08/ABI/03 + INV/CLI/2020/09/ABI/01 + INV CLI/2020/10/ABI/01 + INV CLI/2020/11/ABI/01 + INV CLI/2020/12/ABI/05 + INV CLI/2021/02/ABI/01 + INV CLI/2021/02/ABI/08 + INV CLI/2021/04/ABI/01 + INV CLI/2021/04/ABI/05 + INV CLI/2021/05/ABI/03 + INV CLI/2021/07/ABI/01 + INV CLI/2021/09/ABI/03 + INV CLI/2021/10/ABI/03</t>
  </si>
  <si>
    <t>SERVICES - 2019</t>
  </si>
  <si>
    <t>PTC - 2019</t>
  </si>
  <si>
    <t>SERVICES - 2020</t>
  </si>
  <si>
    <t>PTC - 2020</t>
  </si>
  <si>
    <t>SERVICES - 2021</t>
  </si>
  <si>
    <t>PTC - 2021</t>
  </si>
  <si>
    <t>UC-103 WO2 au MSA 20181211 + CO n°1 WO2</t>
  </si>
  <si>
    <t>INV CLI/2019/06/ABI/02 + INV CLI/2019/07/ABI/02 + INV CLI/2019/08/ABI/02 + INV CLI/2019/09/ABI/04 + INV CLI/2019/10/ABI/06 + INV CLI/2019/11/ABI/04 + INV CLI/2019/12/ABI/05</t>
  </si>
  <si>
    <t>21/06/2019 + 10/07/2019 + 12/08/2019 + 13/09/2019 + 29/10/2019 + 25/11/2019 + 20/12/2019</t>
  </si>
  <si>
    <t>INV CLI/2019/07/ABI/02 + INV CLI/2019/08/ABI/02 + INV CLI/2019/09/ABI/04 + INV CLI/2019/10/ABI/06 + INV CLI/2019/11/ABI/04 + INV CLI/2019/12/ABI/05</t>
  </si>
  <si>
    <t>10/07/2019 + 12/08/2019 + 13/09/2019 + 29/10/2019 + 25/11/2019 + 20/12/2019</t>
  </si>
  <si>
    <t>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</t>
  </si>
  <si>
    <t>23/01/2020 + 27/02/2020 + 11/03/2020 + 15/04/2020 + 21/05/2020 + 18/06/2020 + 21/07/2020 + 31/08/2020 + 24/09/2020 + 19/10/2020 + 01/12/2020 + 31/12/2020</t>
  </si>
  <si>
    <t>SERVICES 2019</t>
  </si>
  <si>
    <t>PTC 2019</t>
  </si>
  <si>
    <t>SERVICES 2020</t>
  </si>
  <si>
    <t>PTC 2020</t>
  </si>
  <si>
    <t>INV CLI/2019/05/ABI/02 + INV CLI/2019/05/ABI/03 + INV CLI/2019/06/ABI/03 + INV CLI/2019/07/ABI/04 + INV CLI/2019/09/ABI/01 + INV CLI/2019/09/ABI/05 + INV CLI/2019/10/ABI/02 + INV CLI/2019/11/ABI/02 + INV  CLI/2019/12/ABI/01</t>
  </si>
  <si>
    <t>13/05/2019 + 24/05/2019 + 28/06/2019 + 11/07/2019 + 03/09/2019 + 25/09/2019 + 09/10/2019 + 18/11/2019 + 17/12/2019</t>
  </si>
  <si>
    <t>INV CLI/2020/01/ABI/01 + INV CLI/2020/02/ABI/01 + INV CLI/2020/03/ABI/04 + INV CLI/2020/04/ABI/04 + INV CLI/2020/05/ABI/01 + INV CLI/2020/06/ABI/02 + INV CLI/2020/07/ABI/01 + INV CLI/2020/08/ABI/01 + INV CLI/2020/09/ABI/04 + INV CLI/2020/10/ABI/05 + INV CLI/2020/12/ABI/03</t>
  </si>
  <si>
    <t>23/01/2020 + 25/02/2020 + 16/03/2020 + 17/04/2020 + 13/05/2020 + 15/06/2020 + 21/07/2020 + 24/08/2020 + 28/09/2020 + 26/10/2020 + 31/12/2020</t>
  </si>
  <si>
    <t>SERVICES 2021</t>
  </si>
  <si>
    <t>PTC 2021</t>
  </si>
  <si>
    <t>INV CLI/2019/10/ABI/01 + INV CLI/2019/10/ABI/03 + INV CLI/2019/11/ABI/01 + INV CLI/2019/12/ABI/02</t>
  </si>
  <si>
    <t>02/10/2019 + 11/10/2019 + 18/11/2019 + 17/12/2019</t>
  </si>
  <si>
    <t>INV CLI/2020/01/ABI/02 + INV CLI/2020/02/ABI/02 + INV CLI/2020/03/ABI/05 + INV CLI/2020/04/ABI/05 + INV CLI/2020/05/ABI/02 + INV CLI/2020/06/ABI/01 + INV CLI/2020/07/ABI/02 + INV CLI/2020/08/ABI/02 + INV CLI/2020/09/ABI/05 + INV CLI/2020/10/ABI/04 + INV CLI/2020/12/ABI/04</t>
  </si>
  <si>
    <t>24/01/2020 + 26/02/2020 + 16/03/2020 + 28/04/2020 + 19/05/2020 + 15/06/2020 + 21/07/2020 + 24/08/2020 + 28/09/2020 + 26/10/2020 + 31/12/2020</t>
  </si>
  <si>
    <t>UC-104 WO5 WO1 et WO2 MSA 20181211</t>
  </si>
  <si>
    <t>INV CLI/2019/07/ABI/03 + INV CLI/2019/09/ABI/03 + INV CLI/2019/10/ABI/04 + INV CLI/2019/11/ABI/05 + INV CLI/2019/12/ABI/03</t>
  </si>
  <si>
    <t>10/07/2019 + 13/09/2019 + 29/10/2019 + 25/11/2019 + 20/12/2019</t>
  </si>
  <si>
    <t>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</t>
  </si>
  <si>
    <t>23/01/2020 + 27/02/2020 + 11/03/2020 + 17/04/2020 + 21/05/2020 + 18/06/2020 + 21/07/2020 + 31/08/2020 + 24/09/2020 + 19/10/2020 + 01/12/2020 + 31/12/2020</t>
  </si>
  <si>
    <t>Audit 5 sites - Pologne - Audit 1 site 3316</t>
  </si>
  <si>
    <t>Audit 5 sites - Pologne - Audit 2 site 4104</t>
  </si>
  <si>
    <t>Audit 5 sites - Pologne - Audit 5 Site 4303</t>
  </si>
  <si>
    <t>Audit 5 sites - Pologne - Audit 4 Site 3905</t>
  </si>
  <si>
    <t xml:space="preserve">Voir avec Véronica </t>
  </si>
  <si>
    <r>
      <t xml:space="preserve">Mail du 24/03/2021 - </t>
    </r>
    <r>
      <rPr>
        <b/>
        <sz val="11"/>
        <rFont val="Calibri"/>
        <family val="2"/>
        <scheme val="minor"/>
      </rPr>
      <t>P00096_2021</t>
    </r>
  </si>
  <si>
    <t>Facture Clinmak a venir cf mail du 07/12/21</t>
  </si>
  <si>
    <t>INV BCI-0035980 + INV BCI-0036764 + INV BCI-0036955 + INV BCI-0037859 + INV BCI-0043764 + INV BCI-0045600 + INV BCI-0046585 + INV BCI-0047560 + INV BCI-0048511 + INV BCI-0049572 + INV BCI-0050566 + INV BCI-0053752 - BCI-CM-0003034</t>
  </si>
  <si>
    <t>30/04/2020 + 31/05/2020 + 30/06/2020 + 31/07/2020 + 31/01/2021 + 31/03/2021 + 30/04/2021 + 31/05/2021 + 30/06/2021 + 31/07/2021 + 31/08/2021 + 30/11/2021 + 06/12/2021</t>
  </si>
  <si>
    <t>INV BCI-0051545 + INV BCI-0052640 + INV BCI-0053752 - BCI-CM-0003034</t>
  </si>
  <si>
    <t>30/09/2021 + 31/10/2021 + 30/11/2021 + 06/12/2021</t>
  </si>
  <si>
    <t>INV SI21-559281</t>
  </si>
  <si>
    <t>Start-up trial activities and PTC</t>
  </si>
  <si>
    <t>03/02/2021 + 21/02/2021 + 06/04/2021 + 27/04/2021 + 31/05/2021 + 15/07/2021 + 11/08/2021 + 07/09/2021 + 17/10/2021 + 12/11/2021 + 05/12/2021</t>
  </si>
  <si>
    <t>INV CLI/2021/02/ABI/03 + INV CLI/2021/02/ABI/10 + INV CLI/2021/04/ABI/03 + INV CLI/2021/04/ABI/07 + INV CLI/2021/05/ABI/05 + INV CLI/2021/07/ABI/03 + INV CLI/2021/08/ABI/04 + INV CLI/2021/09/ABI/02 + INV CLI/2021/10/ABI/02 + INV CLI/2021/11/ABI/02 + INV CLI/2021/12/ABI/02</t>
  </si>
  <si>
    <t>INV 407289 + INV 5148232 + INV 407395 + INV 407403 + INV 407404 + INV 407496 + INV 407541 + INV 407621 + INV 407717 + INV 407811 + INV 407890 + INV 407979 + INV 408044 + INV 408113 + INV 408243 + INV 408386 + INV 408384 + INV 408467 + INV 408599 + INV 408621 + INV 409052 + INV 409286 + INV 409309 + INV 40572 + INV 409608 + INV 408776 + INV 409922 + INV 410041</t>
  </si>
  <si>
    <t>23/08/2019 + 15/08/2019 + 27/09/2019 + 08/10/2019 + 08/10/2019 bis + 31/10/2019 + 28/11/2019 + 18/12/2019 + 29/01/2020 + 26/02/2020 + 27/03/2020 + 29/04/2020 + 26/05/2020 + 16/06/2020 + 27/07/2020 + 23/09/2020 + 23/09/2020 + 16/10/2020 + 26/11/2020 + 12/12/2020 + 29/04/2021 + 23/06/2021 + 28/06/2021 + 06/08/2021 + 18/08/2021 + 01/10/2021 + 02/11/2021 + 03/12/2021</t>
  </si>
  <si>
    <t>INV FA796384</t>
  </si>
  <si>
    <t>INV PJ20212826</t>
  </si>
  <si>
    <t>INV PJ20212816</t>
  </si>
  <si>
    <t>INV-1045 + INV-1046 + INV-1050</t>
  </si>
  <si>
    <t>04/10/2021 + 02/11/2021 + 01/12/2021</t>
  </si>
  <si>
    <t>Audit Sites UC104 - French sites Site 3307</t>
  </si>
  <si>
    <t>INV 109456</t>
  </si>
  <si>
    <t>INV 109454</t>
  </si>
  <si>
    <t>Carcino 2 ans rats</t>
  </si>
  <si>
    <r>
      <t xml:space="preserve">PH21028A4 - </t>
    </r>
    <r>
      <rPr>
        <b/>
        <sz val="11"/>
        <rFont val="Calibri"/>
        <family val="2"/>
        <scheme val="minor"/>
      </rPr>
      <t>P00343_2021</t>
    </r>
  </si>
  <si>
    <t>Additional Cost for comparison of concentrations from Study ABX464-301</t>
  </si>
  <si>
    <t>TO control batch n°103508P004</t>
  </si>
  <si>
    <t>P00341_2021</t>
  </si>
  <si>
    <r>
      <t>OPP-185865 Amdt 1 -  Study CRL-278830 -</t>
    </r>
    <r>
      <rPr>
        <b/>
        <sz val="11"/>
        <rFont val="Calibri"/>
        <family val="2"/>
        <scheme val="minor"/>
      </rPr>
      <t xml:space="preserve"> P00340_2021</t>
    </r>
  </si>
  <si>
    <r>
      <t xml:space="preserve">Devis D217276 - </t>
    </r>
    <r>
      <rPr>
        <b/>
        <sz val="11"/>
        <rFont val="Calibri"/>
        <family val="2"/>
        <scheme val="minor"/>
      </rPr>
      <t>P00335_2021</t>
    </r>
  </si>
  <si>
    <r>
      <t xml:space="preserve">2111079 rev. 00 - </t>
    </r>
    <r>
      <rPr>
        <b/>
        <sz val="11"/>
        <rFont val="Calibri"/>
        <family val="2"/>
        <scheme val="minor"/>
      </rPr>
      <t>P00326_2021</t>
    </r>
  </si>
  <si>
    <t>ABX196 GMP sample analysis</t>
  </si>
  <si>
    <t>INV FRA-002922</t>
  </si>
  <si>
    <t>INV 59000413</t>
  </si>
  <si>
    <t>INV FA008880 + INV 59000413</t>
  </si>
  <si>
    <t>INV 59000136 + INV 59000202 + INV 59000413</t>
  </si>
  <si>
    <t>INV 59000248 + INV 59000413</t>
  </si>
  <si>
    <t>26/03/2021 + 07/12/2021</t>
  </si>
  <si>
    <t>08/06/2021 + 19/07/2021 + 07/12/2021</t>
  </si>
  <si>
    <t>19/08/2021 + 07/12/2021</t>
  </si>
  <si>
    <t>INV 109443 + INV 109463</t>
  </si>
  <si>
    <t>15/11/2021 + 07/12/2021</t>
  </si>
  <si>
    <t>Fini cf SK 13/12/2021</t>
  </si>
  <si>
    <t>INV FRA-002530 + INV FRA-002583 + INV FRA-002618 + INV FRA-002657 + INV FRA-002704 + INV FRA-002739 + INV FRA-002806 + INV FRA-002870 + INV FRA-002936</t>
  </si>
  <si>
    <t>09/04/2021 + 17/05/2021 + 09/06/2021 + 13/07/2021 + 12/08/2021 + 08/09/2021 + 14/10/2021 + 10/11/2021 + 07/12/2021</t>
  </si>
  <si>
    <t>INV 58001785</t>
  </si>
  <si>
    <t>INV 58001705</t>
  </si>
  <si>
    <t>Monthly Payment 8</t>
  </si>
  <si>
    <t>Monthly Payment 9</t>
  </si>
  <si>
    <t>INV 20210411</t>
  </si>
  <si>
    <t>INV 47026268</t>
  </si>
  <si>
    <t>INV 0321/22 + INV 0341/22</t>
  </si>
  <si>
    <t>30/11/2021 + 14/12/2021</t>
  </si>
  <si>
    <t>INV 1032111830 + 1032111829 + 1032111828</t>
  </si>
  <si>
    <t>INV GR00369838</t>
  </si>
  <si>
    <t>INV GR00369894</t>
  </si>
  <si>
    <t>INV GR00369840</t>
  </si>
  <si>
    <t>Conditionnement, Stockage, Distribution et destruction</t>
  </si>
  <si>
    <t>tox</t>
  </si>
  <si>
    <t>APTU</t>
  </si>
  <si>
    <t>INV FA215622</t>
  </si>
  <si>
    <t>INV FA211026 + INV FA213212 + INV FA213768 + INV FA214207 + INV FA214943 + FA215608</t>
  </si>
  <si>
    <t>31/03/2021 + 30/07/2021 + 31/08/2021 + 30/09/2021 + 29/10/2021 + 30/11/2021</t>
  </si>
  <si>
    <t>MD ANDERSON</t>
  </si>
  <si>
    <t>Patient fee 2021</t>
  </si>
  <si>
    <t>Reliquat - 2020 FNP + 2022 et après</t>
  </si>
  <si>
    <t>UC105</t>
  </si>
  <si>
    <r>
      <t xml:space="preserve">Devis 13040-1 - </t>
    </r>
    <r>
      <rPr>
        <b/>
        <sz val="11"/>
        <rFont val="Calibri"/>
        <family val="2"/>
        <scheme val="minor"/>
      </rPr>
      <t>P00334_2021</t>
    </r>
  </si>
  <si>
    <t>ABX464-105 and 106 blister cards</t>
  </si>
  <si>
    <r>
      <t xml:space="preserve">Devis AR 2021-00073 - </t>
    </r>
    <r>
      <rPr>
        <b/>
        <sz val="11"/>
        <rFont val="Calibri"/>
        <family val="2"/>
        <scheme val="minor"/>
      </rPr>
      <t>P00347_2021</t>
    </r>
  </si>
  <si>
    <t xml:space="preserve">studies Rearchiving </t>
  </si>
  <si>
    <t>INV 47609176</t>
  </si>
  <si>
    <t>INV 59000436</t>
  </si>
  <si>
    <t>INV 177.21.53 + INV 179.21.55</t>
  </si>
  <si>
    <t>15/12/2021 + 17/12/2021</t>
  </si>
  <si>
    <r>
      <t xml:space="preserve">(WO51#2021) - </t>
    </r>
    <r>
      <rPr>
        <b/>
        <sz val="11"/>
        <rFont val="Calibri"/>
        <family val="2"/>
        <scheme val="minor"/>
      </rPr>
      <t>P00306_2021</t>
    </r>
  </si>
  <si>
    <t>ICH Stability studies on the milled J003 batches</t>
  </si>
  <si>
    <r>
      <t>SRV_21132</t>
    </r>
    <r>
      <rPr>
        <b/>
        <sz val="11"/>
        <color theme="1"/>
        <rFont val="Calibri"/>
        <family val="2"/>
        <scheme val="minor"/>
      </rPr>
      <t xml:space="preserve"> - P00317_2021</t>
    </r>
  </si>
  <si>
    <t xml:space="preserve">ABX464 &amp; ABX464-NGlu oral Pk study in Long </t>
  </si>
  <si>
    <t xml:space="preserve"> 4 Week Oral Toxicity Study in wt mice ABX464-Nglu</t>
  </si>
  <si>
    <r>
      <t xml:space="preserve">Devis 12954 - </t>
    </r>
    <r>
      <rPr>
        <b/>
        <sz val="11"/>
        <rFont val="Calibri"/>
        <family val="2"/>
        <scheme val="minor"/>
      </rPr>
      <t>P00244_2021</t>
    </r>
    <r>
      <rPr>
        <sz val="11"/>
        <rFont val="Calibri"/>
        <family val="2"/>
        <scheme val="minor"/>
      </rPr>
      <t xml:space="preserve"> + Amdt 1 -</t>
    </r>
    <r>
      <rPr>
        <b/>
        <sz val="11"/>
        <rFont val="Calibri"/>
        <family val="2"/>
        <scheme val="minor"/>
      </rPr>
      <t>P00333_2021</t>
    </r>
  </si>
  <si>
    <t>ABX464-108 packing of 25mg 30-capsule bottles + Distribution</t>
  </si>
  <si>
    <r>
      <t xml:space="preserve">MSA_18231_W3 - WO1 </t>
    </r>
    <r>
      <rPr>
        <b/>
        <sz val="11"/>
        <rFont val="Calibri"/>
        <family val="2"/>
        <scheme val="minor"/>
      </rPr>
      <t>- P00336_2021</t>
    </r>
  </si>
  <si>
    <r>
      <t xml:space="preserve">MSA_18231_W3  </t>
    </r>
    <r>
      <rPr>
        <b/>
        <sz val="11"/>
        <rFont val="Calibri"/>
        <family val="2"/>
        <scheme val="minor"/>
      </rPr>
      <t xml:space="preserve">- P00203_2021 </t>
    </r>
    <r>
      <rPr>
        <sz val="11"/>
        <rFont val="Calibri"/>
        <family val="2"/>
        <scheme val="minor"/>
      </rPr>
      <t>+ WO1 -</t>
    </r>
    <r>
      <rPr>
        <b/>
        <sz val="11"/>
        <rFont val="Calibri"/>
        <family val="2"/>
        <scheme val="minor"/>
      </rPr>
      <t xml:space="preserve"> P00336_2021</t>
    </r>
  </si>
  <si>
    <t>Cytokines Simplex protocol development</t>
  </si>
  <si>
    <r>
      <t>Q2100226 -</t>
    </r>
    <r>
      <rPr>
        <b/>
        <sz val="11"/>
        <rFont val="Calibri"/>
        <family val="2"/>
        <scheme val="minor"/>
      </rPr>
      <t xml:space="preserve"> P00342_2021</t>
    </r>
  </si>
  <si>
    <t>MANUFACTURE OF TECHNICAL BATCHES ABX464 CAPSULE</t>
  </si>
  <si>
    <r>
      <t>DDR 2022 027 V1 -</t>
    </r>
    <r>
      <rPr>
        <b/>
        <sz val="11"/>
        <rFont val="Calibri"/>
        <family val="2"/>
        <scheme val="minor"/>
      </rPr>
      <t xml:space="preserve"> P00348_2021</t>
    </r>
  </si>
  <si>
    <r>
      <t xml:space="preserve">DDR 2022 035 V1 - </t>
    </r>
    <r>
      <rPr>
        <b/>
        <sz val="11"/>
        <rFont val="Calibri"/>
        <family val="2"/>
        <scheme val="minor"/>
      </rPr>
      <t>P00349_2021</t>
    </r>
  </si>
  <si>
    <t>stability study on 4 technical batches</t>
  </si>
  <si>
    <r>
      <t xml:space="preserve">Devis 12892-1 Avt 3 - </t>
    </r>
    <r>
      <rPr>
        <b/>
        <sz val="11"/>
        <rFont val="Calibri"/>
        <family val="2"/>
        <scheme val="minor"/>
      </rPr>
      <t>P00652_2021</t>
    </r>
  </si>
  <si>
    <t>Stability ABX464 T1 2021</t>
  </si>
  <si>
    <t>Amendement 4 WO004</t>
  </si>
  <si>
    <t>Signature of Amendment #4</t>
  </si>
  <si>
    <r>
      <t xml:space="preserve">WO004 - P00319_2019 + </t>
    </r>
    <r>
      <rPr>
        <b/>
        <sz val="16"/>
        <color theme="9"/>
        <rFont val="Calibri"/>
        <family val="2"/>
        <scheme val="minor"/>
      </rPr>
      <t>Amdt 1 WO004</t>
    </r>
    <r>
      <rPr>
        <b/>
        <sz val="16"/>
        <rFont val="Calibri"/>
        <family val="2"/>
        <scheme val="minor"/>
      </rPr>
      <t xml:space="preserve"> +</t>
    </r>
    <r>
      <rPr>
        <b/>
        <sz val="16"/>
        <color theme="5"/>
        <rFont val="Calibri"/>
        <family val="2"/>
        <scheme val="minor"/>
      </rPr>
      <t xml:space="preserve"> Amendement 2 WO004 </t>
    </r>
    <r>
      <rPr>
        <b/>
        <sz val="16"/>
        <rFont val="Calibri"/>
        <family val="2"/>
        <scheme val="minor"/>
      </rPr>
      <t>+</t>
    </r>
    <r>
      <rPr>
        <b/>
        <sz val="16"/>
        <color theme="4"/>
        <rFont val="Calibri"/>
        <family val="2"/>
        <scheme val="minor"/>
      </rPr>
      <t xml:space="preserve"> Amendement 3 WO004</t>
    </r>
    <r>
      <rPr>
        <b/>
        <sz val="16"/>
        <rFont val="Calibri"/>
        <family val="2"/>
        <scheme val="minor"/>
      </rPr>
      <t xml:space="preserve"> + Amendement 4 WO004 </t>
    </r>
  </si>
  <si>
    <t>INV 00010 21003487 RI + INV 00010 21003421 RI</t>
  </si>
  <si>
    <t>23/12/2021 + 20/12/2021</t>
  </si>
  <si>
    <t>INV 109478</t>
  </si>
  <si>
    <t>INV 109473</t>
  </si>
  <si>
    <t>INV PJ20213202</t>
  </si>
  <si>
    <t>INV PJ20213204</t>
  </si>
  <si>
    <t>INV FRA-002982</t>
  </si>
  <si>
    <t>INV 22100067 + INV 22100200 + INV 22100344 + INV 22100476 + INV 22100621 + INV 22100723 + INV 22100867 + INV 22100967 + INV 22101124 + INV 22101260 + INV 22101309 + INV 22101514</t>
  </si>
  <si>
    <t>22/01/2021 + 18/02/2021 + 23/03/2021 + 22/04/2021 + 31/05/2021 + 22/06/2021 + 23/07/2021 + 22/08/2021 + 23/09/2021 + 20/10/2021 + 18/11/2021 + 21/12/2021</t>
  </si>
  <si>
    <t>INV 22100067 + INV 22100200 + INV 22100344 + INV 22100476 + INV 22100621 + INV 22100723 + INV 22100867 + INV 22100967 + INV 22101260 + INV 22101309 + INV 22101514</t>
  </si>
  <si>
    <t>22/01/2021 + 18/02/2021 + 23/03/2021 + 22/04/2021 + 31/05/2021 + 22/06/2021 + 23/07/2021 + 22/08/2021 + 20/10/2021 + 18/11/2021 + 21/12/2021</t>
  </si>
  <si>
    <t>INV 22100068 + INV 22100201 + INV 22100345 + INV 22100477 + INV 22100601 + INV 22100724 + INV 22100868 + INV 22100968 + INV 22101141 + INV 22101262 + INV 22101310 + INV 22101515</t>
  </si>
  <si>
    <t>22/01/2021 + 18/02/2021 + 23/03/2021 + 22/04/2021 + 21/05/2021 + 22/06/2021 + 23/07/2021 + 22/08/2021 + 27/09/2021 + 20/10/2021 + 18/11/2021 + 21/12/2021</t>
  </si>
  <si>
    <t>INV PJ202113017</t>
  </si>
  <si>
    <t>INV 21003746</t>
  </si>
  <si>
    <t>INV 59000186</t>
  </si>
  <si>
    <t>06/07/2021 (recu en 12/2021)</t>
  </si>
  <si>
    <t>INV 10017230</t>
  </si>
  <si>
    <t>06/03/2020 (recu 12/2021)</t>
  </si>
  <si>
    <r>
      <t xml:space="preserve">(WO52#2021) - </t>
    </r>
    <r>
      <rPr>
        <b/>
        <sz val="11"/>
        <rFont val="Calibri"/>
        <family val="2"/>
        <scheme val="minor"/>
      </rPr>
      <t>P00319_2021</t>
    </r>
  </si>
  <si>
    <t>Milling of 100 kg of ABX-464</t>
  </si>
  <si>
    <t>INV 00010 21003439 RI</t>
  </si>
  <si>
    <r>
      <t xml:space="preserve">EVT11199 - </t>
    </r>
    <r>
      <rPr>
        <b/>
        <sz val="11"/>
        <rFont val="Calibri"/>
        <family val="2"/>
        <scheme val="minor"/>
      </rPr>
      <t>P00010_2022</t>
    </r>
  </si>
  <si>
    <r>
      <t xml:space="preserve">EVT11199 - </t>
    </r>
    <r>
      <rPr>
        <b/>
        <sz val="11"/>
        <rFont val="Calibri"/>
        <family val="2"/>
        <scheme val="minor"/>
      </rPr>
      <t>P00009_2022</t>
    </r>
  </si>
  <si>
    <t>INV PJ20212706</t>
  </si>
  <si>
    <t>31/08/2021 + 29/10/2021 + 30/11/2021 + 31/12/2021</t>
  </si>
  <si>
    <t>INV FA216019</t>
  </si>
  <si>
    <t>INV COC11201  + INV CZC11212  + INV CPC11202  + INV FA210020  + INV CQC11203  + INV FA210515  + INV CRC11204  + INV FA211533  + INV CSC11205  + INV FA212031  + INV CUC11207  + INV FA211037 + INV CVC11208  + INV CTC11206  + INV CWC11209  + INV CXC11210  + INV CYC11211  + INV FA210020 + INV FA212710 + INV FA213246 + INV FA213769 + INV FA214208 + FA214950 + FA215622 + FA216019</t>
  </si>
  <si>
    <t>31/12/2020 + 31/01/2020 +  29/01/2021 +  28/02/2020  +  29/01/2021  +  31/03/2020  +  26/02/2021  +  30/04/2020  +  30/04/2021  +  29/05/2020  +  31/05/2021  +  31/07/2020  +  31/03/2021 +  31/08/2020  +  30/06/2020  +  30/09/2020  +  30/10/2020  +  31/12/2020 + 30/06/2021 + 30/07/2021 + 31/08/2021 + 30/09/2021 + 29/10/2021 + 30/11/2021 + 31/12/2021</t>
  </si>
  <si>
    <t>INV FA216030</t>
  </si>
  <si>
    <t>INV AC210001 + INV FA213172 + Inv FA216033</t>
  </si>
  <si>
    <t>26/07/2021 + 30/07/2021 + 31/12/2021</t>
  </si>
  <si>
    <t>INV IV-10210596-ABI + INV IV-12210709-ABI</t>
  </si>
  <si>
    <t>31/10/2021 + 31/12/2021</t>
  </si>
  <si>
    <t>INV F21-1059</t>
  </si>
  <si>
    <t>INV 1/BK/2021</t>
  </si>
  <si>
    <r>
      <t>DDR 2022 027 V1 -</t>
    </r>
    <r>
      <rPr>
        <b/>
        <sz val="11"/>
        <rFont val="Calibri"/>
        <family val="2"/>
        <scheme val="minor"/>
      </rPr>
      <t xml:space="preserve"> P00325_2021</t>
    </r>
  </si>
  <si>
    <t>CHARLES RIVER EVREUX (CITOXLAB)</t>
  </si>
  <si>
    <t>CITOXLAB - CHARLES RIVER EVREUX</t>
  </si>
  <si>
    <r>
      <t>Devis 12891-1 - Amdt 2 -</t>
    </r>
    <r>
      <rPr>
        <b/>
        <sz val="11"/>
        <rFont val="Calibri"/>
        <family val="2"/>
        <scheme val="minor"/>
      </rPr>
      <t xml:space="preserve"> P00018_2022</t>
    </r>
  </si>
  <si>
    <t>ABX464-105/106 Packaging material purchase</t>
  </si>
  <si>
    <r>
      <t xml:space="preserve">ZNA79291 CO n°8 - APTU - </t>
    </r>
    <r>
      <rPr>
        <b/>
        <sz val="11"/>
        <rFont val="Calibri"/>
        <family val="2"/>
        <scheme val="minor"/>
      </rPr>
      <t>P00025_2022</t>
    </r>
  </si>
  <si>
    <t>Dev of Solid Oral Dosage Form (Solid Dispersion) - CO8 Extended storage for remainging materials</t>
  </si>
  <si>
    <t>CEVQ2022.01.01</t>
  </si>
  <si>
    <t>ocular exam 4-week study</t>
  </si>
  <si>
    <t>JK Biostatistics AB (Kowalski)</t>
  </si>
  <si>
    <t>P00016_2022</t>
  </si>
  <si>
    <t>Biostat advisor Phase 3</t>
  </si>
  <si>
    <t>INV 109492</t>
  </si>
  <si>
    <t>INV 109491</t>
  </si>
  <si>
    <t>RA302 - WO006 - PTC - investigators fees S2 2020 + RELIQUAT</t>
  </si>
  <si>
    <t>CHARLES RIVER ST NAZAIRE (ATLANBIO)</t>
  </si>
  <si>
    <t>INV 00010 22000042 RI</t>
  </si>
  <si>
    <t>INV E21-419281 + INV E21-465281 + INV E21-522281 + INV E22-020281 + INV I22-022281 + INV E22-021281</t>
  </si>
  <si>
    <t>22/09/2021 + 15/10/2021 + 24/11/2021 + 11/01/2022 + 11/01/2022 + 11/01/2022</t>
  </si>
  <si>
    <r>
      <t xml:space="preserve">Quote 20220105_01_NBR_104 - </t>
    </r>
    <r>
      <rPr>
        <b/>
        <sz val="11"/>
        <color theme="1"/>
        <rFont val="Calibri"/>
        <family val="2"/>
        <scheme val="minor"/>
      </rPr>
      <t>P00007_2022</t>
    </r>
  </si>
  <si>
    <t>Mir124 determination ABX464-104 clinical samples</t>
  </si>
  <si>
    <t>INV 165 + INV 92 + INV 167 + INV 180 + INV 193 + INV 227 + INV 241 + INV 265 + INV 3</t>
  </si>
  <si>
    <t>21/12/2020 + 04/05/2021 + 06/07/2021 + 30/07/2021 + 25/08/2021 + 27/10/2021 + 24/11/2021 + 31/12/2021 + 13/01/2022</t>
  </si>
  <si>
    <t>INV FRA-003024</t>
  </si>
  <si>
    <t>INV FRA-003014</t>
  </si>
  <si>
    <t>INV 20210371 + INV 20220006</t>
  </si>
  <si>
    <t>15/11/2021 + 14/01/2022</t>
  </si>
  <si>
    <t>INVOC1005613</t>
  </si>
  <si>
    <t>INV 10000746</t>
  </si>
  <si>
    <t>IV-12210709-ABI</t>
  </si>
  <si>
    <t>Central labs translational research - Amendement</t>
  </si>
  <si>
    <t>INV 56411 + INV 62433</t>
  </si>
  <si>
    <t>16/09/2021 + 15/10/2021</t>
  </si>
  <si>
    <t>DELPHARM LILLE</t>
  </si>
  <si>
    <r>
      <t xml:space="preserve">L21_3437A - </t>
    </r>
    <r>
      <rPr>
        <b/>
        <sz val="11"/>
        <rFont val="Calibri"/>
        <family val="2"/>
        <scheme val="minor"/>
      </rPr>
      <t>P00026_2022</t>
    </r>
  </si>
  <si>
    <t>ABX464, 6.25mg &amp; 12.5mg &amp; 25mg &amp; 50mg, gélule - Lots cliniques Q1 2022</t>
  </si>
  <si>
    <t>IQVIA UK</t>
  </si>
  <si>
    <t>INV 4124628151</t>
  </si>
  <si>
    <t>INV 2021100167</t>
  </si>
  <si>
    <t>VI. PTC Transport and Rental - 2022</t>
  </si>
  <si>
    <t>V. Laboratory Analysis - 2022</t>
  </si>
  <si>
    <t>IV. Specimen Management - 2022</t>
  </si>
  <si>
    <t>II. Project &amp; Data Management - 2022</t>
  </si>
  <si>
    <t>III. Kits &amp; Supplies -2022</t>
  </si>
  <si>
    <t>IV. Speciemen Management - 2022</t>
  </si>
  <si>
    <t>VI. PTC - 2022</t>
  </si>
  <si>
    <t>INV CLI/2021/02/ABI/05 + INV CLI/2021/02/ABI/07 + INV CLI/2021/05/ABI/02 + INV CLI/2021/06/ABI/02 + INV CLI/2021/08/ABI/01 + INV CLI/2021/12/ABI/03 + INV CLI/2022/01/ABI/01</t>
  </si>
  <si>
    <t>10/02/2021 + 21/02/2021 + 11/05/2021 + 21/06/2021 + 11/08/2021 + 05/12/2021 + 26/01/2022</t>
  </si>
  <si>
    <r>
      <t xml:space="preserve">DDR 2022 035 V1 (option part) - </t>
    </r>
    <r>
      <rPr>
        <b/>
        <sz val="11"/>
        <rFont val="Calibri"/>
        <family val="2"/>
        <scheme val="minor"/>
      </rPr>
      <t>P00355_2021</t>
    </r>
  </si>
  <si>
    <t>INV 0233/21 + INV 0320/21 + INV 0312/21 + INV 0355/21 + INV 0394/21 + INV 0446/21 + INV 0524/21 + INV 0563/21 + INV 0604/21 + INV 0626/21 + INV 0716/21 + INV 0851/21 + INV 0906/21 + INV 0450/22</t>
  </si>
  <si>
    <t>29/10/2020 + 30/11/2020 + 30/11/2020 + 21/12/2020 + 14/01/2021 + 28/01/2021 + 28/02/2021 + 23/03/2021 + 31/03/2021 + 15/04/2021 + 19/05/2021 + 25/06/2021 + 29/06/2021 + 28/01/2022</t>
  </si>
  <si>
    <t>INV PJ20220163</t>
  </si>
  <si>
    <t>INV PJ20220213</t>
  </si>
  <si>
    <t>INV SI_KSA2107081</t>
  </si>
  <si>
    <t>X</t>
  </si>
  <si>
    <t>INV PJ20220037</t>
  </si>
  <si>
    <t>INV 7642 + INV 7756 + INV 7881 + INV 7979 + INV 8100 + INV 8312</t>
  </si>
  <si>
    <t>31/07/2021 + 31/08/2021 + 30/09/2021 + 31/10/2021 + 30/11/2021 + 31/01/2022</t>
  </si>
  <si>
    <t>INV-1040 + INV-1045 + INV-1046 + INV-1050 + INV-1056</t>
  </si>
  <si>
    <t>06/08/2021 + 04/10/2021 + 02/11/2021 + 01/12/2021 + 04/02/2022</t>
  </si>
  <si>
    <r>
      <t xml:space="preserve">BC-ABI-2201244 - </t>
    </r>
    <r>
      <rPr>
        <b/>
        <sz val="11"/>
        <color theme="1"/>
        <rFont val="Calibri"/>
        <family val="2"/>
        <scheme val="minor"/>
      </rPr>
      <t>P00033_2022</t>
    </r>
  </si>
  <si>
    <t>EFS</t>
  </si>
  <si>
    <t>PREP B3111</t>
  </si>
  <si>
    <t>ABX464 BU</t>
  </si>
  <si>
    <r>
      <t xml:space="preserve">Commande du 08/02/2022 - </t>
    </r>
    <r>
      <rPr>
        <b/>
        <sz val="11"/>
        <rFont val="Calibri"/>
        <family val="2"/>
        <scheme val="minor"/>
      </rPr>
      <t>P00049_2022</t>
    </r>
  </si>
  <si>
    <r>
      <t xml:space="preserve">Commande du 08/02/2022 - </t>
    </r>
    <r>
      <rPr>
        <b/>
        <sz val="11"/>
        <rFont val="Calibri"/>
        <family val="2"/>
        <scheme val="minor"/>
      </rPr>
      <t>P00050_2022</t>
    </r>
  </si>
  <si>
    <t>ABX464 storage fo phase 3 studies</t>
  </si>
  <si>
    <r>
      <t xml:space="preserve">Devis 13121-1 - </t>
    </r>
    <r>
      <rPr>
        <b/>
        <sz val="11"/>
        <rFont val="Calibri"/>
        <family val="2"/>
        <scheme val="minor"/>
      </rPr>
      <t>P00003_2022</t>
    </r>
  </si>
  <si>
    <r>
      <t xml:space="preserve">UC-102 - WO003 Amt 4 - </t>
    </r>
    <r>
      <rPr>
        <b/>
        <sz val="11"/>
        <color theme="9" tint="0.39997558519241921"/>
        <rFont val="Calibri"/>
        <family val="2"/>
        <scheme val="minor"/>
      </rPr>
      <t>P00023_2022</t>
    </r>
  </si>
  <si>
    <r>
      <t xml:space="preserve">(WO53#2022) - </t>
    </r>
    <r>
      <rPr>
        <b/>
        <sz val="11"/>
        <rFont val="Calibri"/>
        <family val="2"/>
        <scheme val="minor"/>
      </rPr>
      <t>P00032_2022</t>
    </r>
  </si>
  <si>
    <t>Forced degradation study</t>
  </si>
  <si>
    <t xml:space="preserve"> 4 Week Oral Toxicity Study in wt mice ABX464-Nglu - add cost</t>
  </si>
  <si>
    <r>
      <t xml:space="preserve">CO1 au Devis 06042019_v2 - </t>
    </r>
    <r>
      <rPr>
        <b/>
        <sz val="11"/>
        <rFont val="Calibri"/>
        <family val="2"/>
        <scheme val="minor"/>
      </rPr>
      <t>P00043_2022</t>
    </r>
    <r>
      <rPr>
        <sz val="11"/>
        <rFont val="Calibri"/>
        <family val="2"/>
        <scheme val="minor"/>
      </rPr>
      <t xml:space="preserve"> (P00337_2019)</t>
    </r>
  </si>
  <si>
    <t>Supplément 2019_PO337</t>
  </si>
  <si>
    <t>Synthesis / 30 g / 2 runs for IP purpose</t>
  </si>
  <si>
    <r>
      <t>Devis 12112-1 Avenant 3 -</t>
    </r>
    <r>
      <rPr>
        <b/>
        <sz val="11"/>
        <rFont val="Calibri"/>
        <family val="2"/>
        <scheme val="minor"/>
      </rPr>
      <t xml:space="preserve"> P00046_2022</t>
    </r>
  </si>
  <si>
    <t>ABX464-104 Ukraine and Canada activities</t>
  </si>
  <si>
    <r>
      <t xml:space="preserve">RA ABX464-302 WO006 </t>
    </r>
    <r>
      <rPr>
        <sz val="11"/>
        <color theme="9" tint="-0.249977111117893"/>
        <rFont val="Calibri"/>
        <family val="2"/>
        <scheme val="minor"/>
      </rPr>
      <t>Amdt 4</t>
    </r>
  </si>
  <si>
    <t>signature Amdt 4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</si>
  <si>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  <r>
      <rPr>
        <sz val="11"/>
        <rFont val="Calibri"/>
        <family val="2"/>
        <scheme val="minor"/>
      </rPr>
      <t xml:space="preserve"> +</t>
    </r>
    <r>
      <rPr>
        <sz val="11"/>
        <color theme="9" tint="-0.249977111117893"/>
        <rFont val="Calibri"/>
        <family val="2"/>
        <scheme val="minor"/>
      </rPr>
      <t xml:space="preserve"> Amdt 004</t>
    </r>
  </si>
  <si>
    <r>
      <t xml:space="preserve">RA ABX464-302 WO006 + Amdt 001 + Amdt 002 + </t>
    </r>
    <r>
      <rPr>
        <sz val="11"/>
        <color theme="9" tint="-0.249977111117893"/>
        <rFont val="Calibri"/>
        <family val="2"/>
        <scheme val="minor"/>
      </rPr>
      <t>Amdt 004</t>
    </r>
  </si>
  <si>
    <t>INV 108764 + INV 108785 + 108826 + INV 108871 + INV 108908 + INV 108954 +9 INV 108986 + INV 109059 + INV 109073 + INV 109107 + INV 109141 + INV 109158 + INV 109195 + INV 109248 + INV 109283 + INV 109315 + INV 109382 + INV 109423 + INV 109438 + INV 109476 + INV 109500 + INV 108701 + INV 109225 + INV 109315</t>
  </si>
  <si>
    <t>24/10/2019 + 11/11/2019 + 31/12/2019 + 26/02/2020 + 23/04/2020 + 04/06/2020 + 07/07/2020 + 13/10/2020 + 05/11/2020 + 10/12/2020 + 25/01/2021 + 10/02/2021 + 11/03/2021 + 11/05/2021 + 14/06/2021 + 13/07/2021 + 10/09/2021 + 21/10/2021 + 08/11/2021 + 23/12/2021 + 19/01/2022 + 27/08/2019 + 19/04/2021 + 13/07/2021</t>
  </si>
  <si>
    <t>QIMPROVE</t>
  </si>
  <si>
    <t>Audit site EUROFINS NETHERLAND</t>
  </si>
  <si>
    <r>
      <t xml:space="preserve">Mail of 26/01/2022 from Michal - </t>
    </r>
    <r>
      <rPr>
        <b/>
        <sz val="11"/>
        <rFont val="Calibri"/>
        <family val="2"/>
        <scheme val="minor"/>
      </rPr>
      <t>P00040_2022</t>
    </r>
  </si>
  <si>
    <t>SRV_21096</t>
  </si>
  <si>
    <t>1. On execution of this WO</t>
  </si>
  <si>
    <t>2. On First Patient enrolled</t>
  </si>
  <si>
    <t>3. 50% sites initiated</t>
  </si>
  <si>
    <t>Project Management Costs, 16 equal part - Février 2022</t>
  </si>
  <si>
    <t>Project Management Costs, 16 equal part - Mai 2022</t>
  </si>
  <si>
    <t>Project Management Costs, 16 equal part - Aout 2022</t>
  </si>
  <si>
    <t>Project Management Costs, 16 equal part - Novembre 2022</t>
  </si>
  <si>
    <t>Project Management Costs, 16 equal part - Février 2023</t>
  </si>
  <si>
    <t>Project Management Costs, 16 equal part - Mai 2023</t>
  </si>
  <si>
    <t>Project Management Costs, 16 equal part - Aout 2023</t>
  </si>
  <si>
    <t>Project Management Costs, 16 equal part - Novembre 2023</t>
  </si>
  <si>
    <t>Project Management Costs, 16 equal part - Février 2024</t>
  </si>
  <si>
    <t>Project Management Costs, 16 equal part - Mai 2024</t>
  </si>
  <si>
    <t>Project Management Costs, 16 equal part - Aout 2024</t>
  </si>
  <si>
    <t>Project Management Costs, 16 equal part - Novembre 2024</t>
  </si>
  <si>
    <t>Project Management Costs, 16 equal part - Février 2025</t>
  </si>
  <si>
    <t>Project Management Costs, 16 equal part - Mai 2025</t>
  </si>
  <si>
    <t>Project Management Costs, 16 equal part - Aout 2025</t>
  </si>
  <si>
    <t>Project Management Costs, 16 equal part - Novembre 2025</t>
  </si>
  <si>
    <t>INVESTIGATOR FEE</t>
  </si>
  <si>
    <t>Start-up trial activities - Upon execution</t>
  </si>
  <si>
    <t>Start-up trial activities  - CTA submission in 1st Study Country</t>
  </si>
  <si>
    <t>Start-up trial activities - PTC</t>
  </si>
  <si>
    <t>Start-up trial activities  - On 1st site Initiated</t>
  </si>
  <si>
    <t>INV S22-078281</t>
  </si>
  <si>
    <t>INV SI22-077281</t>
  </si>
  <si>
    <t>INV 109514</t>
  </si>
  <si>
    <t>INV 109517</t>
  </si>
  <si>
    <t>INV 109521</t>
  </si>
  <si>
    <t>INV 109522</t>
  </si>
  <si>
    <t>INV PJ20220257</t>
  </si>
  <si>
    <t>GRN0472308 + GRN0452203 + GRN0476029 + GRN0457511 + GRN0457564 + GRN0472309  + GRN0472307</t>
  </si>
  <si>
    <t>28/12/2021 (recu 01/2022) + 28/12/2021 (recu 01/2022) + 28/12/2021 (recu 01/2022) + 44501 + 44501 + 28/12/2021 (recu 01/2022) + 28/12/2021 (recu 01/2022)</t>
  </si>
  <si>
    <t>50% patients last visit</t>
  </si>
  <si>
    <t>INV 109515</t>
  </si>
  <si>
    <t>INV 109518</t>
  </si>
  <si>
    <t>INV 109519</t>
  </si>
  <si>
    <t>INV 58001886</t>
  </si>
  <si>
    <t>17/12/2021 (recu 01/2022)</t>
  </si>
  <si>
    <t>INV 58001944</t>
  </si>
  <si>
    <t>20/12/2021 (recu 01/2022)</t>
  </si>
  <si>
    <t>INV GR00376585</t>
  </si>
  <si>
    <t>INV GR00376486</t>
  </si>
  <si>
    <t>INV 73127 - INV 58001238 + INV 47025918 + INV 47027567</t>
  </si>
  <si>
    <t>19/01/2021 + 14/09/2021 + 11/10/2021 + 12/01/2022</t>
  </si>
  <si>
    <r>
      <t>OPP-246302 OPP-246359 - CRL-384755 -</t>
    </r>
    <r>
      <rPr>
        <b/>
        <sz val="11"/>
        <rFont val="Calibri"/>
        <family val="2"/>
        <scheme val="minor"/>
      </rPr>
      <t xml:space="preserve"> P00332_2021</t>
    </r>
  </si>
  <si>
    <t>INV FA220132</t>
  </si>
  <si>
    <r>
      <t xml:space="preserve">Devis 12892-1 Avt 4 - </t>
    </r>
    <r>
      <rPr>
        <b/>
        <sz val="11"/>
        <rFont val="Calibri"/>
        <family val="2"/>
        <scheme val="minor"/>
      </rPr>
      <t>P00047_2022</t>
    </r>
  </si>
  <si>
    <t>projet</t>
  </si>
  <si>
    <t>INV 187.22.06</t>
  </si>
  <si>
    <t>CEVQ2022.02.01</t>
  </si>
  <si>
    <t>TK calculation, interpretation and reporting for ABX464 and ABX464-N-Glu - 4-Week by the Oral</t>
  </si>
  <si>
    <r>
      <t>OPP-246302 OPP-246359 - CRL-384755 -</t>
    </r>
    <r>
      <rPr>
        <b/>
        <sz val="11"/>
        <rFont val="Calibri"/>
        <family val="2"/>
        <scheme val="minor"/>
      </rPr>
      <t xml:space="preserve"> P00073_2022</t>
    </r>
  </si>
  <si>
    <t>ABX464 &amp; ABX464-NGlu oral Pk study in Long Addition of one shipment for test item</t>
  </si>
  <si>
    <t>Bluk QP release &amp; certif for ABX464 studies</t>
  </si>
  <si>
    <t>CHARLES RIVER NETHERLAND</t>
  </si>
  <si>
    <t>OPP-253532 - CRL-399556</t>
  </si>
  <si>
    <t>OPP-253532 - CRL-399558</t>
  </si>
  <si>
    <t>Invitro micronucleus test in humain blood</t>
  </si>
  <si>
    <t>Invitro micronucleus test in mice</t>
  </si>
  <si>
    <t>P00062_2022</t>
  </si>
  <si>
    <t>Conservation annuelle échantillons</t>
  </si>
  <si>
    <t>P00063_2022</t>
  </si>
  <si>
    <t>P00065_2022</t>
  </si>
  <si>
    <t>P00066_2022</t>
  </si>
  <si>
    <t>P00064_2022</t>
  </si>
  <si>
    <t>P00067_2022</t>
  </si>
  <si>
    <t>P00070_2022</t>
  </si>
  <si>
    <t>P00068_2022</t>
  </si>
  <si>
    <t>P00069_2022</t>
  </si>
  <si>
    <r>
      <t>DV-ABI-0222-1185 -</t>
    </r>
    <r>
      <rPr>
        <b/>
        <sz val="11"/>
        <rFont val="Calibri"/>
        <family val="2"/>
        <scheme val="minor"/>
      </rPr>
      <t xml:space="preserve"> P00054_2022</t>
    </r>
  </si>
  <si>
    <r>
      <t xml:space="preserve">DV-ABI-0222-118 - </t>
    </r>
    <r>
      <rPr>
        <b/>
        <sz val="11"/>
        <rFont val="Calibri"/>
        <family val="2"/>
        <scheme val="minor"/>
      </rPr>
      <t>P00056_2022</t>
    </r>
  </si>
  <si>
    <t>INV IV-01220130-ABI</t>
  </si>
  <si>
    <t>INV IV-01220131-ABI</t>
  </si>
  <si>
    <t>INV IV-01220132-ABI</t>
  </si>
  <si>
    <t>INV IV-01220133-ABI</t>
  </si>
  <si>
    <t>INV IV-01220134-ABI</t>
  </si>
  <si>
    <t>INV IV-01220135-ABI</t>
  </si>
  <si>
    <t>INV IV-01220136-ABI</t>
  </si>
  <si>
    <t>INV IV-01220137-ABI</t>
  </si>
  <si>
    <t>INV IV-01220138-ABI</t>
  </si>
  <si>
    <t>MICROMERITICS INSTRUMENT</t>
  </si>
  <si>
    <r>
      <t xml:space="preserve">Abivax 02-21-22R - </t>
    </r>
    <r>
      <rPr>
        <b/>
        <sz val="11"/>
        <rFont val="Calibri"/>
        <family val="2"/>
        <scheme val="minor"/>
      </rPr>
      <t>P00071_2022</t>
    </r>
  </si>
  <si>
    <t>Multi-point BET surface area</t>
  </si>
  <si>
    <r>
      <t xml:space="preserve">DEVIS 2022-02_11 - </t>
    </r>
    <r>
      <rPr>
        <b/>
        <sz val="11"/>
        <rFont val="Calibri"/>
        <family val="2"/>
        <scheme val="minor"/>
      </rPr>
      <t>P00082_2022</t>
    </r>
  </si>
  <si>
    <t>Analyse granulométrique</t>
  </si>
  <si>
    <t>ATL-20/2479 ABX464 concentration in rats 2 ans study</t>
  </si>
  <si>
    <t>CLINISCIENCES</t>
  </si>
  <si>
    <t>Achat matières consommables</t>
  </si>
  <si>
    <t>ENVIGO</t>
  </si>
  <si>
    <r>
      <t xml:space="preserve">118148 - </t>
    </r>
    <r>
      <rPr>
        <b/>
        <sz val="11"/>
        <rFont val="Calibri"/>
        <family val="2"/>
        <scheme val="minor"/>
      </rPr>
      <t>P00075_2022</t>
    </r>
  </si>
  <si>
    <t>Animaux</t>
  </si>
  <si>
    <t>ABX464-105 /106 - Achat de 10 000 colored labels</t>
  </si>
  <si>
    <t>UC107 - Achat 50 000 black labels</t>
  </si>
  <si>
    <t>INV 109533</t>
  </si>
  <si>
    <t>INV 108730 + INV 108764 + INV 108908 + INV 109059 + INV 109141 + INV 109195 + INV 109248 + INV 109382 + INV 109438 + INV 109533</t>
  </si>
  <si>
    <t>23/09/2019 + 24/10/2019 + 23/04/2020 + 13/10/2020 + 25/01/2021 + 11/03/2021 + 11/05/2021 + 10/09/2021 + 08/11/2021 + 21/02/2022</t>
  </si>
  <si>
    <t>RA302 - WO006 - PTC - divers</t>
  </si>
  <si>
    <t>INV 188.22.07</t>
  </si>
  <si>
    <t>INV ABI/2021/12/02</t>
  </si>
  <si>
    <t>30/12/2021 (recu 02/2022)</t>
  </si>
  <si>
    <t>Mail du 13/01/2021</t>
  </si>
  <si>
    <t>Audit Hongrie - Audit Site 3603</t>
  </si>
  <si>
    <t>INV ABI/2021/12/01</t>
  </si>
  <si>
    <r>
      <t xml:space="preserve">PH21003_A1 - </t>
    </r>
    <r>
      <rPr>
        <b/>
        <sz val="11"/>
        <rFont val="Calibri"/>
        <family val="2"/>
        <scheme val="minor"/>
      </rPr>
      <t>P00084_2022</t>
    </r>
  </si>
  <si>
    <t>JP921 - PK analysis additional costs for ADaM datasets analyses</t>
  </si>
  <si>
    <t>INV 182.22.01 + INV 185.22.04</t>
  </si>
  <si>
    <t>25/01/2022 + 25/02/2022</t>
  </si>
  <si>
    <t>INV FRA-003129</t>
  </si>
  <si>
    <t>INV 22100067 + INV 22100200 + INV 22100344 + INV 22100476 + INV 22100621 + INV 22100723 + INV 22100867 + INV 22200148</t>
  </si>
  <si>
    <t>22/01/2021 + 18/02/2021 + 23/03/2021 + 22/04/2021 + 31/05/2021 + 22/06/2021 + 23/07/2021 + 21/02/2022</t>
  </si>
  <si>
    <t>INV 22200148</t>
  </si>
  <si>
    <t>INV 0375/22 + INV 0461/22 + INV 0536/22 + INV 0535/22 + INV 0534/22</t>
  </si>
  <si>
    <t>20/12/2021 + 28/01/2022 + 28/02/2022 + 28/02/2022 + 28/02/2022</t>
  </si>
  <si>
    <t>INV 10000888</t>
  </si>
  <si>
    <t>INV 10000887</t>
  </si>
  <si>
    <t>INV FRA-003136</t>
  </si>
  <si>
    <t>INV PJ20220470</t>
  </si>
  <si>
    <t>est utilisé pour le Followup</t>
  </si>
  <si>
    <r>
      <t xml:space="preserve">EVT10795  - </t>
    </r>
    <r>
      <rPr>
        <b/>
        <sz val="11"/>
        <rFont val="Calibri"/>
        <family val="2"/>
        <scheme val="minor"/>
      </rPr>
      <t>P00209_2021</t>
    </r>
    <r>
      <rPr>
        <sz val="11"/>
        <rFont val="Calibri"/>
        <family val="2"/>
        <scheme val="minor"/>
      </rPr>
      <t xml:space="preserve"> - senario 2</t>
    </r>
  </si>
  <si>
    <t>RSV / backup</t>
  </si>
  <si>
    <r>
      <t xml:space="preserve">EVT10795 a utiliser pour le EVT10794 - </t>
    </r>
    <r>
      <rPr>
        <b/>
        <sz val="11"/>
        <rFont val="Calibri"/>
        <family val="2"/>
        <scheme val="minor"/>
      </rPr>
      <t>P00209_2021 - P00208_2021</t>
    </r>
  </si>
  <si>
    <t>31/01/2022 + 28/02/2022</t>
  </si>
  <si>
    <t>INV 78496 RI</t>
  </si>
  <si>
    <t>CEVQ2022.03.01</t>
  </si>
  <si>
    <t>TK calculation ABX464 and ABX464-N-Glucuronide - 7-Day Mice</t>
  </si>
  <si>
    <t>TK calculation Phototoxicity Study with the ABX464-N-GLUCURONIDE</t>
  </si>
  <si>
    <t>MC2</t>
  </si>
  <si>
    <r>
      <t>40864 -</t>
    </r>
    <r>
      <rPr>
        <b/>
        <sz val="11"/>
        <rFont val="Calibri"/>
        <family val="2"/>
        <scheme val="minor"/>
      </rPr>
      <t xml:space="preserve"> P00083_2022</t>
    </r>
  </si>
  <si>
    <t>Maintenance Matériel</t>
  </si>
  <si>
    <t>Backup</t>
  </si>
  <si>
    <r>
      <t>70304180-00 -</t>
    </r>
    <r>
      <rPr>
        <b/>
        <sz val="11"/>
        <rFont val="Calibri"/>
        <family val="2"/>
        <scheme val="minor"/>
      </rPr>
      <t xml:space="preserve"> P00086_2022</t>
    </r>
  </si>
  <si>
    <t>P00087_2022</t>
  </si>
  <si>
    <t>Culture cellulaire</t>
  </si>
  <si>
    <t>Cytokines Simplex protocol dev addotion to PO000342</t>
  </si>
  <si>
    <t>P00089_2022</t>
  </si>
  <si>
    <t>matières consommables labo</t>
  </si>
  <si>
    <r>
      <t xml:space="preserve">W198702269 - </t>
    </r>
    <r>
      <rPr>
        <b/>
        <sz val="11"/>
        <rFont val="Calibri"/>
        <family val="2"/>
        <scheme val="minor"/>
      </rPr>
      <t>P00090_2022</t>
    </r>
  </si>
  <si>
    <t>Consommable Labo</t>
  </si>
  <si>
    <t>INV 1032201934</t>
  </si>
  <si>
    <t>INV 190.22.09</t>
  </si>
  <si>
    <t>INV 109548</t>
  </si>
  <si>
    <t xml:space="preserve">Monthly fees </t>
  </si>
  <si>
    <t>Monthly fees</t>
  </si>
  <si>
    <t>INV 109543</t>
  </si>
  <si>
    <t>INV BCI-0057096</t>
  </si>
  <si>
    <t>INV 73126 + INV 58000797 - INV 58001239 + INV 47025918 + INV 47028717</t>
  </si>
  <si>
    <t>19/01/2021 + 02/07/2021 + 14/09/2021 + 11/10/2021 + 08/03/2022</t>
  </si>
  <si>
    <t>INV 3455 + INV 3539 + INV 3640 + INV 3725 + INV 3831 + INV 3942 + INV 4054 + INV 4154 + INV 4245</t>
  </si>
  <si>
    <t>30/06/2021 + 31/07/2021 + 31/08/2021 + 30/09/2021 + 31/10/2021 + 30/11/2021 + 31/12/2021 + 31/01/2022 + 28/02/2022</t>
  </si>
  <si>
    <r>
      <t xml:space="preserve">67467.O4.V1 - </t>
    </r>
    <r>
      <rPr>
        <b/>
        <sz val="11"/>
        <rFont val="Calibri"/>
        <family val="2"/>
        <scheme val="minor"/>
      </rPr>
      <t>P00096_2022</t>
    </r>
  </si>
  <si>
    <t>FISHER USA</t>
  </si>
  <si>
    <t>Sourcing of Medicinal Product(s) for Clinical Trials + Transport</t>
  </si>
  <si>
    <t>INV 220348</t>
  </si>
  <si>
    <t>INV 220346</t>
  </si>
  <si>
    <t>INV FA213768 + INV FA214943 + iNV FA215608 + INV FA216016</t>
  </si>
  <si>
    <t>INV FA220725</t>
  </si>
  <si>
    <t>INV FA220132 + INV FA220725</t>
  </si>
  <si>
    <t>INV 321484</t>
  </si>
  <si>
    <r>
      <t xml:space="preserve">18022022-40 - </t>
    </r>
    <r>
      <rPr>
        <b/>
        <sz val="11"/>
        <rFont val="Calibri"/>
        <family val="2"/>
        <scheme val="minor"/>
      </rPr>
      <t>P00074_2022</t>
    </r>
  </si>
  <si>
    <t>INV 191.22.10</t>
  </si>
  <si>
    <r>
      <t xml:space="preserve">CEVQ2022.03.02 - </t>
    </r>
    <r>
      <rPr>
        <b/>
        <sz val="11"/>
        <rFont val="Calibri"/>
        <family val="2"/>
        <scheme val="minor"/>
      </rPr>
      <t>P00094_2022</t>
    </r>
  </si>
  <si>
    <r>
      <t xml:space="preserve">CEVQ2022.03.03 - </t>
    </r>
    <r>
      <rPr>
        <b/>
        <sz val="11"/>
        <rFont val="Calibri"/>
        <family val="2"/>
        <scheme val="minor"/>
      </rPr>
      <t>P00095_2022</t>
    </r>
  </si>
  <si>
    <t xml:space="preserve">TK cancero 4 week n2 NGlu </t>
  </si>
  <si>
    <t xml:space="preserve"> INV 58002247</t>
  </si>
  <si>
    <t>28/01/2022 (recu en 02/2022)</t>
  </si>
  <si>
    <r>
      <t xml:space="preserve">118342 - </t>
    </r>
    <r>
      <rPr>
        <b/>
        <sz val="11"/>
        <rFont val="Calibri"/>
        <family val="2"/>
        <scheme val="minor"/>
      </rPr>
      <t>P00093_2022</t>
    </r>
  </si>
  <si>
    <r>
      <t xml:space="preserve">ABI-1130 - </t>
    </r>
    <r>
      <rPr>
        <b/>
        <sz val="11"/>
        <rFont val="Calibri"/>
        <family val="2"/>
        <scheme val="minor"/>
      </rPr>
      <t>P00091_2022</t>
    </r>
  </si>
  <si>
    <t>ABX196 RS retest</t>
  </si>
  <si>
    <r>
      <t xml:space="preserve">DV-ABI-0322-1226 - </t>
    </r>
    <r>
      <rPr>
        <b/>
        <sz val="11"/>
        <rFont val="Calibri"/>
        <family val="2"/>
        <scheme val="minor"/>
      </rPr>
      <t>P00099_2022</t>
    </r>
  </si>
  <si>
    <t>Rapatriement et conservation échantillon ABX464-301</t>
  </si>
  <si>
    <r>
      <t xml:space="preserve">(WO55#2022) - </t>
    </r>
    <r>
      <rPr>
        <b/>
        <sz val="11"/>
        <rFont val="Calibri"/>
        <family val="2"/>
        <scheme val="minor"/>
      </rPr>
      <t>P00097_2022</t>
    </r>
  </si>
  <si>
    <t>4-chlorocinnamic acid sample</t>
  </si>
  <si>
    <t>ABX464-105 /106 - Translation services</t>
  </si>
  <si>
    <t>SYNTHEGO</t>
  </si>
  <si>
    <r>
      <t xml:space="preserve">Devis 9642162 - </t>
    </r>
    <r>
      <rPr>
        <b/>
        <sz val="11"/>
        <rFont val="Calibri"/>
        <family val="2"/>
        <scheme val="minor"/>
      </rPr>
      <t>P00103_2022</t>
    </r>
  </si>
  <si>
    <r>
      <t xml:space="preserve">PSG-A-1054499 V1 - </t>
    </r>
    <r>
      <rPr>
        <b/>
        <sz val="11"/>
        <rFont val="Calibri"/>
        <family val="2"/>
        <scheme val="minor"/>
      </rPr>
      <t>P00107_2022</t>
    </r>
  </si>
  <si>
    <t>Packing &amp; labelling</t>
  </si>
  <si>
    <t>INV 28654 + INV US136-000369</t>
  </si>
  <si>
    <t>21/04/2021 + 18/03/2022</t>
  </si>
  <si>
    <t>INV 008622</t>
  </si>
  <si>
    <t>INV 22F0162</t>
  </si>
  <si>
    <t>INV 192.22.11</t>
  </si>
  <si>
    <t>INV 10000469 + INV 10001029</t>
  </si>
  <si>
    <t>09/11/2021 + 18/03/2022</t>
  </si>
  <si>
    <t>INV 109561</t>
  </si>
  <si>
    <t>INV F020-SIN-0001416 + INV F020-SIN-0001350 + INV F020-SIN-0001382 + INV F020-SIN-0001565 + INV F020-SIN-0001691</t>
  </si>
  <si>
    <t>11/08/2021 (recu 09/2021) + 30/06/2021 (recu 09/2021) + 23/07/2021 (recu 09/2021) + 30/11/2021 + 02/03/2022</t>
  </si>
  <si>
    <t>INV 109564</t>
  </si>
  <si>
    <t>INV GR00377404</t>
  </si>
  <si>
    <t>INV GR00380857</t>
  </si>
  <si>
    <t>INV 5232316P + INV 5233604</t>
  </si>
  <si>
    <t>10/03/2022 + 23/03/2022</t>
  </si>
  <si>
    <t>INV FRA-002845 + INV FRA-002969 + INV FRA-003035 + INV FRA-003031 + INV FRA-003080 + INV FRA-003183</t>
  </si>
  <si>
    <t>05/11/2021 + 15/12/2021 + 14/01/2022 + 14/01/2022 + 09/02/2022 + 21/03/2022</t>
  </si>
  <si>
    <t>INV 00010 22000959 RI</t>
  </si>
  <si>
    <r>
      <t xml:space="preserve">(WO54 #2021) - </t>
    </r>
    <r>
      <rPr>
        <b/>
        <sz val="11"/>
        <rFont val="Calibri"/>
        <family val="2"/>
        <scheme val="minor"/>
      </rPr>
      <t>P00045_2022</t>
    </r>
  </si>
  <si>
    <t>INV 00010 22000957 RI</t>
  </si>
  <si>
    <t>INV 00010 22000958 RI</t>
  </si>
  <si>
    <t>INV 22003781</t>
  </si>
  <si>
    <t>INV 321284 + INV 322031</t>
  </si>
  <si>
    <t>10/03/2022 + 24/03/2022</t>
  </si>
  <si>
    <t>Capsules Blistering and shipment for stability study</t>
  </si>
  <si>
    <t>INV 10001106</t>
  </si>
  <si>
    <t>INV 10001107</t>
  </si>
  <si>
    <t>INV 10001108</t>
  </si>
  <si>
    <t>INV 78683 RI</t>
  </si>
  <si>
    <t>MSA_LOI-21109 Amdt 02</t>
  </si>
  <si>
    <t>INV FRA-003190</t>
  </si>
  <si>
    <t>INV FRA-003188</t>
  </si>
  <si>
    <t>INV  0095850721 + INV 0095850725 + INV 0095853371 + INV 0095853904 + INV 0095854852</t>
  </si>
  <si>
    <t>12/11/2021 + 12/11/2021 + 17/02/2022 + 28/02/2022 + 31/03/2022</t>
  </si>
  <si>
    <r>
      <t xml:space="preserve">MSA_18231_W3 - WO2 - </t>
    </r>
    <r>
      <rPr>
        <b/>
        <sz val="11"/>
        <rFont val="Calibri"/>
        <family val="2"/>
        <scheme val="minor"/>
      </rPr>
      <t>P00123_2022</t>
    </r>
  </si>
  <si>
    <r>
      <t xml:space="preserve">MSA_18231_W3  </t>
    </r>
    <r>
      <rPr>
        <b/>
        <sz val="11"/>
        <rFont val="Calibri"/>
        <family val="2"/>
        <scheme val="minor"/>
      </rPr>
      <t>- P00203_2021</t>
    </r>
    <r>
      <rPr>
        <sz val="11"/>
        <rFont val="Calibri"/>
        <family val="2"/>
        <scheme val="minor"/>
      </rPr>
      <t xml:space="preserve"> + WO1 + WO2</t>
    </r>
    <r>
      <rPr>
        <b/>
        <sz val="11"/>
        <rFont val="Calibri"/>
        <family val="2"/>
        <scheme val="minor"/>
      </rPr>
      <t xml:space="preserve"> - P00336_2021</t>
    </r>
    <r>
      <rPr>
        <sz val="11"/>
        <rFont val="Calibri"/>
        <family val="2"/>
        <scheme val="minor"/>
      </rPr>
      <t xml:space="preserve"> +</t>
    </r>
    <r>
      <rPr>
        <b/>
        <sz val="11"/>
        <rFont val="Calibri"/>
        <family val="2"/>
        <scheme val="minor"/>
      </rPr>
      <t xml:space="preserve"> P00123_2022</t>
    </r>
  </si>
  <si>
    <r>
      <t xml:space="preserve">Commande du 05/04/2022 - </t>
    </r>
    <r>
      <rPr>
        <b/>
        <sz val="11"/>
        <rFont val="Calibri"/>
        <family val="2"/>
        <scheme val="minor"/>
      </rPr>
      <t>P00125_2022</t>
    </r>
  </si>
  <si>
    <r>
      <t xml:space="preserve">Commande du 05/04/2022 - </t>
    </r>
    <r>
      <rPr>
        <b/>
        <sz val="11"/>
        <rFont val="Calibri"/>
        <family val="2"/>
        <scheme val="minor"/>
      </rPr>
      <t>P00126_2022</t>
    </r>
  </si>
  <si>
    <t>LONZA</t>
  </si>
  <si>
    <r>
      <t xml:space="preserve">Commande du 04/04/2022 - </t>
    </r>
    <r>
      <rPr>
        <b/>
        <sz val="11"/>
        <rFont val="Calibri"/>
        <family val="2"/>
        <scheme val="minor"/>
      </rPr>
      <t>P00120_2022</t>
    </r>
  </si>
  <si>
    <t>VVPA-1002 - Human T Cell</t>
  </si>
  <si>
    <t>QIAGEN</t>
  </si>
  <si>
    <r>
      <t xml:space="preserve">Commande du 31/03/2022 - </t>
    </r>
    <r>
      <rPr>
        <b/>
        <sz val="11"/>
        <rFont val="Calibri"/>
        <family val="2"/>
        <scheme val="minor"/>
      </rPr>
      <t>P00116_2022</t>
    </r>
  </si>
  <si>
    <t>Ad-hoc Consulting services - 01/04/2022 au 31/03/2023</t>
  </si>
  <si>
    <r>
      <rPr>
        <sz val="11"/>
        <rFont val="Calibri"/>
        <family val="2"/>
        <scheme val="minor"/>
      </rPr>
      <t>SRV_22027</t>
    </r>
    <r>
      <rPr>
        <b/>
        <sz val="11"/>
        <rFont val="Calibri"/>
        <family val="2"/>
        <scheme val="minor"/>
      </rPr>
      <t xml:space="preserve"> - P00109_2022</t>
    </r>
  </si>
  <si>
    <r>
      <t xml:space="preserve">D4665216 - </t>
    </r>
    <r>
      <rPr>
        <b/>
        <sz val="11"/>
        <rFont val="Calibri"/>
        <family val="2"/>
        <scheme val="minor"/>
      </rPr>
      <t>P00114_2022</t>
    </r>
  </si>
  <si>
    <r>
      <t xml:space="preserve">Commande du 15/02/2022 - </t>
    </r>
    <r>
      <rPr>
        <b/>
        <sz val="11"/>
        <rFont val="Calibri"/>
        <family val="2"/>
        <scheme val="minor"/>
      </rPr>
      <t>P00058_2022</t>
    </r>
  </si>
  <si>
    <t>INV 940501266</t>
  </si>
  <si>
    <t>23/02/2022 (recu 04/2022)</t>
  </si>
  <si>
    <t>INV 940504617</t>
  </si>
  <si>
    <t>INV IV-03220284-ABI</t>
  </si>
  <si>
    <t>INV IV-03220285-ABI</t>
  </si>
  <si>
    <t>INV F21001585 + INV F22000407</t>
  </si>
  <si>
    <t>30/11/2021 + 30/03/2022</t>
  </si>
  <si>
    <t>INV F20001556 + INV F21001585 + INV F22000407</t>
  </si>
  <si>
    <t>09/12/2020 + 30/11/2021 + 30/03/2022</t>
  </si>
  <si>
    <t>INV 109571</t>
  </si>
  <si>
    <t>INV 109573</t>
  </si>
  <si>
    <t>EC19101108 + EC1911116 + EC200093 + EC200100 + EC2001110 + EC2002093 + EC2003100 + EC2004168 + EC2005117 + EC2006007 + EC2008045 + EC2009228EC2010103 + EC2010103EC2010103 + EC2010103 + EC2011104 + EC2012075 + FA2105113 + FA211065 + FA211753 + FA212243 + FA212584 + FA213208 + FA213783 + FA214216 + FA215605 + FA220111 + FA220719 + FA221277</t>
  </si>
  <si>
    <t>31/10/2019 + 30/11/2019 + 31/01/2020 + 28/02/2020 + 31/03/2020 + 30/04/2020 + 29/05/2020 + 30/06/2020 + 31/08/2020 + 30/09/2020 + 30/10/2020 + 30/11/2020 + 31/12/2020 + 26/02/2021 + 30/03/2021 + 31/03/2021 + 30/04/2021 + 31/05/2021 + 30/06/2021 + 30/07/2021 + 31/08/2021 + 30/09/2021 + 30/11/2021 + 31/01/2022 + 28/02/2022 + 31/03/2022</t>
  </si>
  <si>
    <t>31/01/2022 + 28/02/2022 + 31/03/2022</t>
  </si>
  <si>
    <t>INV FA212263 + INV FA213670 + INV FA214352 + INV FA221298</t>
  </si>
  <si>
    <t>31/05/2021 + 31/08/2021 + 30/09/2021 + 31/03/2022</t>
  </si>
  <si>
    <t>INV FA221279</t>
  </si>
  <si>
    <r>
      <t xml:space="preserve">Devis 12892-1 - </t>
    </r>
    <r>
      <rPr>
        <b/>
        <sz val="11"/>
        <rFont val="Calibri"/>
        <family val="2"/>
        <scheme val="minor"/>
      </rPr>
      <t>P00111_2022</t>
    </r>
  </si>
  <si>
    <t>INV FA220143 + INV FA220549 + INV FA221281</t>
  </si>
  <si>
    <t>INV FA221281</t>
  </si>
  <si>
    <t>28/02/2022 + 31/02/2022</t>
  </si>
  <si>
    <r>
      <t xml:space="preserve">Devis 13023 - </t>
    </r>
    <r>
      <rPr>
        <b/>
        <sz val="11"/>
        <rFont val="Calibri"/>
        <family val="2"/>
        <scheme val="minor"/>
      </rPr>
      <t>P00358_2021</t>
    </r>
  </si>
  <si>
    <t>UC107 - Blister card production</t>
  </si>
  <si>
    <t>INV 4346</t>
  </si>
  <si>
    <t>INV 8052865454</t>
  </si>
  <si>
    <t>stability study on 3 technical batches</t>
  </si>
  <si>
    <r>
      <t xml:space="preserve">70310488-00 - </t>
    </r>
    <r>
      <rPr>
        <b/>
        <sz val="11"/>
        <rFont val="Calibri"/>
        <family val="2"/>
        <scheme val="minor"/>
      </rPr>
      <t>P00130_2022</t>
    </r>
  </si>
  <si>
    <r>
      <t xml:space="preserve">DDR 2022 054 V1 - </t>
    </r>
    <r>
      <rPr>
        <b/>
        <sz val="11"/>
        <rFont val="Calibri"/>
        <family val="2"/>
        <scheme val="minor"/>
      </rPr>
      <t>P00124_2022</t>
    </r>
  </si>
  <si>
    <t>JACKSON LAB</t>
  </si>
  <si>
    <r>
      <t xml:space="preserve">Q144613 - </t>
    </r>
    <r>
      <rPr>
        <b/>
        <sz val="11"/>
        <rFont val="Calibri"/>
        <family val="2"/>
        <scheme val="minor"/>
      </rPr>
      <t>P00131_2022</t>
    </r>
  </si>
  <si>
    <t>Generation of mir124 KO mice</t>
  </si>
  <si>
    <t>UC106</t>
  </si>
  <si>
    <t>INV 58002823</t>
  </si>
  <si>
    <t>INV L2D21-027-201 + INV L2D21-027-226 + INV L2D22-027-059</t>
  </si>
  <si>
    <t>31/10/2021 + 30/11/2021 + 31/03/2022</t>
  </si>
  <si>
    <t>INV-53190</t>
  </si>
  <si>
    <t>INV 10001160</t>
  </si>
  <si>
    <t>INV FRA-003183 + INV FRA-003214</t>
  </si>
  <si>
    <t>21/03/2022 + 07/04/2022</t>
  </si>
  <si>
    <t>INV F020-SIN-0001743</t>
  </si>
  <si>
    <t>INV F020-SIN-0001553</t>
  </si>
  <si>
    <t>INV F020-SIN-0001554</t>
  </si>
  <si>
    <t>INV IT00122V0000309</t>
  </si>
  <si>
    <t>Tox bpiCO</t>
  </si>
  <si>
    <t>CRL-346597 - Determination ABX464 in humain palsma</t>
  </si>
  <si>
    <t>INV PSI001576</t>
  </si>
  <si>
    <t>Phototox</t>
  </si>
  <si>
    <t>INV 10001205</t>
  </si>
  <si>
    <t>INV 58002415</t>
  </si>
  <si>
    <t>INV F21-1058</t>
  </si>
  <si>
    <t>31/12/2021 (recu le 04/2022)</t>
  </si>
  <si>
    <t>INV 109591</t>
  </si>
  <si>
    <t>INV 109343 + INV 109365 + INV 109381 + INV 109422 + INV 109439 + INV 109563 + INV 109587</t>
  </si>
  <si>
    <t>09/08/2021 + 27/08/2021 + 10/09/2021 + 21/10/2021 + 09/11/2021 + 18/03/2022 + 19/04/2022</t>
  </si>
  <si>
    <r>
      <t>OPP-260408 - CRL-414461 -</t>
    </r>
    <r>
      <rPr>
        <b/>
        <sz val="11"/>
        <rFont val="Calibri"/>
        <family val="2"/>
        <scheme val="minor"/>
      </rPr>
      <t xml:space="preserve"> P00136_2022</t>
    </r>
  </si>
  <si>
    <r>
      <t>OPP-260408 - CRL-414464 -</t>
    </r>
    <r>
      <rPr>
        <b/>
        <sz val="11"/>
        <rFont val="Calibri"/>
        <family val="2"/>
        <scheme val="minor"/>
      </rPr>
      <t xml:space="preserve"> P00136_2022</t>
    </r>
  </si>
  <si>
    <t>ABX464 Tox Study by Oral route Juvenile Rats - Optionnal Ex vivo DXA</t>
  </si>
  <si>
    <r>
      <t>OPP-260408 - CRL-414463 -</t>
    </r>
    <r>
      <rPr>
        <b/>
        <sz val="11"/>
        <rFont val="Calibri"/>
        <family val="2"/>
        <scheme val="minor"/>
      </rPr>
      <t xml:space="preserve"> P00136_2022</t>
    </r>
  </si>
  <si>
    <t>ABX464 NGluTox Study by Oral route Juvenile Rats - Optionnal Ex vivo DXA</t>
  </si>
  <si>
    <r>
      <t>OPP-260408 - CRL-414465 -</t>
    </r>
    <r>
      <rPr>
        <b/>
        <sz val="11"/>
        <rFont val="Calibri"/>
        <family val="2"/>
        <scheme val="minor"/>
      </rPr>
      <t xml:space="preserve"> P00136_2022</t>
    </r>
  </si>
  <si>
    <r>
      <t xml:space="preserve">Q-2022-1265 - </t>
    </r>
    <r>
      <rPr>
        <b/>
        <sz val="11"/>
        <rFont val="Calibri"/>
        <family val="2"/>
        <scheme val="minor"/>
      </rPr>
      <t>P00143_2022</t>
    </r>
  </si>
  <si>
    <t>STEMCELL</t>
  </si>
  <si>
    <r>
      <t xml:space="preserve">Q-356747 - </t>
    </r>
    <r>
      <rPr>
        <b/>
        <sz val="11"/>
        <rFont val="Calibri"/>
        <family val="2"/>
        <scheme val="minor"/>
      </rPr>
      <t>P00139_2022</t>
    </r>
  </si>
  <si>
    <t>INV PJ20221151</t>
  </si>
  <si>
    <t>INV 94092890</t>
  </si>
  <si>
    <t>Conception of multilingual boolket</t>
  </si>
  <si>
    <r>
      <t xml:space="preserve">Abivax 04-19-22 - </t>
    </r>
    <r>
      <rPr>
        <b/>
        <sz val="11"/>
        <rFont val="Calibri"/>
        <family val="2"/>
        <scheme val="minor"/>
      </rPr>
      <t>P00144_2022</t>
    </r>
  </si>
  <si>
    <t>Multi-point BET surface area using krypton</t>
  </si>
  <si>
    <t>FACT ABI/2020/05/01 + FACT ABI/2020/06/01 + FACT ABI/2020/07/01 + FACT ABI/2020/08/01 + FACT ABI/2020/09/01 + FACT ABI/2020/12/01 + FACT ABI/2021/04/01 + FACT CLI/2021/12/ABI/04 + FACT ABI/2022/01/01</t>
  </si>
  <si>
    <t>INV FRA-003260</t>
  </si>
  <si>
    <t>31/01/2022 + 28/02/2022 + 30/04/2022</t>
  </si>
  <si>
    <t>INV PJ20220299 + INV PJ20220595 + INV PJ20220770 + INV PJ20220980</t>
  </si>
  <si>
    <t>28/02/2022 + 31/03/2022 + 31/03/2022 + 30/04/2022</t>
  </si>
  <si>
    <t>INV PJ20220036 + INV PJ20220300  + INV PJ20220980</t>
  </si>
  <si>
    <t>INV S22-0203281</t>
  </si>
  <si>
    <t>INV FRA-003189 - CN FRA-002916</t>
  </si>
  <si>
    <t>29/03/2022 + 30/11/2021</t>
  </si>
  <si>
    <t>INV 109598</t>
  </si>
  <si>
    <t>INV 109024 + INV 109044 + INV 109079 + INV 109098 + INV 109130 + INV 109169 + INV 109182 + INV 109220 + INV 109252 + INV 109279 + INV 109346 + INV 109309 + INV 109385 + INV 109413 + INV 109433 + INV 109455 + INV 109483 + INV 109544 + INV 109510 + INV 109572 + INV 109559</t>
  </si>
  <si>
    <t>02/09/2020 + 01/10/2020 + 09/11/2020 + 04/12/2020 + 12/01/2021 + 22/02/2021 + 05/03/2021 + 15/04/2021 + 11/05/2021 + 11/06/2021 + 11/08/2021 + 09/07/2021 + 15/09/2021 + 13/10/2021 + 05/11/2021 + 02/12/2021 + 05/01/2022 + 02/03/2022 + 02/02/2022 + 05/04/2022 + 05/05/2022</t>
  </si>
  <si>
    <t>INV 109600</t>
  </si>
  <si>
    <r>
      <rPr>
        <sz val="11"/>
        <color rgb="FFFF0000"/>
        <rFont val="Calibri"/>
        <family val="2"/>
        <scheme val="minor"/>
      </rPr>
      <t>INV 98898</t>
    </r>
    <r>
      <rPr>
        <sz val="11"/>
        <rFont val="Calibri"/>
        <family val="2"/>
        <scheme val="minor"/>
      </rPr>
      <t xml:space="preserve"> + INV 5236043 + INV 5238692</t>
    </r>
  </si>
  <si>
    <r>
      <rPr>
        <sz val="11"/>
        <color rgb="FFFF0000"/>
        <rFont val="Calibri"/>
        <family val="2"/>
        <scheme val="minor"/>
      </rPr>
      <t>31/03/2022</t>
    </r>
    <r>
      <rPr>
        <sz val="11"/>
        <rFont val="Calibri"/>
        <family val="2"/>
        <scheme val="minor"/>
      </rPr>
      <t xml:space="preserve"> + 12/04/2022 + 03/05/2022</t>
    </r>
  </si>
  <si>
    <t>INV 98898 est remplacée par 5238692 (CN demandée le 17/05/2022)</t>
  </si>
  <si>
    <t>reliquat</t>
  </si>
  <si>
    <t>INV FA221876</t>
  </si>
  <si>
    <t>INV FA221877</t>
  </si>
  <si>
    <t>PH21003A2</t>
  </si>
  <si>
    <t>Phase 1 study to assess the safety</t>
  </si>
  <si>
    <t>65104-5646-05479-28</t>
  </si>
  <si>
    <t>INV 00010 22001587 RI</t>
  </si>
  <si>
    <t>INV 00010 22001589 RI</t>
  </si>
  <si>
    <t>INV 10001343</t>
  </si>
  <si>
    <t>INV 195.22.14</t>
  </si>
  <si>
    <t>INV 59000459 + INV 59000628</t>
  </si>
  <si>
    <t>06/01/2022 + 10/05/2022</t>
  </si>
  <si>
    <t>INV 58002011 + INV 58002280 + INV 5802281 + INV 58003028</t>
  </si>
  <si>
    <t>22/12/2021 (recu en 02/2022) + 04/02/2022 + 04/02/2022 + 11/05/2022</t>
  </si>
  <si>
    <t>INV SI_KSA2201948</t>
  </si>
  <si>
    <t>INV 1032204043 + INV 1032204112 + INV 1032204445</t>
  </si>
  <si>
    <t>26/04/2022 + 27/04/2022 + 05/05/2022</t>
  </si>
  <si>
    <t>INV FRA-002876 + INV FRA-003296</t>
  </si>
  <si>
    <t>10/11/2021 + 10/05/2022</t>
  </si>
  <si>
    <t>INV FRA-003283</t>
  </si>
  <si>
    <t>INV 22260256 + INV 22260654 + INV 22261014 + INV 22261415</t>
  </si>
  <si>
    <t>31/01/2022 (recu en 03/2022) + 28/02/2022 (recu en 04/2022) + 30/03/2022 + 30/04/2022</t>
  </si>
  <si>
    <t xml:space="preserve">INV 22260654 + INV 22261014 + INV 22261415 </t>
  </si>
  <si>
    <t>28/02/2022 (recu en 04/2022) + 30/03/2022 + 30/04/2022</t>
  </si>
  <si>
    <t>Cloturé par RS le 24/05/22 vu avec Julien</t>
  </si>
  <si>
    <t>XX</t>
  </si>
  <si>
    <t>NANOTEMPER</t>
  </si>
  <si>
    <r>
      <t xml:space="preserve">QUOTE-10981 - </t>
    </r>
    <r>
      <rPr>
        <b/>
        <sz val="11"/>
        <rFont val="Calibri"/>
        <family val="2"/>
        <scheme val="minor"/>
      </rPr>
      <t>P00162_2022</t>
    </r>
  </si>
  <si>
    <t>CBC PROJECT - Consommable Labo</t>
  </si>
  <si>
    <t>PROMEGA</t>
  </si>
  <si>
    <r>
      <t xml:space="preserve">188989-0 - </t>
    </r>
    <r>
      <rPr>
        <b/>
        <sz val="11"/>
        <rFont val="Calibri"/>
        <family val="2"/>
        <scheme val="minor"/>
      </rPr>
      <t>P00160_2022</t>
    </r>
  </si>
  <si>
    <t>INV 214131382</t>
  </si>
  <si>
    <r>
      <t xml:space="preserve">CBA/220513/1 - </t>
    </r>
    <r>
      <rPr>
        <b/>
        <sz val="11"/>
        <rFont val="Calibri"/>
        <family val="2"/>
        <scheme val="minor"/>
      </rPr>
      <t>P00159_2022</t>
    </r>
  </si>
  <si>
    <t>Expéditions US</t>
  </si>
  <si>
    <r>
      <t>70314600-00 -</t>
    </r>
    <r>
      <rPr>
        <b/>
        <sz val="11"/>
        <rFont val="Calibri"/>
        <family val="2"/>
        <scheme val="minor"/>
      </rPr>
      <t xml:space="preserve"> P00156_2022</t>
    </r>
  </si>
  <si>
    <r>
      <t xml:space="preserve">DV-ABI-0422-1276 - </t>
    </r>
    <r>
      <rPr>
        <b/>
        <sz val="11"/>
        <rFont val="Calibri"/>
        <family val="2"/>
        <scheme val="minor"/>
      </rPr>
      <t>P00152_2022</t>
    </r>
  </si>
  <si>
    <t>Mise en place projet UC103</t>
  </si>
  <si>
    <r>
      <t xml:space="preserve">DV-ABI-0422-1277 - </t>
    </r>
    <r>
      <rPr>
        <b/>
        <sz val="11"/>
        <rFont val="Calibri"/>
        <family val="2"/>
        <scheme val="minor"/>
      </rPr>
      <t>P00153_2022</t>
    </r>
  </si>
  <si>
    <t>DELTA MICROSCOPIE</t>
  </si>
  <si>
    <r>
      <t xml:space="preserve">DEV2202-3709 - </t>
    </r>
    <r>
      <rPr>
        <b/>
        <sz val="11"/>
        <rFont val="Calibri"/>
        <family val="2"/>
        <scheme val="minor"/>
      </rPr>
      <t>P00151_2022</t>
    </r>
  </si>
  <si>
    <t>Matieriel Labo</t>
  </si>
  <si>
    <t>INV 1032204735</t>
  </si>
  <si>
    <t>INV 10000743 + INV 10000884 + INV 10000900 + INV 10000895 + INV 10001076 + INV 10001228 + INV 10001357 + INV 10001376</t>
  </si>
  <si>
    <t>20/01/2022 + 22/02/2022 + 25/02/2022 + 25/02/2022 + 30/03/2022 + 28/04/2022 + 18/05/2022 + 24/05/2022</t>
  </si>
  <si>
    <t>INV 0755/22</t>
  </si>
  <si>
    <t>INV22-0854</t>
  </si>
  <si>
    <t>INV 58003083</t>
  </si>
  <si>
    <t>INV 109626</t>
  </si>
  <si>
    <t>INV 109628</t>
  </si>
  <si>
    <t>INV GR00389066</t>
  </si>
  <si>
    <t>INV F22000089 + INV F22000426 + INV F22000693</t>
  </si>
  <si>
    <t>27/01/2022 + 30/03/2022 + 31/05/2022</t>
  </si>
  <si>
    <t>INV 20220169</t>
  </si>
  <si>
    <t>xx</t>
  </si>
  <si>
    <t>INV 4012948CH0522 + INV 4014236CH0522</t>
  </si>
  <si>
    <t>09/05/2022 + 23/05/2022</t>
  </si>
  <si>
    <t>INV FA210006  + INV FA210512 + INV FA211532 + INV FA212030 + INV FA211026 + INV FA212709 + INV FA213212 + INV FA213768 + INV FA214207 + INV FA214943 + INV FA215626 + FA215608 + INV FA216016 + INV FA220131 + INV FA220721 + INV FA221278 + INV FA221876 + INV FA222326</t>
  </si>
  <si>
    <t>29/01/221 + 26/02/2021 + 30/04/2021 + 31/05/2021 + 31/03/2021 + 30/06/2021 + 30/07/2021 + 31/08/2021 + 30/09/2021 + 29/10/2021 + 30/11/2021 + 30/11/2021 + 31/12/2021 + 31/01/2022 + 28/02/2022 + 31/03/2022 + 29/04/2022 + 31/05/2022</t>
  </si>
  <si>
    <t>INV FA216016 + INV FA220131 + INV FA220721 + INV FA221278 + INV FA221876 + INV FA222326</t>
  </si>
  <si>
    <t>31/12/2021 + 31/01/2022 + 28/02/2022 + 31/03/2022 + 29/04/2022 + 31/05/2022</t>
  </si>
  <si>
    <t>INV FA222327</t>
  </si>
  <si>
    <t>Q3 2022</t>
  </si>
  <si>
    <t>Q4 2023</t>
  </si>
  <si>
    <t>mail DS 21 juin- commande animaux devrait être en octobre</t>
  </si>
  <si>
    <t>THERMO FISHER - Life Technologies</t>
  </si>
  <si>
    <t>INV 1826582 RI + INV 1829141 RI</t>
  </si>
  <si>
    <t>03/03/2022 (recu 05/22) + 15/03/2022 (recu 05/22)</t>
  </si>
  <si>
    <t>Cryorecovery and intercrossing</t>
  </si>
  <si>
    <r>
      <t xml:space="preserve">Q144613 - </t>
    </r>
    <r>
      <rPr>
        <b/>
        <sz val="11"/>
        <rFont val="Calibri"/>
        <family val="2"/>
        <scheme val="minor"/>
      </rPr>
      <t>P00204_2022</t>
    </r>
  </si>
  <si>
    <t>INV 59000555</t>
  </si>
  <si>
    <r>
      <t xml:space="preserve">OPP-185865_07 - CRL-280328 - </t>
    </r>
    <r>
      <rPr>
        <b/>
        <sz val="11"/>
        <rFont val="Calibri"/>
        <family val="2"/>
        <scheme val="minor"/>
      </rPr>
      <t>P00081_2022</t>
    </r>
  </si>
  <si>
    <t>Devis non signé étude non lancée</t>
  </si>
  <si>
    <r>
      <t xml:space="preserve">L21_3437C - </t>
    </r>
    <r>
      <rPr>
        <b/>
        <sz val="11"/>
        <rFont val="Calibri"/>
        <family val="2"/>
        <scheme val="minor"/>
      </rPr>
      <t>P00176_2022</t>
    </r>
  </si>
  <si>
    <t>ABX464, 6.25mg &amp; 12.5mg &amp; 25mg &amp; 50mg, gélule - Lots cliniques Q1-Q2 2022</t>
  </si>
  <si>
    <r>
      <t xml:space="preserve">Devis 13023 Amdt 1 - </t>
    </r>
    <r>
      <rPr>
        <b/>
        <sz val="11"/>
        <rFont val="Calibri"/>
        <family val="2"/>
        <scheme val="minor"/>
      </rPr>
      <t>P00079_2022</t>
    </r>
  </si>
  <si>
    <r>
      <t xml:space="preserve">Devis 13023 Amdt 2 - </t>
    </r>
    <r>
      <rPr>
        <b/>
        <sz val="11"/>
        <rFont val="Calibri"/>
        <family val="2"/>
        <scheme val="minor"/>
      </rPr>
      <t>P00163_2022</t>
    </r>
  </si>
  <si>
    <t>Conception and purchase of multilingual booklets</t>
  </si>
  <si>
    <r>
      <t xml:space="preserve">Commande du 30/05/2022 - </t>
    </r>
    <r>
      <rPr>
        <b/>
        <sz val="11"/>
        <rFont val="Calibri"/>
        <family val="2"/>
        <scheme val="minor"/>
      </rPr>
      <t>P00172_2022</t>
    </r>
  </si>
  <si>
    <r>
      <t xml:space="preserve">Commande du 30/05/2022 - </t>
    </r>
    <r>
      <rPr>
        <b/>
        <sz val="11"/>
        <rFont val="Calibri"/>
        <family val="2"/>
        <scheme val="minor"/>
      </rPr>
      <t>P00173_2022</t>
    </r>
  </si>
  <si>
    <t>KYLI SAS</t>
  </si>
  <si>
    <t>LIMS for Laboratory</t>
  </si>
  <si>
    <t>INGENOVA</t>
  </si>
  <si>
    <t>Transport du serveur vesr Paris</t>
  </si>
  <si>
    <t>GEN</t>
  </si>
  <si>
    <r>
      <t xml:space="preserve">Devis 71221001 - </t>
    </r>
    <r>
      <rPr>
        <b/>
        <sz val="11"/>
        <rFont val="Calibri"/>
        <family val="2"/>
        <scheme val="minor"/>
      </rPr>
      <t>P00170_2022</t>
    </r>
  </si>
  <si>
    <r>
      <t>DV01-2206005-0 -</t>
    </r>
    <r>
      <rPr>
        <b/>
        <sz val="11"/>
        <rFont val="Calibri"/>
        <family val="2"/>
        <scheme val="minor"/>
      </rPr>
      <t xml:space="preserve"> P00180_2022</t>
    </r>
  </si>
  <si>
    <r>
      <t xml:space="preserve">Quote QTOC205461 - </t>
    </r>
    <r>
      <rPr>
        <b/>
        <sz val="11"/>
        <rFont val="Calibri"/>
        <family val="2"/>
        <scheme val="minor"/>
      </rPr>
      <t>P00182_2022</t>
    </r>
  </si>
  <si>
    <t>Sytème monitoring température</t>
  </si>
  <si>
    <t>Audit PHINC</t>
  </si>
  <si>
    <t>Audit MBV</t>
  </si>
  <si>
    <r>
      <t xml:space="preserve">Amdt 2021_02_02 - </t>
    </r>
    <r>
      <rPr>
        <b/>
        <sz val="11"/>
        <rFont val="Calibri"/>
        <family val="2"/>
        <scheme val="minor"/>
      </rPr>
      <t>P00171_2022</t>
    </r>
  </si>
  <si>
    <r>
      <t xml:space="preserve">Amdt 2021_02_03 - </t>
    </r>
    <r>
      <rPr>
        <b/>
        <sz val="11"/>
        <rFont val="Calibri"/>
        <family val="2"/>
        <scheme val="minor"/>
      </rPr>
      <t>P00179_2022</t>
    </r>
  </si>
  <si>
    <r>
      <t xml:space="preserve">WO56#2022 - </t>
    </r>
    <r>
      <rPr>
        <b/>
        <sz val="11"/>
        <rFont val="Calibri"/>
        <family val="2"/>
        <scheme val="minor"/>
      </rPr>
      <t>P00174_2022</t>
    </r>
  </si>
  <si>
    <t>Crystallization study</t>
  </si>
  <si>
    <t>Synthesis of ABX464-Nglu to support non clinical Studies</t>
  </si>
  <si>
    <r>
      <t xml:space="preserve">OPP-266947 - CRL-425474 - </t>
    </r>
    <r>
      <rPr>
        <b/>
        <sz val="11"/>
        <rFont val="Calibri"/>
        <family val="2"/>
        <scheme val="minor"/>
      </rPr>
      <t>P00194_2022</t>
    </r>
  </si>
  <si>
    <t>Phototox 3days rats</t>
  </si>
  <si>
    <t>signature Amdt 5</t>
  </si>
  <si>
    <r>
      <t>RA ABX464-302 WO006</t>
    </r>
    <r>
      <rPr>
        <sz val="11"/>
        <color rgb="FFFF0000"/>
        <rFont val="Calibri"/>
        <family val="2"/>
        <scheme val="minor"/>
      </rPr>
      <t xml:space="preserve"> Amdt 005 - </t>
    </r>
    <r>
      <rPr>
        <b/>
        <sz val="11"/>
        <color rgb="FFFF0000"/>
        <rFont val="Calibri"/>
        <family val="2"/>
        <scheme val="minor"/>
      </rPr>
      <t>P00195_2022</t>
    </r>
  </si>
  <si>
    <r>
      <t xml:space="preserve">RA ABX464-302 WO006 + </t>
    </r>
    <r>
      <rPr>
        <sz val="11"/>
        <color rgb="FFFF0000"/>
        <rFont val="Calibri"/>
        <family val="2"/>
        <scheme val="minor"/>
      </rPr>
      <t>Amdt 005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P00195_2022</t>
    </r>
  </si>
  <si>
    <t>P00185_2022</t>
  </si>
  <si>
    <r>
      <t xml:space="preserve">220609FR01510147CB - </t>
    </r>
    <r>
      <rPr>
        <b/>
        <sz val="11"/>
        <rFont val="Calibri"/>
        <family val="2"/>
        <scheme val="minor"/>
      </rPr>
      <t>P00191_2022</t>
    </r>
  </si>
  <si>
    <r>
      <t xml:space="preserve">Devis 119528 - </t>
    </r>
    <r>
      <rPr>
        <b/>
        <sz val="11"/>
        <rFont val="Calibri"/>
        <family val="2"/>
        <scheme val="minor"/>
      </rPr>
      <t>P00203_2022</t>
    </r>
  </si>
  <si>
    <r>
      <t xml:space="preserve">CEVQ2022.06.01 - </t>
    </r>
    <r>
      <rPr>
        <b/>
        <sz val="11"/>
        <rFont val="Calibri"/>
        <family val="2"/>
        <scheme val="minor"/>
      </rPr>
      <t>P00201_2022</t>
    </r>
  </si>
  <si>
    <r>
      <t>ARCH-22/004 -</t>
    </r>
    <r>
      <rPr>
        <b/>
        <sz val="11"/>
        <rFont val="Calibri"/>
        <family val="2"/>
        <scheme val="minor"/>
      </rPr>
      <t xml:space="preserve"> P00210_2022</t>
    </r>
  </si>
  <si>
    <t>Destruction d'archive papiers</t>
  </si>
  <si>
    <t>INV 940509474</t>
  </si>
  <si>
    <t>INV INVOC1007592</t>
  </si>
  <si>
    <t>INV 109642</t>
  </si>
  <si>
    <t>Annulé et remplacé par PO00176_2022</t>
  </si>
  <si>
    <t>INV FRA-003153 + INV FRA-003302 + INV FRA-003303 + INV FRA-003393 + INV FRA-003392 + INV FRA-003391</t>
  </si>
  <si>
    <t>08/03/2022 + 11/05/2022 + 11/05/2022 + 16/06/2022 + 16/06/2022 + 16/06/2022</t>
  </si>
  <si>
    <t>Real Time PCR quantification precursors and mature miR124</t>
  </si>
  <si>
    <t>INV I-2022-1048</t>
  </si>
  <si>
    <t>INV 109365 + INV 109381 + INV 109645</t>
  </si>
  <si>
    <t>27/08/2021 + 10/09/2021 + 20/06/2022</t>
  </si>
  <si>
    <t>INV 58002010 + INV 58002279 + INV 58002511 + INV 58003210</t>
  </si>
  <si>
    <t>22/12/2021 (recu en 02/2022) + 04/02/2022 + 11/03/2022 + 23/06/2022</t>
  </si>
  <si>
    <t>INV F22-1122 + INV F22-1156 + INV F22-1187 + INV F22-1188 + INV F22-1190</t>
  </si>
  <si>
    <t>22/03/2022 + 09/05/2022 + 23/06/2022 + 23/06/2022 + 23/06/2022</t>
  </si>
  <si>
    <t>INV-1046 + INV-1050 + INV-1056 + INV-1058 + INV-1065</t>
  </si>
  <si>
    <t>02/11/2021 + 01/12/2021 + 04/02/2022 + 28/02/2022 + 29/04/2022</t>
  </si>
  <si>
    <t>PAREXEL</t>
  </si>
  <si>
    <r>
      <t xml:space="preserve">PXL252421 - </t>
    </r>
    <r>
      <rPr>
        <b/>
        <sz val="11"/>
        <rFont val="Calibri"/>
        <family val="2"/>
        <scheme val="minor"/>
      </rPr>
      <t>P00222_2022</t>
    </r>
  </si>
  <si>
    <t>Last invoices</t>
  </si>
  <si>
    <t>INV 13101072553 + 13101072554 + 13101072555</t>
  </si>
  <si>
    <t>22/06/2022 + 22/06/2022 + 22/06/2022</t>
  </si>
  <si>
    <t>INV 407309 + INV 407271 + INV 407395 + INV 407403 + INV 407405 + INV 407541 + INV 407542 + INV 407621 + INV 407979 + INV 407044 + INV 408621 + INV 408734 + INV 408843 + INV 409004 + INV 409052 + INV 409310 + INV 409573 + INV 409635 + INV 409777 + INV 410428  + INV 410690 + INV 410845 + INV 410897</t>
  </si>
  <si>
    <t>29/08/2019 + 15/08/2019 + 27/09/2019 + 08/10/2019 + 08/10/2019 bis + 28/11/2019 + 28/11/2019 Bis + 18/12/2019 + 29/04/2020 + 26/05/2020 + 11/12/2020 + 05/02/2021 + 22/02/2021 + 14/04/2021 + 29/04/2021 + 28/06/2021 + 06/08/2021 + 26/08/2021 + 01/10/2021 + 28/02/2022 +  + 04/05/2022 + 09/06/2022 + 27/06/2022</t>
  </si>
  <si>
    <r>
      <t>Q2100226 - P</t>
    </r>
    <r>
      <rPr>
        <b/>
        <sz val="11"/>
        <rFont val="Calibri"/>
        <family val="2"/>
        <scheme val="minor"/>
      </rPr>
      <t>00088_2022</t>
    </r>
    <r>
      <rPr>
        <sz val="11"/>
        <rFont val="Calibri"/>
        <family val="2"/>
        <scheme val="minor"/>
      </rPr>
      <t xml:space="preserve"> (add au P00342_2021)</t>
    </r>
  </si>
  <si>
    <t>INV 2022/06/6</t>
  </si>
  <si>
    <t>INV 59000710</t>
  </si>
  <si>
    <t>INV 39 + INV 69</t>
  </si>
  <si>
    <t>31/04/2022 + 30/06/2022</t>
  </si>
  <si>
    <t>INV 70</t>
  </si>
  <si>
    <t>INV PJ20220980 + INV PJ20220959 + INV PJ20221241 + INV PJ20221240 + INV PJ20221600 + INV PJ20221526</t>
  </si>
  <si>
    <t>INV IV-06220443-ABI</t>
  </si>
  <si>
    <t>Rapatriement et conservation echantillon UC103 UC101 196-001 Co401</t>
  </si>
  <si>
    <t>INV IV-06220443-ABI + INV IV-06220442-ABI + INV IV-06220441-ABI</t>
  </si>
  <si>
    <t>30/06/2022 + 30/06/2022 + 30/06/2022</t>
  </si>
  <si>
    <t>INV 79280 RI</t>
  </si>
  <si>
    <t>INV 10001622</t>
  </si>
  <si>
    <t>INV PSI003294</t>
  </si>
  <si>
    <t>ORIOn</t>
  </si>
  <si>
    <r>
      <t xml:space="preserve">UC-102 - WO003 Amt 5 - </t>
    </r>
    <r>
      <rPr>
        <b/>
        <sz val="11"/>
        <color theme="7" tint="-0.249977111117893"/>
        <rFont val="Calibri"/>
        <family val="2"/>
        <scheme val="minor"/>
      </rPr>
      <t>P00226_2022</t>
    </r>
  </si>
  <si>
    <t>Siganture Amdt 5</t>
  </si>
  <si>
    <r>
      <t>UC-102 - WO003 Amt 4 -</t>
    </r>
    <r>
      <rPr>
        <sz val="11"/>
        <color theme="9" tint="-0.249977111117893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P00023_2022</t>
    </r>
  </si>
  <si>
    <r>
      <t xml:space="preserve">UC-102 - WO003 Amt 4 - </t>
    </r>
    <r>
      <rPr>
        <b/>
        <sz val="11"/>
        <color theme="9" tint="-0.249977111117893"/>
        <rFont val="Calibri"/>
        <family val="2"/>
        <scheme val="minor"/>
      </rPr>
      <t>P00023_2022</t>
    </r>
  </si>
  <si>
    <t>ABX464 Prelim Tox Study by Oral route Juvenile Rats - 30% Study initiation</t>
  </si>
  <si>
    <t>ABX464 Prelim Tox Study by Oral route Juvenile Rats - 30% Study Authorisation</t>
  </si>
  <si>
    <t>ABX464 Prelim Tox Study by Oral route Juvenile Rats - 30% completion inlife</t>
  </si>
  <si>
    <t>ABX464 Prelim Tox Study by Oral route Juvenile Rats - 10% sub draft report</t>
  </si>
  <si>
    <t>ABX464 Tox Study by Oral route Juvenile Rats - 30% study authorization</t>
  </si>
  <si>
    <t>ABX464 Tox Study by Oral route Juvenile Rats - 30% study initiation</t>
  </si>
  <si>
    <t>ABX464 Tox Study by Oral route Juvenile Rats - 30% completion inlife</t>
  </si>
  <si>
    <t>ABX464 Tox Study by Oral route Juvenile Rats - 10% Sub draft report</t>
  </si>
  <si>
    <t>Q1 2024</t>
  </si>
  <si>
    <t>ABX464 NGlu Prelim Tox Study by Oral route Juvenile Rats - 30% study athorization</t>
  </si>
  <si>
    <t>ABX464 NGlu Prelim Tox Study by Oral route Juvenile Rats - 30% study initiation</t>
  </si>
  <si>
    <t>ABX464 NGlu Prelim Tox Study by Oral route Juvenile Rats - 30% completion inlife</t>
  </si>
  <si>
    <t>ABX464 NGlu Prelim Tox Study by Oral route Juvenile Rats - 10% Sub draft report</t>
  </si>
  <si>
    <t>ABX464 NGlu Tox Study by Oral route Juvenile Rats - 30% suty authorization</t>
  </si>
  <si>
    <t>ABX464 NGlu Tox Study by Oral route Juvenile Rats - 30% study initiation</t>
  </si>
  <si>
    <t>ABX464 NGlu Tox Study by Oral route Juvenile Rats - 30% completion inlife</t>
  </si>
  <si>
    <t>ABX464 NGlu Tox Study by Oral route Juvenile Rats - 10% Sub Draft report</t>
  </si>
  <si>
    <t>INV FA223031</t>
  </si>
  <si>
    <t>INV FA214207 + INV FA221876 + INV FA223022</t>
  </si>
  <si>
    <t>30/09/2021 + 29/04/2022 + 01/07/2022</t>
  </si>
  <si>
    <t>INV CHB71802 + INV FA212716 + INV FA214662 + Inv FA216137 + INV FA220158 + INV FA220794 + INV FA221295 + INV FA221871 + NV FA222369 + INV FA223057</t>
  </si>
  <si>
    <t>28/06/2019 + 30/06/2021 + 29/10/2021 + 31/12/2021 + 31/01/2022 + 28/02/2022 + 31/03/2022 + 30/04/2022 + 31/05/2022 + 01/07/2022</t>
  </si>
  <si>
    <t>INV 109668</t>
  </si>
  <si>
    <t>INV 109659</t>
  </si>
  <si>
    <t>INV 109657</t>
  </si>
  <si>
    <t>Occular exam phototox ABX464 Nglu</t>
  </si>
  <si>
    <r>
      <t xml:space="preserve">EVT11831 - </t>
    </r>
    <r>
      <rPr>
        <b/>
        <sz val="11"/>
        <rFont val="Calibri"/>
        <family val="2"/>
        <scheme val="minor"/>
      </rPr>
      <t>P00006_2022</t>
    </r>
  </si>
  <si>
    <t>Complement of slat and co-crystal study</t>
  </si>
  <si>
    <t>INV PJ20221438</t>
  </si>
  <si>
    <t>Solubility measurements for 2 solid materials in vitro</t>
  </si>
  <si>
    <t>MSA_LOI-21109 Amdt 05</t>
  </si>
  <si>
    <t>PTC - Monthly expenses instalment 3</t>
  </si>
  <si>
    <t>INV FRA-003412</t>
  </si>
  <si>
    <t>INV 10000018</t>
  </si>
  <si>
    <t>INV 200.22.19 + INV 202.22.21</t>
  </si>
  <si>
    <t>04/07/2022 + 08/07/2022</t>
  </si>
  <si>
    <t>Purchase wallett cards</t>
  </si>
  <si>
    <r>
      <t xml:space="preserve">Devis 12892-1 Avt 6 - </t>
    </r>
    <r>
      <rPr>
        <b/>
        <sz val="11"/>
        <rFont val="Calibri"/>
        <family val="2"/>
        <scheme val="minor"/>
      </rPr>
      <t>P00241_2022</t>
    </r>
  </si>
  <si>
    <t>Blistering of Stability bachtes July 2022</t>
  </si>
  <si>
    <r>
      <t xml:space="preserve">WO ABX464-108 - </t>
    </r>
    <r>
      <rPr>
        <b/>
        <sz val="11"/>
        <rFont val="Calibri"/>
        <family val="2"/>
        <scheme val="minor"/>
      </rPr>
      <t>P00209_2022</t>
    </r>
  </si>
  <si>
    <t>IRT set up + Monthly licence + Database hosting - Management study UC108 - Monthly fee 48 mois</t>
  </si>
  <si>
    <t>Sytem set up</t>
  </si>
  <si>
    <r>
      <t xml:space="preserve">SRV_21072_A1  - </t>
    </r>
    <r>
      <rPr>
        <b/>
        <sz val="11"/>
        <rFont val="Calibri"/>
        <family val="2"/>
        <scheme val="minor"/>
      </rPr>
      <t>P00225_2022</t>
    </r>
  </si>
  <si>
    <t>Support adhoc</t>
  </si>
  <si>
    <r>
      <t>MB-34-0728/1 -</t>
    </r>
    <r>
      <rPr>
        <b/>
        <sz val="11"/>
        <rFont val="Calibri"/>
        <family val="2"/>
        <scheme val="minor"/>
      </rPr>
      <t xml:space="preserve"> P00238_2022</t>
    </r>
  </si>
  <si>
    <t>Maintenance Matériel - 01/09/2022 au 31/08/2023</t>
  </si>
  <si>
    <t>P00239_2022</t>
  </si>
  <si>
    <t>Reanalyse du lot 103508P004</t>
  </si>
  <si>
    <r>
      <t>ABX464-902 - DDI Trial - CSI #5 -</t>
    </r>
    <r>
      <rPr>
        <b/>
        <sz val="11"/>
        <rFont val="Calibri"/>
        <family val="2"/>
        <scheme val="minor"/>
      </rPr>
      <t xml:space="preserve"> P00243_2022</t>
    </r>
  </si>
  <si>
    <t>SAFEBRIDGE EUROPE</t>
  </si>
  <si>
    <r>
      <t xml:space="preserve">227101.0056 - </t>
    </r>
    <r>
      <rPr>
        <b/>
        <sz val="11"/>
        <rFont val="Calibri"/>
        <family val="2"/>
        <scheme val="minor"/>
      </rPr>
      <t>P00244_2022</t>
    </r>
  </si>
  <si>
    <t>OEL and PDE fot Nglu</t>
  </si>
  <si>
    <r>
      <t xml:space="preserve">DV-ABI-0722-1440 - </t>
    </r>
    <r>
      <rPr>
        <b/>
        <sz val="11"/>
        <rFont val="Calibri"/>
        <family val="2"/>
        <scheme val="minor"/>
      </rPr>
      <t>P00245_2022</t>
    </r>
  </si>
  <si>
    <r>
      <t xml:space="preserve">CEVQ2022.07.01 - </t>
    </r>
    <r>
      <rPr>
        <b/>
        <sz val="11"/>
        <rFont val="Calibri"/>
        <family val="2"/>
        <scheme val="minor"/>
      </rPr>
      <t>P00246_2022</t>
    </r>
  </si>
  <si>
    <t>TK calculation ABX464-N-Glucuronide - 4week</t>
  </si>
  <si>
    <t>INV 22261746 + INV 22262101</t>
  </si>
  <si>
    <t>31/05/2022 + 30/06/2022</t>
  </si>
  <si>
    <t>INV F22-1211</t>
  </si>
  <si>
    <t>INV F22-1212</t>
  </si>
  <si>
    <t>INV F22-1213</t>
  </si>
  <si>
    <r>
      <t xml:space="preserve">Opp-193136 - CRL-291484 - </t>
    </r>
    <r>
      <rPr>
        <b/>
        <sz val="11"/>
        <rFont val="Calibri"/>
        <family val="2"/>
        <scheme val="minor"/>
      </rPr>
      <t>P00759_2020</t>
    </r>
  </si>
  <si>
    <t>Determination of caféine and praxanthine and ABX464-n-Glu in humane plasma</t>
  </si>
  <si>
    <t>INV 59000135 + INV 59000744</t>
  </si>
  <si>
    <t>08/06/2021 + 19/07/2022</t>
  </si>
  <si>
    <t>INV 59000296 + INV 59000397 + INV 59000747</t>
  </si>
  <si>
    <t>13/09/2021 + 29/11/2021 + 19/07/2022</t>
  </si>
  <si>
    <t>INV 59000460 + INV 59000746</t>
  </si>
  <si>
    <t>07/01/2022 + 19/07/2022</t>
  </si>
  <si>
    <t>INV 2022_55</t>
  </si>
  <si>
    <t>INV 2022_57</t>
  </si>
  <si>
    <t>PHOENIXLAB</t>
  </si>
  <si>
    <t>CSL_22040</t>
  </si>
  <si>
    <t>INV FRA-003451</t>
  </si>
  <si>
    <r>
      <t xml:space="preserve">Quote du 28/07/2022 - </t>
    </r>
    <r>
      <rPr>
        <b/>
        <sz val="11"/>
        <rFont val="Calibri"/>
        <family val="2"/>
        <scheme val="minor"/>
      </rPr>
      <t>P00250_2022</t>
    </r>
  </si>
  <si>
    <t>DP SDS redaction</t>
  </si>
  <si>
    <t>PTC - eTMF Datahosting</t>
  </si>
  <si>
    <t>INV 109695</t>
  </si>
  <si>
    <t>INV 109700</t>
  </si>
  <si>
    <t>INV 109702</t>
  </si>
  <si>
    <t>INV S22-376281</t>
  </si>
  <si>
    <t>INV FA223494</t>
  </si>
  <si>
    <t>INV F-2207008-ABX</t>
  </si>
  <si>
    <t>WOFZA86006</t>
  </si>
  <si>
    <t>Signature of the ATP</t>
  </si>
  <si>
    <t>Monthly Payment - 01 Nov 2021 (ATP)</t>
  </si>
  <si>
    <t>Monthly Payment - 01 Dec 2021 (ATP)</t>
  </si>
  <si>
    <t>Monthly Payment - 01 Apr 2022 (ATP)</t>
  </si>
  <si>
    <t>Monthly Payment - 01 May 2022 (ATP)</t>
  </si>
  <si>
    <t>Monthly Payment - June - July 2022 (ATP)</t>
  </si>
  <si>
    <t>Upon execution of WO Part 1 [A]</t>
  </si>
  <si>
    <t>Upon execution of WO Part 2 [A]</t>
  </si>
  <si>
    <t>5% of Site Initiation Visits &amp; Reports Completed</t>
  </si>
  <si>
    <t>20% of Site Initiation Visits &amp; Reports Completed</t>
  </si>
  <si>
    <t>40% of Site Initiation Visits &amp; Reports Completed</t>
  </si>
  <si>
    <t>60% of Site Initiation Visits &amp; Reports Completed</t>
  </si>
  <si>
    <t>80% of Site Initiation Visits &amp; Reports Completed</t>
  </si>
  <si>
    <t>25% Patients randomised</t>
  </si>
  <si>
    <t>40% Patients randomised</t>
  </si>
  <si>
    <t>50% Patients randomised</t>
  </si>
  <si>
    <t>60% Patients randomised</t>
  </si>
  <si>
    <t>70% Patients randomised</t>
  </si>
  <si>
    <t>WO ZZA92069</t>
  </si>
  <si>
    <t>PTC - Upfront payment - Pass-Through [A]</t>
  </si>
  <si>
    <t>PTC - Upfront payment - Pass-Through Reimbursement</t>
  </si>
  <si>
    <t>PTC - Pre-Payment Due Upon ATP Execution</t>
  </si>
  <si>
    <t>PTC - Monthly Payment - 01 Nov 2021</t>
  </si>
  <si>
    <t>PTC - Monthly Payment - 01 Dec 2021</t>
  </si>
  <si>
    <t>PTC - Other payments based on actual</t>
  </si>
  <si>
    <t>PTC - Pass-Through Costs*</t>
  </si>
  <si>
    <t>Investigator fee - Upfront payment - Investigator Fees [A]</t>
  </si>
  <si>
    <t>Upfront payment - Investigator Fees Reimbursement</t>
  </si>
  <si>
    <t>Q2 (Fees and PTCs)***</t>
  </si>
  <si>
    <t>Upfront payment - Q2 [A]</t>
  </si>
  <si>
    <t>Upfront payment - Q2 Reimbursement</t>
  </si>
  <si>
    <t>Investigator fees</t>
  </si>
  <si>
    <t>Investigator fees - Upfront payment - Q2 [A]</t>
  </si>
  <si>
    <t>Investigator fees - Upfront payment - Q2 Reimbursement</t>
  </si>
  <si>
    <t>Investigator fees - Upfront payment - Investigator Fees Reimbursement</t>
  </si>
  <si>
    <t>Investigator fees - Upfront payment - Investigator Fees [A]</t>
  </si>
  <si>
    <t>WO ZZA92074</t>
  </si>
  <si>
    <t>10% of Site Initiation Visits &amp; Reports Completed</t>
  </si>
  <si>
    <t>10% of Monitoring Visits &amp; Reports Completed</t>
  </si>
  <si>
    <t>30% of Site Initiation Visits &amp; Reports Completed</t>
  </si>
  <si>
    <t>50% of Site Initiation Visits &amp; Reports Completed</t>
  </si>
  <si>
    <t>30% of Monitoring Visits &amp; Reports Completed</t>
  </si>
  <si>
    <t>INV FRA-003153 + INV FRA-003302 + INV FRA-003303 + INV FRA-003393 + INV FRA-003392 + INV FRA-003391 + INV FRA-003467</t>
  </si>
  <si>
    <t>08/03/2022 + 11/05/2022 + 11/05/2022 + 16/06/2022 + 16/06/2022 + 16/06/2022 + 18/07/2022</t>
  </si>
  <si>
    <t>INV FRA-003153 + INV FRA-003302 + INV FRA-003303 + INV FRA-003393 + INV FRA-003392 + INV FRA-003391 + INV FRA-003464</t>
  </si>
  <si>
    <t>INV FRA-003153 + INV FRA-003302 + INV FRA-003303 + INV FRA-003393 + INV FRA-003392 + INV FRA-003391 + INV FRA-003463</t>
  </si>
  <si>
    <t>PTC - Pre payelent upon ATP - 1 108 296,71 €</t>
  </si>
  <si>
    <t>PTC - Monthly expenses instalment 1 - 237 492,15 €</t>
  </si>
  <si>
    <t>PTC - Monthly expenses instalment 2 - 237 492,15 €</t>
  </si>
  <si>
    <t>PTC - To be invoice monthly based on actual - 1 214 164 €</t>
  </si>
  <si>
    <t>Réattribué dans le payement schedule de chaques études</t>
  </si>
  <si>
    <t>Professional fee - Monthly fee 5 - 1 269 762 €</t>
  </si>
  <si>
    <t>Professional fee - Pre payement due upon ATP - 2 880 942,63 €</t>
  </si>
  <si>
    <t>Professional fee - Monthly fee 1 - 617 344,85 €</t>
  </si>
  <si>
    <t>Professional fee - Monthly fee 2 - 617 344,85 €</t>
  </si>
  <si>
    <t>Professional fee - Monthly fee 3 - 234 421,91 €</t>
  </si>
  <si>
    <t>Professional fee - Monthly fee 4 - 234 421,91 €</t>
  </si>
  <si>
    <t>ABTECT</t>
  </si>
  <si>
    <r>
      <t xml:space="preserve">MR_1014 - </t>
    </r>
    <r>
      <rPr>
        <b/>
        <sz val="11"/>
        <rFont val="Calibri"/>
        <family val="2"/>
        <scheme val="minor"/>
      </rPr>
      <t>P00220_2022</t>
    </r>
  </si>
  <si>
    <t>INV FA223615</t>
  </si>
  <si>
    <t>INV FA223514</t>
  </si>
  <si>
    <r>
      <t xml:space="preserve">Devis 92224-01 - </t>
    </r>
    <r>
      <rPr>
        <b/>
        <sz val="11"/>
        <rFont val="Calibri"/>
        <family val="2"/>
        <scheme val="minor"/>
      </rPr>
      <t>P00038_2022</t>
    </r>
  </si>
  <si>
    <t>INV FRA-003504</t>
  </si>
  <si>
    <t>IN FRA-003502</t>
  </si>
  <si>
    <t>INV FRA-003503</t>
  </si>
  <si>
    <t>INV FRA-003513</t>
  </si>
  <si>
    <t>INV FRA-003514</t>
  </si>
  <si>
    <t>INV FRA-003505</t>
  </si>
  <si>
    <t>réalisation du safety data pooling de l’ensemble des études d’ABIVAX - Update analysis</t>
  </si>
  <si>
    <r>
      <t xml:space="preserve">SRV_21002_CO4 - </t>
    </r>
    <r>
      <rPr>
        <b/>
        <sz val="11"/>
        <rFont val="Calibri"/>
        <family val="2"/>
        <scheme val="minor"/>
      </rPr>
      <t>P00251_2022</t>
    </r>
  </si>
  <si>
    <r>
      <t>70328595-00 -</t>
    </r>
    <r>
      <rPr>
        <b/>
        <sz val="11"/>
        <rFont val="Calibri"/>
        <family val="2"/>
        <scheme val="minor"/>
      </rPr>
      <t xml:space="preserve"> P00264_2022</t>
    </r>
  </si>
  <si>
    <t>BIOTECHNE</t>
  </si>
  <si>
    <t>P00263_2022</t>
  </si>
  <si>
    <r>
      <t xml:space="preserve">DV-ABI-0722-1442 - </t>
    </r>
    <r>
      <rPr>
        <b/>
        <sz val="11"/>
        <rFont val="Calibri"/>
        <family val="2"/>
        <scheme val="minor"/>
      </rPr>
      <t>P00261_2022</t>
    </r>
  </si>
  <si>
    <t>Rapatriement Eurofins BREDA et Convervation echantillon ABX464-103</t>
  </si>
  <si>
    <t>Rapatriement Eurofins LANCASTER et Convervation echantillon ABX464-103</t>
  </si>
  <si>
    <r>
      <t xml:space="preserve">Abivax 08-09-22 - </t>
    </r>
    <r>
      <rPr>
        <b/>
        <sz val="11"/>
        <rFont val="Calibri"/>
        <family val="2"/>
        <scheme val="minor"/>
      </rPr>
      <t>P00260_2022</t>
    </r>
  </si>
  <si>
    <t>P00255_2022</t>
  </si>
  <si>
    <t>PK study with 3 naive 6-month old male minipig</t>
  </si>
  <si>
    <r>
      <t>70330799-00 -</t>
    </r>
    <r>
      <rPr>
        <b/>
        <sz val="11"/>
        <rFont val="Calibri"/>
        <family val="2"/>
        <scheme val="minor"/>
      </rPr>
      <t xml:space="preserve"> P00280_2022</t>
    </r>
  </si>
  <si>
    <r>
      <t xml:space="preserve">SOW-3084 - </t>
    </r>
    <r>
      <rPr>
        <b/>
        <sz val="11"/>
        <rFont val="Calibri"/>
        <family val="2"/>
        <scheme val="minor"/>
      </rPr>
      <t>P00276_2022</t>
    </r>
  </si>
  <si>
    <t>Achivage et conservation annueljusqu'au 01/04/2023 + Destruction d'archives</t>
  </si>
  <si>
    <r>
      <t xml:space="preserve">Q-2022-1335 - </t>
    </r>
    <r>
      <rPr>
        <b/>
        <sz val="11"/>
        <rFont val="Calibri"/>
        <family val="2"/>
        <scheme val="minor"/>
      </rPr>
      <t>P00270_2022</t>
    </r>
  </si>
  <si>
    <t>Quantitative miR124 Protocol 80 mouse blood</t>
  </si>
  <si>
    <t>BIOLEGEND</t>
  </si>
  <si>
    <r>
      <t xml:space="preserve">1XCB180822-NC-ABX - </t>
    </r>
    <r>
      <rPr>
        <b/>
        <sz val="11"/>
        <rFont val="Calibri"/>
        <family val="2"/>
        <scheme val="minor"/>
      </rPr>
      <t>P00265_2022</t>
    </r>
  </si>
  <si>
    <t>Inscription Base de données</t>
  </si>
  <si>
    <t>P00262_2022</t>
  </si>
  <si>
    <t>50% signature + 50% a la publication</t>
  </si>
  <si>
    <t>INV 109727</t>
  </si>
  <si>
    <t>INV CLI/2021/02/ABI/02 + INV CLI/2021/02/ABI/09 + CLI/2021/03/ABI/01 + INV CLI/2021/04/ABI/02 + INV CLI/2021/04/ABI/06 + INV CLI/2021/05/ABI/04 + INV CLI/2021/04/ABI/02 n°2 + INV CLI/2021/08/ABI/03 + INV CLI/2021/09/ABI/01 + INV CLI/2021/10/ABI/01 + INV CLI/2021/11/ABI/01 + INV CLI/2021/12/ABI/01 + INV CLI/2019/03/ABI/01</t>
  </si>
  <si>
    <t>03/02/2021 + 21/02/2021 + 03/03/2021 + 06/04/2021 + 27/04/2021 + 31/05/2021 + 15/07/2021 + 11/08/2021 + 07/09/2021 + 17/10/2021 + 12/11/2021 + 05/12/2021 + 08/03/2019 (recu en 09/2022)</t>
  </si>
  <si>
    <t>INV CLI/2021/02/ABI/02 + INV CLI/2021/02/ABI/09 + INV CLI/2021/04/ABI/02 + INV CLI/2021/04/ABI/06 + INV CLI/2021/05/ABI/04 + INV CLI/2021/04/ABI/02 n°2 + INV CLI/2021/08/ABI/03 + INV CLI/2021/09/ABI/01 + INV CLI/2021/10/ABI/01 + INV CLI/2021/11/ABI/01 + INV CLI/2021/12/ABI/01 + INV CLI/2022/08/ABI/01 + INV CLI/2019/03/ABI/01</t>
  </si>
  <si>
    <t>03/02/2021 + 21/02/2021 + 06/04/2021 + 27/04/2021 + 31/05/2021 + 15/07/2021 + 11/08/2021 + 07/09/2021 + 17/10/2021 + 12/11/2021 + 05/12/2021 + 04/08/2022 + 08/03/2019 (recu en 09/2022)</t>
  </si>
  <si>
    <t>INV 10000144</t>
  </si>
  <si>
    <t>INV GR00397722</t>
  </si>
  <si>
    <t>INV OP/I214720</t>
  </si>
  <si>
    <t>INV OP/I214855</t>
  </si>
  <si>
    <t>INV 59000430 + INV 59000601 + INV 59000787</t>
  </si>
  <si>
    <t>08/12/2021 + 20/04/2022 + 31/08/2022</t>
  </si>
  <si>
    <t>INV 1032208055</t>
  </si>
  <si>
    <t>INV 1032208228</t>
  </si>
  <si>
    <t>INV PJ20222417</t>
  </si>
  <si>
    <t>INV 109731</t>
  </si>
  <si>
    <t>INV 109729</t>
  </si>
  <si>
    <t>INV 4723</t>
  </si>
  <si>
    <t>Publishing and Sumbission Support + IND Publishing and submission Support</t>
  </si>
  <si>
    <t>INV 42627 + INV 43147 + INV 44298 + INV 44872 + INV 45457 + INV 46022 + INV 46624 + INV 47232 + INV 47813</t>
  </si>
  <si>
    <t>01/12/2021 + 01/01/2022 + 01/03/2022 + 01/04/2022 + 01/05/2022 + 01/06/2022 + 01/07/2022 + 01/08/2022 + 01/09/2022</t>
  </si>
  <si>
    <t>INV 5000869</t>
  </si>
  <si>
    <r>
      <t xml:space="preserve">OPP-269434 - CRL-430493 - </t>
    </r>
    <r>
      <rPr>
        <b/>
        <sz val="11"/>
        <rFont val="Calibri"/>
        <family val="2"/>
        <scheme val="minor"/>
      </rPr>
      <t>P00227_2022</t>
    </r>
  </si>
  <si>
    <t>PK test Male rats</t>
  </si>
  <si>
    <t>INV 58003663</t>
  </si>
  <si>
    <t>INV EUSI168659</t>
  </si>
  <si>
    <t>SIGMA MERCK</t>
  </si>
  <si>
    <t>SIGMA - Merck</t>
  </si>
  <si>
    <t>INV FRA-003629</t>
  </si>
  <si>
    <t>INV FRA-003627</t>
  </si>
  <si>
    <t>INV FRA-003626</t>
  </si>
  <si>
    <t>85% of Total CRF Pages Monitored (Source Data Verified)</t>
  </si>
  <si>
    <t>INV FRA-003625</t>
  </si>
  <si>
    <t>INV FRA-003624</t>
  </si>
  <si>
    <t>INV FRA-003623</t>
  </si>
  <si>
    <r>
      <t xml:space="preserve">20403518 - </t>
    </r>
    <r>
      <rPr>
        <b/>
        <sz val="11"/>
        <rFont val="Calibri"/>
        <family val="2"/>
        <scheme val="minor"/>
      </rPr>
      <t>P00283_2022</t>
    </r>
  </si>
  <si>
    <t>INV 53165721</t>
  </si>
  <si>
    <t>INV S22-442281</t>
  </si>
  <si>
    <t>INV 20220267</t>
  </si>
  <si>
    <t>INV FA224374</t>
  </si>
  <si>
    <t>INV FA215810 + INV FA220550 + INV FA221299 + INV FA223060 + INV FA223614 + INV FA224397</t>
  </si>
  <si>
    <t>30/11/2021 + 28/02/2022 + 31/03/2022 + 01/07/2022 + 29/07/2022 + 31/08/2022</t>
  </si>
  <si>
    <t>Mir124 validation for phase 3</t>
  </si>
  <si>
    <r>
      <t>OPP-157779 WO4 -  - Study CRL-229187 -</t>
    </r>
    <r>
      <rPr>
        <b/>
        <sz val="11"/>
        <rFont val="Calibri"/>
        <family val="2"/>
        <scheme val="minor"/>
      </rPr>
      <t xml:space="preserve"> P00296_2022</t>
    </r>
  </si>
  <si>
    <t>Combined 4 Week Oral Toxicity Study in wt mice - SEND at audited Draft report added</t>
  </si>
  <si>
    <r>
      <t xml:space="preserve">OPP-246302 - CRL-383566 - </t>
    </r>
    <r>
      <rPr>
        <b/>
        <sz val="11"/>
        <rFont val="Calibri"/>
        <family val="2"/>
        <scheme val="minor"/>
      </rPr>
      <t>P00328_2021</t>
    </r>
  </si>
  <si>
    <r>
      <t>OPP-246302 - CRL-383566 -</t>
    </r>
    <r>
      <rPr>
        <b/>
        <sz val="11"/>
        <rFont val="Calibri"/>
        <family val="2"/>
        <scheme val="minor"/>
      </rPr>
      <t xml:space="preserve"> P00036_2022</t>
    </r>
  </si>
  <si>
    <r>
      <t xml:space="preserve">OPP-246302 - CRL-383566 - </t>
    </r>
    <r>
      <rPr>
        <b/>
        <sz val="11"/>
        <rFont val="Calibri"/>
        <family val="2"/>
        <scheme val="minor"/>
      </rPr>
      <t>P00135_2022</t>
    </r>
  </si>
  <si>
    <t xml:space="preserve"> 4 Week Oral Toxicity Study in wt mice ABX464-Nglu - SENS ai audited Draft report added</t>
  </si>
  <si>
    <t>P00289_2022</t>
  </si>
  <si>
    <t>INV 8052969633</t>
  </si>
  <si>
    <r>
      <t>CEVQ2022.</t>
    </r>
    <r>
      <rPr>
        <sz val="11"/>
        <color rgb="FFFF0000"/>
        <rFont val="Calibri"/>
        <family val="2"/>
        <scheme val="minor"/>
      </rPr>
      <t>08.01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P00253_2022</t>
    </r>
  </si>
  <si>
    <t>0 - Adavnce payement</t>
  </si>
  <si>
    <t>INV BCG-0000153</t>
  </si>
  <si>
    <t>INV BCG-0000154</t>
  </si>
  <si>
    <t>INV BCG-0000154 + INV BCG-0000156</t>
  </si>
  <si>
    <t>21/09/2022 + 21/09/2022</t>
  </si>
  <si>
    <t>INV BCG-0000148</t>
  </si>
  <si>
    <t>INV BCG-0000149</t>
  </si>
  <si>
    <t>INV 8052927762 + INV 8052953364 + INV 5082973467</t>
  </si>
  <si>
    <t>14/06/2022 + 01/08/2022 + 20/09/2022</t>
  </si>
  <si>
    <t>INV 10000277</t>
  </si>
  <si>
    <r>
      <t xml:space="preserve">L19_2871D - </t>
    </r>
    <r>
      <rPr>
        <b/>
        <sz val="11"/>
        <rFont val="Calibri"/>
        <family val="2"/>
        <scheme val="minor"/>
      </rPr>
      <t>P00313_2019</t>
    </r>
  </si>
  <si>
    <t>INV 10000276</t>
  </si>
  <si>
    <t>Etude de Stabilité ICH lot clinique 80591 - T48M</t>
  </si>
  <si>
    <r>
      <t xml:space="preserve">OPP-246302 - CRL-383566 - </t>
    </r>
    <r>
      <rPr>
        <b/>
        <sz val="11"/>
        <rFont val="Calibri"/>
        <family val="2"/>
        <scheme val="minor"/>
      </rPr>
      <t>P00294_2022</t>
    </r>
  </si>
  <si>
    <t>INV 58003781</t>
  </si>
  <si>
    <t>INV 58003780</t>
  </si>
  <si>
    <t>BIOCLINICA GERMANY</t>
  </si>
  <si>
    <r>
      <t>CEVQ2022.09.01 -</t>
    </r>
    <r>
      <rPr>
        <b/>
        <sz val="11"/>
        <rFont val="Calibri"/>
        <family val="2"/>
        <scheme val="minor"/>
      </rPr>
      <t xml:space="preserve"> P00302_2022</t>
    </r>
  </si>
  <si>
    <t>PK study urine minipig</t>
  </si>
  <si>
    <t>INV 207.22.26</t>
  </si>
  <si>
    <t>INV FRA-003668</t>
  </si>
  <si>
    <t>INV IV-09220625-ABI</t>
  </si>
  <si>
    <t>INV 47031136 + INV 47032179</t>
  </si>
  <si>
    <t>19/07/2022 + 29/09/2022</t>
  </si>
  <si>
    <t>INV 00010 22002928 RI</t>
  </si>
  <si>
    <t>INV 10000355</t>
  </si>
  <si>
    <t>INV I-2022-1054</t>
  </si>
  <si>
    <r>
      <t>Q-2022-1305 -</t>
    </r>
    <r>
      <rPr>
        <b/>
        <sz val="11"/>
        <rFont val="Calibri"/>
        <family val="2"/>
        <scheme val="minor"/>
      </rPr>
      <t xml:space="preserve"> P00221_2022</t>
    </r>
  </si>
  <si>
    <t>Quantitative miR124 Protocol 40 mouse blood</t>
  </si>
  <si>
    <t>INV I-2022-1053</t>
  </si>
  <si>
    <r>
      <t>70333676-00 -</t>
    </r>
    <r>
      <rPr>
        <b/>
        <sz val="11"/>
        <rFont val="Calibri"/>
        <family val="2"/>
        <scheme val="minor"/>
      </rPr>
      <t xml:space="preserve"> P00311_2022</t>
    </r>
  </si>
  <si>
    <t>INV 1032208825</t>
  </si>
  <si>
    <t>INV BCG-0000154 + INV BCG-0000156 + INV BCG-0000158 + INV BCG-0000160</t>
  </si>
  <si>
    <t>21/09/2022 + 21/09/2022 + 21/09/2022 + 30/09/2022</t>
  </si>
  <si>
    <t>INV BCG-0000154 - INV BCG-0000160</t>
  </si>
  <si>
    <t>21/09/2022 + 30/09/2022</t>
  </si>
  <si>
    <t>INV INC-296841</t>
  </si>
  <si>
    <r>
      <t xml:space="preserve">Abivax 9-20-22 - </t>
    </r>
    <r>
      <rPr>
        <b/>
        <sz val="11"/>
        <rFont val="Calibri"/>
        <family val="2"/>
        <scheme val="minor"/>
      </rPr>
      <t>P00303_2022</t>
    </r>
  </si>
  <si>
    <t>QA</t>
  </si>
  <si>
    <t>HEALTHCARE SERVICES</t>
  </si>
  <si>
    <r>
      <t xml:space="preserve">2022268 - </t>
    </r>
    <r>
      <rPr>
        <b/>
        <sz val="11"/>
        <rFont val="Calibri"/>
        <family val="2"/>
        <scheme val="minor"/>
      </rPr>
      <t>P00306_2022</t>
    </r>
  </si>
  <si>
    <t>Audit SEQENS</t>
  </si>
  <si>
    <t>annulé et remplacé par PO00312_2022</t>
  </si>
  <si>
    <r>
      <t xml:space="preserve">DV-ABI-0922-1539 - </t>
    </r>
    <r>
      <rPr>
        <b/>
        <sz val="11"/>
        <rFont val="Calibri"/>
        <family val="2"/>
        <scheme val="minor"/>
      </rPr>
      <t>P00312_2022</t>
    </r>
  </si>
  <si>
    <t>OCEASOFT DICKSON</t>
  </si>
  <si>
    <t>Licence annuelle OCEAlert</t>
  </si>
  <si>
    <r>
      <t>Quote QTOC206528 -</t>
    </r>
    <r>
      <rPr>
        <b/>
        <sz val="11"/>
        <rFont val="Calibri"/>
        <family val="2"/>
        <scheme val="minor"/>
      </rPr>
      <t xml:space="preserve"> P00314_2022</t>
    </r>
  </si>
  <si>
    <r>
      <t>Quote QTOC206462 -</t>
    </r>
    <r>
      <rPr>
        <b/>
        <sz val="11"/>
        <rFont val="Calibri"/>
        <family val="2"/>
        <scheme val="minor"/>
      </rPr>
      <t xml:space="preserve"> P00315_2022</t>
    </r>
  </si>
  <si>
    <t>Etalonnage de 6 Emerald</t>
  </si>
  <si>
    <r>
      <t>Quote QTOC206459-</t>
    </r>
    <r>
      <rPr>
        <b/>
        <sz val="11"/>
        <rFont val="Calibri"/>
        <family val="2"/>
        <scheme val="minor"/>
      </rPr>
      <t xml:space="preserve"> P00313_2022</t>
    </r>
  </si>
  <si>
    <t>P00318_2022</t>
  </si>
  <si>
    <t>Analyse teneur Cadmium lot 103508P004</t>
  </si>
  <si>
    <t>P00319_2022</t>
  </si>
  <si>
    <t>Etude de stab 30j (prix max)</t>
  </si>
  <si>
    <r>
      <t xml:space="preserve">70333932-00 - </t>
    </r>
    <r>
      <rPr>
        <b/>
        <sz val="11"/>
        <rFont val="Calibri"/>
        <family val="2"/>
        <scheme val="minor"/>
      </rPr>
      <t>P00322_2022</t>
    </r>
  </si>
  <si>
    <r>
      <t xml:space="preserve">555507 - </t>
    </r>
    <r>
      <rPr>
        <b/>
        <sz val="11"/>
        <rFont val="Calibri"/>
        <family val="2"/>
        <scheme val="minor"/>
      </rPr>
      <t>P00326_2022</t>
    </r>
  </si>
  <si>
    <t>Serum de veau fœtal</t>
  </si>
  <si>
    <t>P00333_2022</t>
  </si>
  <si>
    <t>P00328_2022</t>
  </si>
  <si>
    <t>P00332_2022</t>
  </si>
  <si>
    <t>P00327_2022</t>
  </si>
  <si>
    <t>Sperm Storage Renewal additinnal years</t>
  </si>
  <si>
    <t>P00331_2022</t>
  </si>
  <si>
    <t>LABCORP</t>
  </si>
  <si>
    <t>Test Compound ABX464-Nglu</t>
  </si>
  <si>
    <t>INVOC1008920</t>
  </si>
  <si>
    <t>INVCO1008862</t>
  </si>
  <si>
    <t>INV 20220297</t>
  </si>
  <si>
    <t>INV 205.22.24 + INV 209.22.28</t>
  </si>
  <si>
    <t>04/08/2022 + 10/10/2022</t>
  </si>
  <si>
    <t>INV F2022-244</t>
  </si>
  <si>
    <t>INV BCI-0055356 + INV BCI-0055860 + INV BCI-0057096 + INV BCI-0058165 + INV BCI-0059505 - CN BCI-CM-0003208 + INV BCI-0060016 + INV BCI-0061587 - INV BCI-CM-0003321 - INV BCI-CM-0003336 + INV BCI-0063935 + INBV BCI-0065415</t>
  </si>
  <si>
    <t>31/12/2021 + 31/01/2022 + 28/02/2022 + 31/03/2022 + 30/04/2022 - 06/05/2022 + 31/05/2022 + 01/07/2022 + 18/07/2022 + 31/07/2022 + 30/08/2022 + 30/09/2022</t>
  </si>
  <si>
    <t>INV BCI-0044076 + INV BCI-0046020 + INV BCI-0046994 + INV BCI-0047970 + INV BCI-0049035 + INV BCI-0050044 + INV BCI-0057637 + INV BCI-0059993 + INV BCI-0061144 + INV BCI-0063532 + INV BCI-0064692</t>
  </si>
  <si>
    <t>27/02/2021 + 29/04/2021 + 30/05/2021 + 29/06/2021 + 30/07/2021 + 30/08/2021 + 30/03/2022 + 30/05/2022 + 01/07/2022 + 30/08/2022 + 30/09/2022</t>
  </si>
  <si>
    <t>INV 59000203 + INV 59000745 + INV 59000861 + INV 59000861</t>
  </si>
  <si>
    <t>INV 59000861</t>
  </si>
  <si>
    <t>19/07/2021 + 19/07/2022 + 06/10/2022 + 05/10/2022</t>
  </si>
  <si>
    <t>INV 2022100204</t>
  </si>
  <si>
    <t>INV 109644 + INV 109750</t>
  </si>
  <si>
    <t>20/06/2022 + 03/10/2022</t>
  </si>
  <si>
    <t>INV 109750</t>
  </si>
  <si>
    <t>INV 109754</t>
  </si>
  <si>
    <r>
      <t xml:space="preserve">70333932-00 - </t>
    </r>
    <r>
      <rPr>
        <b/>
        <sz val="11"/>
        <rFont val="Calibri"/>
        <family val="2"/>
        <scheme val="minor"/>
      </rPr>
      <t>P00334_2022</t>
    </r>
  </si>
  <si>
    <t>Maintenance Machine Labo 2022-2023 (14/12/2022 au 13/12/2023)</t>
  </si>
  <si>
    <t>INV 109752</t>
  </si>
  <si>
    <r>
      <t>OPP-273872 - CRL-437370 -</t>
    </r>
    <r>
      <rPr>
        <b/>
        <sz val="11"/>
        <rFont val="Calibri"/>
        <family val="2"/>
        <scheme val="minor"/>
      </rPr>
      <t xml:space="preserve"> P00339_2022</t>
    </r>
  </si>
  <si>
    <r>
      <t>OPP-273872 - CRL-437371 -</t>
    </r>
    <r>
      <rPr>
        <b/>
        <sz val="11"/>
        <rFont val="Calibri"/>
        <family val="2"/>
        <scheme val="minor"/>
      </rPr>
      <t xml:space="preserve"> P00339_2022</t>
    </r>
  </si>
  <si>
    <r>
      <t>OPP-273872 - CRL-437372 -</t>
    </r>
    <r>
      <rPr>
        <b/>
        <sz val="11"/>
        <rFont val="Calibri"/>
        <family val="2"/>
        <scheme val="minor"/>
      </rPr>
      <t xml:space="preserve"> P00339_2022</t>
    </r>
  </si>
  <si>
    <t>Non-GLP development of an analytical method</t>
  </si>
  <si>
    <t>Physical Chemistry Testing with Analytics</t>
  </si>
  <si>
    <t>Phase I ERA Assessment</t>
  </si>
  <si>
    <t>Plus option voir PO</t>
  </si>
  <si>
    <t>INV 940517156</t>
  </si>
  <si>
    <t>INV 1032209046</t>
  </si>
  <si>
    <t>INV PSI005987</t>
  </si>
  <si>
    <t>INV 58003922</t>
  </si>
  <si>
    <t>INV FRA-003724</t>
  </si>
  <si>
    <t>INV CZC53901 + INV CZC53902+ INV CZC53903 + INV FA212119 + INV FA212715 + INV FA213263 + INV FA211049 + INV FA213790 + INV FA214966 + FA215628 + INV FA216139 + INV FA220161 + INV FA220796 + INV FA221297 + INV FA221873 + INV FA222371 + INV FA224882</t>
  </si>
  <si>
    <t>31/12/2020 + 31/12/2020 + 31/12/2020 + 31/05/2021 + 30/06/2021 + 30/07/2021 + 31/03/2021 (recu 01/08/2021) + 31/08/2021 + 29/10/2021 + 30/11/2021 + 31/12/2021 + 31/01/2022 + 28/02/2022 + 31/03/2022 + 29/04/2022 + 31/05/2022 + 30/09/2022</t>
  </si>
  <si>
    <t>UC104 Clinical labelling of 1 048 bottles of 30-50 mg caps</t>
  </si>
  <si>
    <t>INV FA224896</t>
  </si>
  <si>
    <t>INV 59000116 + INV 59000884</t>
  </si>
  <si>
    <t>20/05/2021 + 19/10/2022</t>
  </si>
  <si>
    <t>INV 3461629</t>
  </si>
  <si>
    <t>DataBaseLock</t>
  </si>
  <si>
    <t>INV 109773</t>
  </si>
  <si>
    <t>INV 940517495</t>
  </si>
  <si>
    <t>INV 02452869</t>
  </si>
  <si>
    <t>IQVIA US</t>
  </si>
  <si>
    <t>IRT reconcilliation for ABX464-108 trial</t>
  </si>
  <si>
    <r>
      <t xml:space="preserve">Change Order n°1.1 - </t>
    </r>
    <r>
      <rPr>
        <b/>
        <sz val="11"/>
        <rFont val="Calibri"/>
        <family val="2"/>
        <scheme val="minor"/>
      </rPr>
      <t>P00335_2022</t>
    </r>
  </si>
  <si>
    <r>
      <t xml:space="preserve">Teneur Li_ABIVAX_14102022 - </t>
    </r>
    <r>
      <rPr>
        <b/>
        <sz val="11"/>
        <rFont val="Calibri"/>
        <family val="2"/>
        <scheme val="minor"/>
      </rPr>
      <t>P00336_2022</t>
    </r>
  </si>
  <si>
    <r>
      <t xml:space="preserve">12954_A2 - </t>
    </r>
    <r>
      <rPr>
        <b/>
        <sz val="11"/>
        <rFont val="Calibri"/>
        <family val="2"/>
        <scheme val="minor"/>
      </rPr>
      <t>P00337_2022</t>
    </r>
  </si>
  <si>
    <r>
      <t xml:space="preserve">PH22079 - </t>
    </r>
    <r>
      <rPr>
        <b/>
        <sz val="11"/>
        <rFont val="Calibri"/>
        <family val="2"/>
        <scheme val="minor"/>
      </rPr>
      <t>P00334_2022</t>
    </r>
  </si>
  <si>
    <r>
      <t xml:space="preserve">ZNA79291 CO n°9 - APTU - </t>
    </r>
    <r>
      <rPr>
        <b/>
        <sz val="11"/>
        <rFont val="Calibri"/>
        <family val="2"/>
        <scheme val="minor"/>
      </rPr>
      <t>P00340_2022</t>
    </r>
  </si>
  <si>
    <t>Dev of Solid Oral Dosage Form (Solid Dispersion) - CO9 Remouval STAB/914</t>
  </si>
  <si>
    <t>Dev of Solid Oral Dosage Form (Solid Dispersion) - CO9 Remouval STAB/922</t>
  </si>
  <si>
    <r>
      <t xml:space="preserve">ZNA79291 CO n°3 -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P00027_2021</t>
    </r>
    <r>
      <rPr>
        <sz val="11"/>
        <rFont val="Calibri"/>
        <family val="2"/>
        <scheme val="minor"/>
      </rPr>
      <t xml:space="preserve"> + CO n°9</t>
    </r>
    <r>
      <rPr>
        <b/>
        <sz val="11"/>
        <rFont val="Calibri"/>
        <family val="2"/>
        <scheme val="minor"/>
      </rPr>
      <t xml:space="preserve"> P00340_2022</t>
    </r>
  </si>
  <si>
    <t>Annulé via PO00340_2022</t>
  </si>
  <si>
    <t>INV FRA-003746</t>
  </si>
  <si>
    <t>Analyse teneur en lithium par ICP-MS ABX464 Nglu</t>
  </si>
  <si>
    <t>INV 20220311</t>
  </si>
  <si>
    <t>INV FA2210-5477</t>
  </si>
  <si>
    <t>INV 00010 22003236 RI</t>
  </si>
  <si>
    <t>INV 00010 22001938 RI + INV 00010 22003242 RI</t>
  </si>
  <si>
    <t>22/06/2022 (recu en 09/2022) + 31/10/2022</t>
  </si>
  <si>
    <t>INV 109779</t>
  </si>
  <si>
    <t>L18_2706E - Pas de PO</t>
  </si>
  <si>
    <t>Eutude de stabilité ICH (2 lots) - T42M</t>
  </si>
  <si>
    <t>Eutude de stabilité ICH (2 lots) - T60M</t>
  </si>
  <si>
    <t>INV 1000447</t>
  </si>
  <si>
    <t>INV 3465738</t>
  </si>
  <si>
    <t>FACIT.ORG</t>
  </si>
  <si>
    <r>
      <t>PHASE III -</t>
    </r>
    <r>
      <rPr>
        <b/>
        <sz val="11"/>
        <rFont val="Calibri"/>
        <family val="2"/>
        <scheme val="minor"/>
      </rPr>
      <t xml:space="preserve"> P00350_2022</t>
    </r>
  </si>
  <si>
    <t>FACIT-Fatigue questionnaires with translations for the 3 phases III</t>
  </si>
  <si>
    <t>ABX711</t>
  </si>
  <si>
    <r>
      <t xml:space="preserve">DA198-22066v2 - </t>
    </r>
    <r>
      <rPr>
        <b/>
        <sz val="11"/>
        <rFont val="Calibri"/>
        <family val="2"/>
        <scheme val="minor"/>
      </rPr>
      <t>P00351_2022</t>
    </r>
  </si>
  <si>
    <t>Caractérisation physique et physicochimique prélim ABX464 Nglu</t>
  </si>
  <si>
    <r>
      <t xml:space="preserve">Devis 13040-A1 - </t>
    </r>
    <r>
      <rPr>
        <b/>
        <sz val="11"/>
        <rFont val="Calibri"/>
        <family val="2"/>
        <scheme val="minor"/>
      </rPr>
      <t>P00080_2022</t>
    </r>
  </si>
  <si>
    <r>
      <t xml:space="preserve">Devis 13040-A2 - </t>
    </r>
    <r>
      <rPr>
        <b/>
        <sz val="11"/>
        <rFont val="Calibri"/>
        <family val="2"/>
        <scheme val="minor"/>
      </rPr>
      <t>P00102_2022</t>
    </r>
  </si>
  <si>
    <r>
      <t xml:space="preserve">Devis 13040-A4 - </t>
    </r>
    <r>
      <rPr>
        <b/>
        <sz val="11"/>
        <rFont val="Calibri"/>
        <family val="2"/>
        <scheme val="minor"/>
      </rPr>
      <t>P00141_2022</t>
    </r>
  </si>
  <si>
    <r>
      <t xml:space="preserve">Devis 13040-A5 - </t>
    </r>
    <r>
      <rPr>
        <b/>
        <sz val="11"/>
        <rFont val="Calibri"/>
        <family val="2"/>
        <scheme val="minor"/>
      </rPr>
      <t>P00236_2022</t>
    </r>
  </si>
  <si>
    <r>
      <t xml:space="preserve">Devis 13040-A7 - </t>
    </r>
    <r>
      <rPr>
        <b/>
        <sz val="11"/>
        <rFont val="Calibri"/>
        <family val="2"/>
        <scheme val="minor"/>
      </rPr>
      <t>P00355_2022</t>
    </r>
  </si>
  <si>
    <t>Purchase extra colored labels for phase 3 studies</t>
  </si>
  <si>
    <t>INV 1865340 RI</t>
  </si>
  <si>
    <t>INV S22-531281</t>
  </si>
  <si>
    <t>INV ABI-110222-01</t>
  </si>
  <si>
    <t>INV 109782</t>
  </si>
  <si>
    <t>INV FRA-003758</t>
  </si>
  <si>
    <t>INV 1841301 RI + INV 1833819 RI + INV 1853218 RI - AV 183216 RI - AV 183215 RI</t>
  </si>
  <si>
    <t>12/05/2022 + 04/04/2022 (recu 05/2022) + 19/07/2022 (recu 10/2022) - 19/07/2022 - 19/07/2022</t>
  </si>
  <si>
    <t>INV 211.22.30</t>
  </si>
  <si>
    <t>INV 00010 22003282 RI</t>
  </si>
  <si>
    <t>INV 22015392</t>
  </si>
  <si>
    <t>Production de 90 mg de 464 13C6 et 120 mg de N-GLUCURONIDE OF 13C6-464</t>
  </si>
  <si>
    <r>
      <t>P2210132 -</t>
    </r>
    <r>
      <rPr>
        <b/>
        <sz val="11"/>
        <rFont val="Calibri"/>
        <family val="2"/>
        <scheme val="minor"/>
      </rPr>
      <t xml:space="preserve"> P00356_2022</t>
    </r>
  </si>
  <si>
    <r>
      <t xml:space="preserve">V2 16112022 - </t>
    </r>
    <r>
      <rPr>
        <b/>
        <sz val="11"/>
        <rFont val="Calibri"/>
        <family val="2"/>
        <scheme val="minor"/>
      </rPr>
      <t>P00367_2022</t>
    </r>
  </si>
  <si>
    <t>Partie 1 : dev et validation analytique</t>
  </si>
  <si>
    <t>Partie 2 : CAPEX Achat materiel industriel</t>
  </si>
  <si>
    <t>Partie 3 : Production 48kg ABX464</t>
  </si>
  <si>
    <r>
      <t>SRV_22103  -</t>
    </r>
    <r>
      <rPr>
        <b/>
        <sz val="11"/>
        <rFont val="Calibri"/>
        <family val="2"/>
        <scheme val="minor"/>
      </rPr>
      <t xml:space="preserve"> P00352_2022</t>
    </r>
  </si>
  <si>
    <t>PATHEON</t>
  </si>
  <si>
    <t>Formulation developpment CTM manufacture ABX711 - CAPEX ABX711 specific</t>
  </si>
  <si>
    <t>Secondary packaging clinical labelling and distribution</t>
  </si>
  <si>
    <r>
      <t>PH22079 -</t>
    </r>
    <r>
      <rPr>
        <b/>
        <sz val="11"/>
        <rFont val="Calibri"/>
        <family val="2"/>
        <scheme val="minor"/>
      </rPr>
      <t xml:space="preserve"> P00362_2022</t>
    </r>
  </si>
  <si>
    <t>consulting services for evaluations of the drug interaction potential in vitro data</t>
  </si>
  <si>
    <t>SEQENS</t>
  </si>
  <si>
    <t>Stability Study tests in LAHR site Intermediates Stage 1;2;3;4 -STAB T36 T48 for stage 2</t>
  </si>
  <si>
    <t>Qualification nouvelle grille de broyage</t>
  </si>
  <si>
    <r>
      <t>DEVIS n°3620 -</t>
    </r>
    <r>
      <rPr>
        <b/>
        <sz val="11"/>
        <rFont val="Calibri"/>
        <family val="2"/>
        <scheme val="minor"/>
      </rPr>
      <t xml:space="preserve"> P00358_2022</t>
    </r>
  </si>
  <si>
    <r>
      <t xml:space="preserve">DEVIS 2022-02_11 - </t>
    </r>
    <r>
      <rPr>
        <b/>
        <sz val="11"/>
        <rFont val="Calibri"/>
        <family val="2"/>
        <scheme val="minor"/>
      </rPr>
      <t>P00085_2022</t>
    </r>
  </si>
  <si>
    <t>INV FA213173 + INV FA213262 + INV FA213667 + INV FA213789 + INV FA214251 + INV FA225476</t>
  </si>
  <si>
    <t>30/07/2021 + 30/07/2021 + 31/08/2021 + 31/08/2021 + 30/09/2021 + 30/10/2022</t>
  </si>
  <si>
    <t>INV FA225508</t>
  </si>
  <si>
    <t>INV 5000881</t>
  </si>
  <si>
    <t>INV F22000968 + INV F22001124 + INV FA22001381</t>
  </si>
  <si>
    <t>28/07/2022 + 31/08/2022 + 28/10/2022</t>
  </si>
  <si>
    <t>SRV_21096_A1</t>
  </si>
  <si>
    <t>4. CO#1 additional services</t>
  </si>
  <si>
    <t>5. 100% sites initiated</t>
  </si>
  <si>
    <t>INV S22-551281</t>
  </si>
  <si>
    <t>INV 109188 + INV 109211 + INV 109245+ INV 109211+ INV 109188+ INV 109319+ INV 109245 + INV 109415 + INV 109796</t>
  </si>
  <si>
    <t>09/03/2021 + 09/04/2021 +07/05/2021 + 09/04/2021 + 09/03/2021 + 19/07/2021 + 07/05/2021 + 18/10/2021 + 15/11/2022</t>
  </si>
  <si>
    <t>INV 47031668 + INV 47033030</t>
  </si>
  <si>
    <t>06/09/2022 (recu 10/2022) + 14/11/2022</t>
  </si>
  <si>
    <t>Consulting services for evaluations of the drug interaction potential</t>
  </si>
  <si>
    <t>INV F22-1312 + INV F22-1311</t>
  </si>
  <si>
    <t>10/11/2022 + 10/11/2022</t>
  </si>
  <si>
    <r>
      <t xml:space="preserve">Devis 13040-A6 - </t>
    </r>
    <r>
      <rPr>
        <b/>
        <sz val="11"/>
        <rFont val="Calibri"/>
        <family val="2"/>
        <scheme val="minor"/>
      </rPr>
      <t>P00345_2022</t>
    </r>
  </si>
  <si>
    <r>
      <t xml:space="preserve">Devis 13040-A8 - </t>
    </r>
    <r>
      <rPr>
        <b/>
        <sz val="11"/>
        <rFont val="Calibri"/>
        <family val="2"/>
        <scheme val="minor"/>
      </rPr>
      <t>P00372_2022</t>
    </r>
  </si>
  <si>
    <t>ABX464 ABTECT booklets purchase</t>
  </si>
  <si>
    <r>
      <t xml:space="preserve">14222022 - </t>
    </r>
    <r>
      <rPr>
        <b/>
        <sz val="11"/>
        <rFont val="Calibri"/>
        <family val="2"/>
        <scheme val="minor"/>
      </rPr>
      <t>P00375_2022</t>
    </r>
  </si>
  <si>
    <t>Envoi d'un echantillon de 5kg de bromoglucuronide</t>
  </si>
  <si>
    <t>INV UC-STAT-100122 + INV UC-STAT-050322 + INV UC-STAT-040422 + INV UC-STAT-100422 + INV UC-STAT-050622 + INV UC-STAT-101122</t>
  </si>
  <si>
    <t>10/01/2022 + 05/03/2022 + 04/04/2022 + 04/05/2022 + 05/06/2022 + 10/11/2022</t>
  </si>
  <si>
    <t>INV 00010 22003414 RI</t>
  </si>
  <si>
    <t>INV 20220343</t>
  </si>
  <si>
    <t>Sur le Wo#21 suite aux deux premières facturation il restait l’équivalent de 33 jours de travail, soit 52 960 €, au réel 26,5 jours ont été passé pour finaliser le travail réglementaire. Nous allons donc vous faire parvenir une facture de 42 528 € pour solder ce WO</t>
  </si>
  <si>
    <r>
      <t xml:space="preserve">Commande du 23/11/2022 - </t>
    </r>
    <r>
      <rPr>
        <b/>
        <sz val="11"/>
        <rFont val="Calibri"/>
        <family val="2"/>
        <scheme val="minor"/>
      </rPr>
      <t>P00385_2022</t>
    </r>
  </si>
  <si>
    <t>INV 141.21.17 + INV 142.21.18 + INV 171.21.47 + INV 173.21.49 + INV 196.22.15 + INV 213.22.32</t>
  </si>
  <si>
    <t>21/05/2021 + 27/05/2021 + 13/11/2021 + 20/11/2021 + 20/05/2022 + 25/11/2022</t>
  </si>
  <si>
    <t>Cols cf mail Aude du 29/11/22</t>
  </si>
  <si>
    <t>OUT vu avec Trinidad le 30/11/22</t>
  </si>
  <si>
    <t>INVOC1009561</t>
  </si>
  <si>
    <t>INV PIN141449 + INV PIN143540 + INV PIN146540 + INV PIN148722 + INV PIN150764 + INV PIN152812 + INV PIN155104 + INV PIN157346</t>
  </si>
  <si>
    <t>29/04/2022 + 27/05/2022 + 01/07/2022 + 29/07/2022 + 26/08/2022 + 30/09/2022 + 28/10/2022 + 25/11/2022</t>
  </si>
  <si>
    <t>INV 58004283</t>
  </si>
  <si>
    <t>INV 10000684</t>
  </si>
  <si>
    <t>INV 10000682</t>
  </si>
  <si>
    <t>INV PJ20223453</t>
  </si>
  <si>
    <t>ANALYSES &amp; SURFACE</t>
  </si>
  <si>
    <t>Caractérisation de l'ABX711</t>
  </si>
  <si>
    <r>
      <t xml:space="preserve">DE-AS-22-1488 - </t>
    </r>
    <r>
      <rPr>
        <b/>
        <sz val="11"/>
        <rFont val="Calibri"/>
        <family val="2"/>
        <scheme val="minor"/>
      </rPr>
      <t>P00388_2022</t>
    </r>
  </si>
  <si>
    <t>LIFE TECHNOLOGIES</t>
  </si>
  <si>
    <r>
      <t xml:space="preserve">W316953499 - </t>
    </r>
    <r>
      <rPr>
        <b/>
        <sz val="11"/>
        <rFont val="Calibri"/>
        <family val="2"/>
        <scheme val="minor"/>
      </rPr>
      <t>P00390_2022</t>
    </r>
  </si>
  <si>
    <t>EPPENDORF</t>
  </si>
  <si>
    <r>
      <t xml:space="preserve">Q22000367925 - </t>
    </r>
    <r>
      <rPr>
        <b/>
        <sz val="11"/>
        <rFont val="Calibri"/>
        <family val="2"/>
        <scheme val="minor"/>
      </rPr>
      <t>P00397_2022</t>
    </r>
  </si>
  <si>
    <t>Etude d'optimisation du process de fabrication - Campagne 1</t>
  </si>
  <si>
    <t>Etude d'optimisation du process de fabrication - Campagne 2</t>
  </si>
  <si>
    <t>Etude d'optimisation du process de fabrication - Campgane 3</t>
  </si>
  <si>
    <t>Etude d'optimisation du process de fabrication - Campagne 4</t>
  </si>
  <si>
    <t>Etude d'optimisation du process de fabrication - Magement de projet 4 mois - mois 1</t>
  </si>
  <si>
    <t>Etude d'optimisation du process de fabrication - Magement de projet 4 mois - mois 2</t>
  </si>
  <si>
    <t>Etude d'optimisation du process de fabrication - Magement de projet 4 mois - mois 3</t>
  </si>
  <si>
    <t>Etude d'optimisation du process de fabrication - Magement de projet 4 mois - mois 4</t>
  </si>
  <si>
    <t>Etude d'optimisation du process de fabrication - Remise prestation de fabrication</t>
  </si>
  <si>
    <r>
      <t xml:space="preserve">L22_3662B - </t>
    </r>
    <r>
      <rPr>
        <b/>
        <sz val="11"/>
        <rFont val="Calibri"/>
        <family val="2"/>
        <scheme val="minor"/>
      </rPr>
      <t>P00392_2022</t>
    </r>
  </si>
  <si>
    <t>Development activities</t>
  </si>
  <si>
    <r>
      <t xml:space="preserve">Devis 13040-A9 - </t>
    </r>
    <r>
      <rPr>
        <b/>
        <sz val="11"/>
        <rFont val="Calibri"/>
        <family val="2"/>
        <scheme val="minor"/>
      </rPr>
      <t>P00394_2022</t>
    </r>
  </si>
  <si>
    <r>
      <t xml:space="preserve">Devis 13023 Amdt 4 - </t>
    </r>
    <r>
      <rPr>
        <b/>
        <sz val="11"/>
        <rFont val="Calibri"/>
        <family val="2"/>
        <scheme val="minor"/>
      </rPr>
      <t>P00393_2022</t>
    </r>
  </si>
  <si>
    <t>UC105 - ABX464 ABTECT US overlabel</t>
  </si>
  <si>
    <t>UC107 - ABX464 ABTECT US overlabel</t>
  </si>
  <si>
    <r>
      <t xml:space="preserve">Q2200284 - </t>
    </r>
    <r>
      <rPr>
        <b/>
        <sz val="11"/>
        <rFont val="Calibri"/>
        <family val="2"/>
        <scheme val="minor"/>
      </rPr>
      <t>P00378_2022</t>
    </r>
  </si>
  <si>
    <r>
      <t xml:space="preserve">Q2200285 - </t>
    </r>
    <r>
      <rPr>
        <b/>
        <sz val="11"/>
        <rFont val="Calibri"/>
        <family val="2"/>
        <scheme val="minor"/>
      </rPr>
      <t>P00379_2022</t>
    </r>
  </si>
  <si>
    <r>
      <t xml:space="preserve">Q2200254 - </t>
    </r>
    <r>
      <rPr>
        <b/>
        <sz val="11"/>
        <rFont val="Calibri"/>
        <family val="2"/>
        <scheme val="minor"/>
      </rPr>
      <t>P00380_2022</t>
    </r>
  </si>
  <si>
    <t>WO7 - Senior Regulatory Executive 585 € - 11/2022 a 04/2023</t>
  </si>
  <si>
    <t>INV 20220702199 + INV 20220902266 + INV 202221002308 + INV 20221102326</t>
  </si>
  <si>
    <t>29/07/2022 + 29/09/2022 + 31/10/2022 + 29/11/2022</t>
  </si>
  <si>
    <t>INV COB92203</t>
  </si>
  <si>
    <t>INV FA222326 + INV Fa223022 + INV FA223513 + INV FA224373 + INV FA224894 + INV FA225507 + INV FA225855</t>
  </si>
  <si>
    <t>31/05/2022 + 01/07/2022 + 29/07/2022 + 31/08/2022 + 30/09/2022 + 31/10/2022 + 01/12/2022</t>
  </si>
  <si>
    <t>INV AC220011 + INV FA225845</t>
  </si>
  <si>
    <t>23/11/2022 + 01/12/2022</t>
  </si>
  <si>
    <t>INV INC-304858</t>
  </si>
  <si>
    <t>INV FRA-003883</t>
  </si>
  <si>
    <t>INV FRA-002695 + INV FRA-002762 + INV FRA-002803 + INV FRA-002875 + INV FRA-002955 + INV FRA-003023 + INV FRA-003086 + INV FRA-003152 + INV FRA-003244 + INV FRA-003297 + INV FRA-003351 + INV FRA-003440 + INV FRA-003865</t>
  </si>
  <si>
    <t>11/08/2021 + 14/09/2021 + 12/10/2021 + 10/11/2021 + 09/12/2021 + 13/01/2022 + 11/02/2022 + 08/03/2022 + 11/04/2022 + 10/05/2022 + 08/06/2022 + 12/07/2022 + 12/12/2022</t>
  </si>
  <si>
    <t>INV INC-299382</t>
  </si>
  <si>
    <t>20/10/2022 (recu 12/2022)</t>
  </si>
  <si>
    <t>INV INC-302336</t>
  </si>
  <si>
    <t>30/11/2022 (recu 12/2022)</t>
  </si>
  <si>
    <t>65104-5646-05479-29</t>
  </si>
  <si>
    <t>26/10/2022 (recu 12/2022)</t>
  </si>
  <si>
    <t>65104-5646-05479-30</t>
  </si>
  <si>
    <t>STUDY CLOSE OUT FEES</t>
  </si>
  <si>
    <t>65104-5646-05479-31</t>
  </si>
  <si>
    <t>INV 1032211722 + INV 1032211723 + INV 1032211724</t>
  </si>
  <si>
    <t>15/12/2022 + 15/12/2022 + 15/12/2022</t>
  </si>
  <si>
    <t>INV 1874898 RI + INV 1877546 RI</t>
  </si>
  <si>
    <t>05/12/2022 + 16/12/2022</t>
  </si>
  <si>
    <t>INV 109809</t>
  </si>
  <si>
    <t>INV 58004413</t>
  </si>
  <si>
    <t>INV 58004414</t>
  </si>
  <si>
    <r>
      <t>OPP-260408 WO1 - CRL-414461 -</t>
    </r>
    <r>
      <rPr>
        <b/>
        <sz val="11"/>
        <rFont val="Calibri"/>
        <family val="2"/>
        <scheme val="minor"/>
      </rPr>
      <t xml:space="preserve"> P00407_2022</t>
    </r>
  </si>
  <si>
    <t>ABX464 Prelim Tox Study by Oral route Juvenile Rats -add cost</t>
  </si>
  <si>
    <t>INV 58004396</t>
  </si>
  <si>
    <r>
      <t xml:space="preserve">Devis 466 - </t>
    </r>
    <r>
      <rPr>
        <b/>
        <sz val="11"/>
        <rFont val="Calibri"/>
        <family val="2"/>
        <scheme val="minor"/>
      </rPr>
      <t>P00403_2022</t>
    </r>
  </si>
  <si>
    <t>Cruo-microscopie</t>
  </si>
  <si>
    <r>
      <t xml:space="preserve">70346579-00 - </t>
    </r>
    <r>
      <rPr>
        <b/>
        <sz val="11"/>
        <rFont val="Calibri"/>
        <family val="2"/>
        <scheme val="minor"/>
      </rPr>
      <t>P00408_2022</t>
    </r>
  </si>
  <si>
    <t>Consommables Labo</t>
  </si>
  <si>
    <t>INV 1032211646</t>
  </si>
  <si>
    <r>
      <t xml:space="preserve">MR_1014 WO1 - </t>
    </r>
    <r>
      <rPr>
        <b/>
        <sz val="11"/>
        <rFont val="Calibri"/>
        <family val="2"/>
        <scheme val="minor"/>
      </rPr>
      <t>P00411_2022</t>
    </r>
  </si>
  <si>
    <t>HI908</t>
  </si>
  <si>
    <r>
      <t xml:space="preserve">PH22094 - </t>
    </r>
    <r>
      <rPr>
        <b/>
        <sz val="11"/>
        <rFont val="Calibri"/>
        <family val="2"/>
        <scheme val="minor"/>
      </rPr>
      <t>P00419_2022</t>
    </r>
  </si>
  <si>
    <t>Study design, Study Setup and Protocol writing</t>
  </si>
  <si>
    <r>
      <t xml:space="preserve">Miling of 50kg of </t>
    </r>
    <r>
      <rPr>
        <sz val="11"/>
        <color rgb="FFFF0000"/>
        <rFont val="Calibri"/>
        <family val="2"/>
        <scheme val="minor"/>
      </rPr>
      <t>J003</t>
    </r>
    <r>
      <rPr>
        <sz val="11"/>
        <rFont val="Calibri"/>
        <family val="2"/>
        <scheme val="minor"/>
      </rPr>
      <t xml:space="preserve"> ABX464 and reanalyse</t>
    </r>
  </si>
  <si>
    <r>
      <t xml:space="preserve">Miling of 50kg of </t>
    </r>
    <r>
      <rPr>
        <sz val="11"/>
        <color rgb="FFFF0000"/>
        <rFont val="Calibri"/>
        <family val="2"/>
        <scheme val="minor"/>
      </rPr>
      <t>J002</t>
    </r>
    <r>
      <rPr>
        <sz val="11"/>
        <rFont val="Calibri"/>
        <family val="2"/>
        <scheme val="minor"/>
      </rPr>
      <t xml:space="preserve"> ABX464 and reanalyse</t>
    </r>
  </si>
  <si>
    <r>
      <t xml:space="preserve">WO58#2022 - </t>
    </r>
    <r>
      <rPr>
        <b/>
        <sz val="11"/>
        <rFont val="Calibri"/>
        <family val="2"/>
        <scheme val="minor"/>
      </rPr>
      <t>P00409_2022</t>
    </r>
  </si>
  <si>
    <t>INV 221708</t>
  </si>
  <si>
    <t>INV 10077337</t>
  </si>
  <si>
    <t>IV-01220032-ABI + IV-12220796-ABI</t>
  </si>
  <si>
    <t>31/01/2022 + 20/12/2022</t>
  </si>
  <si>
    <t>INV IV-03220284-ABI + INV IV-12220797-ABI</t>
  </si>
  <si>
    <t>31/03/2022 + 20/12/2022</t>
  </si>
  <si>
    <t>INV 22200043 + INV 22200146 + INV 22200348 + INV 22200399 + INV 22200586 + INV 22200642 + INV 22200766 + INV 22200853 + INV 22200986 + INV 22201105 + INV 22201274 + INV 22201473</t>
  </si>
  <si>
    <t>20/01/2022 + 21/02/2022 + 23/03/2022 + 22/04/2022 + 19/05/2022 + 22/06/2022 + 20/07/2022 + 22/08/2022 + 21/09/2022 + 20/10/2022 + 18/11/2022 + 21/12/2022</t>
  </si>
  <si>
    <t>20/01/2022 + 21/01/2022 + 23/03/2022 + 22/04/2022 + 19/05/2022 + 22/06/2022 + 20/07/2022 + 22/08/2022 + 21/09/2022 + 20/10/2022 + 18/11/2022 + 21/12/2022</t>
  </si>
  <si>
    <t>II. Project &amp; Data Management - 2023</t>
  </si>
  <si>
    <t>INV 22200042 + INV 22200148 + INV 22200347 + INV 22200429 + INV 22200551 + INV 22200641 + INV 22200765 + INV 22200957 + INV 22200958 + INV 22201103 + INV 22201272 + INV 22201472</t>
  </si>
  <si>
    <t>20/01/2022 + 21/02/2022 + 22/03/2022 + 22/04/2022 + 19/05/2022 + 22/06/2022 + 20/07/2022 + 22/08/2022 + 21/09/2022 + 20/10/2022 + 18/11/2022 + 21/12/2022</t>
  </si>
  <si>
    <r>
      <t>III. Kits and Supplies - 2022-</t>
    </r>
    <r>
      <rPr>
        <sz val="11"/>
        <color rgb="FFC00000"/>
        <rFont val="Calibri"/>
        <family val="2"/>
        <scheme val="minor"/>
      </rPr>
      <t>2023</t>
    </r>
  </si>
  <si>
    <r>
      <t>II. Project &amp; Data Management - 2021-2022-</t>
    </r>
    <r>
      <rPr>
        <sz val="11"/>
        <color rgb="FFC00000"/>
        <rFont val="Calibri"/>
        <family val="2"/>
        <scheme val="minor"/>
      </rPr>
      <t>2023</t>
    </r>
  </si>
  <si>
    <t>IV. Specimen Management - 2023</t>
  </si>
  <si>
    <r>
      <t>V. Laboratory Analysis - 2022-</t>
    </r>
    <r>
      <rPr>
        <sz val="11"/>
        <color rgb="FFC00000"/>
        <rFont val="Calibri"/>
        <family val="2"/>
        <scheme val="minor"/>
      </rPr>
      <t>2023</t>
    </r>
  </si>
  <si>
    <t>VI. PTC Transport and Rental - 2023</t>
  </si>
  <si>
    <t>I. Study start-up - 2022 ?</t>
  </si>
  <si>
    <t>INV 590008987</t>
  </si>
  <si>
    <t>Etendre le PO ? Cloturer definitviement ?</t>
  </si>
  <si>
    <t xml:space="preserve">LOI </t>
  </si>
  <si>
    <t>Upfront payment PTC</t>
  </si>
  <si>
    <t>Upfront payment professional fee</t>
  </si>
  <si>
    <t>INV 109827</t>
  </si>
  <si>
    <t>INV 109828</t>
  </si>
  <si>
    <t xml:space="preserve">FNP S2 2018 </t>
  </si>
  <si>
    <t>Cette prestation a été facturée (et comptabilisée). N° de facture FA-201806072 datée du 4/06/2018! =&gt; A extourner</t>
  </si>
  <si>
    <t>INV 58004525</t>
  </si>
  <si>
    <t>Pour moi à solder =&gt; voir avec DS</t>
  </si>
  <si>
    <t>Il s'agit d'une option qui ne serait pas prise =&gt; A mettre à O mais garder la ligne</t>
  </si>
  <si>
    <t>OC910</t>
  </si>
  <si>
    <r>
      <t xml:space="preserve">WO58-1#2022 - </t>
    </r>
    <r>
      <rPr>
        <b/>
        <sz val="11"/>
        <rFont val="Calibri"/>
        <family val="2"/>
        <scheme val="minor"/>
      </rPr>
      <t>P00410_2022</t>
    </r>
  </si>
  <si>
    <t>en cours de réédition pour 6600€</t>
  </si>
  <si>
    <r>
      <t xml:space="preserve">WO60#2022 - </t>
    </r>
    <r>
      <rPr>
        <b/>
        <sz val="11"/>
        <rFont val="Calibri"/>
        <family val="2"/>
        <scheme val="minor"/>
      </rPr>
      <t>P00424_2022</t>
    </r>
  </si>
  <si>
    <t>Storage Fees ABX464 &amp; intermediates for Q1 2023</t>
  </si>
  <si>
    <t>Development of ABX464 2,5mg/mL oral Pediatric Liquid-in-Bottle Phase I Product</t>
  </si>
  <si>
    <r>
      <t>CH.BEI-22.10-001.01 -</t>
    </r>
    <r>
      <rPr>
        <b/>
        <sz val="11"/>
        <rFont val="Calibri"/>
        <family val="2"/>
        <scheme val="minor"/>
      </rPr>
      <t xml:space="preserve"> P00417_2022</t>
    </r>
  </si>
  <si>
    <t>CATALENT</t>
  </si>
  <si>
    <t>INV FA225855 + INV FA226424</t>
  </si>
  <si>
    <t>01/12/2022 + 30/12/2022</t>
  </si>
  <si>
    <t>INV CUC11207  + INV CVC11208 + INV CTC11206 + INV CWC11209  + INV CXC11210 + INV CYC11211 + INV CZC11212  + INV FA210020  + INV FA210515  + INV FA211533  + INV FA212031  + INV FA211037 + INV FA213246 + INV FA213769 + INV FA214208 + FA214950 + FA215622 + INv FA216019 + INV FA220132 + INV FA221279 + INV FA221877 + INV FA222327 + INV FA223031 + INV FA223514 + INV FA224374 + INV FA224896 + INV FA225508 + INV FA225858 + INV FA226382</t>
  </si>
  <si>
    <t>31/07/2020 + 31/08/2020 + 30/06/2020 + 30/09/2020 + 30/10/2020 + 30/11/2020 + 31/12/2020 + 31/12/2020 + 29/01/2021 + 26/02/2021 + 26/02/2021 + 30/04/2021 + 30/04/2021 + 31/05/2021 + 31/03/2021 + 30/06/2021 + 31/08/2021 + 30/09/2021 + 29/10/2021 + 30/11/2021 + 31/12/2021 + 31/01/2022 + 31/03/2022 + 29/04/2022 + 31/05/2022 + 01/07/2022 + 29/07/2022 + 31/08/2022 + 30/09/2022 + 31/10/2022 + 01/12/2022 + 30/12/2022</t>
  </si>
  <si>
    <t>INV FA225489 + INV FA225845 + INV FA226381</t>
  </si>
  <si>
    <t>31/10/2022 + 01/12/2022 + 30/12/2022</t>
  </si>
  <si>
    <t>INV FA226381</t>
  </si>
  <si>
    <t>INV FA220561 + INV FA221285 + INV FA224429 + INV FA224425 + INV FA224877 + INV FA225485 + INV FA225837 + INV FA226380</t>
  </si>
  <si>
    <t>28/02/2022 + 31/02/2022 + 31/08/2022 + 31/08/2022 + 30/09/2022 + 31/10/2022 + 01/12/2022 + 30/12/2022</t>
  </si>
  <si>
    <t>Clos en 2022 - ne plus utiliser</t>
  </si>
  <si>
    <t>INV FA214811 + INV FA215367 + INV FA220133 + INV FA220742 + INV FA221286 - INV FA221885 + INV FA222332 + INV FA223059 + INV FA223516 + INV FA224394 + INV FA224876 + INV FA225836 + INV FA226248</t>
  </si>
  <si>
    <t>29/10/2021 + 30/11/2021 + 31/12/2022 + 28/02/2022 + 31/03/2022 + 29/04/2022 + 31/05/2022 + 01/07/2022 + 29/07/2022 + 31/08/2022 + 30/09/2022 + 01/12/2022 + 30/12/2022</t>
  </si>
  <si>
    <t>INV FA220271 + INV FA220562 + INV FA221402 + INV FA221875 + INV FA222348 + INV FA223061 + INV FA223607 + INV FA224402 + INV FA224874 + INV FA225480 + INV FA225834 + FA226242</t>
  </si>
  <si>
    <t>31/01/2022 + 28/02/2022 + 31/02/2022 + 29/04/2022 + 31/05/2022 + 01/07/2022 + 29/07/2022 + 31/08/2022 + 30/09/2022 + 31/10/2022 + 01/12/2022 + 30/12/2022</t>
  </si>
  <si>
    <r>
      <t xml:space="preserve">WO36#2021 A2 - </t>
    </r>
    <r>
      <rPr>
        <b/>
        <strike/>
        <sz val="11"/>
        <rFont val="Calibri"/>
        <family val="2"/>
        <scheme val="minor"/>
      </rPr>
      <t>P00359_2022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P00012_2023</t>
    </r>
  </si>
  <si>
    <t>Professional Fees</t>
  </si>
  <si>
    <t>Investigator Grants</t>
  </si>
  <si>
    <t>Project Expenses</t>
  </si>
  <si>
    <t>MSA_19087 WO1 + MSA_19087 WO1 CO3</t>
  </si>
  <si>
    <t>Upon exceution CO3</t>
  </si>
  <si>
    <r>
      <t>MSA_19087 WO1 +</t>
    </r>
    <r>
      <rPr>
        <sz val="11"/>
        <color rgb="FFFF0000"/>
        <rFont val="Calibri"/>
        <family val="2"/>
        <scheme val="minor"/>
      </rPr>
      <t xml:space="preserve">  CO1</t>
    </r>
    <r>
      <rPr>
        <sz val="11"/>
        <rFont val="Calibri"/>
        <family val="2"/>
        <scheme val="minor"/>
      </rPr>
      <t xml:space="preserve"> + </t>
    </r>
    <r>
      <rPr>
        <sz val="11"/>
        <color theme="9"/>
        <rFont val="Calibri"/>
        <family val="2"/>
        <scheme val="minor"/>
      </rPr>
      <t>CO2</t>
    </r>
    <r>
      <rPr>
        <sz val="11"/>
        <rFont val="Calibri"/>
        <family val="2"/>
        <scheme val="minor"/>
      </rPr>
      <t xml:space="preserve"> + </t>
    </r>
    <r>
      <rPr>
        <sz val="11"/>
        <color theme="8" tint="-0.249977111117893"/>
        <rFont val="Calibri"/>
        <family val="2"/>
        <scheme val="minor"/>
      </rPr>
      <t>CO3</t>
    </r>
  </si>
  <si>
    <r>
      <t xml:space="preserve">CNF 2 - Ecrasé par </t>
    </r>
    <r>
      <rPr>
        <sz val="11"/>
        <color theme="8" tint="-0.249977111117893"/>
        <rFont val="Calibri"/>
        <family val="2"/>
        <scheme val="minor"/>
      </rPr>
      <t>CO3</t>
    </r>
  </si>
  <si>
    <t>INV 12256 + INV 12290 + INV 12301 + INV 12332 + INV 12344 + INV 12374 + INV 12390 + INV 12413 + INV 12429 + INV 12447 + INV 12465 + INV 12488 + INV 12509 + INV 12537 + INV 12546 + INV 12566 + INV 12585 + INV 12604</t>
  </si>
  <si>
    <t>10/08/2021 + 10/09/2021 + 08/10/2021 + 10/11/2021 + 10/12/2021 + 10/01/2022 + 10/02/2022 + 10/03/2022 + 08/04/2022 + 09/05/2022 + 10/06/2022 + 08/07/2022 + 10/08/2022 + 08/09/2022 + 30/09/2022 + 31/10/2022 + 30/11/2022 + 31/12/2022</t>
  </si>
  <si>
    <t>PO 871 = 1 730 000 euros cf commande de matière première (800 K€, PO 654) considéré comme intégrant l'upfront du PO871. (RS le 05/05/2021)</t>
  </si>
  <si>
    <t>Q3 2023</t>
  </si>
  <si>
    <t>INV 4346 + INV 4414 + INV 5047</t>
  </si>
  <si>
    <t>31/03/2022 + 30/04/2022 + 31/12/2022</t>
  </si>
  <si>
    <r>
      <t xml:space="preserve">OPP-185865 + A1 - Study CRL-278829 - </t>
    </r>
    <r>
      <rPr>
        <b/>
        <sz val="11"/>
        <rFont val="Calibri"/>
        <family val="2"/>
        <scheme val="minor"/>
      </rPr>
      <t>P00104_2021</t>
    </r>
    <r>
      <rPr>
        <sz val="11"/>
        <rFont val="Calibri"/>
        <family val="2"/>
        <scheme val="minor"/>
      </rPr>
      <t xml:space="preserve"> + P00343_2022</t>
    </r>
  </si>
  <si>
    <t>INV 2021100224</t>
  </si>
  <si>
    <r>
      <t>OPP-260408 WO2 - CRL-414461 -</t>
    </r>
    <r>
      <rPr>
        <b/>
        <sz val="11"/>
        <rFont val="Calibri"/>
        <family val="2"/>
        <scheme val="minor"/>
      </rPr>
      <t xml:space="preserve"> P00002_2023</t>
    </r>
  </si>
  <si>
    <t>ABX464 Prelim Tox Study by Oral route Juvenile Rats - reduction cost</t>
  </si>
  <si>
    <t>INV 58004536</t>
  </si>
  <si>
    <r>
      <t>CEVQ2022.12.01 -</t>
    </r>
    <r>
      <rPr>
        <b/>
        <sz val="11"/>
        <rFont val="Calibri"/>
        <family val="2"/>
        <scheme val="minor"/>
      </rPr>
      <t xml:space="preserve"> P00004_2023</t>
    </r>
  </si>
  <si>
    <t>TK calculation ABX464 prelim Tox Juvenil Rat</t>
  </si>
  <si>
    <r>
      <t>CEVQ2022.12.02 -</t>
    </r>
    <r>
      <rPr>
        <b/>
        <sz val="11"/>
        <rFont val="Calibri"/>
        <family val="2"/>
        <scheme val="minor"/>
      </rPr>
      <t xml:space="preserve"> P00003_2023</t>
    </r>
  </si>
  <si>
    <t>TK calculation ABX464NGlu prelim Tox Juvenil Rat</t>
  </si>
  <si>
    <t>CHARLES RIVER ST NAZAIRE</t>
  </si>
  <si>
    <r>
      <t xml:space="preserve">ARCH-23-002 - </t>
    </r>
    <r>
      <rPr>
        <b/>
        <sz val="11"/>
        <rFont val="Calibri"/>
        <family val="2"/>
        <scheme val="minor"/>
      </rPr>
      <t>P00006_2023</t>
    </r>
  </si>
  <si>
    <t>Stockage 26 boites data 1 an</t>
  </si>
  <si>
    <t>INV 59001007</t>
  </si>
  <si>
    <r>
      <t xml:space="preserve">OPP-292598 - CRL-471120 - </t>
    </r>
    <r>
      <rPr>
        <b/>
        <sz val="11"/>
        <rFont val="Calibri"/>
        <family val="2"/>
        <scheme val="minor"/>
      </rPr>
      <t>P00007_2023</t>
    </r>
  </si>
  <si>
    <t>An embryon-fetal dev study in Rat - 30% signature</t>
  </si>
  <si>
    <t>INV 47611341</t>
  </si>
  <si>
    <t>An embryon-fetal dev study in Rat - 30% study initaition</t>
  </si>
  <si>
    <t>An embryon-fetal dev study in Rat - 30% completion of Inlife</t>
  </si>
  <si>
    <t>An embryon-fetal dev study in Rat - 10% submission rapport</t>
  </si>
  <si>
    <r>
      <t xml:space="preserve">L22_3685A - </t>
    </r>
    <r>
      <rPr>
        <b/>
        <sz val="11"/>
        <rFont val="Calibri"/>
        <family val="2"/>
        <scheme val="minor"/>
      </rPr>
      <t>P00009_2023</t>
    </r>
  </si>
  <si>
    <r>
      <t xml:space="preserve">Devis 2022-02-05 - </t>
    </r>
    <r>
      <rPr>
        <b/>
        <sz val="11"/>
        <rFont val="Calibri"/>
        <family val="2"/>
        <scheme val="minor"/>
      </rPr>
      <t>P00010_2023</t>
    </r>
  </si>
  <si>
    <t>Audit INTRALINKS</t>
  </si>
  <si>
    <r>
      <t xml:space="preserve">Devis 2022-02-04 - </t>
    </r>
    <r>
      <rPr>
        <b/>
        <sz val="11"/>
        <rFont val="Calibri"/>
        <family val="2"/>
        <scheme val="minor"/>
      </rPr>
      <t>P00011_2023</t>
    </r>
  </si>
  <si>
    <t>Audit ACTIVE BIOMARKERS</t>
  </si>
  <si>
    <r>
      <t>DA198-23005 -</t>
    </r>
    <r>
      <rPr>
        <b/>
        <sz val="11"/>
        <rFont val="Calibri"/>
        <family val="2"/>
        <scheme val="minor"/>
      </rPr>
      <t xml:space="preserve"> P00013_2023</t>
    </r>
  </si>
  <si>
    <t>Tk calculation ABX464 Nglu Mai rat EFD</t>
  </si>
  <si>
    <t>P00015_2023</t>
  </si>
  <si>
    <t>ABX711 shippment vers Partheon</t>
  </si>
  <si>
    <t>P00016_2023</t>
  </si>
  <si>
    <t>ABX711 shippment vers 6NAPSE</t>
  </si>
  <si>
    <t>INV FRA-003298 + INV FRA-003353 + INV FRA-003462 + INV FRA-003545 + INV FRA-003635 + INV FRA-003691 + INV FRA-003787 + INV FRA-003863 + INV FRA-003957</t>
  </si>
  <si>
    <t>11/05/2022 + 08/06/2022 + 18/07/2022 + 16/08/2022 + 13/09/2022 + 07/10/2022 + 08/11/2022 + 09/12/2022 + 12/01/2023</t>
  </si>
  <si>
    <t>INV 109829</t>
  </si>
  <si>
    <t>Presta cloturée par Julien 01/2023</t>
  </si>
  <si>
    <r>
      <t xml:space="preserve">W40 (WO22#2020) - Avril 2022 à Décembre 2022 - </t>
    </r>
    <r>
      <rPr>
        <b/>
        <sz val="11"/>
        <rFont val="Calibri"/>
        <family val="2"/>
        <scheme val="minor"/>
      </rPr>
      <t>P00017_2023</t>
    </r>
  </si>
  <si>
    <t>LOGOS BIOSYTEMS</t>
  </si>
  <si>
    <r>
      <t xml:space="preserve">QLB183974 - </t>
    </r>
    <r>
      <rPr>
        <b/>
        <sz val="11"/>
        <rFont val="Calibri"/>
        <family val="2"/>
        <scheme val="minor"/>
      </rPr>
      <t>P00023_2023</t>
    </r>
  </si>
  <si>
    <t>Cell counter</t>
  </si>
  <si>
    <r>
      <t xml:space="preserve">Devis 10/01/2023 - </t>
    </r>
    <r>
      <rPr>
        <b/>
        <sz val="11"/>
        <rFont val="Calibri"/>
        <family val="2"/>
        <scheme val="minor"/>
      </rPr>
      <t>P00024_2023</t>
    </r>
  </si>
  <si>
    <t>ABX711 - T90 days stability point</t>
  </si>
  <si>
    <r>
      <t xml:space="preserve">Devis 10/01/2023 - </t>
    </r>
    <r>
      <rPr>
        <b/>
        <sz val="11"/>
        <rFont val="Calibri"/>
        <family val="2"/>
        <scheme val="minor"/>
      </rPr>
      <t>P00021_2023</t>
    </r>
  </si>
  <si>
    <t>Etude de stab accélérée lot 106508P004</t>
  </si>
  <si>
    <t>Support reglementaire Q4 2022 &amp; Q1 2023</t>
  </si>
  <si>
    <t>INV 10000916</t>
  </si>
  <si>
    <t>INV 10000780 - AV 13000032 + INV 10000914</t>
  </si>
  <si>
    <t>16/12/2022 - 19/01/2023 + 19/01/2023</t>
  </si>
  <si>
    <t>C'est du ABX464 et non du ABX711 : erreur d'Adrien sur le PO</t>
  </si>
  <si>
    <t>INV S23-022281</t>
  </si>
  <si>
    <t>INV 90693037</t>
  </si>
  <si>
    <t>CNRS - METi</t>
  </si>
  <si>
    <t>INV 00010 23000129 RI</t>
  </si>
  <si>
    <t>INV 20230018</t>
  </si>
  <si>
    <t>INV 20230019</t>
  </si>
  <si>
    <t>INV INC-308075</t>
  </si>
  <si>
    <t>ABX464 Backup ID - Month 1</t>
  </si>
  <si>
    <t xml:space="preserve">   ABX464 Backup ID  - Month 2</t>
  </si>
  <si>
    <t xml:space="preserve">   ABX464 Backup ID  - Month 3</t>
  </si>
  <si>
    <t xml:space="preserve">   ABX464 Backup ID  - Month 4</t>
  </si>
  <si>
    <t xml:space="preserve">   ABX464 Backup ID  - Month 5</t>
  </si>
  <si>
    <t xml:space="preserve">   ABX464 Backup ID  - Month 6</t>
  </si>
  <si>
    <t xml:space="preserve">   ABX464 Backup ID  - Month 7</t>
  </si>
  <si>
    <t xml:space="preserve">   ABX464 Backup ID  - Month 8</t>
  </si>
  <si>
    <t xml:space="preserve">   ABX464 Backup ID  - Month 9</t>
  </si>
  <si>
    <t xml:space="preserve">   ABX464 Backup ID  - Month 10</t>
  </si>
  <si>
    <t xml:space="preserve">   ABX464 Backup ID  - Month11</t>
  </si>
  <si>
    <t xml:space="preserve">   ABX464 Backup ID  - Month 12</t>
  </si>
  <si>
    <t xml:space="preserve">   ABX464 Backup ID  - Month 13</t>
  </si>
  <si>
    <r>
      <t xml:space="preserve">MSA_18231_WO1_CO2_CNF3 + CNF4 A INCLURE DANS LA </t>
    </r>
    <r>
      <rPr>
        <b/>
        <sz val="11"/>
        <color theme="4" tint="-0.249977111117893"/>
        <rFont val="Calibri"/>
        <family val="2"/>
        <scheme val="minor"/>
      </rPr>
      <t>CO3</t>
    </r>
    <r>
      <rPr>
        <sz val="11"/>
        <rFont val="Calibri"/>
        <family val="2"/>
        <scheme val="minor"/>
      </rPr>
      <t xml:space="preserve"> (quand elle arrivera - ELLE EST ARRIVEE 2023)</t>
    </r>
  </si>
  <si>
    <r>
      <t>MSA_18231_WO1_</t>
    </r>
    <r>
      <rPr>
        <b/>
        <sz val="11"/>
        <color theme="8"/>
        <rFont val="Calibri"/>
        <family val="2"/>
        <scheme val="minor"/>
      </rPr>
      <t>CO3</t>
    </r>
  </si>
  <si>
    <t>At signature of CO3</t>
  </si>
  <si>
    <t>At signature of CO2</t>
  </si>
  <si>
    <t>INV FRA-002426</t>
  </si>
  <si>
    <t>PTC WO CO3</t>
  </si>
  <si>
    <t>INV 22262866 + INV 22262534 + INV 22263231 + INV 22263632 + INV 22263964 + INV 22264273</t>
  </si>
  <si>
    <t>31/08/2022 + 31/07/2022 + 30/09/2022 (recu 11/2022) + 31/10/2022 + 30/11/2022 + 31/12/2022</t>
  </si>
  <si>
    <t>INV 109848</t>
  </si>
  <si>
    <t>INV 22300003</t>
  </si>
  <si>
    <t>INV F231388</t>
  </si>
  <si>
    <t>signature of agreement</t>
  </si>
  <si>
    <t>Provision 1st DRAFT</t>
  </si>
  <si>
    <t>Submission 2nd DRAFT and final Approval by ABIVAX</t>
  </si>
  <si>
    <t>Accpetance on the Manuscrit</t>
  </si>
  <si>
    <t>INV 27/2022</t>
  </si>
  <si>
    <t>INV 21/2022</t>
  </si>
  <si>
    <t>INV 5/2023</t>
  </si>
  <si>
    <r>
      <t xml:space="preserve">Quote du 17/01/2023 - </t>
    </r>
    <r>
      <rPr>
        <b/>
        <sz val="11"/>
        <rFont val="Calibri"/>
        <family val="2"/>
        <scheme val="minor"/>
      </rPr>
      <t>P00018_2023</t>
    </r>
  </si>
  <si>
    <t>INV-1086</t>
  </si>
  <si>
    <t>Agenda Audit IQVIA + VOISIN CONSULTING</t>
  </si>
  <si>
    <t>INV 20230035</t>
  </si>
  <si>
    <t>INV 0455/21 + INV 0566/21 + INV 0717/21 + INV 0214/22 + INV 0454/22 + INV 0086/23 + INV 0496/23</t>
  </si>
  <si>
    <t>28/01/2021 + 23/03/2021 + 19/05/2021 + 27/10/2021 + 28/01/2022 + 31/08/2022 + 31/01/2023</t>
  </si>
  <si>
    <r>
      <t xml:space="preserve">Devis 30012023 - </t>
    </r>
    <r>
      <rPr>
        <b/>
        <sz val="11"/>
        <rFont val="Calibri"/>
        <family val="2"/>
        <scheme val="minor"/>
      </rPr>
      <t>P00032_2023</t>
    </r>
  </si>
  <si>
    <t>Envoi d'échantillons d'ABX711 + Prélèvements</t>
  </si>
  <si>
    <t>INV S23-046281</t>
  </si>
  <si>
    <t>INV FRA-003989</t>
  </si>
  <si>
    <t>INV FRA-003990</t>
  </si>
  <si>
    <t>INV FRA-003933</t>
  </si>
  <si>
    <t>INV FV 23-0175</t>
  </si>
  <si>
    <r>
      <t>EVT86333 -</t>
    </r>
    <r>
      <rPr>
        <b/>
        <sz val="11"/>
        <rFont val="Calibri"/>
        <family val="2"/>
        <scheme val="minor"/>
      </rPr>
      <t xml:space="preserve"> P00025_2023</t>
    </r>
  </si>
  <si>
    <t>GRPD Annual Training Programm</t>
  </si>
  <si>
    <r>
      <t xml:space="preserve">Quote 2022_02_06 - </t>
    </r>
    <r>
      <rPr>
        <b/>
        <sz val="11"/>
        <rFont val="Calibri"/>
        <family val="2"/>
        <scheme val="minor"/>
      </rPr>
      <t>P00022_2023</t>
    </r>
  </si>
  <si>
    <t>INV 109852</t>
  </si>
  <si>
    <t>INV FRA-004004</t>
  </si>
  <si>
    <t>INV FRA-004008</t>
  </si>
  <si>
    <t>INV FRA-004009</t>
  </si>
  <si>
    <t>INV FRA-003896 + INV FRA-003895</t>
  </si>
  <si>
    <t>19/12/2022 + 19/12/2022 (saisie 01/2023)</t>
  </si>
  <si>
    <t>INV FRA-002908 - INV FRA-003897</t>
  </si>
  <si>
    <t>24/11/2021 - 19/12/2022 (Recu 01/2023)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</si>
  <si>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</t>
    </r>
    <r>
      <rPr>
        <sz val="11"/>
        <color theme="9"/>
        <rFont val="Calibri"/>
        <family val="2"/>
        <scheme val="minor"/>
      </rPr>
      <t>Amdt 4</t>
    </r>
  </si>
  <si>
    <t>ADME study - Upon execition Amendement 4</t>
  </si>
  <si>
    <t>SRV_20167 + Amdt 1 + Amdt 2 + Amdt 3 + Amdt 4</t>
  </si>
  <si>
    <t>INV BCG-0000166</t>
  </si>
  <si>
    <t>31/12/2022 (ercu en 02/2023)</t>
  </si>
  <si>
    <t>INV SI_KSA2100219 + INV SI_KSA2300671</t>
  </si>
  <si>
    <t>30/09/2022 + 14/02/2023</t>
  </si>
  <si>
    <t>INV 20230066</t>
  </si>
  <si>
    <t>INV 20230067</t>
  </si>
  <si>
    <r>
      <t>EVT86427 -</t>
    </r>
    <r>
      <rPr>
        <b/>
        <sz val="11"/>
        <rFont val="Calibri"/>
        <family val="2"/>
        <scheme val="minor"/>
      </rPr>
      <t xml:space="preserve"> P00037_2023</t>
    </r>
  </si>
  <si>
    <t>P00038_2023</t>
  </si>
  <si>
    <r>
      <t xml:space="preserve">WO61#2023 - </t>
    </r>
    <r>
      <rPr>
        <b/>
        <sz val="11"/>
        <rFont val="Calibri"/>
        <family val="2"/>
        <scheme val="minor"/>
      </rPr>
      <t>P00039_2023</t>
    </r>
  </si>
  <si>
    <t>PCV Storage fee ABX464</t>
  </si>
  <si>
    <r>
      <t>Devis 13023 Amdt 6 -</t>
    </r>
    <r>
      <rPr>
        <b/>
        <sz val="11"/>
        <rFont val="Calibri"/>
        <family val="2"/>
        <scheme val="minor"/>
      </rPr>
      <t xml:space="preserve"> P00040_2023</t>
    </r>
  </si>
  <si>
    <t>ABX464-107 Booklet ordre</t>
  </si>
  <si>
    <t>CHARLES RIVER EVREUX</t>
  </si>
  <si>
    <r>
      <t xml:space="preserve">OPP-260408A1 - CRL-414463 - </t>
    </r>
    <r>
      <rPr>
        <b/>
        <sz val="11"/>
        <rFont val="Calibri"/>
        <family val="2"/>
        <scheme val="minor"/>
      </rPr>
      <t>P00042_2023</t>
    </r>
  </si>
  <si>
    <t>ABX464 NGlu Prelim Tox Study by Oral route Juvenile Rats - add cost</t>
  </si>
  <si>
    <r>
      <t xml:space="preserve">ABX711 Capsule order - </t>
    </r>
    <r>
      <rPr>
        <b/>
        <sz val="11"/>
        <rFont val="Calibri"/>
        <family val="2"/>
        <scheme val="minor"/>
      </rPr>
      <t>P00044_2023</t>
    </r>
  </si>
  <si>
    <t>ABX711 Capsule order</t>
  </si>
  <si>
    <t>MACHEREY NAGEL</t>
  </si>
  <si>
    <r>
      <t>Devis 140057678 -</t>
    </r>
    <r>
      <rPr>
        <b/>
        <sz val="11"/>
        <rFont val="Calibri"/>
        <family val="2"/>
        <scheme val="minor"/>
      </rPr>
      <t xml:space="preserve"> P00046_2023</t>
    </r>
  </si>
  <si>
    <t>Nucleospin miRNA 250</t>
  </si>
  <si>
    <t>INV 58004729</t>
  </si>
  <si>
    <r>
      <t xml:space="preserve">WO59#2022 - </t>
    </r>
    <r>
      <rPr>
        <b/>
        <sz val="11"/>
        <rFont val="Calibri"/>
        <family val="2"/>
        <scheme val="minor"/>
      </rPr>
      <t>P00030_2023</t>
    </r>
  </si>
  <si>
    <t>IV-01230038-Abi -P00067_2023</t>
  </si>
  <si>
    <t>IV-01230041-Abi - P00064_2023</t>
  </si>
  <si>
    <t>IV-01230200-ABI - P00066_2023</t>
  </si>
  <si>
    <t>IV-01230067-ABI - P00068_2023</t>
  </si>
  <si>
    <t>IV-01230043-ABI - P00065_2023</t>
  </si>
  <si>
    <t>IV-01230042-ABI - P00049_2023</t>
  </si>
  <si>
    <t>IV-01230040-ABI</t>
  </si>
  <si>
    <t>IV-01230040-ABI - P00062_2023</t>
  </si>
  <si>
    <t>IV-01230036-ABI - P00061_2023</t>
  </si>
  <si>
    <t>IV-01230039-ABI - P00063_2023</t>
  </si>
  <si>
    <t>IV-01230044-ABI - P00070_2023</t>
  </si>
  <si>
    <t>IV-01230037-ABI - P00069_2023</t>
  </si>
  <si>
    <t>IV-01230044-ABI</t>
  </si>
  <si>
    <t>IV-01230037-ABI</t>
  </si>
  <si>
    <t>IV-01230038-Abi</t>
  </si>
  <si>
    <t>IV-01230041-Abi</t>
  </si>
  <si>
    <t>IV-01230200-ABI</t>
  </si>
  <si>
    <t>IV-01230067-ABI</t>
  </si>
  <si>
    <t>IV-01230043-ABI</t>
  </si>
  <si>
    <t>IV-01230042-ABI</t>
  </si>
  <si>
    <t>IV-01230036-ABI</t>
  </si>
  <si>
    <t>IV-01230039-ABI</t>
  </si>
  <si>
    <t>Conservation année 2023</t>
  </si>
  <si>
    <t>IV-01230044-ABI - P00059_2023</t>
  </si>
  <si>
    <t xml:space="preserve">IV-01230044-ABI </t>
  </si>
  <si>
    <t>Devis 13023 ALL Amdt  ALL PO</t>
  </si>
  <si>
    <t>Devis 11533-1 - ALL Amdt ALL PO</t>
  </si>
  <si>
    <t>Primary blister and secondary pack ABX464 Clinical study - Centralisation PO 2023</t>
  </si>
  <si>
    <t>Devis 11922-2 ALL Amdt ALL PO</t>
  </si>
  <si>
    <t>UC104 Clinical - Centralisation PO 2023</t>
  </si>
  <si>
    <t>Devis 12867 - ALL Admt - ALL PO</t>
  </si>
  <si>
    <t>ABX464 stockage API et IMP  - Centralisation PO 2023</t>
  </si>
  <si>
    <t>Devis 12954 - ALL Amdt - ALL PO</t>
  </si>
  <si>
    <t>Devis 12112 - ALL Amdt - ALL PO</t>
  </si>
  <si>
    <t>Distribution UC104 - Centralisation PO 2023</t>
  </si>
  <si>
    <t>Devis 11775-1 -ALL Amdt - ALL PO</t>
  </si>
  <si>
    <t>UC103 Distribution - Centralisation PO 2023</t>
  </si>
  <si>
    <t>INV EC1911113 + EC1912044 + EC2001107 + EC2002090 + EC2003097 + EC2004165 + EC2005114 + EC2006004 + EC2008042 + EC2009225 + EC2010100 + EC2011101 + EC2012072 + FA210042 + FA211750 + FA211062 + INV FA212581 + INV FA213202 + INV FA213780 + INV FA214213 + INV FA214973 + INV FA215921 + INV FA220108 + INV FA220716 + INV FA221274 + INV FA221861 + INV FA222317 + INv FA223008 + INV FA223509 + INV FA224366 + INV FA224884 + INV FA225459 + INV FA225863 + INV FA226393 + INV FA220475</t>
  </si>
  <si>
    <t>30/11/2019 + 31/12/2019 + 31/01/2020 + 28/02/2020 + 31/03/2020 + 30/04/2020 + 29/05/2020 + 30/06/2020 + 31/08/2020 + 30/09/2020 + 30/10/2020 + 30/11/2020 + 31/12/2020 + 29/01/2021 + 30/04/2021 + 30/03/2021 + 30/06/2021 + 30/07/2021 + 31/08/2021 + 30/09/2021 + 29/10/2021 + 31/12/2021 + 31/01/2022 + 28/02/2022 + 31/03/2022 + 29/04/2022 + 30/05/2022 + 01/07/2022 + 29/07/2022 + 31/08/2022 + 30/09/2022 + 31/10/2022 + 01/12/2022 + 30/12/2022 + 31/01/2023</t>
  </si>
  <si>
    <t>DEV RE11502 - ALL Amdt - ALL PO</t>
  </si>
  <si>
    <t>UC101 - Centralisation PO 2023</t>
  </si>
  <si>
    <t>INV FA230322</t>
  </si>
  <si>
    <t>INV FA230398</t>
  </si>
  <si>
    <t>UC106 - Secondary packing clinical labelling of blister cards and distribution - Centralisation PO 2023</t>
  </si>
  <si>
    <t>INV 940525172</t>
  </si>
  <si>
    <t>INV 340136550</t>
  </si>
  <si>
    <t>INV INC-310961</t>
  </si>
  <si>
    <t>INV 109102 + INV 109178 + INV 109273 + INV 109475 + INV 109555 + INV 109649 + INV 109749 + INV 109837 + INV 109864 - INV 204697</t>
  </si>
  <si>
    <t>07/12/2020 + 04/03/2021 + 07/06/2021 + 23/12/2021 + 10/03/2022 + 29/06/2022 + 03/10/2022 + 09/01/2023 + 16/02/2023 + 22/02/2023</t>
  </si>
  <si>
    <r>
      <t xml:space="preserve">70356478-01 - </t>
    </r>
    <r>
      <rPr>
        <b/>
        <sz val="11"/>
        <rFont val="Calibri"/>
        <family val="2"/>
        <scheme val="minor"/>
      </rPr>
      <t>P00073_2023</t>
    </r>
  </si>
  <si>
    <r>
      <t xml:space="preserve">Q157247 - </t>
    </r>
    <r>
      <rPr>
        <b/>
        <sz val="11"/>
        <rFont val="Calibri"/>
        <family val="2"/>
        <scheme val="minor"/>
      </rPr>
      <t>P00420_2022</t>
    </r>
  </si>
  <si>
    <t>PHASE I Custom Breeding</t>
  </si>
  <si>
    <t>INV 218.23.03</t>
  </si>
  <si>
    <r>
      <t xml:space="preserve">DDR 2022 051 V2 - </t>
    </r>
    <r>
      <rPr>
        <b/>
        <sz val="11"/>
        <rFont val="Calibri"/>
        <family val="2"/>
        <scheme val="minor"/>
      </rPr>
      <t>P00396_2022</t>
    </r>
  </si>
  <si>
    <t>INV 0384/23 + INV 0593/23</t>
  </si>
  <si>
    <t>16/12/2022 + 27/02/2023</t>
  </si>
  <si>
    <t>INV PJ20230301</t>
  </si>
  <si>
    <t>INV 58004870</t>
  </si>
  <si>
    <t>Travaux terminés - reste a facturer l’hébergement mensuel de notre lignée</t>
  </si>
  <si>
    <t xml:space="preserve"> INV 62433 + INV 67233 + INV 73932 + INV 84118 + INV 88278 + INV 94264 + INV 101176 + INV 106096 + INV 111091 + INV 116625 + INV 123423 + INV 128388 + INV 133292 + INV 139160 - INV 144639 + INV 150945</t>
  </si>
  <si>
    <t>15/10/2021 + 15/11/2021 + 15/12/2021 + 14/02/2022 + 11/03/2022 + 13/04/2022 + 18/05/2022 + 16/06/2022 + 15/07/2022 + 15/08/2022 + 20/09/2022 + 14/10/2022 + 11/11/2022 + 13/12/2022 + 12/01/2023 + 14/02/2023</t>
  </si>
  <si>
    <t>A 22/128 - LOI</t>
  </si>
  <si>
    <t>PK hepatic impairment - PTC - Unit 5 Project managment</t>
  </si>
  <si>
    <t>PK hepatic impairment - PTC - Unit 4 Clinical Trial Application &amp; Study setup</t>
  </si>
  <si>
    <t>PK hepatic impairment - PTC - Unit 6 investigational mediclinal pdt managment</t>
  </si>
  <si>
    <t>PK hepatic impairment - Unit 4 - Clinical Study Protocol Activities</t>
  </si>
  <si>
    <r>
      <t xml:space="preserve">ABI-1154 - </t>
    </r>
    <r>
      <rPr>
        <b/>
        <sz val="11"/>
        <rFont val="Calibri"/>
        <family val="2"/>
        <scheme val="minor"/>
      </rPr>
      <t>P00081_2023</t>
    </r>
  </si>
  <si>
    <t>Re-evaluation of ABX196 batch CKDX316-071F 60 MONTHS</t>
  </si>
  <si>
    <r>
      <t xml:space="preserve">70358995-00 - </t>
    </r>
    <r>
      <rPr>
        <b/>
        <sz val="11"/>
        <rFont val="Calibri"/>
        <family val="2"/>
        <scheme val="minor"/>
      </rPr>
      <t>P00082_2023</t>
    </r>
  </si>
  <si>
    <t>EVT07074 - Pas de PO</t>
  </si>
  <si>
    <t>31/01/2023 + 28/02/2023</t>
  </si>
  <si>
    <t>INV 109873</t>
  </si>
  <si>
    <t>Analysis for ABX464-105 and ABX464-106 PHASE 3 in ulcer</t>
  </si>
  <si>
    <t>Method of validation for the analyse of biomarkers in Phase 3 - UC105/106</t>
  </si>
  <si>
    <t>Method of validation for the analyse of biomarkers in Phase 3 - UC105/106 - Suite des couts</t>
  </si>
  <si>
    <r>
      <t>SRV_21072_A2  -</t>
    </r>
    <r>
      <rPr>
        <b/>
        <sz val="11"/>
        <rFont val="Calibri"/>
        <family val="2"/>
        <scheme val="minor"/>
      </rPr>
      <t xml:space="preserve"> P00281_2022</t>
    </r>
  </si>
  <si>
    <r>
      <t xml:space="preserve">Amdt 1 MR_1014 - </t>
    </r>
    <r>
      <rPr>
        <b/>
        <sz val="11"/>
        <rFont val="Calibri"/>
        <family val="2"/>
        <scheme val="minor"/>
      </rPr>
      <t>P00084_2023</t>
    </r>
  </si>
  <si>
    <t>Amdt 1 Method of validation for the analyse of biomarkers in Phase 3 - UC105/106</t>
  </si>
  <si>
    <r>
      <t>1XJBG060323NC-ABI -</t>
    </r>
    <r>
      <rPr>
        <b/>
        <sz val="11"/>
        <rFont val="Calibri"/>
        <family val="2"/>
        <scheme val="minor"/>
      </rPr>
      <t xml:space="preserve"> P00083_2023</t>
    </r>
  </si>
  <si>
    <t>INV 00010 23000306 RI + INV 00010 23000564 RI</t>
  </si>
  <si>
    <t>13/02/2023 + 09/03/2023</t>
  </si>
  <si>
    <t>65104-5646-05479-32</t>
  </si>
  <si>
    <t>65104-5646-05479-33</t>
  </si>
  <si>
    <t>65104-5646-05479-34</t>
  </si>
  <si>
    <t>Screen Fail Procedure Fee</t>
  </si>
  <si>
    <t>Pharmacy Annual Maintenance</t>
  </si>
  <si>
    <t>Pharmacy Closeout Fee</t>
  </si>
  <si>
    <t>INV 1032301905</t>
  </si>
  <si>
    <t>INV FA230306 + INV FA231002</t>
  </si>
  <si>
    <t>INV 109891</t>
  </si>
  <si>
    <t>INV EUSI198309 + INV EUSI199101</t>
  </si>
  <si>
    <t>09/03/2023 + 14/03/2023</t>
  </si>
  <si>
    <t>Devis 13329 - ALL Amdt - ALL PO</t>
  </si>
  <si>
    <r>
      <t xml:space="preserve">70358039-00 - </t>
    </r>
    <r>
      <rPr>
        <b/>
        <sz val="11"/>
        <rFont val="Calibri"/>
        <family val="2"/>
        <scheme val="minor"/>
      </rPr>
      <t>P00086_2023</t>
    </r>
  </si>
  <si>
    <t>MASCQuant Analyzer 10</t>
  </si>
  <si>
    <r>
      <t xml:space="preserve">DV-202303049-v000 - </t>
    </r>
    <r>
      <rPr>
        <b/>
        <sz val="11"/>
        <rFont val="Calibri"/>
        <family val="2"/>
        <scheme val="minor"/>
      </rPr>
      <t>P00091_2023</t>
    </r>
  </si>
  <si>
    <t>reference sdt retest T60M qNMR</t>
  </si>
  <si>
    <t>SARTORIUS</t>
  </si>
  <si>
    <r>
      <t xml:space="preserve">2230140 - </t>
    </r>
    <r>
      <rPr>
        <b/>
        <sz val="11"/>
        <rFont val="Calibri"/>
        <family val="2"/>
        <scheme val="minor"/>
      </rPr>
      <t>P00094_2023</t>
    </r>
  </si>
  <si>
    <t>INV INC-313701</t>
  </si>
  <si>
    <t>INV 47611607</t>
  </si>
  <si>
    <t>INV 1032302407</t>
  </si>
  <si>
    <t>INV 1032302408</t>
  </si>
  <si>
    <t>INV GRN0473641 + INV GRN0495829 + INV GRN0524185</t>
  </si>
  <si>
    <t>07/01/2022 + 17/06/2022 + 26/01/2023 (recu 03/2023)</t>
  </si>
  <si>
    <r>
      <t xml:space="preserve">70361334-00 - </t>
    </r>
    <r>
      <rPr>
        <b/>
        <sz val="11"/>
        <rFont val="Calibri"/>
        <family val="2"/>
        <scheme val="minor"/>
      </rPr>
      <t>P00097_2023</t>
    </r>
  </si>
  <si>
    <t>EVT86332</t>
  </si>
  <si>
    <t>Abivax01 follow-up for PDC nomination - Mois 1</t>
  </si>
  <si>
    <t>Abivax01 follow-up for PDC nomination - Mois 2</t>
  </si>
  <si>
    <t>Abivax01 follow-up for PDC nomination - Mois 3</t>
  </si>
  <si>
    <t>Abivax01 follow-up for PDC nomination - Mois 4</t>
  </si>
  <si>
    <t>Abivax01 follow-up for PDC nomination - Mois 5</t>
  </si>
  <si>
    <t>Abivax01 follow-up for PDC nomination - Mois 6</t>
  </si>
  <si>
    <t>Abivax01 follow-up for PDC nomination - Mois 7</t>
  </si>
  <si>
    <t>Abivax01 follow-up for PDC nomination - Mois 8</t>
  </si>
  <si>
    <t>Abivax01 follow-up for PDC nomination - Mois 9</t>
  </si>
  <si>
    <t>Abivax01 follow-up for PDC nomination - Mois 10</t>
  </si>
  <si>
    <t>Abivax01 follow-up for PDC nomination - Mois 11</t>
  </si>
  <si>
    <t>Abivax01 follow-up for PDC nomination - Mois 12</t>
  </si>
  <si>
    <t>Abivax01 follow-up for PDC nomination - Mois 13</t>
  </si>
  <si>
    <r>
      <t>70361325-00 -</t>
    </r>
    <r>
      <rPr>
        <b/>
        <sz val="11"/>
        <rFont val="Calibri"/>
        <family val="2"/>
        <scheme val="minor"/>
      </rPr>
      <t xml:space="preserve"> P00099_2023</t>
    </r>
  </si>
  <si>
    <r>
      <t>SRV_21002_CO6 -</t>
    </r>
    <r>
      <rPr>
        <b/>
        <sz val="11"/>
        <rFont val="Calibri"/>
        <family val="2"/>
        <scheme val="minor"/>
      </rPr>
      <t xml:space="preserve"> P00096_2023</t>
    </r>
  </si>
  <si>
    <t>Additionnal activities for Cardiovascular safety committee - 50% siganture</t>
  </si>
  <si>
    <t>Additionnal activities for Cardiovascular safety committee - 50% fin de l'étude</t>
  </si>
  <si>
    <t>Balance de précision QUINTIX</t>
  </si>
  <si>
    <t>INV FRA-004143</t>
  </si>
  <si>
    <t>An embryon-fetal dev study in Rat - Add cost</t>
  </si>
  <si>
    <r>
      <t xml:space="preserve">OPP-292598 - Amdt 1 - CRL-471120 - </t>
    </r>
    <r>
      <rPr>
        <b/>
        <sz val="11"/>
        <rFont val="Calibri"/>
        <family val="2"/>
        <scheme val="minor"/>
      </rPr>
      <t>P00109_2023</t>
    </r>
  </si>
  <si>
    <r>
      <t>20440790 -</t>
    </r>
    <r>
      <rPr>
        <b/>
        <sz val="11"/>
        <rFont val="Calibri"/>
        <family val="2"/>
        <scheme val="minor"/>
      </rPr>
      <t xml:space="preserve"> P00110_2023</t>
    </r>
  </si>
  <si>
    <t>P00103_2023</t>
  </si>
  <si>
    <t>ABX711 colums purchase for the analytical work done at Patheon</t>
  </si>
  <si>
    <r>
      <t xml:space="preserve">Devis 11936-2 Amendement 1 - </t>
    </r>
    <r>
      <rPr>
        <b/>
        <sz val="11"/>
        <rFont val="Calibri"/>
        <family val="2"/>
        <scheme val="minor"/>
      </rPr>
      <t>P00108_2021</t>
    </r>
  </si>
  <si>
    <r>
      <t xml:space="preserve">Devis 11936-2 Amendement 2 - </t>
    </r>
    <r>
      <rPr>
        <b/>
        <sz val="11"/>
        <rFont val="Calibri"/>
        <family val="2"/>
        <scheme val="minor"/>
      </rPr>
      <t>P00107_2023</t>
    </r>
  </si>
  <si>
    <t>Abx-302 return shipment</t>
  </si>
  <si>
    <r>
      <t>Devis 13619 -</t>
    </r>
    <r>
      <rPr>
        <b/>
        <sz val="11"/>
        <rFont val="Calibri"/>
        <family val="2"/>
        <scheme val="minor"/>
      </rPr>
      <t xml:space="preserve"> P00108_2023</t>
    </r>
  </si>
  <si>
    <t>INV 22300131 + INV 22300289 + INV 22300505</t>
  </si>
  <si>
    <t>23/01/2023 + 20/02/2023 + 23/03/2023</t>
  </si>
  <si>
    <t>INV 10001280</t>
  </si>
  <si>
    <t>INV 15/2023</t>
  </si>
  <si>
    <r>
      <t xml:space="preserve">D5012306 - </t>
    </r>
    <r>
      <rPr>
        <b/>
        <sz val="11"/>
        <rFont val="Calibri"/>
        <family val="2"/>
        <scheme val="minor"/>
      </rPr>
      <t>P00112_2023</t>
    </r>
  </si>
  <si>
    <t>Consommable labo</t>
  </si>
  <si>
    <t>WO008 - 35948</t>
  </si>
  <si>
    <t>Signature of Contract 29/03 Less LOA Payment</t>
  </si>
  <si>
    <t>eCRF go live</t>
  </si>
  <si>
    <t>First Subject Screened</t>
  </si>
  <si>
    <t>First Subject, First Dose Cohort 1</t>
  </si>
  <si>
    <t>First Subject, First Dose Cohort 2</t>
  </si>
  <si>
    <t>Last Subject Last Visit</t>
  </si>
  <si>
    <t>Database Lock</t>
  </si>
  <si>
    <t>Draft CSR</t>
  </si>
  <si>
    <t>Monthly Management Fees 2023</t>
  </si>
  <si>
    <t>Monthly Management Fees 2024</t>
  </si>
  <si>
    <t>INV F21001585 + INV F22000407 + INV FE22000692 + INV F22000969 + INV F22001380 + INV FE23000112 + INV F23000394</t>
  </si>
  <si>
    <t>30/11/2021 + 30/03/2022 + 31/05/2022 + 28/07/2022 + 28/10/2022 + 31/01/2023 + 31/03/2023</t>
  </si>
  <si>
    <t>INV F22000407 + INV F22000692 + INV F22000969 + INV F22001380 + INV FE23000112 + INV F23000394</t>
  </si>
  <si>
    <t>30/03/2022 + 31/05/2022 + 28/07/2022 + 28/10/2022 + 30/01/2023 + 31/03/2023</t>
  </si>
  <si>
    <t>INV 009077</t>
  </si>
  <si>
    <t>INV 109903</t>
  </si>
  <si>
    <t>MASCQuant - Buffer Supply Station 20L Bottle - accessoires</t>
  </si>
  <si>
    <t>INV 1032302815</t>
  </si>
  <si>
    <r>
      <t xml:space="preserve">0026P23GC OM2023-01v2 - </t>
    </r>
    <r>
      <rPr>
        <b/>
        <sz val="11"/>
        <rFont val="Calibri"/>
        <family val="2"/>
        <scheme val="minor"/>
      </rPr>
      <t>P00111_2023</t>
    </r>
  </si>
  <si>
    <t>Audit SEQENS ARAMON</t>
  </si>
  <si>
    <t>CEFIRA</t>
  </si>
  <si>
    <r>
      <t xml:space="preserve">D-230293A - </t>
    </r>
    <r>
      <rPr>
        <b/>
        <sz val="11"/>
        <rFont val="Calibri"/>
        <family val="2"/>
        <scheme val="minor"/>
      </rPr>
      <t>P00114_2023</t>
    </r>
  </si>
  <si>
    <t>Formation QA</t>
  </si>
  <si>
    <r>
      <t xml:space="preserve">2021-01-07 - </t>
    </r>
    <r>
      <rPr>
        <b/>
        <sz val="11"/>
        <rFont val="Calibri"/>
        <family val="2"/>
        <scheme val="minor"/>
      </rPr>
      <t>P00105_2023</t>
    </r>
  </si>
  <si>
    <t>Audit CRL Everux</t>
  </si>
  <si>
    <t>Refacturation analytique consommbale Labo + sous-traitance 2022 Q1</t>
  </si>
  <si>
    <t>Refacturation analytique consommbale Labo + sous-traitance 2022 Q2</t>
  </si>
  <si>
    <t>Refacturation analytique consommbale Labo + sous-traitance 2022 Q3</t>
  </si>
  <si>
    <t>Refacturation analytique consommbale Labo + sous-traitance 2022 Octobre Novembre</t>
  </si>
  <si>
    <r>
      <t>L21_3318D &amp; L21_3434C -</t>
    </r>
    <r>
      <rPr>
        <b/>
        <sz val="11"/>
        <rFont val="Calibri"/>
        <family val="2"/>
        <scheme val="minor"/>
      </rPr>
      <t xml:space="preserve"> P00115_2023</t>
    </r>
  </si>
  <si>
    <t>INV 10001329</t>
  </si>
  <si>
    <t>INV PSI005204</t>
  </si>
  <si>
    <t>19/09/2022 (Recu 03/2023)</t>
  </si>
  <si>
    <t>INV F22-1370 + INV F23-1455</t>
  </si>
  <si>
    <t>22/12/2022 + 31/03/2023</t>
  </si>
  <si>
    <t>INV PJ20230720</t>
  </si>
  <si>
    <t>INV 00010 20003797 RI + INV 00010 20004085 RI + INV 00010 21000862 RI + INV 00010 2300076 RI</t>
  </si>
  <si>
    <t>30/11/2020 + 29/12/2020 + 31/03/2021 + 31/03/2023</t>
  </si>
  <si>
    <t>INV 58005001</t>
  </si>
  <si>
    <t>INV 58005000</t>
  </si>
  <si>
    <t>INV 58004999</t>
  </si>
  <si>
    <r>
      <t xml:space="preserve">CEVQ2023.04.01 - </t>
    </r>
    <r>
      <rPr>
        <b/>
        <sz val="11"/>
        <rFont val="Calibri"/>
        <family val="2"/>
        <scheme val="minor"/>
      </rPr>
      <t>P00119_2023</t>
    </r>
  </si>
  <si>
    <t>Ophtalmo juvenil ABX711NGlu</t>
  </si>
  <si>
    <t>TK juvenile ABX711NGlu</t>
  </si>
  <si>
    <t>TK juvenile ABX464</t>
  </si>
  <si>
    <t>Vu avec DS c'est bien du 464</t>
  </si>
  <si>
    <t>INV BCG-0000172</t>
  </si>
  <si>
    <t>ABX464-910 Purchase of product to perform the conception</t>
  </si>
  <si>
    <t>INV FA220152 + INV FA220790 + INV FA221291 + INV FA221884 + INV FA222329 + INV FA223053 + INV FA223515 + INV FA224389 + INV FA224875 + INV FA225481 + INV FA225835 + INV FA226246 + INV FA230323 + INV FA231007 + INV FA231481</t>
  </si>
  <si>
    <t>31/01/2022 + 28/02/2022 + 31/03/2022 + 29/04/2022 + 31/05/2022 + 01/07/2022 + 29/07/2022 + 31/08/2022 + 30/09/2022 + 31/10/2022 + 01/12/2022 + 30/12/2022 + 31/01/2023 + 28/02/2023 + 31/03/2023</t>
  </si>
  <si>
    <t>INV FA231516</t>
  </si>
  <si>
    <t>INV 00010 23000781 RI</t>
  </si>
  <si>
    <t>INV 109908</t>
  </si>
  <si>
    <t>INV 109920</t>
  </si>
  <si>
    <t>INV 109910</t>
  </si>
  <si>
    <t>INV 53186567</t>
  </si>
  <si>
    <t>INV 47611754</t>
  </si>
  <si>
    <t>INV FRA-004152</t>
  </si>
  <si>
    <t>INV F23-1465</t>
  </si>
  <si>
    <t>INV FRGRE2022186 + INV FRGRE2022242 + INV FRGRE2022288 + INV FRGRE2022410 + INV FRGRE2022489 + INV FRGRE2022366 + INV FRGRE2022569 + INV FRGRE2022732 + INV FRGRE20222733 + INV FRGRE2023007 + INV FRGRE2023006  + INV FRGRE2023008 + INV FRGRE-2023051</t>
  </si>
  <si>
    <t>06/04/2022 + 10/05/2022 + 14/06/2022 + 10/08/2022 + 16/09/2022 + 19/07/2022 (recu 10/2022) + 27/10/2022 + 20/12/2022 + 20/12/2022 + 03/03/2023 + 03/03/2023 + 03/03/2023 + 10/04/2023</t>
  </si>
  <si>
    <t>10/08/2022 + 06/09/2022 + 06/10/2022 + 10/11/2022 + 04/01/2023 + 10/04/2023</t>
  </si>
  <si>
    <t>INV FRGRE2022411 + INV FRGRE2022467 + INV FRGRE2022539 + INV FRGRE2022606 + INV FRGRE2022760 + INV FRGRE2023118</t>
  </si>
  <si>
    <t>INV 9216156534 + INV 9216157829</t>
  </si>
  <si>
    <t>22/03/2023 + 12/04/2023</t>
  </si>
  <si>
    <t>INV 1032303146</t>
  </si>
  <si>
    <t>INV 00010 23000844 RI</t>
  </si>
  <si>
    <t>INV 10001389</t>
  </si>
  <si>
    <t>INV 10001391</t>
  </si>
  <si>
    <r>
      <t xml:space="preserve">Devis du 03/03/2023 - </t>
    </r>
    <r>
      <rPr>
        <b/>
        <sz val="11"/>
        <rFont val="Calibri"/>
        <family val="2"/>
        <scheme val="minor"/>
      </rPr>
      <t>P00124_2023</t>
    </r>
  </si>
  <si>
    <t>ABX711 GMP manufacture</t>
  </si>
  <si>
    <t>ABX464-108 packing et distribution - Centralisation PO 2023</t>
  </si>
  <si>
    <t>INV INC-316531</t>
  </si>
  <si>
    <t>PK and PD analysis (CDISC SDTM &amp; AdAM), CSR writing and Study Coordination - At signature</t>
  </si>
  <si>
    <t>PK and PD analysis (CDISC SDTM &amp; AdAM), CSR writing and Study Coordination - Completion of SAP</t>
  </si>
  <si>
    <t>PK and PD analysis (CDISC SDTM &amp; AdAM), CSR writing and Study Coordination - Last participant included</t>
  </si>
  <si>
    <t>PK and PD analysis (CDISC SDTM &amp; AdAM), CSR writing and Study Coordination - completion of PK analysis</t>
  </si>
  <si>
    <t>PK and PD analysis (CDISC SDTM &amp; AdAM), CSR writing and Study Coordination - Completion of PD analysis</t>
  </si>
  <si>
    <t>PK and PD analysis (CDISC SDTM &amp; AdAM), CSR writing and Study Coordination - release of CSR</t>
  </si>
  <si>
    <t>ABX464, 6.25mg &amp; 12.5mg &amp; 25mg &amp; 50mg, gélule - Lots cliniques Q2 2023</t>
  </si>
  <si>
    <t>INV 1894720 RI + INV 1895624 RI + INV 1897756 RI</t>
  </si>
  <si>
    <t>05/04/2023 + 11/04/2023 + 24/04/2023</t>
  </si>
  <si>
    <t>INV 47611840</t>
  </si>
  <si>
    <t>INV 0047-23-04-B12</t>
  </si>
  <si>
    <t>P00139_2023</t>
  </si>
  <si>
    <r>
      <t>20446214 -</t>
    </r>
    <r>
      <rPr>
        <b/>
        <sz val="11"/>
        <rFont val="Calibri"/>
        <family val="2"/>
        <scheme val="minor"/>
      </rPr>
      <t xml:space="preserve"> P00136_2023</t>
    </r>
  </si>
  <si>
    <t>INV 20220339 + INV 20230176</t>
  </si>
  <si>
    <t>17/11/2022 + 28/04/2023</t>
  </si>
  <si>
    <t>INV 20220339</t>
  </si>
  <si>
    <t>INV 20230177</t>
  </si>
  <si>
    <t>INV S23-210281</t>
  </si>
  <si>
    <r>
      <t xml:space="preserve">DV-ABI-0423-1390 - </t>
    </r>
    <r>
      <rPr>
        <b/>
        <sz val="11"/>
        <rFont val="Calibri"/>
        <family val="2"/>
        <scheme val="minor"/>
      </rPr>
      <t>P00140_2023</t>
    </r>
  </si>
  <si>
    <t>Conservation annuelle</t>
  </si>
  <si>
    <t>GENEXA</t>
  </si>
  <si>
    <r>
      <t>Devis 2023.04.25 -</t>
    </r>
    <r>
      <rPr>
        <b/>
        <sz val="11"/>
        <rFont val="Calibri"/>
        <family val="2"/>
        <scheme val="minor"/>
      </rPr>
      <t xml:space="preserve"> P00141_2023</t>
    </r>
  </si>
  <si>
    <t>Data Analysis Services in Chinese population</t>
  </si>
  <si>
    <t>PROPHASE DEVELOPMENT</t>
  </si>
  <si>
    <r>
      <t xml:space="preserve">Quote du 02/05/2023 - </t>
    </r>
    <r>
      <rPr>
        <b/>
        <sz val="11"/>
        <rFont val="Calibri"/>
        <family val="2"/>
        <scheme val="minor"/>
      </rPr>
      <t>P00142_2023</t>
    </r>
  </si>
  <si>
    <t>Safety assessments of hydrophilic solvents and surfactants / Pediatric formulation</t>
  </si>
  <si>
    <t xml:space="preserve">L21_3318D - P00261_2021 -  </t>
  </si>
  <si>
    <t xml:space="preserve">DDR 2020 078 V1 - P00634_2020 -  </t>
  </si>
  <si>
    <t xml:space="preserve">DDR 2020 087 V1 - P00658_2020 -  </t>
  </si>
  <si>
    <t xml:space="preserve">DDR 2020 087 V1 - P00880_2020 -  </t>
  </si>
  <si>
    <t>CBA/210615/1 -   (DDR 2020 087 V1)</t>
  </si>
  <si>
    <t xml:space="preserve">DDR 2020 087 V1 -  </t>
  </si>
  <si>
    <t xml:space="preserve">DDR 2020 087 V1 - P00879_2020 -  </t>
  </si>
  <si>
    <t xml:space="preserve">DDR 2021 035 V1 - P00876_2020 -  </t>
  </si>
  <si>
    <t>CBA/210504/1 - P00138_2021 -   (DDR 2020 087 V1 - P00880_2020)</t>
  </si>
  <si>
    <r>
      <t xml:space="preserve">CEVQ2023.04.02 - </t>
    </r>
    <r>
      <rPr>
        <b/>
        <sz val="11"/>
        <rFont val="Calibri"/>
        <family val="2"/>
        <scheme val="minor"/>
      </rPr>
      <t>P00120_2023</t>
    </r>
  </si>
  <si>
    <r>
      <t xml:space="preserve">CEVQ2023.04.03 - </t>
    </r>
    <r>
      <rPr>
        <b/>
        <sz val="11"/>
        <rFont val="Calibri"/>
        <family val="2"/>
        <scheme val="minor"/>
      </rPr>
      <t>P00121_2023</t>
    </r>
  </si>
  <si>
    <t>PO</t>
  </si>
  <si>
    <t>P00209_2021</t>
  </si>
  <si>
    <t>P00088_2022</t>
  </si>
  <si>
    <t>P00232_2019 V2</t>
  </si>
  <si>
    <t>P00319_2019</t>
  </si>
  <si>
    <t>P00023_2022</t>
  </si>
  <si>
    <t>P00226_2022</t>
  </si>
  <si>
    <t>P00601_2020</t>
  </si>
  <si>
    <t>P00192_2019</t>
  </si>
  <si>
    <t>P00213_2019</t>
  </si>
  <si>
    <t>P00209_2019</t>
  </si>
  <si>
    <t>P00228_2019</t>
  </si>
  <si>
    <t>P00244_2019</t>
  </si>
  <si>
    <t>P00246_2019</t>
  </si>
  <si>
    <t>P00118_2021</t>
  </si>
  <si>
    <t>P00262_2019</t>
  </si>
  <si>
    <t>P00263_2019</t>
  </si>
  <si>
    <t>P00264_2019</t>
  </si>
  <si>
    <t>P00265_2019</t>
  </si>
  <si>
    <t>P00266_2019</t>
  </si>
  <si>
    <t>P00269_2019</t>
  </si>
  <si>
    <t>P00297_2019</t>
  </si>
  <si>
    <t>P00293_2019</t>
  </si>
  <si>
    <t>P00303_2019</t>
  </si>
  <si>
    <t>P00305_2019</t>
  </si>
  <si>
    <t>P00321_2019</t>
  </si>
  <si>
    <t>P00325_2019</t>
  </si>
  <si>
    <t>P00334_2019</t>
  </si>
  <si>
    <t>P00348_2019</t>
  </si>
  <si>
    <t>P00347_2019</t>
  </si>
  <si>
    <t>P00350_2019</t>
  </si>
  <si>
    <t>P00366_2019</t>
  </si>
  <si>
    <t>P00367_2019</t>
  </si>
  <si>
    <t>P00354_2019</t>
  </si>
  <si>
    <t>P00355_2019</t>
  </si>
  <si>
    <t>P00359_2019</t>
  </si>
  <si>
    <t>P00357_2019</t>
  </si>
  <si>
    <t>P00361_2019</t>
  </si>
  <si>
    <t>P00358_2019</t>
  </si>
  <si>
    <t>P00364_2019</t>
  </si>
  <si>
    <t>P00365_2019</t>
  </si>
  <si>
    <t>P00329_2019</t>
  </si>
  <si>
    <t>P00372_2019</t>
  </si>
  <si>
    <t>P00387_2019</t>
  </si>
  <si>
    <t>P00389_2019</t>
  </si>
  <si>
    <t>P00381_2019</t>
  </si>
  <si>
    <t>P00393_2019</t>
  </si>
  <si>
    <t>P00406_2019</t>
  </si>
  <si>
    <t>P00401_2019</t>
  </si>
  <si>
    <t>P00403_2019</t>
  </si>
  <si>
    <t>P00482_2019</t>
  </si>
  <si>
    <t>P00481_2019</t>
  </si>
  <si>
    <t>P00409_2019</t>
  </si>
  <si>
    <t>P00408_2019</t>
  </si>
  <si>
    <t>P00107_2021</t>
  </si>
  <si>
    <t>P00196_2021</t>
  </si>
  <si>
    <t>P00414_2019</t>
  </si>
  <si>
    <t>P00195_2022</t>
  </si>
  <si>
    <t>P00416_2019</t>
  </si>
  <si>
    <t>P00428_2019</t>
  </si>
  <si>
    <t>P00453_2019</t>
  </si>
  <si>
    <t>P00313_2019</t>
  </si>
  <si>
    <t>P00444_2019</t>
  </si>
  <si>
    <t>P00442_2019</t>
  </si>
  <si>
    <t>P00454_2019</t>
  </si>
  <si>
    <t>P00455_2019</t>
  </si>
  <si>
    <t>P00456_2019</t>
  </si>
  <si>
    <t>P00489_2019</t>
  </si>
  <si>
    <t>P00450_2019</t>
  </si>
  <si>
    <t>P00499_2019</t>
  </si>
  <si>
    <t>P00479_2019</t>
  </si>
  <si>
    <t>P00496_2019</t>
  </si>
  <si>
    <t>P00296_2019</t>
  </si>
  <si>
    <t>P00506_2019</t>
  </si>
  <si>
    <t>P00515_2019</t>
  </si>
  <si>
    <t>P00106_2021</t>
  </si>
  <si>
    <t>P00519_2019</t>
  </si>
  <si>
    <t>P00530_2020</t>
  </si>
  <si>
    <t>P00542_2020</t>
  </si>
  <si>
    <t>P00544_2020</t>
  </si>
  <si>
    <t>P00268_2021</t>
  </si>
  <si>
    <t>P00556_2020</t>
  </si>
  <si>
    <t>P00559_2020</t>
  </si>
  <si>
    <t>P00563_2020</t>
  </si>
  <si>
    <t>P00575_2020</t>
  </si>
  <si>
    <t>P00579_2020</t>
  </si>
  <si>
    <t>P00564_2020</t>
  </si>
  <si>
    <t>P00578_2020</t>
  </si>
  <si>
    <t>P00602_2020</t>
  </si>
  <si>
    <t>P00046_2022</t>
  </si>
  <si>
    <t>P00609_2020</t>
  </si>
  <si>
    <t>P00615_2020</t>
  </si>
  <si>
    <t>P00625_2020</t>
  </si>
  <si>
    <t>P00635_2020</t>
  </si>
  <si>
    <t>P00636_2020</t>
  </si>
  <si>
    <t>2020 - SEQS</t>
  </si>
  <si>
    <t>P00654_2020</t>
  </si>
  <si>
    <t>P00669_2020</t>
  </si>
  <si>
    <t>P00670_2020</t>
  </si>
  <si>
    <t>2020 - CAPS</t>
  </si>
  <si>
    <t xml:space="preserve">58_2020 -  </t>
  </si>
  <si>
    <t>P00582_2020</t>
  </si>
  <si>
    <t>P00681_2020</t>
  </si>
  <si>
    <t>P00685_2020</t>
  </si>
  <si>
    <t>P00684_2020</t>
  </si>
  <si>
    <t>P00683_2020</t>
  </si>
  <si>
    <t>P00682_2020</t>
  </si>
  <si>
    <t>20 - CAPS ?</t>
  </si>
  <si>
    <t>20 - APTU ?</t>
  </si>
  <si>
    <t>P00663_2020</t>
  </si>
  <si>
    <t>P00738_2020</t>
  </si>
  <si>
    <t>P00762_2020</t>
  </si>
  <si>
    <t>P00870_2020</t>
  </si>
  <si>
    <t>P00699_2020</t>
  </si>
  <si>
    <t>2019 - SEQS</t>
  </si>
  <si>
    <t>2021 - SEQS</t>
  </si>
  <si>
    <t>P00708_2020</t>
  </si>
  <si>
    <t>P00709_2020</t>
  </si>
  <si>
    <t>P00710_2020</t>
  </si>
  <si>
    <t>P00711_2020</t>
  </si>
  <si>
    <t>P00716_2020</t>
  </si>
  <si>
    <t>P00730_2020</t>
  </si>
  <si>
    <t>P00707_2020</t>
  </si>
  <si>
    <t>P00726_2020</t>
  </si>
  <si>
    <t>P00732_2020</t>
  </si>
  <si>
    <t>P00736_2020</t>
  </si>
  <si>
    <t>P00737_2020</t>
  </si>
  <si>
    <t>P00746_2020</t>
  </si>
  <si>
    <t>P00747_2020</t>
  </si>
  <si>
    <t>P00323-2021</t>
  </si>
  <si>
    <t>P00758_2020</t>
  </si>
  <si>
    <t>P00759_2020</t>
  </si>
  <si>
    <t>P00761_2020</t>
  </si>
  <si>
    <t>P00766_2020</t>
  </si>
  <si>
    <t>P00860_2020</t>
  </si>
  <si>
    <t>P00778_2020</t>
  </si>
  <si>
    <t>P00783_2020</t>
  </si>
  <si>
    <t>P00713_2020</t>
  </si>
  <si>
    <t>P00769_2020</t>
  </si>
  <si>
    <t>P00791_2020</t>
  </si>
  <si>
    <t>P00787_2020</t>
  </si>
  <si>
    <t>P00796_2020</t>
  </si>
  <si>
    <t>P00795_2020</t>
  </si>
  <si>
    <t>P00798_2020</t>
  </si>
  <si>
    <t>P00817_2020</t>
  </si>
  <si>
    <t>P00790_2020</t>
  </si>
  <si>
    <t>P00789_2020</t>
  </si>
  <si>
    <t>P00816_2020</t>
  </si>
  <si>
    <t>P00015_2021</t>
  </si>
  <si>
    <t>P00036_2021</t>
  </si>
  <si>
    <t>P00873_2020</t>
  </si>
  <si>
    <t>P00824_2020</t>
  </si>
  <si>
    <t>P00836_2020</t>
  </si>
  <si>
    <t>P00838_2020</t>
  </si>
  <si>
    <t>P00839_2020</t>
  </si>
  <si>
    <t>P00823_2020</t>
  </si>
  <si>
    <t>P00166_2021</t>
  </si>
  <si>
    <t>P00324_2021</t>
  </si>
  <si>
    <t>P00017_2023</t>
  </si>
  <si>
    <t xml:space="preserve"> P00846 bis</t>
  </si>
  <si>
    <t>P00852_2020</t>
  </si>
  <si>
    <t>P00320_2021</t>
  </si>
  <si>
    <t>P00847_2020</t>
  </si>
  <si>
    <t>P00255_2021</t>
  </si>
  <si>
    <t>P00288_2021</t>
  </si>
  <si>
    <t>P00243_2022</t>
  </si>
  <si>
    <t>P00856_2020</t>
  </si>
  <si>
    <t>P00104_2021</t>
  </si>
  <si>
    <t>P00103_2021</t>
  </si>
  <si>
    <t>P00232_2021</t>
  </si>
  <si>
    <t>P00233_2021</t>
  </si>
  <si>
    <t>P00256_2021</t>
  </si>
  <si>
    <t>P00867_2020</t>
  </si>
  <si>
    <t>P00868_2020</t>
  </si>
  <si>
    <t>P00869_2020</t>
  </si>
  <si>
    <t>P00871_2020</t>
  </si>
  <si>
    <t>P00005_2021</t>
  </si>
  <si>
    <t>P00011_2021</t>
  </si>
  <si>
    <t>P00001_2021</t>
  </si>
  <si>
    <t>P00021_2021</t>
  </si>
  <si>
    <t>P00193_2021</t>
  </si>
  <si>
    <t>P00763_2020</t>
  </si>
  <si>
    <t>P00004_2021</t>
  </si>
  <si>
    <t>P00078_2021</t>
  </si>
  <si>
    <t>P00027_2021</t>
  </si>
  <si>
    <t>P00340_2022</t>
  </si>
  <si>
    <t>P00059_2021</t>
  </si>
  <si>
    <t>P00028_2021</t>
  </si>
  <si>
    <t>P00055_2021</t>
  </si>
  <si>
    <t>P00068_2021</t>
  </si>
  <si>
    <t>P00075_2021</t>
  </si>
  <si>
    <t>P00085_2021</t>
  </si>
  <si>
    <t>P00093_2021</t>
  </si>
  <si>
    <t>P00100_2021</t>
  </si>
  <si>
    <t>P00108_2021</t>
  </si>
  <si>
    <t>P00096_2021</t>
  </si>
  <si>
    <t>P00092_2021</t>
  </si>
  <si>
    <t>P00094_2021</t>
  </si>
  <si>
    <t>P00095_2021</t>
  </si>
  <si>
    <t>P00116_2021</t>
  </si>
  <si>
    <t>P00125_2021</t>
  </si>
  <si>
    <t>P00123_2021</t>
  </si>
  <si>
    <t>P00162_2021</t>
  </si>
  <si>
    <t>P00135_2021</t>
  </si>
  <si>
    <t>P00128_2021</t>
  </si>
  <si>
    <t>P00132_2021</t>
  </si>
  <si>
    <t>P00136_2021</t>
  </si>
  <si>
    <t>P00237_2021</t>
  </si>
  <si>
    <t>P00137_2021</t>
  </si>
  <si>
    <t>P00147_2021</t>
  </si>
  <si>
    <t>P00146_2021</t>
  </si>
  <si>
    <t>P00144_2021</t>
  </si>
  <si>
    <t>P00141_2021</t>
  </si>
  <si>
    <t>P00119_2021</t>
  </si>
  <si>
    <t>P00140_2021</t>
  </si>
  <si>
    <t>P00208_2021</t>
  </si>
  <si>
    <t>P00154_2021</t>
  </si>
  <si>
    <t>P00155_2021</t>
  </si>
  <si>
    <t>P00150_2021</t>
  </si>
  <si>
    <t>P00151_2021</t>
  </si>
  <si>
    <t>P00152_2021</t>
  </si>
  <si>
    <t>P00270_2021</t>
  </si>
  <si>
    <t>P00184_2021</t>
  </si>
  <si>
    <t>P00167_2021</t>
  </si>
  <si>
    <t>P00168_2021</t>
  </si>
  <si>
    <t>P00169_2021</t>
  </si>
  <si>
    <t>P00163_2021</t>
  </si>
  <si>
    <t>P00171_2021</t>
  </si>
  <si>
    <t>P00175_2021</t>
  </si>
  <si>
    <t>P00172_2021</t>
  </si>
  <si>
    <t>P00165_2021</t>
  </si>
  <si>
    <t>P00181_2021</t>
  </si>
  <si>
    <t>P00180_2021</t>
  </si>
  <si>
    <t>P00010_2022</t>
  </si>
  <si>
    <t>P00190_2021</t>
  </si>
  <si>
    <t>P00189_2021</t>
  </si>
  <si>
    <t>P00195_2021</t>
  </si>
  <si>
    <t>P00187_2021</t>
  </si>
  <si>
    <t>P00186_2021</t>
  </si>
  <si>
    <t>P00192_2021</t>
  </si>
  <si>
    <t>P00191_2021</t>
  </si>
  <si>
    <t>P00202_2021</t>
  </si>
  <si>
    <t>P00203_2021</t>
  </si>
  <si>
    <t>P00336_2021</t>
  </si>
  <si>
    <t>P00123_2022</t>
  </si>
  <si>
    <t>P00206_2021</t>
  </si>
  <si>
    <t>P00240_2021</t>
  </si>
  <si>
    <t>P00210_2021</t>
  </si>
  <si>
    <t>P00204_2021</t>
  </si>
  <si>
    <t>P00305_2021</t>
  </si>
  <si>
    <t>P00222_2021</t>
  </si>
  <si>
    <t>P00207_2021</t>
  </si>
  <si>
    <t>P00205_2021</t>
  </si>
  <si>
    <t>P00214_2021</t>
  </si>
  <si>
    <t>P00215_2021</t>
  </si>
  <si>
    <t>P00312_2021</t>
  </si>
  <si>
    <t>P00226_2021</t>
  </si>
  <si>
    <t>P00227_2021</t>
  </si>
  <si>
    <t>P00223_2021</t>
  </si>
  <si>
    <t>P00217_2021</t>
  </si>
  <si>
    <t>P00230_2021</t>
  </si>
  <si>
    <t>P00228_2021</t>
  </si>
  <si>
    <t>P00194_2021</t>
  </si>
  <si>
    <t>P00239_2021</t>
  </si>
  <si>
    <t>P00236_2021</t>
  </si>
  <si>
    <t>P00245_2021</t>
  </si>
  <si>
    <t>P00247_2021</t>
  </si>
  <si>
    <t>P00248_2021</t>
  </si>
  <si>
    <t>P00252_2021</t>
  </si>
  <si>
    <t>P00333_2021</t>
  </si>
  <si>
    <t>P00259_2021</t>
  </si>
  <si>
    <t>P00260_2021</t>
  </si>
  <si>
    <t>P00249_2021</t>
  </si>
  <si>
    <t>P00250_2021</t>
  </si>
  <si>
    <t>P00251_2021</t>
  </si>
  <si>
    <t>P00267_2021</t>
  </si>
  <si>
    <t>P00272_2021</t>
  </si>
  <si>
    <t>P00277_2021</t>
  </si>
  <si>
    <t>P00279_2021</t>
  </si>
  <si>
    <t>P00291_2021</t>
  </si>
  <si>
    <t>P00294_2021</t>
  </si>
  <si>
    <t>P00297_2021</t>
  </si>
  <si>
    <t>P00299_2021</t>
  </si>
  <si>
    <t>P00302_2021</t>
  </si>
  <si>
    <t>P00307_2021</t>
  </si>
  <si>
    <t>P00317_2021</t>
  </si>
  <si>
    <t>P00325_2021</t>
  </si>
  <si>
    <t>P00340_2021</t>
  </si>
  <si>
    <t>P00335_2021</t>
  </si>
  <si>
    <t>P00334_2021</t>
  </si>
  <si>
    <t>P00347_2021</t>
  </si>
  <si>
    <t>P00306_2021</t>
  </si>
  <si>
    <t>P00332_2021</t>
  </si>
  <si>
    <t>P00073_2022</t>
  </si>
  <si>
    <t>P00328_2021</t>
  </si>
  <si>
    <t>P00036_2022</t>
  </si>
  <si>
    <t>P00342_2021</t>
  </si>
  <si>
    <t>P00348_2021</t>
  </si>
  <si>
    <t>P00349_2021</t>
  </si>
  <si>
    <t>P00652_2021</t>
  </si>
  <si>
    <t>P00319_2021</t>
  </si>
  <si>
    <t>P00045_2022</t>
  </si>
  <si>
    <t>P00009_2022</t>
  </si>
  <si>
    <t>P00018_2022</t>
  </si>
  <si>
    <t>P00025_2022</t>
  </si>
  <si>
    <t>P00007_2022</t>
  </si>
  <si>
    <t>P00026_2022</t>
  </si>
  <si>
    <t>P00355_2021</t>
  </si>
  <si>
    <t>P00003_2022</t>
  </si>
  <si>
    <t>P00032_2022</t>
  </si>
  <si>
    <t>P00047_2022</t>
  </si>
  <si>
    <t>P00081_2022</t>
  </si>
  <si>
    <t>P00080_2022</t>
  </si>
  <si>
    <t>P00358_2021</t>
  </si>
  <si>
    <t>P00079_2022</t>
  </si>
  <si>
    <t>P00163_2022</t>
  </si>
  <si>
    <t>P00094_2022</t>
  </si>
  <si>
    <t>P00096_2022</t>
  </si>
  <si>
    <t>P00095_2022</t>
  </si>
  <si>
    <t>P00097_2022</t>
  </si>
  <si>
    <t>P00102_2022</t>
  </si>
  <si>
    <t>P00107_2022</t>
  </si>
  <si>
    <t>P00111_2022</t>
  </si>
  <si>
    <t>P00109_2022</t>
  </si>
  <si>
    <t>P00114_2022</t>
  </si>
  <si>
    <t>P00124_2022</t>
  </si>
  <si>
    <t>P00130_2022</t>
  </si>
  <si>
    <t>P00131_2022</t>
  </si>
  <si>
    <t>P00135_2022</t>
  </si>
  <si>
    <t>P00136_2022</t>
  </si>
  <si>
    <t>P00141_2022</t>
  </si>
  <si>
    <t>P00159_2022</t>
  </si>
  <si>
    <t>P00152_2022</t>
  </si>
  <si>
    <t>P00204_2022</t>
  </si>
  <si>
    <t>P00176_2022</t>
  </si>
  <si>
    <t>P00172_2022</t>
  </si>
  <si>
    <t>P00173_2022</t>
  </si>
  <si>
    <t>P00170_2022</t>
  </si>
  <si>
    <t>P00180_2022</t>
  </si>
  <si>
    <t>P00171_2022</t>
  </si>
  <si>
    <t>P00179_2022</t>
  </si>
  <si>
    <t>P00174_2022</t>
  </si>
  <si>
    <t>P00194_2022</t>
  </si>
  <si>
    <t>P00201_2022</t>
  </si>
  <si>
    <t>P00210_2022</t>
  </si>
  <si>
    <t>P00222_2022</t>
  </si>
  <si>
    <t>P00006_2022</t>
  </si>
  <si>
    <t>P00236_2022</t>
  </si>
  <si>
    <t>P00241_2022</t>
  </si>
  <si>
    <t>P00209_2022</t>
  </si>
  <si>
    <t>P00225_2022</t>
  </si>
  <si>
    <t>P00245_2022</t>
  </si>
  <si>
    <t>P00246_2022</t>
  </si>
  <si>
    <t>P00220_2022</t>
  </si>
  <si>
    <t>P00251_2022</t>
  </si>
  <si>
    <t>P00260_2022</t>
  </si>
  <si>
    <t>P00253_2022</t>
  </si>
  <si>
    <t>P00276_2022</t>
  </si>
  <si>
    <t>P00270_2022</t>
  </si>
  <si>
    <t>P00227_2022</t>
  </si>
  <si>
    <t>P00283_2022</t>
  </si>
  <si>
    <t>P00296_2022</t>
  </si>
  <si>
    <t>P00294_2022</t>
  </si>
  <si>
    <t>P00281_2022</t>
  </si>
  <si>
    <t>P00302_2022</t>
  </si>
  <si>
    <t>P00312_2022</t>
  </si>
  <si>
    <t>P00293_2022</t>
  </si>
  <si>
    <t>P00334_2022</t>
  </si>
  <si>
    <t>P00339_2022</t>
  </si>
  <si>
    <t>P00335_2022</t>
  </si>
  <si>
    <t>P00336_2022</t>
  </si>
  <si>
    <t>P00337_2022</t>
  </si>
  <si>
    <t>P00350_2022</t>
  </si>
  <si>
    <t>P00351_2022</t>
  </si>
  <si>
    <t>P00355_2022</t>
  </si>
  <si>
    <t>P00356_2022</t>
  </si>
  <si>
    <t>P00367_2022</t>
  </si>
  <si>
    <t>P00352_2022</t>
  </si>
  <si>
    <t>P00361_2022</t>
  </si>
  <si>
    <t>P00345_2022</t>
  </si>
  <si>
    <t>P00362_2022</t>
  </si>
  <si>
    <t>P00012_2023</t>
  </si>
  <si>
    <t>P00358_2022</t>
  </si>
  <si>
    <t>P00372_2022</t>
  </si>
  <si>
    <t>P00375_2022</t>
  </si>
  <si>
    <t>P00385_2022</t>
  </si>
  <si>
    <t>P00388_2022</t>
  </si>
  <si>
    <t>P00390_2022</t>
  </si>
  <si>
    <t>P00397_2022</t>
  </si>
  <si>
    <t>P00392_2022</t>
  </si>
  <si>
    <t>P00396_2022</t>
  </si>
  <si>
    <t>P00394_2022</t>
  </si>
  <si>
    <t>P00393_2022</t>
  </si>
  <si>
    <t>P00378_2022</t>
  </si>
  <si>
    <t>P00379_2022</t>
  </si>
  <si>
    <t>P00380_2022</t>
  </si>
  <si>
    <t>P00407_2022</t>
  </si>
  <si>
    <t>P00403_2022</t>
  </si>
  <si>
    <t>P00408_2022</t>
  </si>
  <si>
    <t>P00411_2022</t>
  </si>
  <si>
    <t>P00410_2022</t>
  </si>
  <si>
    <t>P00409_2022</t>
  </si>
  <si>
    <t>P00419_2022</t>
  </si>
  <si>
    <t>P00030_2023</t>
  </si>
  <si>
    <t>P00424_2022</t>
  </si>
  <si>
    <t>P00417_2022</t>
  </si>
  <si>
    <t>P00002_2023</t>
  </si>
  <si>
    <t>P00004_2023</t>
  </si>
  <si>
    <t>P00003_2023</t>
  </si>
  <si>
    <t>P00006_2023</t>
  </si>
  <si>
    <t>P00007_2023</t>
  </si>
  <si>
    <t>P00009_2023</t>
  </si>
  <si>
    <t>P00010_2023</t>
  </si>
  <si>
    <t>P00011_2023</t>
  </si>
  <si>
    <t>P00013_2023</t>
  </si>
  <si>
    <t>P00023_2023</t>
  </si>
  <si>
    <t>P00024_2023</t>
  </si>
  <si>
    <t>P00021_2023</t>
  </si>
  <si>
    <t>P00025_2023</t>
  </si>
  <si>
    <t>P00018_2023</t>
  </si>
  <si>
    <t>P00032_2023</t>
  </si>
  <si>
    <t>P00022_2023</t>
  </si>
  <si>
    <t>P00037_2023</t>
  </si>
  <si>
    <t>P00039_2023</t>
  </si>
  <si>
    <t>P00040_2023</t>
  </si>
  <si>
    <t>P00042_2023</t>
  </si>
  <si>
    <t>P00044_2023</t>
  </si>
  <si>
    <t>P00046_2023</t>
  </si>
  <si>
    <t>P00070_2023</t>
  </si>
  <si>
    <t>P00069_2023</t>
  </si>
  <si>
    <t>P00067_2023</t>
  </si>
  <si>
    <t>P00064_2023</t>
  </si>
  <si>
    <t>P00066_2023</t>
  </si>
  <si>
    <t>P00068_2023</t>
  </si>
  <si>
    <t>P00065_2023</t>
  </si>
  <si>
    <t>P00049_2023</t>
  </si>
  <si>
    <t>P00062_2023</t>
  </si>
  <si>
    <t>P00061_2023</t>
  </si>
  <si>
    <t>P00059_2023</t>
  </si>
  <si>
    <t>P00063_2023</t>
  </si>
  <si>
    <t>P00073_2023</t>
  </si>
  <si>
    <t>P00420_2022</t>
  </si>
  <si>
    <t>P00081_2023</t>
  </si>
  <si>
    <t>P00082_2023</t>
  </si>
  <si>
    <t>P00084_2023</t>
  </si>
  <si>
    <t>P00083_2023</t>
  </si>
  <si>
    <t>P00086_2023</t>
  </si>
  <si>
    <t>P00091_2023</t>
  </si>
  <si>
    <t>P00094_2023</t>
  </si>
  <si>
    <t>P00097_2023</t>
  </si>
  <si>
    <t>P00099_2023</t>
  </si>
  <si>
    <t>P00096_2023</t>
  </si>
  <si>
    <t>P00109_2023</t>
  </si>
  <si>
    <t>P00110_2023</t>
  </si>
  <si>
    <t>P00107_2023</t>
  </si>
  <si>
    <t>P00108_2023</t>
  </si>
  <si>
    <t>P00112_2023</t>
  </si>
  <si>
    <t>P00111_2023</t>
  </si>
  <si>
    <t>P00114_2023</t>
  </si>
  <si>
    <t>P00105_2023</t>
  </si>
  <si>
    <t>P00115_2023</t>
  </si>
  <si>
    <t>P00116_2023</t>
  </si>
  <si>
    <t>P00119_2023</t>
  </si>
  <si>
    <t>P00120_2023</t>
  </si>
  <si>
    <t>P00121_2023</t>
  </si>
  <si>
    <t>P00124_2023</t>
  </si>
  <si>
    <t>P00136_2023</t>
  </si>
  <si>
    <t>P00140_2023</t>
  </si>
  <si>
    <t>P00141_2023</t>
  </si>
  <si>
    <t>P00142_2023</t>
  </si>
  <si>
    <t>P00261_2021</t>
  </si>
  <si>
    <t>P00241_2021</t>
  </si>
  <si>
    <t>P00658_2020</t>
  </si>
  <si>
    <t>P00880_2020</t>
  </si>
  <si>
    <t>P00879_2020</t>
  </si>
  <si>
    <t>P00013</t>
  </si>
  <si>
    <t>P00209_2021 - P00208_2021</t>
  </si>
  <si>
    <t>P00139_2021</t>
  </si>
  <si>
    <t>P00138_2021</t>
  </si>
  <si>
    <t xml:space="preserve">P00261_2021  (ex P00145) </t>
  </si>
  <si>
    <t>P00133_2021</t>
  </si>
  <si>
    <t>P00071_2021</t>
  </si>
  <si>
    <t>P00070_2021</t>
  </si>
  <si>
    <t>P00069_2021</t>
  </si>
  <si>
    <t>P00063_2021</t>
  </si>
  <si>
    <t>P00876_2020</t>
  </si>
  <si>
    <t>P00872_2020</t>
  </si>
  <si>
    <t>P00874_2020</t>
  </si>
  <si>
    <t>P00101_2021 (Supplé P00852)</t>
  </si>
  <si>
    <t>P00840_2020</t>
  </si>
  <si>
    <t>P00837_2020 V2</t>
  </si>
  <si>
    <t>P00821_2020</t>
  </si>
  <si>
    <t>P00822_2020</t>
  </si>
  <si>
    <t>P00779_2020</t>
  </si>
  <si>
    <t>P00744_2020</t>
  </si>
  <si>
    <t>P00734_2020</t>
  </si>
  <si>
    <t>P00721_2020</t>
  </si>
  <si>
    <t>P00676_2020</t>
  </si>
  <si>
    <t>P00702_2020</t>
  </si>
  <si>
    <t>P00255</t>
  </si>
  <si>
    <t>P00160</t>
  </si>
  <si>
    <t>P00305</t>
  </si>
  <si>
    <t>P00291</t>
  </si>
  <si>
    <t>P00264</t>
  </si>
  <si>
    <t>P00234</t>
  </si>
  <si>
    <t>P00240</t>
  </si>
  <si>
    <t>P00295</t>
  </si>
  <si>
    <t>INV 223.23.08</t>
  </si>
  <si>
    <t>INV 904529867 + INV 940530114</t>
  </si>
  <si>
    <t>28/04/2023 + 04/05/2023</t>
  </si>
  <si>
    <t>INV 109948</t>
  </si>
  <si>
    <t>INV 109949</t>
  </si>
  <si>
    <t>INV 303800971</t>
  </si>
  <si>
    <t>ATLANSTAT</t>
  </si>
  <si>
    <t>SRV_23063</t>
  </si>
  <si>
    <t>INV 109965</t>
  </si>
  <si>
    <r>
      <t xml:space="preserve">PH22094_WO9 - </t>
    </r>
    <r>
      <rPr>
        <b/>
        <sz val="11"/>
        <rFont val="Calibri"/>
        <family val="2"/>
        <scheme val="minor"/>
      </rPr>
      <t>P00137_2023</t>
    </r>
  </si>
  <si>
    <t>INV F23-1500</t>
  </si>
  <si>
    <t>P00137_2023</t>
  </si>
  <si>
    <r>
      <t xml:space="preserve">AR2023-047 - </t>
    </r>
    <r>
      <rPr>
        <b/>
        <sz val="11"/>
        <rFont val="Calibri"/>
        <family val="2"/>
        <scheme val="minor"/>
      </rPr>
      <t>P00148_2023</t>
    </r>
  </si>
  <si>
    <t>P00148_2023</t>
  </si>
  <si>
    <t>Archiving tox study ABX464</t>
  </si>
  <si>
    <t>P00149_2023</t>
  </si>
  <si>
    <t>Reanalyse de lot 103508P004</t>
  </si>
  <si>
    <t>P00150_2023</t>
  </si>
  <si>
    <t>Stability study of lyophilized samples of ABX711 - FTE (700/FTE)</t>
  </si>
  <si>
    <t>Stability study of lyophilized samples of ABX711 - T30 days</t>
  </si>
  <si>
    <t>Stability study of lyophilized samples of ABX711 - T60 days</t>
  </si>
  <si>
    <t>Stability study of lyophilized samples of ABX711 - T90 days</t>
  </si>
  <si>
    <t>Stability study of lyophilized samples of ABX711 - T120 days</t>
  </si>
  <si>
    <t>Stability study of lyophilized samples of ABX711 - T300 days</t>
  </si>
  <si>
    <t>Stability study of lyophilized samples of ABX711 - T0 analyse 1FTE</t>
  </si>
  <si>
    <r>
      <t>Devis 13619_A1 -</t>
    </r>
    <r>
      <rPr>
        <b/>
        <sz val="11"/>
        <rFont val="Calibri"/>
        <family val="2"/>
        <scheme val="minor"/>
      </rPr>
      <t xml:space="preserve"> P00151_2023</t>
    </r>
  </si>
  <si>
    <t>P00151_2023</t>
  </si>
  <si>
    <t>ABX464-910 Purchase, pack, lable and distribution</t>
  </si>
  <si>
    <r>
      <t xml:space="preserve">DDR 2022 051 V3 - </t>
    </r>
    <r>
      <rPr>
        <b/>
        <sz val="11"/>
        <rFont val="Calibri"/>
        <family val="2"/>
        <scheme val="minor"/>
      </rPr>
      <t>P00152_2023</t>
    </r>
  </si>
  <si>
    <t>P00152_2023</t>
  </si>
  <si>
    <r>
      <t>ABX</t>
    </r>
    <r>
      <rPr>
        <sz val="11"/>
        <color rgb="FFFF0000"/>
        <rFont val="Calibri"/>
        <family val="2"/>
        <scheme val="minor"/>
      </rPr>
      <t>464</t>
    </r>
  </si>
  <si>
    <t>Vu avec Adrien 17/05/2023 c'est du 464</t>
  </si>
  <si>
    <t>P00146_2023</t>
  </si>
  <si>
    <r>
      <t xml:space="preserve">PH23028_WO11 - </t>
    </r>
    <r>
      <rPr>
        <b/>
        <sz val="11"/>
        <rFont val="Calibri"/>
        <family val="2"/>
        <scheme val="minor"/>
      </rPr>
      <t>P00146_2023</t>
    </r>
  </si>
  <si>
    <t>Phase 1 study to evaluate PK, safety and tolerability - At signature</t>
  </si>
  <si>
    <t>Phase 1 study to evaluate PK, safety and tolerability - At completion od SAP</t>
  </si>
  <si>
    <t>Phase 1 study to evaluate PK, safety and tolerability - At completion of PK analysis</t>
  </si>
  <si>
    <t>Phase 1 study to evaluate PK, safety and tolerability - At the final draft report</t>
  </si>
  <si>
    <r>
      <t xml:space="preserve">L20_3117B + L21_3437C + L21_3318D - </t>
    </r>
    <r>
      <rPr>
        <b/>
        <sz val="11"/>
        <rFont val="Calibri"/>
        <family val="2"/>
        <scheme val="minor"/>
      </rPr>
      <t>P00153_2023</t>
    </r>
  </si>
  <si>
    <t>P00153_2023</t>
  </si>
  <si>
    <t>Consommables Labo - 03/2023</t>
  </si>
  <si>
    <t>P00156_2023</t>
  </si>
  <si>
    <r>
      <t xml:space="preserve">OPP-305650 - CRL-492390 - </t>
    </r>
    <r>
      <rPr>
        <b/>
        <sz val="11"/>
        <rFont val="Calibri"/>
        <family val="2"/>
        <scheme val="minor"/>
      </rPr>
      <t>P00156_2023</t>
    </r>
  </si>
  <si>
    <r>
      <t xml:space="preserve">OPP-305650 - CRL-492392 - </t>
    </r>
    <r>
      <rPr>
        <b/>
        <sz val="11"/>
        <rFont val="Calibri"/>
        <family val="2"/>
        <scheme val="minor"/>
      </rPr>
      <t>P00156_2023</t>
    </r>
  </si>
  <si>
    <t>Blood plasma partitioning study, human</t>
  </si>
  <si>
    <t>INV FA230365 + INV FA231009 + INV FA231483 + INV FA232531</t>
  </si>
  <si>
    <t>31/01/2023 + 28/02/2023 + 31/03/2023 + 28/04/2023</t>
  </si>
  <si>
    <r>
      <t xml:space="preserve">DDR 2020 087 V1 - </t>
    </r>
    <r>
      <rPr>
        <b/>
        <sz val="11"/>
        <rFont val="Calibri"/>
        <family val="2"/>
        <scheme val="minor"/>
      </rPr>
      <t>P00880_2020</t>
    </r>
  </si>
  <si>
    <t>INV 2023.05.18</t>
  </si>
  <si>
    <t>INV F230400529 + INV F230500780</t>
  </si>
  <si>
    <t>03/04/2023 + 16/05/2023</t>
  </si>
  <si>
    <t>INV 10001569</t>
  </si>
  <si>
    <t>Stabilité en solution a différents PHs du metabolite ABX464Nglu</t>
  </si>
  <si>
    <t>INV FAC23028-DA198</t>
  </si>
  <si>
    <t>INV FAC23029-DA198</t>
  </si>
  <si>
    <t>INV 032258 + INV 032268 + INV 032292</t>
  </si>
  <si>
    <t>09/11/2022 + 06/01/2023 + 28/04/2023</t>
  </si>
  <si>
    <r>
      <t xml:space="preserve">L23_3702B - </t>
    </r>
    <r>
      <rPr>
        <b/>
        <sz val="11"/>
        <rFont val="Calibri"/>
        <family val="2"/>
        <scheme val="minor"/>
      </rPr>
      <t>P00116_2023</t>
    </r>
  </si>
  <si>
    <r>
      <t xml:space="preserve">D5090427 - </t>
    </r>
    <r>
      <rPr>
        <b/>
        <sz val="11"/>
        <rFont val="Calibri"/>
        <family val="2"/>
        <scheme val="minor"/>
      </rPr>
      <t>P00159_2023</t>
    </r>
  </si>
  <si>
    <t>P00159_2023</t>
  </si>
  <si>
    <t>inv 1092353 RI</t>
  </si>
  <si>
    <t>PRIME</t>
  </si>
  <si>
    <r>
      <t xml:space="preserve">SRV_23059 - </t>
    </r>
    <r>
      <rPr>
        <b/>
        <sz val="11"/>
        <rFont val="Calibri"/>
        <family val="2"/>
        <scheme val="minor"/>
      </rPr>
      <t>P00158_2023</t>
    </r>
  </si>
  <si>
    <t>RBM</t>
  </si>
  <si>
    <t>Upon execution of Agreement 50%</t>
  </si>
  <si>
    <t>P00158_2023</t>
  </si>
  <si>
    <t>P00164_2023</t>
  </si>
  <si>
    <r>
      <t xml:space="preserve">230524FR01655391CB - </t>
    </r>
    <r>
      <rPr>
        <b/>
        <sz val="11"/>
        <rFont val="Calibri"/>
        <family val="2"/>
        <scheme val="minor"/>
      </rPr>
      <t>P00164_2023</t>
    </r>
  </si>
  <si>
    <t>Dev of LC-MS/MS method quantification of progesterone</t>
  </si>
  <si>
    <t>Validation of LC-MS/MS method quantification of progesterone</t>
  </si>
  <si>
    <t>ATLANCHIM</t>
  </si>
  <si>
    <r>
      <t xml:space="preserve">ASTIS-6RES - </t>
    </r>
    <r>
      <rPr>
        <b/>
        <sz val="11"/>
        <rFont val="Calibri"/>
        <family val="2"/>
        <scheme val="minor"/>
      </rPr>
      <t>P00165_2023</t>
    </r>
  </si>
  <si>
    <t>P00165_2023</t>
  </si>
  <si>
    <t>Retest of 1 batch</t>
  </si>
  <si>
    <t>P00167_2023</t>
  </si>
  <si>
    <r>
      <t xml:space="preserve">CPQ-02230249 - </t>
    </r>
    <r>
      <rPr>
        <b/>
        <sz val="11"/>
        <rFont val="Calibri"/>
        <family val="2"/>
        <scheme val="minor"/>
      </rPr>
      <t>P00167_2023</t>
    </r>
  </si>
  <si>
    <r>
      <t xml:space="preserve">DDR 2020 087 V1 - </t>
    </r>
    <r>
      <rPr>
        <b/>
        <sz val="11"/>
        <rFont val="Calibri"/>
        <family val="2"/>
        <scheme val="minor"/>
      </rPr>
      <t>P00879_2020</t>
    </r>
  </si>
  <si>
    <r>
      <t xml:space="preserve">DDR 2020 087 V1 - </t>
    </r>
    <r>
      <rPr>
        <b/>
        <sz val="11"/>
        <rFont val="Calibri"/>
        <family val="2"/>
        <scheme val="minor"/>
      </rPr>
      <t>P00658_2020</t>
    </r>
  </si>
  <si>
    <t>Validation dissolution methods for 6,25mg/12,5mg</t>
  </si>
  <si>
    <t>INV 58005337</t>
  </si>
  <si>
    <t>P00104_2021 + P00343_2022</t>
  </si>
  <si>
    <t>INV 58005336</t>
  </si>
  <si>
    <t>ORPHAN - ODC</t>
  </si>
  <si>
    <t>Presta ODC UC105 - Q2 2023</t>
  </si>
  <si>
    <t>Presta ODC UC106 - Q2 2023</t>
  </si>
  <si>
    <t>Presta ODC UC107 - Q2 2023</t>
  </si>
  <si>
    <t>Presta ODC UC105 - Q3 2023</t>
  </si>
  <si>
    <t>Presta ODC UC105 - Q4 2023</t>
  </si>
  <si>
    <t>Presta ODC UC105 - Q1 2024</t>
  </si>
  <si>
    <t>Presta ODC UC105 - Q2 2024</t>
  </si>
  <si>
    <t>Presta ODC UC105 - Q3 2024</t>
  </si>
  <si>
    <t>Presta ODC UC105 - Q4 2024</t>
  </si>
  <si>
    <t>Presta ODC UC105 - Q1 2025</t>
  </si>
  <si>
    <t>Presta ODC UC105 - Q2 2025</t>
  </si>
  <si>
    <t>Presta ODC UC105 - Q3 2025</t>
  </si>
  <si>
    <t>Presta ODC UC105 - Q4 2025</t>
  </si>
  <si>
    <t>INV 47612077</t>
  </si>
  <si>
    <t>CSL_23044</t>
  </si>
  <si>
    <t>INV F-230511007</t>
  </si>
  <si>
    <t xml:space="preserve">INV 9216160799 + INV 9216160800 </t>
  </si>
  <si>
    <t>02/06/2023 + 02/06/2023</t>
  </si>
  <si>
    <t>INV 109838 + INV 109882 + INV 109924 + INV 109984</t>
  </si>
  <si>
    <t>09/01/2023 + 07/03/2023 + 12/04/2023 + 06/05/2023</t>
  </si>
  <si>
    <t>INV 2305092</t>
  </si>
  <si>
    <t>C</t>
  </si>
  <si>
    <t>CHARLES RIVER LYON 2</t>
  </si>
  <si>
    <r>
      <t xml:space="preserve">20454044 - </t>
    </r>
    <r>
      <rPr>
        <b/>
        <sz val="11"/>
        <rFont val="Calibri"/>
        <family val="2"/>
        <scheme val="minor"/>
      </rPr>
      <t>P00174_2023</t>
    </r>
  </si>
  <si>
    <t>P00174_2023</t>
  </si>
  <si>
    <t>INV 53189958 + INV 53192749</t>
  </si>
  <si>
    <t>09/05/2023 + 06/06/2023</t>
  </si>
  <si>
    <r>
      <t xml:space="preserve">Commande du 06/06/2023 - </t>
    </r>
    <r>
      <rPr>
        <b/>
        <sz val="11"/>
        <rFont val="Calibri"/>
        <family val="2"/>
        <scheme val="minor"/>
      </rPr>
      <t>P00173_2023</t>
    </r>
  </si>
  <si>
    <t>P00173_2023</t>
  </si>
  <si>
    <t>SANG</t>
  </si>
  <si>
    <r>
      <t xml:space="preserve">CBA/230605/1 - </t>
    </r>
    <r>
      <rPr>
        <b/>
        <sz val="12"/>
        <rFont val="Calibri"/>
        <family val="2"/>
        <scheme val="minor"/>
      </rPr>
      <t>P00172_2023</t>
    </r>
  </si>
  <si>
    <t>P00172_2023</t>
  </si>
  <si>
    <t>Stockage API - 01/2023 à 06/2023</t>
  </si>
  <si>
    <t>13660-2</t>
  </si>
  <si>
    <t>ABX464-908 - Label and distribution to Germany</t>
  </si>
  <si>
    <t xml:space="preserve">PBPK model dev of ABX464 and its main metabolite Feasability study - At signature </t>
  </si>
  <si>
    <t>PBPK model dev of ABX464 and its main metabolite Feasability study - At completion of MAP</t>
  </si>
  <si>
    <t>PBPK model dev of ABX464 and its main metabolite Feasability study - Modeling feasa</t>
  </si>
  <si>
    <t>PBPK model dev of ABX464 and its main metabolite Feasability study - Draft report</t>
  </si>
  <si>
    <t>INV 109990</t>
  </si>
  <si>
    <t>INV 109989</t>
  </si>
  <si>
    <t>INV 940532227</t>
  </si>
  <si>
    <t>INV GR00355410 + INV GR00358898 + INV GR00362278 + INV GR00365644 + INV GR00368835 + INV GR00372874 + INV GR00376253 + INV GR00379785 + INV GR00383809 + INV GR00393467 + INV GR00396671 + INV 8360000469 + INV 8360000793 + INV 8360001984</t>
  </si>
  <si>
    <t>12/08/2021 + 13/09/2021 + 13/10/2021 + 09/11/2021 + 08/12/2021 + 14/01/2022 + 11/02/2022 + 11/03/2022 + 19/04/2022 + 25/07/2022 + 22/08/2022 + 28/10/2022 + 30/12/2022 + 10/06/2023</t>
  </si>
  <si>
    <t>INV FA23-0075</t>
  </si>
  <si>
    <t>INV 2023_11 + INV 2023_52</t>
  </si>
  <si>
    <t>10/04/2023 + 15/06/2023</t>
  </si>
  <si>
    <t>INV 109623 + INV 109895 + INV 110003</t>
  </si>
  <si>
    <t>24/05/2022 + 16/03/2023 + 13/06/2023</t>
  </si>
  <si>
    <t>UC-102 - WO003 - Amdt 6</t>
  </si>
  <si>
    <t>Signature of Amendment 6</t>
  </si>
  <si>
    <r>
      <t>UC-102 - WO003 +</t>
    </r>
    <r>
      <rPr>
        <sz val="11"/>
        <color theme="9"/>
        <rFont val="Calibri"/>
        <family val="2"/>
        <scheme val="minor"/>
      </rPr>
      <t xml:space="preserve"> Amt1</t>
    </r>
    <r>
      <rPr>
        <sz val="11"/>
        <rFont val="Calibri"/>
        <family val="2"/>
        <scheme val="minor"/>
      </rPr>
      <t xml:space="preserve"> +</t>
    </r>
    <r>
      <rPr>
        <sz val="11"/>
        <color theme="5"/>
        <rFont val="Calibri"/>
        <family val="2"/>
        <scheme val="minor"/>
      </rPr>
      <t xml:space="preserve"> Amdt 2 </t>
    </r>
    <r>
      <rPr>
        <sz val="11"/>
        <rFont val="Calibri"/>
        <family val="2"/>
        <scheme val="minor"/>
      </rPr>
      <t xml:space="preserve">+ </t>
    </r>
    <r>
      <rPr>
        <sz val="11"/>
        <color theme="4"/>
        <rFont val="Calibri"/>
        <family val="2"/>
        <scheme val="minor"/>
      </rPr>
      <t>Admt 3</t>
    </r>
    <r>
      <rPr>
        <sz val="11"/>
        <rFont val="Calibri"/>
        <family val="2"/>
        <scheme val="minor"/>
      </rPr>
      <t xml:space="preserve"> +</t>
    </r>
    <r>
      <rPr>
        <sz val="11"/>
        <color theme="7" tint="-0.249977111117893"/>
        <rFont val="Calibri"/>
        <family val="2"/>
        <scheme val="minor"/>
      </rPr>
      <t xml:space="preserve"> Amdt 5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7" tint="-0.249977111117893"/>
        <rFont val="Calibri"/>
        <family val="2"/>
        <scheme val="minor"/>
      </rPr>
      <t>P00226_2022 + Amdt 6</t>
    </r>
  </si>
  <si>
    <r>
      <t xml:space="preserve">UC-102 - WO003 Amt 3 (+inflation) </t>
    </r>
    <r>
      <rPr>
        <sz val="11"/>
        <color theme="7" tint="-0.249977111117893"/>
        <rFont val="Calibri"/>
        <family val="2"/>
        <scheme val="minor"/>
      </rPr>
      <t>+ Amdt 5</t>
    </r>
    <r>
      <rPr>
        <sz val="11"/>
        <color theme="8" tint="0.39997558519241921"/>
        <rFont val="Calibri"/>
        <family val="2"/>
        <scheme val="minor"/>
      </rPr>
      <t xml:space="preserve"> </t>
    </r>
    <r>
      <rPr>
        <b/>
        <sz val="11"/>
        <color theme="7" tint="-0.249977111117893"/>
        <rFont val="Calibri"/>
        <family val="2"/>
        <scheme val="minor"/>
      </rPr>
      <t>P00226_2022</t>
    </r>
    <r>
      <rPr>
        <sz val="11"/>
        <color theme="8" tint="0.39997558519241921"/>
        <rFont val="Calibri"/>
        <family val="2"/>
        <scheme val="minor"/>
      </rPr>
      <t xml:space="preserve"> + Amdt 6</t>
    </r>
  </si>
  <si>
    <t>PTC - ORACLE</t>
  </si>
  <si>
    <r>
      <t xml:space="preserve">UC-102 - WO003 Amt 4 - </t>
    </r>
    <r>
      <rPr>
        <b/>
        <sz val="11"/>
        <color theme="9" tint="-0.249977111117893"/>
        <rFont val="Calibri"/>
        <family val="2"/>
        <scheme val="minor"/>
      </rPr>
      <t>P00023_2022</t>
    </r>
    <r>
      <rPr>
        <sz val="11"/>
        <rFont val="Calibri"/>
        <family val="2"/>
        <scheme val="minor"/>
      </rPr>
      <t xml:space="preserve"> + Amdt 6</t>
    </r>
  </si>
  <si>
    <t>PTC + INVESTIGATOR FEE Amdt 4 + Amdt 6</t>
  </si>
  <si>
    <t>Back-up - Consommable labo</t>
  </si>
  <si>
    <r>
      <t xml:space="preserve">70373881-00 - </t>
    </r>
    <r>
      <rPr>
        <b/>
        <sz val="11"/>
        <rFont val="Calibri"/>
        <family val="2"/>
        <scheme val="minor"/>
      </rPr>
      <t>P00183_2023</t>
    </r>
  </si>
  <si>
    <t>P00183_2023</t>
  </si>
  <si>
    <r>
      <t xml:space="preserve">DV-ABI-0623-1469 - </t>
    </r>
    <r>
      <rPr>
        <b/>
        <sz val="11"/>
        <rFont val="Calibri"/>
        <family val="2"/>
        <scheme val="minor"/>
      </rPr>
      <t>P00185_2023</t>
    </r>
  </si>
  <si>
    <t>P00185_2023</t>
  </si>
  <si>
    <t>Conservation échantillons études 102,301,302</t>
  </si>
  <si>
    <r>
      <t xml:space="preserve">230613FR01662309CB - </t>
    </r>
    <r>
      <rPr>
        <b/>
        <sz val="11"/>
        <rFont val="Calibri"/>
        <family val="2"/>
        <scheme val="minor"/>
      </rPr>
      <t>P00186_2023</t>
    </r>
  </si>
  <si>
    <t>P00186_2023</t>
  </si>
  <si>
    <r>
      <t xml:space="preserve">PH23017_WO10 - </t>
    </r>
    <r>
      <rPr>
        <b/>
        <sz val="11"/>
        <rFont val="Calibri"/>
        <family val="2"/>
        <scheme val="minor"/>
      </rPr>
      <t>P00187_2023</t>
    </r>
  </si>
  <si>
    <t>P00187_2023</t>
  </si>
  <si>
    <t>P00177_2023</t>
  </si>
  <si>
    <t>CEFASYS</t>
  </si>
  <si>
    <r>
      <t xml:space="preserve">Devis du 24/04/2023 - </t>
    </r>
    <r>
      <rPr>
        <b/>
        <sz val="11"/>
        <rFont val="Calibri"/>
        <family val="2"/>
        <scheme val="minor"/>
      </rPr>
      <t>P00175_2023</t>
    </r>
  </si>
  <si>
    <t>P00175_2023</t>
  </si>
  <si>
    <t>Audit GLP/GCLP Charles River St Naz</t>
  </si>
  <si>
    <t>5M PARTNER</t>
  </si>
  <si>
    <r>
      <t xml:space="preserve">2023-04 - </t>
    </r>
    <r>
      <rPr>
        <b/>
        <sz val="11"/>
        <rFont val="Calibri"/>
        <family val="2"/>
        <scheme val="minor"/>
      </rPr>
      <t>P00184_2023</t>
    </r>
  </si>
  <si>
    <t>P00184_2023</t>
  </si>
  <si>
    <t>CDMO Process selection - Patheon - Cork</t>
  </si>
  <si>
    <t>Consommable outil labo</t>
  </si>
  <si>
    <r>
      <t xml:space="preserve">Commande du 20/06/2023 - </t>
    </r>
    <r>
      <rPr>
        <b/>
        <sz val="11"/>
        <rFont val="Calibri"/>
        <family val="2"/>
        <scheme val="minor"/>
      </rPr>
      <t>P00189_2023</t>
    </r>
  </si>
  <si>
    <t>P00189_2023</t>
  </si>
  <si>
    <r>
      <t xml:space="preserve">L23_3794A - </t>
    </r>
    <r>
      <rPr>
        <b/>
        <sz val="11"/>
        <rFont val="Calibri"/>
        <family val="2"/>
        <scheme val="minor"/>
      </rPr>
      <t>P00190_2023</t>
    </r>
  </si>
  <si>
    <t>P00190_2023</t>
  </si>
  <si>
    <t>Optimisation de procédé / Det. Caractère liant de la cellule - Option 1</t>
  </si>
  <si>
    <t>Optimisation de procédé / Det. Caractère liant de la cellule - Option 2</t>
  </si>
  <si>
    <t>INV 53194005</t>
  </si>
  <si>
    <t>INV FRA-004335</t>
  </si>
  <si>
    <t>INV INC-321832</t>
  </si>
  <si>
    <t>INV 00010 23001426 RI</t>
  </si>
  <si>
    <t>INV 00010 23001333 RI</t>
  </si>
  <si>
    <t>INV 58005494</t>
  </si>
  <si>
    <t>INV 110004</t>
  </si>
  <si>
    <t>INV F23-1540</t>
  </si>
  <si>
    <t>INV 10001831</t>
  </si>
  <si>
    <t>INV 10001833</t>
  </si>
  <si>
    <t>BECTON</t>
  </si>
  <si>
    <t>P00194_2023</t>
  </si>
  <si>
    <r>
      <t xml:space="preserve">Q23000466747 - </t>
    </r>
    <r>
      <rPr>
        <b/>
        <sz val="11"/>
        <rFont val="Calibri"/>
        <family val="2"/>
        <scheme val="minor"/>
      </rPr>
      <t>P00196_2023</t>
    </r>
  </si>
  <si>
    <t>P00196_2023</t>
  </si>
  <si>
    <t>TIPS - Consommable labo</t>
  </si>
  <si>
    <r>
      <t xml:space="preserve">20457502 - </t>
    </r>
    <r>
      <rPr>
        <b/>
        <sz val="11"/>
        <rFont val="Calibri"/>
        <family val="2"/>
        <scheme val="minor"/>
      </rPr>
      <t>P00199_2023</t>
    </r>
  </si>
  <si>
    <t>P00199_2023</t>
  </si>
  <si>
    <r>
      <t xml:space="preserve">OPP-305650-Amdt1 - CRL-492392 - </t>
    </r>
    <r>
      <rPr>
        <b/>
        <sz val="11"/>
        <rFont val="Calibri"/>
        <family val="2"/>
        <scheme val="minor"/>
      </rPr>
      <t>P00197_2023</t>
    </r>
  </si>
  <si>
    <t>P00197_2023</t>
  </si>
  <si>
    <t>Add cost Transport - lié au PO00156_2023 - facturé via St nazaire</t>
  </si>
  <si>
    <r>
      <t xml:space="preserve">DV-ABI-0623-1506 - </t>
    </r>
    <r>
      <rPr>
        <b/>
        <sz val="11"/>
        <rFont val="Calibri"/>
        <family val="2"/>
        <scheme val="minor"/>
      </rPr>
      <t>P00198_2023</t>
    </r>
  </si>
  <si>
    <t>P00198_2023</t>
  </si>
  <si>
    <t>INV 47032426 + INV 47036984</t>
  </si>
  <si>
    <t>10/10/2022 + 20/06/2023</t>
  </si>
  <si>
    <t>INV 2 + INV 36 + INV 47 + INV 87 + INV 15 + INV 62 + INV 63</t>
  </si>
  <si>
    <t>11/01/2022 + 31/03/2022 + 29/04/2022 + 22/08/2022 + 14/02/2023 + 09/06/2023 + 26/06/2023</t>
  </si>
  <si>
    <t>INV 0869/23</t>
  </si>
  <si>
    <t>INV 58005525</t>
  </si>
  <si>
    <t>INV 094/2023 - INV 2010/2023 + INV 103/2023</t>
  </si>
  <si>
    <t>25/05/2023 - 01/06/2023 + 23/06/2023</t>
  </si>
  <si>
    <t>Formulation developpment CTM manufacture ABX711 - Process/Analytical Dev, Stab, GMP manufactoring</t>
  </si>
  <si>
    <t>INV 303800974</t>
  </si>
  <si>
    <t>INV 1032305418 + INV 1032305566</t>
  </si>
  <si>
    <t>13/06/2023 + 15/06/2023</t>
  </si>
  <si>
    <t>INV FRA-004364</t>
  </si>
  <si>
    <t>FRA-003914</t>
  </si>
  <si>
    <t>INV FRA-003916</t>
  </si>
  <si>
    <t>INV FRA-004366</t>
  </si>
  <si>
    <t>Mir124 UC105</t>
  </si>
  <si>
    <t>Mir124 UC106</t>
  </si>
  <si>
    <t>Mir124 UC107</t>
  </si>
  <si>
    <t>detail sera fourni par Julien 06/2023</t>
  </si>
  <si>
    <t>additional activities for the safety data pooling project.</t>
  </si>
  <si>
    <t>INV 10081580</t>
  </si>
  <si>
    <t>INV 00010 23001561 RI</t>
  </si>
  <si>
    <t>INV 00010 23001562 RI</t>
  </si>
  <si>
    <t>INV 23260332 + INV 23260612 + INV 23260949 + INV 23261424 + INV 23262020</t>
  </si>
  <si>
    <t>31/01/2023 + 28/02/2023 + 31/03/2023 + 30/04/2023 + 30/06/2023</t>
  </si>
  <si>
    <t>INV SI_KSA2303775</t>
  </si>
  <si>
    <r>
      <t xml:space="preserve">P2472 - </t>
    </r>
    <r>
      <rPr>
        <b/>
        <sz val="11"/>
        <rFont val="Calibri"/>
        <family val="2"/>
        <scheme val="minor"/>
      </rPr>
      <t>P00205_2023</t>
    </r>
  </si>
  <si>
    <t>P00205_2023</t>
  </si>
  <si>
    <t>CHEMAXON</t>
  </si>
  <si>
    <t>Renewal contract</t>
  </si>
  <si>
    <t>SUNNIKAN</t>
  </si>
  <si>
    <r>
      <t xml:space="preserve">BCP_2023-090_2D - </t>
    </r>
    <r>
      <rPr>
        <b/>
        <sz val="11"/>
        <rFont val="Calibri"/>
        <family val="2"/>
        <scheme val="minor"/>
      </rPr>
      <t>P00202_2023</t>
    </r>
  </si>
  <si>
    <t>P00202_2023</t>
  </si>
  <si>
    <t>Formation ICH GCP E6 R2 (EMA/FDA) - 2 sessions (1/2 journée)</t>
  </si>
  <si>
    <r>
      <t xml:space="preserve">13040 - Achat - </t>
    </r>
    <r>
      <rPr>
        <b/>
        <sz val="11"/>
        <rFont val="Calibri"/>
        <family val="2"/>
        <scheme val="minor"/>
      </rPr>
      <t>P00209_2023</t>
    </r>
  </si>
  <si>
    <t>P00209_2023</t>
  </si>
  <si>
    <t>Achat wallet inner and outer for ABTECT</t>
  </si>
  <si>
    <r>
      <t xml:space="preserve">13040 - Achat - </t>
    </r>
    <r>
      <rPr>
        <b/>
        <sz val="11"/>
        <rFont val="Calibri"/>
        <family val="2"/>
        <scheme val="minor"/>
      </rPr>
      <t>P00210_2023</t>
    </r>
  </si>
  <si>
    <r>
      <t xml:space="preserve">13040 - Achat - </t>
    </r>
    <r>
      <rPr>
        <b/>
        <sz val="11"/>
        <rFont val="Calibri"/>
        <family val="2"/>
        <scheme val="minor"/>
      </rPr>
      <t>P00211_2023</t>
    </r>
  </si>
  <si>
    <t>P00210_2023</t>
  </si>
  <si>
    <t>P00211_2023</t>
  </si>
  <si>
    <t>INV AC230004</t>
  </si>
  <si>
    <t>INV AC230003</t>
  </si>
  <si>
    <t>INV AC230002</t>
  </si>
  <si>
    <r>
      <t xml:space="preserve">70373881-00 - </t>
    </r>
    <r>
      <rPr>
        <b/>
        <sz val="11"/>
        <rFont val="Calibri"/>
        <family val="2"/>
        <scheme val="minor"/>
      </rPr>
      <t>P00219_2023</t>
    </r>
  </si>
  <si>
    <t>P00219_2023</t>
  </si>
  <si>
    <t>Consomables Labo</t>
  </si>
  <si>
    <t>STEM CELL</t>
  </si>
  <si>
    <r>
      <t xml:space="preserve">commande du 18/07/2023 - </t>
    </r>
    <r>
      <rPr>
        <b/>
        <sz val="11"/>
        <rFont val="Calibri"/>
        <family val="2"/>
        <scheme val="minor"/>
      </rPr>
      <t>P00220_2023</t>
    </r>
  </si>
  <si>
    <t>P00220_2023</t>
  </si>
  <si>
    <t>TDB LABS</t>
  </si>
  <si>
    <r>
      <t xml:space="preserve">922 - </t>
    </r>
    <r>
      <rPr>
        <b/>
        <sz val="11"/>
        <rFont val="Calibri"/>
        <family val="2"/>
        <scheme val="minor"/>
      </rPr>
      <t>P00215_2023</t>
    </r>
  </si>
  <si>
    <t>P00215_2023</t>
  </si>
  <si>
    <r>
      <t xml:space="preserve">Quote 2021_02_08 - </t>
    </r>
    <r>
      <rPr>
        <b/>
        <sz val="11"/>
        <rFont val="Calibri"/>
        <family val="2"/>
        <scheme val="minor"/>
      </rPr>
      <t>P00208_2023</t>
    </r>
  </si>
  <si>
    <t>P00208_2023</t>
  </si>
  <si>
    <t>Computerized System Validation (CSV) global Strategy</t>
  </si>
  <si>
    <r>
      <t>SRV_21002_CO7 -</t>
    </r>
    <r>
      <rPr>
        <b/>
        <sz val="11"/>
        <rFont val="Calibri"/>
        <family val="2"/>
        <scheme val="minor"/>
      </rPr>
      <t xml:space="preserve"> P00207_2023</t>
    </r>
  </si>
  <si>
    <t>P00207_2023</t>
  </si>
  <si>
    <r>
      <t xml:space="preserve">PH23028_WO12 - </t>
    </r>
    <r>
      <rPr>
        <b/>
        <sz val="11"/>
        <rFont val="Calibri"/>
        <family val="2"/>
        <scheme val="minor"/>
      </rPr>
      <t>P00217_2023</t>
    </r>
  </si>
  <si>
    <t>TP906</t>
  </si>
  <si>
    <t>A 22/128</t>
  </si>
  <si>
    <t>PK hepatic impairment - Upon signature</t>
  </si>
  <si>
    <t>PK hepatic impairment - FPFV (start screening)</t>
  </si>
  <si>
    <t>PK hepatic impairment - 50% of mild and moderate group completed (total 8 patients)</t>
  </si>
  <si>
    <t>PK hepatic impairment - 50% of matched control group completed (total 8 subjects)</t>
  </si>
  <si>
    <t>PK hepatic impairment - 100% of mild and moderate group completed (total 8 patients each group)</t>
  </si>
  <si>
    <t>PK hepatic impairment - LPLV</t>
  </si>
  <si>
    <t>PK hepatic impairment - Data base lock (not later than 30 days after the last query is solved)</t>
  </si>
  <si>
    <t>PK hepatic impairment - Final study report (not later than 30 days after review comments of CRS were provided)</t>
  </si>
  <si>
    <t>INV 2023-KI-0087</t>
  </si>
  <si>
    <t>INV 53196308</t>
  </si>
  <si>
    <t>INV 8556</t>
  </si>
  <si>
    <t>INV BCG-0000172 + INV BCG-0000178</t>
  </si>
  <si>
    <t>31/03/2023 + 30/07/2023 (recu en 07/2023)</t>
  </si>
  <si>
    <t>INV BCG-0000178</t>
  </si>
  <si>
    <t>30/06/2023 (recu en 07/2023)</t>
  </si>
  <si>
    <t>INV 110018</t>
  </si>
  <si>
    <t>PJ20230218</t>
  </si>
  <si>
    <t>INV PJ20231324</t>
  </si>
  <si>
    <t>30/06/2023 (recu 07/2023)</t>
  </si>
  <si>
    <t>INV PJ20230301 + INV PJ20231324</t>
  </si>
  <si>
    <t>28/02/2023 + 30/06/2023 (recu 07/2023)</t>
  </si>
  <si>
    <t>INV PJ20231325</t>
  </si>
  <si>
    <t>INV PIN157346 + INV PIN160123 + INV PIN164249 + INV PIN166237 + INV PIN168319 + INV PIN171003 + INV PIN173358 + INV PIN175153</t>
  </si>
  <si>
    <t>25/11/2022 + 30/12/2022 + 10/02/2023 + 24/02/2028 + 31/03/2023 + 28/04/2023 + 26/05/2023 + 30/06/2023 (recu 07/2023)</t>
  </si>
  <si>
    <t>A CLOTURER ?</t>
  </si>
  <si>
    <t>A CLOTURER ? mail envoyé a Mary pour savoir si remplace PO00225 le 19/09/22</t>
  </si>
  <si>
    <t>Ocular exam ABX464 and ABX464-N-Glucuronide - 26-Week Carcinogenicity</t>
  </si>
  <si>
    <t>P00228_2023</t>
  </si>
  <si>
    <t>INV 005757564</t>
  </si>
  <si>
    <t>facturé via la facture ORION n° 109827 voir mail de Kira du 25/07/23</t>
  </si>
  <si>
    <t>RA302 - WO006 - PTC - EU Close out visits COMV</t>
  </si>
  <si>
    <t>INV 110040</t>
  </si>
  <si>
    <t>INV 94142234</t>
  </si>
  <si>
    <t>INV INC-324889</t>
  </si>
  <si>
    <t>INV 1032306744</t>
  </si>
  <si>
    <t>INV 58005680</t>
  </si>
  <si>
    <t>TP906 - Study design + protocol writting</t>
  </si>
  <si>
    <r>
      <t xml:space="preserve">WO63#2023 - </t>
    </r>
    <r>
      <rPr>
        <b/>
        <sz val="11"/>
        <rFont val="Calibri"/>
        <family val="2"/>
        <scheme val="minor"/>
      </rPr>
      <t>P00226_2023</t>
    </r>
  </si>
  <si>
    <t>P00226_2023</t>
  </si>
  <si>
    <t>ABX464 Quinolinone Process improvement</t>
  </si>
  <si>
    <t>Milling transfert feasability</t>
  </si>
  <si>
    <r>
      <t xml:space="preserve">Devis 12992 - </t>
    </r>
    <r>
      <rPr>
        <b/>
        <sz val="11"/>
        <rFont val="Calibri"/>
        <family val="2"/>
        <scheme val="minor"/>
      </rPr>
      <t>ALL PO</t>
    </r>
  </si>
  <si>
    <t>UC105 - ABX464 ABTECT - Centralisation PO</t>
  </si>
  <si>
    <r>
      <t xml:space="preserve">Devis 13040 ALL Amdt </t>
    </r>
    <r>
      <rPr>
        <b/>
        <sz val="11"/>
        <rFont val="Calibri"/>
        <family val="2"/>
        <scheme val="minor"/>
      </rPr>
      <t>ALL PO</t>
    </r>
  </si>
  <si>
    <r>
      <t xml:space="preserve">WO66#2023 - </t>
    </r>
    <r>
      <rPr>
        <b/>
        <sz val="11"/>
        <rFont val="Calibri"/>
        <family val="2"/>
        <scheme val="minor"/>
      </rPr>
      <t>P00242_2023</t>
    </r>
  </si>
  <si>
    <t>P00242_2023</t>
  </si>
  <si>
    <t>ABX464 Analytical validation</t>
  </si>
  <si>
    <t>THERMO FISHER CORK</t>
  </si>
  <si>
    <r>
      <t xml:space="preserve">A-CRKA-335410-R3 - </t>
    </r>
    <r>
      <rPr>
        <b/>
        <sz val="11"/>
        <rFont val="Calibri"/>
        <family val="2"/>
        <scheme val="minor"/>
      </rPr>
      <t>P00241_2023</t>
    </r>
  </si>
  <si>
    <t>P00241_2023</t>
  </si>
  <si>
    <r>
      <t xml:space="preserve">WO65#2023 - </t>
    </r>
    <r>
      <rPr>
        <b/>
        <sz val="11"/>
        <rFont val="Calibri"/>
        <family val="2"/>
        <scheme val="minor"/>
      </rPr>
      <t>P00243_2023</t>
    </r>
  </si>
  <si>
    <t>P00243_2023</t>
  </si>
  <si>
    <t xml:space="preserve">ABX464 Analytical transfert to Thermo Fisher </t>
  </si>
  <si>
    <t>EUROMEDEX</t>
  </si>
  <si>
    <r>
      <t xml:space="preserve">DE-45389 - </t>
    </r>
    <r>
      <rPr>
        <b/>
        <sz val="11"/>
        <rFont val="Calibri"/>
        <family val="2"/>
        <scheme val="minor"/>
      </rPr>
      <t>P00245_2023</t>
    </r>
  </si>
  <si>
    <t>P00245_2023</t>
  </si>
  <si>
    <t>Combo anti-integrin</t>
  </si>
  <si>
    <r>
      <t xml:space="preserve">DE-45419 - </t>
    </r>
    <r>
      <rPr>
        <b/>
        <sz val="11"/>
        <rFont val="Calibri"/>
        <family val="2"/>
        <scheme val="minor"/>
      </rPr>
      <t>P00246_2023</t>
    </r>
  </si>
  <si>
    <t>P00246_2023</t>
  </si>
  <si>
    <r>
      <t>DE-45451 -</t>
    </r>
    <r>
      <rPr>
        <b/>
        <sz val="11"/>
        <rFont val="Calibri"/>
        <family val="2"/>
        <scheme val="minor"/>
      </rPr>
      <t xml:space="preserve"> P00249_2023</t>
    </r>
  </si>
  <si>
    <t>P00249_2023</t>
  </si>
  <si>
    <r>
      <t xml:space="preserve">D5155278 - </t>
    </r>
    <r>
      <rPr>
        <b/>
        <sz val="11"/>
        <rFont val="Calibri"/>
        <family val="2"/>
        <scheme val="minor"/>
      </rPr>
      <t>P00247_2023</t>
    </r>
  </si>
  <si>
    <t>P00247_2023</t>
  </si>
  <si>
    <t>WP1 /2/3 - Implementation and Validation of manuf process ABX464</t>
  </si>
  <si>
    <t>WP4 - Implementation and Validation of manuf process ABX464</t>
  </si>
  <si>
    <t>Stability studies / apount including rebate</t>
  </si>
  <si>
    <r>
      <t xml:space="preserve">A-CRKA-335410-R3 - </t>
    </r>
    <r>
      <rPr>
        <b/>
        <sz val="11"/>
        <rFont val="Calibri"/>
        <family val="2"/>
        <scheme val="minor"/>
      </rPr>
      <t>P00240_2023</t>
    </r>
  </si>
  <si>
    <t>P00240_2023</t>
  </si>
  <si>
    <r>
      <t xml:space="preserve">1050397289 - </t>
    </r>
    <r>
      <rPr>
        <b/>
        <sz val="11"/>
        <rFont val="Calibri"/>
        <family val="2"/>
        <scheme val="minor"/>
      </rPr>
      <t>P00253_2023</t>
    </r>
  </si>
  <si>
    <t>P00253_2023</t>
  </si>
  <si>
    <t>Calibration pipettes</t>
  </si>
  <si>
    <t>INV OGPVTE230282</t>
  </si>
  <si>
    <t>INV FV23REC05684</t>
  </si>
  <si>
    <t>INV FV23REC05761</t>
  </si>
  <si>
    <t>INV FV23REC05760</t>
  </si>
  <si>
    <t>INV 00010 23001779 RI</t>
  </si>
  <si>
    <t>IV-06230622-ABI + IV-07230707-ABI + IV-07230706-ABI + IV-07230704-ABI</t>
  </si>
  <si>
    <t>30/06/2023 + 31/07/223 + 31/07/2023 + 31/07/2023</t>
  </si>
  <si>
    <t>INV 940533352 + INV 940535647 - AV 940535610</t>
  </si>
  <si>
    <t>24/06/2023 + 31/07/2023 + 30/07/2023</t>
  </si>
  <si>
    <t>INV 108985 + INV 108919 + INV 108920 + INV 109017 + INV 109064 + INV 109083 + INV 109102 + INV 109135 + INV 109178 + INV 109222 + INV 109243 + INV 109273 + INV 109307 + INV 109366 + INV 109418 + INV 109450 + INV 109475 + INV 109499 + INV 109536 + INV 109555 + INV 109593 + INV 109621 + INV 109649 + INV 109688 + INV 109749 + INV 109770 + INV 109797 + INV 109864 + INV 109881 + INV 109921 + INV 109946 + INV 110056</t>
  </si>
  <si>
    <t>(13/03/2018 + 23/04/2018 + 15/05/2018 + 26/06/2018 + 25/07/2018 + 04/09/2018)+(10/10/2018)+(26/11/2018)+(21/12/2018)+(14/01/2019)+(06/02/2019)+(12/03/2019)+(12/04/2019)+(20/06/2019)+(12/09/2019)+(30/10/2019)+11/11/2019+31/12/2019+31/12/2019bis+28/02/2020 + INV108931 07/05/2020 + INV 108955 04/06/2020 + 07/07/2020 + 30/04/2020 + 30/04/2020 +  INV 109017 20/08/2020 + 19/10/2020 + 13/11/2020 + 07/12/2020 + 14/01/2021 + 04/03/2021 + 15/04/2021 + 07/05/2021 + 07/06/2021 + 08/07/2021 + 27/08/2021 + 19/10/2021 + 17/11/2021 + 23/12/2021 + 19/01/2022 + 25/02/2022 + 10/03/2022 + 21/04/2022 + 23/05/2022 + 29/06/2022 + 21/07/2022 + 03/10/2022 + 19/10/2022 + 15/11/2022 + 16/02/2023 + 07/03/2023 + 11/04/2023 + 04/05/2023 + 31/07/2023</t>
  </si>
  <si>
    <t>INV S23-348281</t>
  </si>
  <si>
    <t>INV 58005753</t>
  </si>
  <si>
    <t>INV PJ20231325 + INV PJ20231487</t>
  </si>
  <si>
    <t>30/06/2023 (recu 07/2023) + 31/07/2023</t>
  </si>
  <si>
    <t>INV PJ20231324 + INV PJ20231486</t>
  </si>
  <si>
    <r>
      <t xml:space="preserve">SQ008139 - </t>
    </r>
    <r>
      <rPr>
        <b/>
        <sz val="11"/>
        <rFont val="Calibri"/>
        <family val="2"/>
        <scheme val="minor"/>
      </rPr>
      <t>P00259_2023</t>
    </r>
  </si>
  <si>
    <t>P00259_2023</t>
  </si>
  <si>
    <t>KO mir124</t>
  </si>
  <si>
    <r>
      <t xml:space="preserve">WO64#2023 - </t>
    </r>
    <r>
      <rPr>
        <b/>
        <sz val="11"/>
        <rFont val="Calibri"/>
        <family val="2"/>
        <scheme val="minor"/>
      </rPr>
      <t>P00265_2023</t>
    </r>
  </si>
  <si>
    <t>P00265_2023</t>
  </si>
  <si>
    <t>Obefazimod process validation campaign</t>
  </si>
  <si>
    <t>2023-2025</t>
  </si>
  <si>
    <r>
      <t xml:space="preserve">QTOC210016 - </t>
    </r>
    <r>
      <rPr>
        <b/>
        <sz val="11"/>
        <rFont val="Calibri"/>
        <family val="2"/>
        <scheme val="minor"/>
      </rPr>
      <t>P00267_2023</t>
    </r>
  </si>
  <si>
    <t>P00267_2023</t>
  </si>
  <si>
    <t>Licence annuelle OCEAlert + OCEAView</t>
  </si>
  <si>
    <r>
      <t xml:space="preserve">QTOC210014 - </t>
    </r>
    <r>
      <rPr>
        <b/>
        <sz val="11"/>
        <rFont val="Calibri"/>
        <family val="2"/>
        <scheme val="minor"/>
      </rPr>
      <t>P00266_2023</t>
    </r>
  </si>
  <si>
    <t>P00266_2023</t>
  </si>
  <si>
    <t>Etalonnage</t>
  </si>
  <si>
    <r>
      <t xml:space="preserve">QTOC210013 - </t>
    </r>
    <r>
      <rPr>
        <b/>
        <sz val="11"/>
        <rFont val="Calibri"/>
        <family val="2"/>
        <scheme val="minor"/>
      </rPr>
      <t>P00270_2023</t>
    </r>
  </si>
  <si>
    <t>P00270_2023</t>
  </si>
  <si>
    <r>
      <t xml:space="preserve">230804FR01681118CB - </t>
    </r>
    <r>
      <rPr>
        <b/>
        <sz val="11"/>
        <rFont val="Calibri"/>
        <family val="2"/>
        <scheme val="minor"/>
      </rPr>
      <t>P00268_2023</t>
    </r>
  </si>
  <si>
    <t>P00268_2023</t>
  </si>
  <si>
    <r>
      <t xml:space="preserve">20464774 - </t>
    </r>
    <r>
      <rPr>
        <b/>
        <sz val="11"/>
        <rFont val="Calibri"/>
        <family val="2"/>
        <scheme val="minor"/>
      </rPr>
      <t>P00269_2023</t>
    </r>
  </si>
  <si>
    <t>P00269_2023</t>
  </si>
  <si>
    <r>
      <t>0026P23GC OM2023-01v2 -</t>
    </r>
    <r>
      <rPr>
        <b/>
        <sz val="11"/>
        <rFont val="Calibri"/>
        <family val="2"/>
        <scheme val="minor"/>
      </rPr>
      <t xml:space="preserve"> P00273_2023</t>
    </r>
  </si>
  <si>
    <t>P00273_2023</t>
  </si>
  <si>
    <t>Audit Delpharm Lille</t>
  </si>
  <si>
    <t>INV 10001811 + INV 10000073</t>
  </si>
  <si>
    <t>22/06/2023 + 26/07/2023</t>
  </si>
  <si>
    <t>INV 2023-000348</t>
  </si>
  <si>
    <t>INV 4969 + INV 5044 + INV 5137 + INV 5199 + INV 5273 + INV 5364 + INV 5456 + INV 5541 + INV 5670</t>
  </si>
  <si>
    <t>30/11/2022 + 31/12/2022 + 31/01/2023 + 28/02/2023 + 31/03/2023 + 30/04/2023 + 31/05/2023 + 30/06/2023 (recu 07/2023) + 31/07/2023</t>
  </si>
  <si>
    <t>INV 59001252 + INV 9001282 + INV 59001286</t>
  </si>
  <si>
    <t>12/07/2023 + 24/07/2023 + 27/07/2023</t>
  </si>
  <si>
    <t>INVOC1012471</t>
  </si>
  <si>
    <t>INV 1913018 RI + INV 1914699 RI + INV 1914318 RI</t>
  </si>
  <si>
    <t>26/07/2023 + 07/08/2023 + 03/08/2023</t>
  </si>
  <si>
    <t>INV 109035 + INV 109059 + INV 109073 + 109107 + 109141 + INV 109158 + INV 109195 + INV 109214 + INV 109283 + INV 109315 + INV 109354 + INV 109382 + INV 109423 + INV 1109438 + INV 109476 + INV 109500 + INV 109561 + INV 109589 + INV 109613 + INV 109750 + INV 109769 + INV 109798 + INV 109847 + INV 109863 + INV 109882 + INV 109924 + INV 109984 + INV 110040 + INV 109958 + INV 110072</t>
  </si>
  <si>
    <t>15/09/2020 + 13/10/2020 + 05/11/2020 + 10/12/2020 + 25/01/2021 + 10/02/2021 + 11/03/2021 + 09/04/2021 + 14/06/2021 + 13/07/2021 + 16/08/2021 + 10/09/2021 + 21/10/2021 + 08/11/2021 + 23/12/2021 + 19/01/2022 + 18/03/2022 + 19/04/2022 + 11/05/2022 + 03/10/2022 + 19/10/2022 + 15/11/2022 + 24/01/2023 + 16/02/2023 + 07/03/2023 + 12/04/2023 + 06/06/2023 + 17/07/2023 + 09/05/2023 (recu en 07/2023) + 07/08/2023</t>
  </si>
  <si>
    <t>INV 109687 + INV 109985 + INV 11071</t>
  </si>
  <si>
    <t>20/07/2022 + 06/06/2023 + 07/08/2023</t>
  </si>
  <si>
    <t>INV 11071 dernière facture voir mail attaché du 07/08/2023</t>
  </si>
  <si>
    <t>INV 110069</t>
  </si>
  <si>
    <t>INV 030/2023 + INV 037/2023 + INV 044/2023</t>
  </si>
  <si>
    <t>31/05/2023 + 05/07/2023 + 16/08/2023</t>
  </si>
  <si>
    <t>INV 53199491</t>
  </si>
  <si>
    <t>Analytical method dev and validation blood plasma partitioning</t>
  </si>
  <si>
    <t>INV INC-327277</t>
  </si>
  <si>
    <t>INV FRA-003298 + INV FRA-003353 + INV FRA-003462 + INV FRA-003545 + INV FRA-003635 + INV FRA-003691 + INV FRA-003787 + INV FRA-003863 + INV FRA-003957 + INV FRA-004043 + INV FRA-004096 + INV FRA-004493</t>
  </si>
  <si>
    <t>11/05/2022 + 08/06/2022 + 18/07/2022 + 16/08/2022 + 13/09/2022 + 07/10/2022 + 08/11/2022 + 09/12/2022 + 12/01/2023 + 15/02/2023 + 09/03/2023 + 14/08/2023</t>
  </si>
  <si>
    <t>SRV_23057</t>
  </si>
  <si>
    <t>upon submission to CA and EC</t>
  </si>
  <si>
    <t>Upon 1st volunteer included</t>
  </si>
  <si>
    <t>Upon 10th volunteer included</t>
  </si>
  <si>
    <t>Upon 19th volunteer included</t>
  </si>
  <si>
    <t>Upon 28th volunteer included</t>
  </si>
  <si>
    <t>Upon acceptance of the Resultas final report</t>
  </si>
  <si>
    <r>
      <t xml:space="preserve">Quote 665708 - </t>
    </r>
    <r>
      <rPr>
        <b/>
        <sz val="11"/>
        <color rgb="FFFF0000"/>
        <rFont val="Calibri"/>
        <family val="2"/>
        <scheme val="minor"/>
      </rPr>
      <t>P00293_2022</t>
    </r>
    <r>
      <rPr>
        <sz val="11"/>
        <color rgb="FFFF0000"/>
        <rFont val="Calibri"/>
        <family val="2"/>
        <scheme val="minor"/>
      </rPr>
      <t xml:space="preserve"> - annulé par PO277_2023</t>
    </r>
  </si>
  <si>
    <t>WOFZA86006 - CO1</t>
  </si>
  <si>
    <t>Upon execution of CO1</t>
  </si>
  <si>
    <t>85% Patients randomised</t>
  </si>
  <si>
    <t>WO ZZA92069 - CO1</t>
  </si>
  <si>
    <t>WO ZZA92074 - CO1</t>
  </si>
  <si>
    <t>P00277_2023</t>
  </si>
  <si>
    <r>
      <t xml:space="preserve">Quote 665708 - </t>
    </r>
    <r>
      <rPr>
        <b/>
        <sz val="11"/>
        <color theme="1"/>
        <rFont val="Calibri"/>
        <family val="2"/>
        <scheme val="minor"/>
      </rPr>
      <t>P00277_2023</t>
    </r>
  </si>
  <si>
    <t>RiverArk</t>
  </si>
  <si>
    <r>
      <t xml:space="preserve">WO1 - </t>
    </r>
    <r>
      <rPr>
        <b/>
        <sz val="11"/>
        <rFont val="Calibri"/>
        <family val="2"/>
        <scheme val="minor"/>
      </rPr>
      <t>P00274_2023</t>
    </r>
  </si>
  <si>
    <t>P00274_2023</t>
  </si>
  <si>
    <t>3 on site audits (Q Sqaure, IQVIA, Investigator site California)</t>
  </si>
  <si>
    <t>Maintenance Matériel - 01/09/2023 au 31/08/2024</t>
  </si>
  <si>
    <r>
      <t xml:space="preserve">MB-34-0728/1 - </t>
    </r>
    <r>
      <rPr>
        <b/>
        <sz val="11"/>
        <rFont val="Calibri"/>
        <family val="2"/>
        <scheme val="minor"/>
      </rPr>
      <t>P00276_2023</t>
    </r>
  </si>
  <si>
    <t>P00276_2023</t>
  </si>
  <si>
    <r>
      <t xml:space="preserve">CPQ-02230249 - </t>
    </r>
    <r>
      <rPr>
        <b/>
        <sz val="11"/>
        <rFont val="Calibri"/>
        <family val="2"/>
        <scheme val="minor"/>
      </rPr>
      <t>P00279_2023</t>
    </r>
  </si>
  <si>
    <t>P00279_2023</t>
  </si>
  <si>
    <t>consommables labo</t>
  </si>
  <si>
    <t>Phase II ERA Assessment</t>
  </si>
  <si>
    <r>
      <t>OPP-318628 - CRL-514187 -</t>
    </r>
    <r>
      <rPr>
        <b/>
        <sz val="11"/>
        <rFont val="Calibri"/>
        <family val="2"/>
        <scheme val="minor"/>
      </rPr>
      <t xml:space="preserve"> P00284_2023</t>
    </r>
  </si>
  <si>
    <t xml:space="preserve"> P00284_2023</t>
  </si>
  <si>
    <r>
      <t>OPP-318628 - CRL-514188 -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</si>
  <si>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CRL-514189 -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</si>
  <si>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CRL-514190 -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</si>
  <si>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CRL-514191 -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</si>
  <si>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CRL-514192 -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</si>
  <si>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CRL-514193 -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</si>
  <si>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CRL-514194 -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</si>
  <si>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CRL-514195 -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</si>
  <si>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CRL-514198 -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</si>
  <si>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CRL-514200 -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</si>
  <si>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CRL-514203 -</t>
    </r>
    <r>
      <rPr>
        <b/>
        <sz val="11"/>
        <rFont val="Calibri"/>
        <family val="2"/>
        <scheme val="minor"/>
      </rPr>
      <t xml:space="preserve"> P00284_2023</t>
    </r>
  </si>
  <si>
    <t>JETPHARMA</t>
  </si>
  <si>
    <r>
      <t>23100080 SQ -</t>
    </r>
    <r>
      <rPr>
        <b/>
        <sz val="11"/>
        <rFont val="Calibri"/>
        <family val="2"/>
        <scheme val="minor"/>
      </rPr>
      <t xml:space="preserve"> P00283_2023</t>
    </r>
  </si>
  <si>
    <t>P00283_2023</t>
  </si>
  <si>
    <t>P00285_2023</t>
  </si>
  <si>
    <r>
      <t xml:space="preserve">M 22 3909-E - P00285_2023 - </t>
    </r>
    <r>
      <rPr>
        <sz val="11"/>
        <color rgb="FFFF0000"/>
        <rFont val="Calibri"/>
        <family val="2"/>
        <scheme val="minor"/>
      </rPr>
      <t xml:space="preserve">P00187_2022 annulé et remplacé </t>
    </r>
  </si>
  <si>
    <r>
      <t xml:space="preserve">CEVQ2023.08.01 - </t>
    </r>
    <r>
      <rPr>
        <b/>
        <sz val="11"/>
        <rFont val="Calibri"/>
        <family val="2"/>
        <scheme val="minor"/>
      </rPr>
      <t>P00287_2023</t>
    </r>
  </si>
  <si>
    <t>P00287_2023</t>
  </si>
  <si>
    <t>Occular exam juvenil Nglu</t>
  </si>
  <si>
    <r>
      <t xml:space="preserve">70385826-000 - </t>
    </r>
    <r>
      <rPr>
        <b/>
        <sz val="11"/>
        <rFont val="Calibri"/>
        <family val="2"/>
        <scheme val="minor"/>
      </rPr>
      <t>P00290_2023</t>
    </r>
  </si>
  <si>
    <t>P00290_2023</t>
  </si>
  <si>
    <r>
      <t xml:space="preserve">70386296-000 - </t>
    </r>
    <r>
      <rPr>
        <b/>
        <sz val="11"/>
        <rFont val="Calibri"/>
        <family val="2"/>
        <scheme val="minor"/>
      </rPr>
      <t>P00300_2023</t>
    </r>
  </si>
  <si>
    <t>P00300_2023</t>
  </si>
  <si>
    <t>GxP Manager</t>
  </si>
  <si>
    <r>
      <t xml:space="preserve">AFF23000401 - </t>
    </r>
    <r>
      <rPr>
        <b/>
        <sz val="11"/>
        <rFont val="Calibri"/>
        <family val="2"/>
        <scheme val="minor"/>
      </rPr>
      <t>P00294_2023</t>
    </r>
  </si>
  <si>
    <t>P00294_2023</t>
  </si>
  <si>
    <t>Cadrage initial Base contrat</t>
  </si>
  <si>
    <r>
      <t xml:space="preserve">0026P23GC OM2023-05v2 - </t>
    </r>
    <r>
      <rPr>
        <b/>
        <sz val="11"/>
        <rFont val="Calibri"/>
        <family val="2"/>
        <scheme val="minor"/>
      </rPr>
      <t>P00296_2023</t>
    </r>
  </si>
  <si>
    <t>P00296_2023</t>
  </si>
  <si>
    <t>Audit qualification - Patheon Cork</t>
  </si>
  <si>
    <t>P00295_2023</t>
  </si>
  <si>
    <r>
      <t xml:space="preserve">B 24 022 V1 - </t>
    </r>
    <r>
      <rPr>
        <b/>
        <sz val="11"/>
        <rFont val="Calibri"/>
        <family val="2"/>
        <scheme val="minor"/>
      </rPr>
      <t>P00295_2023</t>
    </r>
  </si>
  <si>
    <t>ABX464 Dissolution Tests</t>
  </si>
  <si>
    <r>
      <t xml:space="preserve">EVT89679 - </t>
    </r>
    <r>
      <rPr>
        <b/>
        <sz val="11"/>
        <rFont val="Calibri"/>
        <family val="2"/>
        <scheme val="minor"/>
      </rPr>
      <t>P00305_2023</t>
    </r>
  </si>
  <si>
    <t>P00305_2023</t>
  </si>
  <si>
    <t>Permeability measurment of Obefazimod</t>
  </si>
  <si>
    <r>
      <t xml:space="preserve">P2302161 - </t>
    </r>
    <r>
      <rPr>
        <b/>
        <sz val="11"/>
        <rFont val="Calibri"/>
        <family val="2"/>
        <scheme val="minor"/>
      </rPr>
      <t>P00303_2023</t>
    </r>
  </si>
  <si>
    <t>P00303_2023</t>
  </si>
  <si>
    <t>Synthèse de métabolites glucuroconjugués de l'hydroxy ABX464</t>
  </si>
  <si>
    <r>
      <t xml:space="preserve">SRV_23118 - </t>
    </r>
    <r>
      <rPr>
        <b/>
        <sz val="11"/>
        <rFont val="Calibri"/>
        <family val="2"/>
        <scheme val="minor"/>
      </rPr>
      <t>P00306_2023</t>
    </r>
  </si>
  <si>
    <t>P00306_2023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</si>
  <si>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  <r>
      <rPr>
        <sz val="11"/>
        <rFont val="Calibri"/>
        <family val="2"/>
        <scheme val="minor"/>
      </rPr>
      <t xml:space="preserve"> +</t>
    </r>
    <r>
      <rPr>
        <sz val="11"/>
        <color theme="9" tint="-0.249977111117893"/>
        <rFont val="Calibri"/>
        <family val="2"/>
        <scheme val="minor"/>
      </rPr>
      <t xml:space="preserve"> Amdt 004</t>
    </r>
    <r>
      <rPr>
        <sz val="11"/>
        <rFont val="Calibri"/>
        <family val="2"/>
        <scheme val="minor"/>
      </rPr>
      <t xml:space="preserve"> + </t>
    </r>
    <r>
      <rPr>
        <sz val="11"/>
        <color theme="7" tint="-0.249977111117893"/>
        <rFont val="Calibri"/>
        <family val="2"/>
        <scheme val="minor"/>
      </rPr>
      <t>Amdt 006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</si>
  <si>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  <r>
      <rPr>
        <sz val="11"/>
        <rFont val="Calibri"/>
        <family val="2"/>
        <scheme val="minor"/>
      </rPr>
      <t xml:space="preserve"> + </t>
    </r>
    <r>
      <rPr>
        <sz val="11"/>
        <color theme="4"/>
        <rFont val="Calibri"/>
        <family val="2"/>
        <scheme val="minor"/>
      </rPr>
      <t>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  <r>
      <rPr>
        <sz val="11"/>
        <rFont val="Calibri"/>
        <family val="2"/>
        <scheme val="minor"/>
      </rPr>
      <t xml:space="preserve"> + Amdt 006</t>
    </r>
  </si>
  <si>
    <t>RA ABX464-302 WO006 + Amdt 001 + Amdt 002 + Amdt 006</t>
  </si>
  <si>
    <t>RA ABX464-302 WO006  Amdt 2 + Amdt 006</t>
  </si>
  <si>
    <t>INV 109559 + INV 109627 + INV 109658 + INV 109701 + INV 109731 + INV 109753 + INV 109781 + INV 109927 + INV 109947 + INV 109988 + INV 110038 + INV 110058</t>
  </si>
  <si>
    <t>05/05/2022 + 01/06/2022 + 01/07/2022 + 02/08/2022 + 05/09/2022 + 04/10/2022 + 03/11/2022 + 17/04/2023 + 04/05/2023 + 07/06/2023 + 17/07/2023 + 02/08/2023</t>
  </si>
  <si>
    <t>INV 940536638 + INV 940536566 + INV 940536818 + INV 940537078</t>
  </si>
  <si>
    <t>22/08/2023 + 19/08/2023 + 25/08/2023 + 30/08/2023</t>
  </si>
  <si>
    <t>Détermination concentration ABX464 et Nglu UC105</t>
  </si>
  <si>
    <t>INV PJ20231487 + INV PJ20231055</t>
  </si>
  <si>
    <t>31/07/2023 + 30/06/2023 (reçu 08/2023)</t>
  </si>
  <si>
    <t>INV PJ20231055</t>
  </si>
  <si>
    <t>30/06/2023 (reçu 08/2023)</t>
  </si>
  <si>
    <t>INV PJ20231055 + INV PJ20231733</t>
  </si>
  <si>
    <t>30/06/2023 (reçu 08/2023) + 31/08/2023</t>
  </si>
  <si>
    <t>INV PJ20231486 + INV PJ20231757</t>
  </si>
  <si>
    <t>31/07/2023 + 31/08/2023</t>
  </si>
  <si>
    <t>INV PJ20231757</t>
  </si>
  <si>
    <t>INV PJ20231757 + INV PJ20231056</t>
  </si>
  <si>
    <t>31/08/2023 + 30/06/2023 (recu 08/2023)</t>
  </si>
  <si>
    <t>INV FRA-004523</t>
  </si>
  <si>
    <t>INV FRA-004528</t>
  </si>
  <si>
    <t>INV FRA-004521</t>
  </si>
  <si>
    <t>INV FRA-004519</t>
  </si>
  <si>
    <t>INV 110085</t>
  </si>
  <si>
    <t>INV 20221202373 + INV 20230202412 + INV 20230302450 + INV 20230402479</t>
  </si>
  <si>
    <t>30/12/2022 + 28/02/2023 + 31/03/2023 + 31/04/2023</t>
  </si>
  <si>
    <t>P00285_2022</t>
  </si>
  <si>
    <r>
      <t>Quote 20220106_01_NBR_V02 -</t>
    </r>
    <r>
      <rPr>
        <b/>
        <sz val="11"/>
        <rFont val="Calibri"/>
        <family val="2"/>
        <scheme val="minor"/>
      </rPr>
      <t xml:space="preserve"> P00285_2022</t>
    </r>
  </si>
  <si>
    <t>INV PJ20231963</t>
  </si>
  <si>
    <t>INV PJ20231968</t>
  </si>
  <si>
    <t>DHODH1</t>
  </si>
  <si>
    <t>ABX464 + DH</t>
  </si>
  <si>
    <t>EVT86332 + EVT86333</t>
  </si>
  <si>
    <t>2m€ / an pour les 2 études</t>
  </si>
  <si>
    <t>INV 0097-23-06-B03 + INV 0116-23-08-B01 + INV 0117-23-08-B01</t>
  </si>
  <si>
    <t>30/06/2023 (recu 07/2023) + 31/08/2023 + 31/08/2023</t>
  </si>
  <si>
    <t>INV F23001094</t>
  </si>
  <si>
    <t>INV F22000692 + INV F22000969 + F22001380 + INV FE23000112 + INV F23000394 + INV F23001092 + INV F23001093</t>
  </si>
  <si>
    <t>31/05/2022 + 28/07/2022 + 28/10/2022 + 31/01/2023 + 31/03/2023 + 28/08/2023 + 28/08/2023</t>
  </si>
  <si>
    <t>INV 9216166310</t>
  </si>
  <si>
    <t>INV 204721 + INV 204724</t>
  </si>
  <si>
    <t>24/08/2023 + 14/09/2023</t>
  </si>
  <si>
    <t>INV 101 + INV 90</t>
  </si>
  <si>
    <t>23/09/2022 - 07/09/2023</t>
  </si>
  <si>
    <t>INV FRA-004591</t>
  </si>
  <si>
    <t>FVA230323</t>
  </si>
  <si>
    <t>INV 2023_52 + INV 2023_102</t>
  </si>
  <si>
    <t>15/06/2023 + 18/09/2023</t>
  </si>
  <si>
    <r>
      <t xml:space="preserve">PH23028_WO13 - </t>
    </r>
    <r>
      <rPr>
        <b/>
        <sz val="11"/>
        <rFont val="Calibri"/>
        <family val="2"/>
        <scheme val="minor"/>
      </rPr>
      <t>P00307_2023</t>
    </r>
  </si>
  <si>
    <t>P00307_2023</t>
  </si>
  <si>
    <t>TP906 - PK analysis CSR writing and Study coordination - at signature</t>
  </si>
  <si>
    <t>TP906 - PK analysis CSR writing and Study coordination - at completion of SAP</t>
  </si>
  <si>
    <t>TP906 - PK analysis CSR writing and Study coordination -  at completion of PK analysis Part A</t>
  </si>
  <si>
    <t>TP906 - PK analysis CSR writing and Study coordination -  at completion of PK analysis Part B</t>
  </si>
  <si>
    <t>TP906 - PK analysis CSR writing and Study coordination - At sending of SDTM and ADaM PK package</t>
  </si>
  <si>
    <t>TP906 - PK analysis CSR writing and Study coordination - At release of the CSR</t>
  </si>
  <si>
    <t>INV F23-1618</t>
  </si>
  <si>
    <r>
      <t xml:space="preserve">OPP-319365 - CRL-501342 - </t>
    </r>
    <r>
      <rPr>
        <b/>
        <sz val="11"/>
        <rFont val="Calibri"/>
        <family val="2"/>
        <scheme val="minor"/>
      </rPr>
      <t>P00308_2023</t>
    </r>
  </si>
  <si>
    <t>P00308_2023</t>
  </si>
  <si>
    <r>
      <t xml:space="preserve">OPP-319365 - CRL-501343 - </t>
    </r>
    <r>
      <rPr>
        <b/>
        <sz val="11"/>
        <rFont val="Calibri"/>
        <family val="2"/>
        <scheme val="minor"/>
      </rPr>
      <t>P00309_2023</t>
    </r>
  </si>
  <si>
    <t>P00309_2023</t>
  </si>
  <si>
    <r>
      <t xml:space="preserve">OPP-319365 - CRL-501341 - </t>
    </r>
    <r>
      <rPr>
        <b/>
        <sz val="11"/>
        <rFont val="Calibri"/>
        <family val="2"/>
        <scheme val="minor"/>
      </rPr>
      <t>P00310_2023</t>
    </r>
  </si>
  <si>
    <t>P00310_2023</t>
  </si>
  <si>
    <t>OC910 - Sample analysis for quatification ABX464 &amp; Nglu in plasma</t>
  </si>
  <si>
    <t>HI908 - Sample analysis for quatification ABX464 &amp; Nglu in plasma</t>
  </si>
  <si>
    <r>
      <t>Commande internet -</t>
    </r>
    <r>
      <rPr>
        <b/>
        <sz val="11"/>
        <rFont val="Calibri"/>
        <family val="2"/>
        <scheme val="minor"/>
      </rPr>
      <t xml:space="preserve"> P00314_2023</t>
    </r>
  </si>
  <si>
    <t>P00314_2023</t>
  </si>
  <si>
    <t>NucleoType Mouse PCR + miRNA</t>
  </si>
  <si>
    <r>
      <t xml:space="preserve">0026P23Gc OM2023-06v1 - </t>
    </r>
    <r>
      <rPr>
        <b/>
        <sz val="11"/>
        <rFont val="Calibri"/>
        <family val="2"/>
        <scheme val="minor"/>
      </rPr>
      <t>P00315_2023</t>
    </r>
  </si>
  <si>
    <t>P00315_2023</t>
  </si>
  <si>
    <t>Routine audit SEQENS LAHR</t>
  </si>
  <si>
    <r>
      <t xml:space="preserve">Q22000509117 - </t>
    </r>
    <r>
      <rPr>
        <b/>
        <sz val="11"/>
        <rFont val="Calibri"/>
        <family val="2"/>
        <scheme val="minor"/>
      </rPr>
      <t>P00319_2023</t>
    </r>
  </si>
  <si>
    <t>P00319_2023</t>
  </si>
  <si>
    <t>PSD analyses of ABX464 samples</t>
  </si>
  <si>
    <t>P00322_2023</t>
  </si>
  <si>
    <t>Qualification of primary standard of ABX464</t>
  </si>
  <si>
    <r>
      <t xml:space="preserve">70388257-00 - </t>
    </r>
    <r>
      <rPr>
        <b/>
        <sz val="11"/>
        <rFont val="Calibri"/>
        <family val="2"/>
        <scheme val="minor"/>
      </rPr>
      <t>P00325_2023</t>
    </r>
  </si>
  <si>
    <t>P00325_2023</t>
  </si>
  <si>
    <r>
      <t xml:space="preserve">Quote 2021_02_09 - </t>
    </r>
    <r>
      <rPr>
        <b/>
        <sz val="11"/>
        <rFont val="Calibri"/>
        <family val="2"/>
        <scheme val="minor"/>
      </rPr>
      <t>P00326_2023</t>
    </r>
  </si>
  <si>
    <t>P00326_2023</t>
  </si>
  <si>
    <t>Audits of 3 subcontractors ERBC, Charles River Den Bosh, Cell Carta</t>
  </si>
  <si>
    <t>INV 58005930</t>
  </si>
  <si>
    <t>INV PJ20231733 + INV PJ20232057</t>
  </si>
  <si>
    <t>31/08/2023 + 30/09/2023</t>
  </si>
  <si>
    <t>INV 0808/23 + INV 0125/24</t>
  </si>
  <si>
    <t>30/05/2023 + 28/09/2023</t>
  </si>
  <si>
    <t>INV 10000354</t>
  </si>
  <si>
    <t>INV 10000351</t>
  </si>
  <si>
    <t>INV 10000350</t>
  </si>
  <si>
    <t>INV 10000237</t>
  </si>
  <si>
    <t>INV 47612235</t>
  </si>
  <si>
    <t>30/06/2023 (recu 09/2023)</t>
  </si>
  <si>
    <t>INV 110100</t>
  </si>
  <si>
    <t xml:space="preserve"> </t>
  </si>
  <si>
    <t>INV 6296 + INV 6326 - CR398 + INV 6392 + INV SIN000006 + INV SIN000699 + INV SIN000797 - SCR000060 + INV SIN000929 + NV SIN000976</t>
  </si>
  <si>
    <t>OGPVTE230324</t>
  </si>
  <si>
    <t>INV 1032308213 + INV 1032308214</t>
  </si>
  <si>
    <t>11/09/2023 + 11/09/2023</t>
  </si>
  <si>
    <t>INV 1032308011 + INV 1032308055</t>
  </si>
  <si>
    <t>04/09/2023 + 05/09/2023</t>
  </si>
  <si>
    <t>PJ20231996</t>
  </si>
  <si>
    <t>WP1. 2 steps dissolution measurements in fed human models</t>
  </si>
  <si>
    <t>WP2. 2 steps dissolution measurements in fasted human models</t>
  </si>
  <si>
    <t>INV INC-329648</t>
  </si>
  <si>
    <t>INV FRA-002936 + INV FRA-003032 + INV FRA-003081 + INV FRA-003184 + INV FRA-003230 - AV FRA-003300 + INV FRA-003352 - AV FRA-003465 + INV FRA-003542 + INV FRA-003634 + INV FRA-003693 + INV FRA-003786 + INV FRA-003861 - INV FRA-003958 + INV FRA-004042 + INV FRA-004090 + INV FRA-004177 + INV FRA-004261 + INV FRA-004324 + INV FRA-004420 + INV FRA-004488 + INV FRA-004572</t>
  </si>
  <si>
    <t>07/12/2021 + 14/01/2022 + 09/02/2022 + 21/03/2022 + 08/04/2022 + 11/05/2022 + 08/06/2022 + 18/07/2022 + 16/08/2022 + 13/09/2022 + 07/10/2022 + 08/11/2022 + 09/12/2022 - 13/01/2023 + 15/02/2023 + 14/03/2023 + 13/04/2023 + 15/05/2023 + 15/06/2023 + 17/07/2023 + 14/08/2023 + 14/09/2023</t>
  </si>
  <si>
    <t>INV 3637628 + INV 3689505</t>
  </si>
  <si>
    <t>21/06/2023 + 13/09/2023</t>
  </si>
  <si>
    <t>INV PHI2300610</t>
  </si>
  <si>
    <t>Storage for all samples form EUROFINS</t>
  </si>
  <si>
    <t>INV FRA-004597</t>
  </si>
  <si>
    <t>INV 58006097</t>
  </si>
  <si>
    <t>INV OGPVTE230333</t>
  </si>
  <si>
    <t>INV F22001693</t>
  </si>
  <si>
    <t>Histopathology Scoring ABX464-105 - année 2022</t>
  </si>
  <si>
    <t>Histopathology Scoring ABX464-105 - année 2023</t>
  </si>
  <si>
    <t>Histopathology Scoring ABX464-105 - année 2024</t>
  </si>
  <si>
    <t>Histopathology Scoring ABX464-105 - année 2025</t>
  </si>
  <si>
    <t>INV F22001694</t>
  </si>
  <si>
    <t>Histopathology Scoring ABX464-106 - année 2022</t>
  </si>
  <si>
    <t>Histopathology Scoring ABX464-106 - année 2023</t>
  </si>
  <si>
    <t>Histopathology Scoring ABX464-106 - année 2024</t>
  </si>
  <si>
    <t>Histopathology Scoring ABX464-106 - année 2025</t>
  </si>
  <si>
    <t>Histopathology Scoring ABX464-107 - année 2023</t>
  </si>
  <si>
    <t>Histopathology Scoring ABX464-107 - année 2024</t>
  </si>
  <si>
    <t>Histopathology Scoring ABX464-107 - année 2025</t>
  </si>
  <si>
    <t>08/2023 sera facturé en 10/2023 voir mail Julien</t>
  </si>
  <si>
    <t>INV 1032308804 + 1032308700</t>
  </si>
  <si>
    <t>28/09/2023 + 26/09/2023</t>
  </si>
  <si>
    <t>INV FAC/L/21/0473 + INV FAC/L/21/0519 + INV FAC/L/21/0561 + INV FAC/L/22/0041 + INV FAC/L/23/0227 + INV FAC/L/23/0313 + INV FAC/L/23/0386</t>
  </si>
  <si>
    <t>30/09/2021 + 29/10/2021 + 30/11/2021 + 28/02/2022 + 31/05/2023 + 31/07/2023 + 29/09/2023</t>
  </si>
  <si>
    <t>PJ001223-001</t>
  </si>
  <si>
    <r>
      <t xml:space="preserve">D-230705 + D-230291 - </t>
    </r>
    <r>
      <rPr>
        <b/>
        <sz val="11"/>
        <rFont val="Calibri"/>
        <family val="2"/>
        <scheme val="minor"/>
      </rPr>
      <t>P00328_2023</t>
    </r>
  </si>
  <si>
    <t>P00328_2023</t>
  </si>
  <si>
    <t>Training sessions at Paris Office</t>
  </si>
  <si>
    <r>
      <t xml:space="preserve">Devis n°36 - </t>
    </r>
    <r>
      <rPr>
        <b/>
        <sz val="11"/>
        <rFont val="Calibri"/>
        <family val="2"/>
        <scheme val="minor"/>
      </rPr>
      <t>P00329_2023</t>
    </r>
  </si>
  <si>
    <t>P00329_2023</t>
  </si>
  <si>
    <t>Audit GLP Labcorp Huntingdon - UK</t>
  </si>
  <si>
    <r>
      <t xml:space="preserve">WO69#2023 - </t>
    </r>
    <r>
      <rPr>
        <b/>
        <sz val="11"/>
        <rFont val="Calibri"/>
        <family val="2"/>
        <scheme val="minor"/>
      </rPr>
      <t>P00331_2023</t>
    </r>
  </si>
  <si>
    <t>P00331_2023</t>
  </si>
  <si>
    <r>
      <t xml:space="preserve">OCS/L/23/3586 - </t>
    </r>
    <r>
      <rPr>
        <b/>
        <sz val="11"/>
        <rFont val="Calibri"/>
        <family val="2"/>
        <scheme val="minor"/>
      </rPr>
      <t>P00334_2023</t>
    </r>
  </si>
  <si>
    <t>P00334_2023</t>
  </si>
  <si>
    <t>Ingénieur staticticien confirmé (115 € / h) - 320h</t>
  </si>
  <si>
    <r>
      <t xml:space="preserve">CSL_23080 - </t>
    </r>
    <r>
      <rPr>
        <b/>
        <sz val="11"/>
        <rFont val="Calibri"/>
        <family val="2"/>
        <scheme val="minor"/>
      </rPr>
      <t>P00333_2023</t>
    </r>
  </si>
  <si>
    <t>P00333_2023</t>
  </si>
  <si>
    <t>Accompagnement RFP Clinical Supply</t>
  </si>
  <si>
    <t>ROSENZWEIG CONSEIL</t>
  </si>
  <si>
    <r>
      <t xml:space="preserve">Abivax 9-19-2023 - </t>
    </r>
    <r>
      <rPr>
        <b/>
        <sz val="11"/>
        <rFont val="Calibri"/>
        <family val="2"/>
        <scheme val="minor"/>
      </rPr>
      <t>P00332_2023 - remplace le PO00298</t>
    </r>
  </si>
  <si>
    <t>Sample analysis ABX464 &amp; Nglu in human Plasma</t>
  </si>
  <si>
    <t>Transfer of Method quatification of Rosuvastatin in human plasma</t>
  </si>
  <si>
    <t>Partial validation of method quantification of Rosuvastatin in human plasma</t>
  </si>
  <si>
    <t>P00330_2023</t>
  </si>
  <si>
    <r>
      <t>OPP-322222 - CRL-519043</t>
    </r>
    <r>
      <rPr>
        <b/>
        <sz val="11"/>
        <rFont val="Calibri"/>
        <family val="2"/>
        <scheme val="minor"/>
      </rPr>
      <t xml:space="preserve"> - P00337_2023</t>
    </r>
  </si>
  <si>
    <t>P00337_2023</t>
  </si>
  <si>
    <r>
      <t>OPP-322222 - CRL-519044</t>
    </r>
    <r>
      <rPr>
        <b/>
        <sz val="11"/>
        <rFont val="Calibri"/>
        <family val="2"/>
        <scheme val="minor"/>
      </rPr>
      <t xml:space="preserve"> - P00337_2023</t>
    </r>
  </si>
  <si>
    <r>
      <t xml:space="preserve">OPP-322222 - CRL-519045 - </t>
    </r>
    <r>
      <rPr>
        <b/>
        <sz val="11"/>
        <rFont val="Calibri"/>
        <family val="2"/>
        <scheme val="minor"/>
      </rPr>
      <t>P00337_2023</t>
    </r>
  </si>
  <si>
    <t>Réanalyse de lot 103508P004</t>
  </si>
  <si>
    <t>P00339_2023</t>
  </si>
  <si>
    <t>PSD validation</t>
  </si>
  <si>
    <r>
      <t xml:space="preserve">Q-2023-1410 - </t>
    </r>
    <r>
      <rPr>
        <b/>
        <sz val="11"/>
        <rFont val="Calibri"/>
        <family val="2"/>
        <scheme val="minor"/>
      </rPr>
      <t>P00341_2023</t>
    </r>
  </si>
  <si>
    <t>P00341_2023</t>
  </si>
  <si>
    <t>Digital PCR quantification mir124</t>
  </si>
  <si>
    <t>CADORET</t>
  </si>
  <si>
    <r>
      <t xml:space="preserve">SOW #2023-01 - </t>
    </r>
    <r>
      <rPr>
        <b/>
        <sz val="11"/>
        <rFont val="Calibri"/>
        <family val="2"/>
        <scheme val="minor"/>
      </rPr>
      <t>P00342_2023</t>
    </r>
  </si>
  <si>
    <t>P00342_2023</t>
  </si>
  <si>
    <t>Documentary based audits of 3 CDMOs in US + 1 on site audit</t>
  </si>
  <si>
    <r>
      <t>L23_3872A -</t>
    </r>
    <r>
      <rPr>
        <b/>
        <sz val="11"/>
        <rFont val="Calibri"/>
        <family val="2"/>
        <scheme val="minor"/>
      </rPr>
      <t xml:space="preserve"> P00344_2023</t>
    </r>
  </si>
  <si>
    <t>P00344_2023</t>
  </si>
  <si>
    <t>Prélèvement et envoi de 580g du lot 22015440</t>
  </si>
  <si>
    <t>QUOTIENT</t>
  </si>
  <si>
    <r>
      <t xml:space="preserve">QS302227 - </t>
    </r>
    <r>
      <rPr>
        <b/>
        <sz val="11"/>
        <rFont val="Calibri"/>
        <family val="2"/>
        <scheme val="minor"/>
      </rPr>
      <t>P00350_2023</t>
    </r>
  </si>
  <si>
    <t>P00350_2023</t>
  </si>
  <si>
    <t>Purification and analysis of non GMP ABX464</t>
  </si>
  <si>
    <r>
      <t xml:space="preserve">20475448 - </t>
    </r>
    <r>
      <rPr>
        <b/>
        <sz val="11"/>
        <rFont val="Calibri"/>
        <family val="2"/>
        <scheme val="minor"/>
      </rPr>
      <t>P00353_2023</t>
    </r>
  </si>
  <si>
    <t>P00353_2023</t>
  </si>
  <si>
    <t>Souris femelle</t>
  </si>
  <si>
    <r>
      <t xml:space="preserve">Q170237 - </t>
    </r>
    <r>
      <rPr>
        <b/>
        <sz val="11"/>
        <rFont val="Calibri"/>
        <family val="2"/>
        <scheme val="minor"/>
      </rPr>
      <t>P00354_2023</t>
    </r>
  </si>
  <si>
    <t>P00354_2023</t>
  </si>
  <si>
    <t>mir124 KO mice - Production of 24 HOM miR124</t>
  </si>
  <si>
    <t>13730-3 - ALL PO</t>
  </si>
  <si>
    <t>Secondary packaging labeling and distribution ABX464-906</t>
  </si>
  <si>
    <r>
      <t xml:space="preserve">OPP-185865 - CRL-278829 - </t>
    </r>
    <r>
      <rPr>
        <b/>
        <sz val="11"/>
        <rFont val="Calibri"/>
        <family val="2"/>
        <scheme val="minor"/>
      </rPr>
      <t>P00356_2023</t>
    </r>
  </si>
  <si>
    <t>P00356_2023</t>
  </si>
  <si>
    <t>P00357_2023</t>
  </si>
  <si>
    <t>CD202</t>
  </si>
  <si>
    <t>SRV_23176 - ATP</t>
  </si>
  <si>
    <t>CD202 - Pre-Payment Due Upon ATP Execution</t>
  </si>
  <si>
    <t>CD202 - PTC - Pre-Payment Due Upon ATP Execution</t>
  </si>
  <si>
    <t>CD202 - Monthly expenses instalment</t>
  </si>
  <si>
    <t>INV INC-332966</t>
  </si>
  <si>
    <t>dépassement de 70 537,91 €, mail envoyé à Josianne le 23/10/2023</t>
  </si>
  <si>
    <t>INV FRA-004663</t>
  </si>
  <si>
    <t>INV FTI-000002</t>
  </si>
  <si>
    <t>UPC-2023-022</t>
  </si>
  <si>
    <t>INV FTI-000006</t>
  </si>
  <si>
    <t>INVOC1013280</t>
  </si>
  <si>
    <t>Carcino 6 mois souris - signature amendment</t>
  </si>
  <si>
    <t>INV 58006147</t>
  </si>
  <si>
    <t>FAC-23-328</t>
  </si>
  <si>
    <t>15/08/2023 + 10/10/2023</t>
  </si>
  <si>
    <t>INV 47037994 + INV 47038892</t>
  </si>
  <si>
    <t>INV 47038892</t>
  </si>
  <si>
    <t>Détermination concentration ABX464 et Nglu UC106</t>
  </si>
  <si>
    <t>INV 23002270 RI</t>
  </si>
  <si>
    <r>
      <t xml:space="preserve">WO#67-2023 - </t>
    </r>
    <r>
      <rPr>
        <b/>
        <sz val="11"/>
        <rFont val="Calibri"/>
        <family val="2"/>
        <scheme val="minor"/>
      </rPr>
      <t>P00323_2023</t>
    </r>
  </si>
  <si>
    <t>P00323_2023</t>
  </si>
  <si>
    <t>INV 00010 23002228 RI</t>
  </si>
  <si>
    <t>Technical support for process transfer at Thermofisher</t>
  </si>
  <si>
    <r>
      <t xml:space="preserve">QAR-01.01_CH.22.10-001.01 - </t>
    </r>
    <r>
      <rPr>
        <b/>
        <sz val="11"/>
        <rFont val="Calibri"/>
        <family val="2"/>
        <scheme val="minor"/>
      </rPr>
      <t>P00359_2023</t>
    </r>
  </si>
  <si>
    <t>P00359_2023</t>
  </si>
  <si>
    <t>Adjustement of Oral Formulation Dev</t>
  </si>
  <si>
    <r>
      <t xml:space="preserve">L21_3437C_A1 - </t>
    </r>
    <r>
      <rPr>
        <b/>
        <sz val="11"/>
        <rFont val="Calibri"/>
        <family val="2"/>
        <scheme val="minor"/>
      </rPr>
      <t>P00361_2023</t>
    </r>
  </si>
  <si>
    <t>P00361_2023</t>
  </si>
  <si>
    <t>Achat réactif CETYLTRIMETHYLAMMONIUM</t>
  </si>
  <si>
    <r>
      <t xml:space="preserve">Abivax 10-10-2023 - </t>
    </r>
    <r>
      <rPr>
        <b/>
        <sz val="11"/>
        <rFont val="Calibri"/>
        <family val="2"/>
        <scheme val="minor"/>
      </rPr>
      <t>P00370_2023</t>
    </r>
  </si>
  <si>
    <t>P00370_2023</t>
  </si>
  <si>
    <r>
      <t xml:space="preserve">B 24 039 v1 - </t>
    </r>
    <r>
      <rPr>
        <b/>
        <sz val="11"/>
        <rFont val="Calibri"/>
        <family val="2"/>
        <scheme val="minor"/>
      </rPr>
      <t>P00371_2023</t>
    </r>
  </si>
  <si>
    <t>P00371_2023</t>
  </si>
  <si>
    <r>
      <t xml:space="preserve">Devis 55 / 2023 / ZEFI - </t>
    </r>
    <r>
      <rPr>
        <b/>
        <sz val="11"/>
        <rFont val="Calibri"/>
        <family val="2"/>
        <scheme val="minor"/>
      </rPr>
      <t>P00372_2023</t>
    </r>
  </si>
  <si>
    <t>P00372_2023</t>
  </si>
  <si>
    <t>Hébergement en portoir ventilé (cage/semaine) T1-T2-T3-2023</t>
  </si>
  <si>
    <t>SCANTOX</t>
  </si>
  <si>
    <r>
      <t xml:space="preserve">2694/ATH - </t>
    </r>
    <r>
      <rPr>
        <b/>
        <sz val="11"/>
        <rFont val="Calibri"/>
        <family val="2"/>
        <scheme val="minor"/>
      </rPr>
      <t>P00377_2023</t>
    </r>
  </si>
  <si>
    <t>P00377_2023</t>
  </si>
  <si>
    <t>Renewal archiving minipig studies</t>
  </si>
  <si>
    <t>P00378_2023</t>
  </si>
  <si>
    <t>Phase I DDI BCRP</t>
  </si>
  <si>
    <r>
      <t xml:space="preserve">7002769-00 - </t>
    </r>
    <r>
      <rPr>
        <b/>
        <sz val="11"/>
        <rFont val="Calibri"/>
        <family val="2"/>
        <scheme val="minor"/>
      </rPr>
      <t>P00383_2023</t>
    </r>
  </si>
  <si>
    <t>P00383_2023</t>
  </si>
  <si>
    <t>Maintenance Machine Labo 2022-2023 (14/12/2023 au 13/12/2024)</t>
  </si>
  <si>
    <r>
      <t xml:space="preserve">Commande internet - </t>
    </r>
    <r>
      <rPr>
        <b/>
        <sz val="11"/>
        <rFont val="Calibri"/>
        <family val="2"/>
        <scheme val="minor"/>
      </rPr>
      <t>P00384_2023</t>
    </r>
  </si>
  <si>
    <t>P00384_2023</t>
  </si>
  <si>
    <t>HY-19569-500mg</t>
  </si>
  <si>
    <r>
      <t xml:space="preserve">LOI - TP906 - WO - </t>
    </r>
    <r>
      <rPr>
        <b/>
        <sz val="11"/>
        <rFont val="Calibri"/>
        <family val="2"/>
        <scheme val="minor"/>
      </rPr>
      <t>P00378_2023</t>
    </r>
  </si>
  <si>
    <t>LOI - TP906 - Serra a écraser par le WO (soon 09/2023)</t>
  </si>
  <si>
    <t>Phase I DDI BCRP - Signature of contract</t>
  </si>
  <si>
    <t>Phase I DDI BCRP - FPI part A</t>
  </si>
  <si>
    <t>Phase I DDI BCRP - LPI part A</t>
  </si>
  <si>
    <t>Phase I DDI BCRP - LPI part B</t>
  </si>
  <si>
    <t>Phase I DDI BCRP - Database Lock</t>
  </si>
  <si>
    <t>Phase I DDI BCRP - Close out visit</t>
  </si>
  <si>
    <t>Phase I DDI BCRP - PTC</t>
  </si>
  <si>
    <t>Phase I DDI BCRP - Compensation to volunteers costs</t>
  </si>
  <si>
    <t>LOI Ecrasée par le WO</t>
  </si>
  <si>
    <t>INV 22300131 + INV 22300289 + INV 22300505 + INV 22300564 + INV 22300689 + INV 22301153 + INV 23301265</t>
  </si>
  <si>
    <t>23/01/2023 + 20/02/2023 + 23/03/2023 + 19/04/2023 + 23/05/2023 + 22/09/2023 + 20/10/2023</t>
  </si>
  <si>
    <t>CELLCARTA - BIOGAZELLE</t>
  </si>
  <si>
    <t>INV F-23091181</t>
  </si>
  <si>
    <t>LOI ABX464-910 - From protocol initiation to protocol sub</t>
  </si>
  <si>
    <t>At study completion of the 12th subject</t>
  </si>
  <si>
    <t>At study completion of the 24th subject</t>
  </si>
  <si>
    <t>At study completion of the 36th subject</t>
  </si>
  <si>
    <t>At e-CRF go live</t>
  </si>
  <si>
    <t>After sending statistical exhaustive results</t>
  </si>
  <si>
    <t>INV F-23091215</t>
  </si>
  <si>
    <t>Data management, biostatistics - contract signature</t>
  </si>
  <si>
    <t>Data management, biostatistics - e-CRF go live</t>
  </si>
  <si>
    <t>Data management, biostatistics - sending safety stat &amp; ADaM package</t>
  </si>
  <si>
    <t>INV FTI-000007</t>
  </si>
  <si>
    <t>erreur dans le WO 51 419 au lieu de 49 888 - Ils nous ont facturé Less 49 888 - voir file note corrective</t>
  </si>
  <si>
    <t>IV-07230705-ABI + IV-08230802-ABI + IV-09230892-ABI + IV-10230982-ABI</t>
  </si>
  <si>
    <t>31/07/2023 + 25/08/2023 + 30/09/2023 + 31/10/2023</t>
  </si>
  <si>
    <t>Fabrication &amp; coordination API ABX464 Campagne 1 sur 3 GMP</t>
  </si>
  <si>
    <t>INV 10000414</t>
  </si>
  <si>
    <t>INV 10000433</t>
  </si>
  <si>
    <t>08/07/2022 + 25/07/2022 - 18/08/2022 + 10/08/2022 + 08/02/2023 + 15/06/2023 + 31/07/2023 - 31/07/2023 + 31/08/2023 + 22/09/2023</t>
  </si>
  <si>
    <t>INV 90731700</t>
  </si>
  <si>
    <t>Maintenance OCEAVIEW 2023</t>
  </si>
  <si>
    <t>INVOC1013390</t>
  </si>
  <si>
    <t>INV 2023-KI-0117</t>
  </si>
  <si>
    <t>INV 840169285</t>
  </si>
  <si>
    <t>INV 2023100174</t>
  </si>
  <si>
    <t>INV 23100360</t>
  </si>
  <si>
    <t>INV 23100361</t>
  </si>
  <si>
    <r>
      <t xml:space="preserve">23100285 KZ - </t>
    </r>
    <r>
      <rPr>
        <b/>
        <sz val="11"/>
        <rFont val="Calibri"/>
        <family val="2"/>
        <scheme val="minor"/>
      </rPr>
      <t>P00339_2023</t>
    </r>
  </si>
  <si>
    <t>INV F23-1570 + INV F23-1643</t>
  </si>
  <si>
    <t>24/07/2023 + 11/10/2023</t>
  </si>
  <si>
    <t>INV ABI_2023-09-30</t>
  </si>
  <si>
    <t>INV F23-1671</t>
  </si>
  <si>
    <r>
      <t xml:space="preserve">NA - </t>
    </r>
    <r>
      <rPr>
        <b/>
        <sz val="11"/>
        <rFont val="Calibri"/>
        <family val="2"/>
        <scheme val="minor"/>
      </rPr>
      <t>P00387_2023</t>
    </r>
  </si>
  <si>
    <t>P002387_2023</t>
  </si>
  <si>
    <t>KO mir124 - Sperm storage 5 ans</t>
  </si>
  <si>
    <t>P00389_2023</t>
  </si>
  <si>
    <t>FACIT Questionnaire Licence FACIT-FATIGUE</t>
  </si>
  <si>
    <t>MCMASTER UNIVERSITY</t>
  </si>
  <si>
    <t>IBDQ questionnaire License</t>
  </si>
  <si>
    <r>
      <t xml:space="preserve">WO60#2022 - </t>
    </r>
    <r>
      <rPr>
        <b/>
        <sz val="11"/>
        <rFont val="Calibri"/>
        <family val="2"/>
        <scheme val="minor"/>
      </rPr>
      <t>P00393_2023</t>
    </r>
  </si>
  <si>
    <t>P00393_2023</t>
  </si>
  <si>
    <t>Storage Q2 to Q4 2023</t>
  </si>
  <si>
    <r>
      <t xml:space="preserve">CRL-528678 - </t>
    </r>
    <r>
      <rPr>
        <b/>
        <sz val="11"/>
        <rFont val="Calibri"/>
        <family val="2"/>
        <scheme val="minor"/>
      </rPr>
      <t>P00407_2023</t>
    </r>
  </si>
  <si>
    <t>P00407_2023</t>
  </si>
  <si>
    <r>
      <t xml:space="preserve">WO1 - </t>
    </r>
    <r>
      <rPr>
        <b/>
        <sz val="11"/>
        <rFont val="Calibri"/>
        <family val="2"/>
        <scheme val="minor"/>
      </rPr>
      <t>P00404_2023</t>
    </r>
  </si>
  <si>
    <t>P00404_2023</t>
  </si>
  <si>
    <t>2 on site audits (Almac UK, Creapharm FR)</t>
  </si>
  <si>
    <r>
      <t xml:space="preserve">QAR-02.01 - </t>
    </r>
    <r>
      <rPr>
        <b/>
        <sz val="11"/>
        <rFont val="Calibri"/>
        <family val="2"/>
        <scheme val="minor"/>
      </rPr>
      <t>P00401_2023</t>
    </r>
  </si>
  <si>
    <t>P00401_2023</t>
  </si>
  <si>
    <t>Animal PK supply and raw material for nonGMP ABX464</t>
  </si>
  <si>
    <r>
      <t xml:space="preserve">SOW-3264-v1 - </t>
    </r>
    <r>
      <rPr>
        <b/>
        <sz val="11"/>
        <rFont val="Calibri"/>
        <family val="2"/>
        <scheme val="minor"/>
      </rPr>
      <t>P00400_2023</t>
    </r>
  </si>
  <si>
    <t>P00400_2023</t>
  </si>
  <si>
    <t>Archiving prolongation</t>
  </si>
  <si>
    <r>
      <t xml:space="preserve">231108FR01717259CB - </t>
    </r>
    <r>
      <rPr>
        <b/>
        <sz val="11"/>
        <rFont val="Calibri"/>
        <family val="2"/>
        <scheme val="minor"/>
      </rPr>
      <t>P00399_2023</t>
    </r>
  </si>
  <si>
    <t>P00399_2023</t>
  </si>
  <si>
    <t>MoA</t>
  </si>
  <si>
    <r>
      <t xml:space="preserve">31102023 - </t>
    </r>
    <r>
      <rPr>
        <b/>
        <sz val="11"/>
        <rFont val="Calibri"/>
        <family val="2"/>
        <scheme val="minor"/>
      </rPr>
      <t>P00397_2023</t>
    </r>
  </si>
  <si>
    <t>P00397_2023</t>
  </si>
  <si>
    <t>Sample and shipment of 103508P004 420g</t>
  </si>
  <si>
    <r>
      <t xml:space="preserve">23100327UH - </t>
    </r>
    <r>
      <rPr>
        <b/>
        <sz val="11"/>
        <rFont val="Calibri"/>
        <family val="2"/>
        <scheme val="minor"/>
      </rPr>
      <t>P00396_2023</t>
    </r>
  </si>
  <si>
    <t>P00396_2023</t>
  </si>
  <si>
    <t>Replacking and shipment of samples</t>
  </si>
  <si>
    <r>
      <t xml:space="preserve">7005410-00 - </t>
    </r>
    <r>
      <rPr>
        <b/>
        <sz val="11"/>
        <rFont val="Calibri"/>
        <family val="2"/>
        <scheme val="minor"/>
      </rPr>
      <t>P00395_2023</t>
    </r>
  </si>
  <si>
    <t>P00395_2023</t>
  </si>
  <si>
    <t>ABX464 MoA</t>
  </si>
  <si>
    <t>INV 58006324</t>
  </si>
  <si>
    <r>
      <rPr>
        <sz val="11"/>
        <rFont val="Calibri"/>
        <family val="2"/>
        <scheme val="minor"/>
      </rPr>
      <t xml:space="preserve">PHASE III - </t>
    </r>
    <r>
      <rPr>
        <b/>
        <sz val="11"/>
        <rFont val="Calibri"/>
        <family val="2"/>
        <scheme val="minor"/>
      </rPr>
      <t>P00389_2023</t>
    </r>
  </si>
  <si>
    <t>INV ABI-11623-01</t>
  </si>
  <si>
    <t>INV S23-498281</t>
  </si>
  <si>
    <t>INV F22000114 + INV F23000214 + INV F23000396 + INV F23000557 + INV F23000691 + INV F23000868 + INV F23001055 + INV F23001319 + INV 23001435</t>
  </si>
  <si>
    <t>31/01/2023 + 27/02/2023 + 31/03/2023 + 27/04/2023 + 26/05/2023 + 30/06/2023 + 31/07/2023 + 29/09/2023 + 31/10/2023</t>
  </si>
  <si>
    <t>INV FRA-004736</t>
  </si>
  <si>
    <t>INV F020-SIN-0002475</t>
  </si>
  <si>
    <t>INV F23000216 + INV F23000398 + INV F23000559 + INV F23000693 + INV F23000870 + INV F23001057 + INV F23001321 + INV F23001437</t>
  </si>
  <si>
    <t>27/02/2023 + 31/03/2023 + 27/04/2023 + 26/05/2023 + 30/06/2023 + 31/07/2023 + 29/09/2023 + 31/10/2023</t>
  </si>
  <si>
    <t>INV F23000113 + INV F23000215 + INV F23000397 + INV F23000558 + INV F23000692 + INV F23000869 + INV F23001056 + INV F23001320 + INV F23001436</t>
  </si>
  <si>
    <t>31/01/2023 + 27/02/2023 + 31/03/2023 + 27/04/2023 + 26/05/2023 + 30/06/2023 + 30/07/2023 + 29/09/2023 + 31/10/2023</t>
  </si>
  <si>
    <t>Cloturé</t>
  </si>
  <si>
    <t>UPC-2023-045</t>
  </si>
  <si>
    <t>INV F23-1690</t>
  </si>
  <si>
    <t>INV FTI-000031</t>
  </si>
  <si>
    <t>P00332_2023</t>
  </si>
  <si>
    <t>INV PSI014684</t>
  </si>
  <si>
    <t>INV 10000524</t>
  </si>
  <si>
    <t>INV I-2023-1101</t>
  </si>
  <si>
    <t>INV F231102195 + INV F231102196</t>
  </si>
  <si>
    <t>16/11/2023 + 16/11/2023</t>
  </si>
  <si>
    <r>
      <t>L23_38</t>
    </r>
    <r>
      <rPr>
        <b/>
        <sz val="11"/>
        <rFont val="Calibri"/>
        <family val="2"/>
        <scheme val="minor"/>
      </rPr>
      <t>54</t>
    </r>
    <r>
      <rPr>
        <sz val="11"/>
        <rFont val="Calibri"/>
        <family val="2"/>
        <scheme val="minor"/>
      </rPr>
      <t xml:space="preserve">A - </t>
    </r>
    <r>
      <rPr>
        <b/>
        <sz val="11"/>
        <rFont val="Calibri"/>
        <family val="2"/>
        <scheme val="minor"/>
      </rPr>
      <t>P00357_2023</t>
    </r>
  </si>
  <si>
    <t>erreur sur le PO (Adrien) : c'est bien L23_3854A</t>
  </si>
  <si>
    <t xml:space="preserve">INV PJ20232057 + INV PJ20232379 </t>
  </si>
  <si>
    <t>30/09/2023 + 31/10/2023</t>
  </si>
  <si>
    <t>INV OGPVTE230368</t>
  </si>
  <si>
    <t>P00413_2023</t>
  </si>
  <si>
    <r>
      <t>IBDQ24-057 -</t>
    </r>
    <r>
      <rPr>
        <strike/>
        <sz val="11"/>
        <rFont val="Calibri"/>
        <family val="2"/>
        <scheme val="minor"/>
      </rPr>
      <t xml:space="preserve"> P00391_2023 </t>
    </r>
    <r>
      <rPr>
        <sz val="11"/>
        <rFont val="Calibri"/>
        <family val="2"/>
        <scheme val="minor"/>
      </rPr>
      <t xml:space="preserve">- </t>
    </r>
    <r>
      <rPr>
        <b/>
        <sz val="11"/>
        <rFont val="Calibri"/>
        <family val="2"/>
        <scheme val="minor"/>
      </rPr>
      <t>P00413_2023</t>
    </r>
  </si>
  <si>
    <r>
      <t xml:space="preserve">Q-2023-1419 - </t>
    </r>
    <r>
      <rPr>
        <b/>
        <sz val="11"/>
        <rFont val="Calibri"/>
        <family val="2"/>
        <scheme val="minor"/>
      </rPr>
      <t>P00408_2023</t>
    </r>
  </si>
  <si>
    <t>P00408_2023</t>
  </si>
  <si>
    <r>
      <t xml:space="preserve">DE-47104 - </t>
    </r>
    <r>
      <rPr>
        <b/>
        <sz val="11"/>
        <rFont val="Calibri"/>
        <family val="2"/>
        <scheme val="minor"/>
      </rPr>
      <t>P00416_2023</t>
    </r>
  </si>
  <si>
    <t>P00416_2023</t>
  </si>
  <si>
    <t>Antibodies in vivo</t>
  </si>
  <si>
    <r>
      <t xml:space="preserve">CBA/231023/2 - </t>
    </r>
    <r>
      <rPr>
        <b/>
        <sz val="11"/>
        <rFont val="Calibri"/>
        <family val="2"/>
        <scheme val="minor"/>
      </rPr>
      <t>P00418_2023</t>
    </r>
  </si>
  <si>
    <t>P00418_2023</t>
  </si>
  <si>
    <t>ABX464 Capsule Cleaning validation</t>
  </si>
  <si>
    <r>
      <t>Q23000544428 -</t>
    </r>
    <r>
      <rPr>
        <b/>
        <sz val="11"/>
        <rFont val="Calibri"/>
        <family val="2"/>
        <scheme val="minor"/>
      </rPr>
      <t xml:space="preserve"> P00420_2023</t>
    </r>
  </si>
  <si>
    <t>P00420_2023</t>
  </si>
  <si>
    <t>Equipement Labo - Centifugeuse</t>
  </si>
  <si>
    <r>
      <t xml:space="preserve">web - </t>
    </r>
    <r>
      <rPr>
        <b/>
        <sz val="11"/>
        <rFont val="Calibri"/>
        <family val="2"/>
        <scheme val="minor"/>
      </rPr>
      <t>P00422_2023</t>
    </r>
  </si>
  <si>
    <t>P00422_2023</t>
  </si>
  <si>
    <r>
      <t xml:space="preserve">OPP-315267 - CRL-509177 - </t>
    </r>
    <r>
      <rPr>
        <b/>
        <sz val="11"/>
        <rFont val="Calibri"/>
        <family val="2"/>
        <scheme val="minor"/>
      </rPr>
      <t>P00425_2023</t>
    </r>
  </si>
  <si>
    <t>P00425_2023</t>
  </si>
  <si>
    <t>Sample analysis for quantification of test material</t>
  </si>
  <si>
    <r>
      <t xml:space="preserve">OPP-330367 - CRL-532531 - </t>
    </r>
    <r>
      <rPr>
        <b/>
        <sz val="11"/>
        <rFont val="Calibri"/>
        <family val="2"/>
        <scheme val="minor"/>
      </rPr>
      <t>P00427_2023</t>
    </r>
  </si>
  <si>
    <t>P00427_2023</t>
  </si>
  <si>
    <t>Method optimization of LC-MS in human plasma</t>
  </si>
  <si>
    <r>
      <t xml:space="preserve">OPP-305888 - CRL-496935 Amdt 2 - </t>
    </r>
    <r>
      <rPr>
        <b/>
        <sz val="11"/>
        <rFont val="Calibri"/>
        <family val="2"/>
        <scheme val="minor"/>
      </rPr>
      <t>P00423_2023</t>
    </r>
  </si>
  <si>
    <t>P00423_2023</t>
  </si>
  <si>
    <t>Additioanal investigation + 5 jours</t>
  </si>
  <si>
    <r>
      <t xml:space="preserve">W539448148-1 - </t>
    </r>
    <r>
      <rPr>
        <b/>
        <sz val="11"/>
        <rFont val="Calibri"/>
        <family val="2"/>
        <scheme val="minor"/>
      </rPr>
      <t>P00432_2023</t>
    </r>
  </si>
  <si>
    <t>P00432_2023</t>
  </si>
  <si>
    <t>Réactifs</t>
  </si>
  <si>
    <t>CELL&amp;CO</t>
  </si>
  <si>
    <r>
      <t xml:space="preserve">DV-ABI-1123-1714-2 - </t>
    </r>
    <r>
      <rPr>
        <b/>
        <sz val="11"/>
        <rFont val="Calibri"/>
        <family val="2"/>
        <scheme val="minor"/>
      </rPr>
      <t>P00433_2023</t>
    </r>
  </si>
  <si>
    <t>P00433_2023</t>
  </si>
  <si>
    <t>Etude COVID - Storage &amp; Destruction samples from HEGP</t>
  </si>
  <si>
    <t>P00434_2023</t>
  </si>
  <si>
    <t>Sang</t>
  </si>
  <si>
    <t>WORLD COURRIER</t>
  </si>
  <si>
    <r>
      <t xml:space="preserve">0800024587_VR_01 - </t>
    </r>
    <r>
      <rPr>
        <b/>
        <sz val="11"/>
        <rFont val="Calibri"/>
        <family val="2"/>
        <scheme val="minor"/>
      </rPr>
      <t>P00435_2023</t>
    </r>
  </si>
  <si>
    <t>P00435_2023</t>
  </si>
  <si>
    <t>Transport produits pharmaceutiques ref 231560706CL</t>
  </si>
  <si>
    <t>INV 0157-23-11-B12</t>
  </si>
  <si>
    <t xml:space="preserve">INV 0151-23-11-B01 </t>
  </si>
  <si>
    <t>INV INC-337088</t>
  </si>
  <si>
    <t>INV IV-10220688-ABI + INV IV-11231058-ABI</t>
  </si>
  <si>
    <t>31/10/2022 + 30/11/2023</t>
  </si>
  <si>
    <t>INV02679700</t>
  </si>
  <si>
    <t>Ne nous facturera pas - ANNULE cf mail IQVIA</t>
  </si>
  <si>
    <t>Investigators fees upfront 10% - reimursment</t>
  </si>
  <si>
    <t>INV FRA-004779</t>
  </si>
  <si>
    <t>PTC upfront 10% - rembursment</t>
  </si>
  <si>
    <t>INV FRA-004781</t>
  </si>
  <si>
    <t>INV 59001312 + INV 59001375 + INV 59001435</t>
  </si>
  <si>
    <t>24/08/2023 + 28/09/2023 + 22/11/2023</t>
  </si>
  <si>
    <t>INV 10000681</t>
  </si>
  <si>
    <t>INV 23262405 + INV 23262736 + INV 23263087 + INV 23263469 + INV 23263770</t>
  </si>
  <si>
    <t>31/07/2023 + 31/08/2023 + 30/09/2023 + 31/10/2023 + 30/11/2023</t>
  </si>
  <si>
    <t>INV 303800973 + INV 303801010 + INV 303801080 + INV 303801081</t>
  </si>
  <si>
    <t>05/05/2023 + 28/06/2023 + 29/09/2023 + 29/09/2023 (recu les 2 en 11/2023)</t>
  </si>
  <si>
    <t>INV 108730 + INV 108764 + INV 108785 + INV 108826 + INV 108889 + INV 109059 + INV 109073 + INV 109315 + INV 109382 + INV 109533 + INV 109561 + INV 109589 + INV 109613 + INV 109644 + INV109690 + INV 109724 + INV 109750 + INV 109769 + INV 109798 + INV 109984 + INV 110040 + INV 109958 + INV 110072 + INV 110119 + INV PIN-000025</t>
  </si>
  <si>
    <t>23/09/2019 + 24/10/2019 + 11/11/2019 + 31/12/2019 + 25/01/2020 +  + 27/09/202313/10/2020 + 05/11/2020 + 13/07/2021 + 10/09/2021 + 21/02/2022 + 18/03/2022 + 19/04/2022 + 11/05/2022 + 20/06/2022 + 25/07/2022 + 17/08/2022 + 03/10/2022 + 19/10/2022 + 15/11/2022 + 06/06/2023 +19/07/2023 + 09/05/2023 (recu en 07/2023) + 07/08/2023 + 29/11/2023</t>
  </si>
  <si>
    <t>INV PJ20232038 + INV PJ20232377 + INV PJ20232639</t>
  </si>
  <si>
    <t>30/09/2023 + 31/10/2023 + 30/11/2023</t>
  </si>
  <si>
    <t>INV PJ20232626</t>
  </si>
  <si>
    <t>INV PJ20232379 + INV PJ20232626</t>
  </si>
  <si>
    <t>31/10/2023 + 30/11/2023</t>
  </si>
  <si>
    <t>INV 58006502</t>
  </si>
  <si>
    <t>MLS Fees  - INVOICE 2</t>
  </si>
  <si>
    <t>MLS Fees  - INVOICE 3</t>
  </si>
  <si>
    <t>MLS Fees  - INVOICE 4</t>
  </si>
  <si>
    <t>MLS Fees  - INVOICE 5</t>
  </si>
  <si>
    <t>MLS Fees  - INVOICE 6</t>
  </si>
  <si>
    <t>MLS Fees  - INVOICE 7</t>
  </si>
  <si>
    <t>MLS Fees  - INVOICE 8</t>
  </si>
  <si>
    <t>MLS Fees  - INVOICE 9</t>
  </si>
  <si>
    <t>MLS Fees  - INVOICE 10</t>
  </si>
  <si>
    <t>MLS Fees  - INVOICE 11</t>
  </si>
  <si>
    <t>MLS Fees  - INVOICE 12</t>
  </si>
  <si>
    <t>MLS Fees  - INVOICE 13</t>
  </si>
  <si>
    <t>MLS Fees  - INVOICE 14</t>
  </si>
  <si>
    <t>MLS Fees  - INVOICE 15</t>
  </si>
  <si>
    <t>MLS Fees  - INVOICE 16</t>
  </si>
  <si>
    <t>MLS Fees  - INVOICE 17</t>
  </si>
  <si>
    <t>MLS Fees  - INVOICE 18</t>
  </si>
  <si>
    <t>MLS Fees  - INVOICE 19</t>
  </si>
  <si>
    <t>MLS Fees  - INVOICE 20</t>
  </si>
  <si>
    <t>MLS Fees  - INVOICE 21</t>
  </si>
  <si>
    <t>MLS Fees  - INVOICE 22</t>
  </si>
  <si>
    <t>MLS Fees  - INVOICE 23</t>
  </si>
  <si>
    <t>MLS Fees  - INVOICE 24</t>
  </si>
  <si>
    <t>MLS Fees  - INVOICE 25</t>
  </si>
  <si>
    <t>MLS Fees  - INVOICE 26</t>
  </si>
  <si>
    <t>MLS Fees  - INVOICE 27</t>
  </si>
  <si>
    <t>MLS Fees  - INVOICE 28</t>
  </si>
  <si>
    <t>MLS Fees  - INVOICE 29</t>
  </si>
  <si>
    <t>MLS Fees  - INVOICE 30</t>
  </si>
  <si>
    <t>AMPLITY</t>
  </si>
  <si>
    <t>SRV_23041_CO1</t>
  </si>
  <si>
    <t>INV 008329</t>
  </si>
  <si>
    <t>SRV_23041</t>
  </si>
  <si>
    <t>INV 008330</t>
  </si>
  <si>
    <t>INV 008331</t>
  </si>
  <si>
    <t>INV 008469</t>
  </si>
  <si>
    <t>INV 008856</t>
  </si>
  <si>
    <t>INV 940542045</t>
  </si>
  <si>
    <t>INV 23100412</t>
  </si>
  <si>
    <t>INV 1032310212 + INV 1032310316</t>
  </si>
  <si>
    <t>07/11/2023 + 09/11/2023</t>
  </si>
  <si>
    <t>INV 1932973 RI + INV 1934125 RI</t>
  </si>
  <si>
    <t>01/12/2023 + 06/12/2023</t>
  </si>
  <si>
    <t>INV FV23REC09131</t>
  </si>
  <si>
    <r>
      <t xml:space="preserve">P2311232 - </t>
    </r>
    <r>
      <rPr>
        <b/>
        <sz val="11"/>
        <rFont val="Calibri"/>
        <family val="2"/>
        <scheme val="minor"/>
      </rPr>
      <t>P00440_2023</t>
    </r>
  </si>
  <si>
    <t>P00440_2023</t>
  </si>
  <si>
    <t>Synthèse de métabolite de ABX464</t>
  </si>
  <si>
    <t>P00441_2023</t>
  </si>
  <si>
    <t>ABX464 - Storage Fees Q1 to Q4 2024 - 6 palettes</t>
  </si>
  <si>
    <t>P00442_2023</t>
  </si>
  <si>
    <t>Transport anuel 2023 - 14 expeditions</t>
  </si>
  <si>
    <r>
      <t xml:space="preserve">WO70#2023 - </t>
    </r>
    <r>
      <rPr>
        <b/>
        <sz val="11"/>
        <rFont val="Calibri"/>
        <family val="2"/>
        <scheme val="minor"/>
      </rPr>
      <t>P00445_2023</t>
    </r>
  </si>
  <si>
    <t>P00445_2023</t>
  </si>
  <si>
    <r>
      <t xml:space="preserve">WO71#2023 - </t>
    </r>
    <r>
      <rPr>
        <b/>
        <sz val="11"/>
        <rFont val="Calibri"/>
        <family val="2"/>
        <scheme val="minor"/>
      </rPr>
      <t>P00441_2023</t>
    </r>
  </si>
  <si>
    <r>
      <t xml:space="preserve">WO22#2020 - </t>
    </r>
    <r>
      <rPr>
        <b/>
        <sz val="11"/>
        <rFont val="Calibri"/>
        <family val="2"/>
        <scheme val="minor"/>
      </rPr>
      <t>P00442_2023</t>
    </r>
  </si>
  <si>
    <t>Troubleshooting on ABX464 HPLC-UV</t>
  </si>
  <si>
    <r>
      <t xml:space="preserve">DDR 2024 019 V1.0 - </t>
    </r>
    <r>
      <rPr>
        <b/>
        <sz val="11"/>
        <rFont val="Calibri"/>
        <family val="2"/>
        <scheme val="minor"/>
      </rPr>
      <t>P00443_2023</t>
    </r>
  </si>
  <si>
    <t>P00443_2023</t>
  </si>
  <si>
    <t>Process Optimization Trial - Manufacturing &amp; Analysis</t>
  </si>
  <si>
    <t>13833 - ALL PO</t>
  </si>
  <si>
    <t>ABX464-202 - Shipment of unlabelled Blister Cards</t>
  </si>
  <si>
    <r>
      <t xml:space="preserve">23100357UH - </t>
    </r>
    <r>
      <rPr>
        <b/>
        <sz val="11"/>
        <rFont val="Calibri"/>
        <family val="2"/>
        <scheme val="minor"/>
      </rPr>
      <t>P00447_2023</t>
    </r>
  </si>
  <si>
    <t>P00447_2023</t>
  </si>
  <si>
    <r>
      <t xml:space="preserve">231215_065127_CDG_0800024587_VR_01 - </t>
    </r>
    <r>
      <rPr>
        <b/>
        <sz val="11"/>
        <rFont val="Calibri"/>
        <family val="2"/>
        <scheme val="minor"/>
      </rPr>
      <t>P00450</t>
    </r>
  </si>
  <si>
    <t>P00450</t>
  </si>
  <si>
    <t>Transport of plasma for PK analysis</t>
  </si>
  <si>
    <t>Histopathology Geboes Scoring</t>
  </si>
  <si>
    <t>P00464_2023</t>
  </si>
  <si>
    <t>SARTAORIUS</t>
  </si>
  <si>
    <t>P00457_2023</t>
  </si>
  <si>
    <r>
      <t xml:space="preserve">CPQ-02230249 - </t>
    </r>
    <r>
      <rPr>
        <b/>
        <sz val="11"/>
        <rFont val="Calibri"/>
        <family val="2"/>
        <scheme val="minor"/>
      </rPr>
      <t>P00457_2023</t>
    </r>
  </si>
  <si>
    <t>BH Tip 5-350</t>
  </si>
  <si>
    <t>P00455_2023</t>
  </si>
  <si>
    <r>
      <t>L23_3854A -</t>
    </r>
    <r>
      <rPr>
        <b/>
        <sz val="11"/>
        <rFont val="Calibri"/>
        <family val="2"/>
        <scheme val="minor"/>
      </rPr>
      <t xml:space="preserve"> P00394_2023</t>
    </r>
  </si>
  <si>
    <t>P00394_2023</t>
  </si>
  <si>
    <t>Complement sous traitance 08/2023 + 09/2023</t>
  </si>
  <si>
    <r>
      <t xml:space="preserve">AR-03.00_CH.BEI-22.10-001.01 - </t>
    </r>
    <r>
      <rPr>
        <b/>
        <sz val="11"/>
        <rFont val="Calibri"/>
        <family val="2"/>
        <scheme val="minor"/>
      </rPr>
      <t>P00459_2023</t>
    </r>
  </si>
  <si>
    <t>P00459_2023</t>
  </si>
  <si>
    <t>T12week testing of the oral formulation initial stab</t>
  </si>
  <si>
    <r>
      <t xml:space="preserve">CEVQ2023.12.03 - </t>
    </r>
    <r>
      <rPr>
        <b/>
        <sz val="11"/>
        <rFont val="Calibri"/>
        <family val="2"/>
        <scheme val="minor"/>
      </rPr>
      <t>P00460_2023</t>
    </r>
  </si>
  <si>
    <t>P00460_2023</t>
  </si>
  <si>
    <t>Peer review juvenil ABX464-Nglu</t>
  </si>
  <si>
    <r>
      <t xml:space="preserve">OPP-260408A2 - CRL-414464 - </t>
    </r>
    <r>
      <rPr>
        <b/>
        <sz val="11"/>
        <rFont val="Calibri"/>
        <family val="2"/>
        <scheme val="minor"/>
      </rPr>
      <t>P00464_2023</t>
    </r>
  </si>
  <si>
    <t>INV 00010 23002804 RI</t>
  </si>
  <si>
    <t>INV 008710 - INV 009050 + INV 009051</t>
  </si>
  <si>
    <t>01/11/2023 - 13/12/2023 + 13/12/2023</t>
  </si>
  <si>
    <t>INV FRA-004826</t>
  </si>
  <si>
    <t>INV FRA-004664</t>
  </si>
  <si>
    <t>INV 47032426 + INV 47040237</t>
  </si>
  <si>
    <t>10/10/2022 + 12/12/2023</t>
  </si>
  <si>
    <t>INV 10085202</t>
  </si>
  <si>
    <t>INV FRA-004819</t>
  </si>
  <si>
    <t>INV FRA-004805</t>
  </si>
  <si>
    <r>
      <t xml:space="preserve">CEVQ2023.07.01 - </t>
    </r>
    <r>
      <rPr>
        <b/>
        <sz val="11"/>
        <rFont val="Calibri"/>
        <family val="2"/>
        <scheme val="minor"/>
      </rPr>
      <t>P00228_2023</t>
    </r>
  </si>
  <si>
    <r>
      <t xml:space="preserve">OPP-260408 - CRL-414465 - </t>
    </r>
    <r>
      <rPr>
        <b/>
        <sz val="11"/>
        <rFont val="Calibri"/>
        <family val="2"/>
        <scheme val="minor"/>
      </rPr>
      <t>P00463_2023</t>
    </r>
  </si>
  <si>
    <t>P00463_2023</t>
  </si>
  <si>
    <t>ABX464 NGluTox Study by Oral route Juvenile Rats - Add external review</t>
  </si>
  <si>
    <r>
      <t xml:space="preserve">CEVQ2023.12.02 - </t>
    </r>
    <r>
      <rPr>
        <b/>
        <sz val="11"/>
        <rFont val="Calibri"/>
        <family val="2"/>
        <scheme val="minor"/>
      </rPr>
      <t>P00461_2023</t>
    </r>
  </si>
  <si>
    <t>P00461_2023</t>
  </si>
  <si>
    <t>Peer review juvenil ABX464</t>
  </si>
  <si>
    <r>
      <t xml:space="preserve">CEVQ2023.12.01 - </t>
    </r>
    <r>
      <rPr>
        <b/>
        <sz val="11"/>
        <rFont val="Calibri"/>
        <family val="2"/>
        <scheme val="minor"/>
      </rPr>
      <t>P00465_2023</t>
    </r>
  </si>
  <si>
    <t>P00465_2023</t>
  </si>
  <si>
    <t>Ocular exam N-Glu juvenil rats extra day</t>
  </si>
  <si>
    <r>
      <t xml:space="preserve">OPP-332463 - CRL-535877 - </t>
    </r>
    <r>
      <rPr>
        <b/>
        <sz val="11"/>
        <rFont val="Calibri"/>
        <family val="2"/>
        <scheme val="minor"/>
      </rPr>
      <t>P00468_2023</t>
    </r>
  </si>
  <si>
    <t>P00468_2023</t>
  </si>
  <si>
    <t>NORDIC BIOSCIENCE</t>
  </si>
  <si>
    <r>
      <t xml:space="preserve">NB2023-067 - </t>
    </r>
    <r>
      <rPr>
        <b/>
        <sz val="11"/>
        <rFont val="Calibri"/>
        <family val="2"/>
        <scheme val="minor"/>
      </rPr>
      <t>P00467_2023</t>
    </r>
  </si>
  <si>
    <t>P00467_2023</t>
  </si>
  <si>
    <t>Biomarker Analysis - Study induction a OLE - 25% upon execution of this WO</t>
  </si>
  <si>
    <r>
      <t xml:space="preserve">231219FR01735537CB - </t>
    </r>
    <r>
      <rPr>
        <b/>
        <sz val="11"/>
        <rFont val="Calibri"/>
        <family val="2"/>
        <scheme val="minor"/>
      </rPr>
      <t>P00469_2023</t>
    </r>
  </si>
  <si>
    <t>P00469_2023</t>
  </si>
  <si>
    <r>
      <t>15% Patients randomised &amp;</t>
    </r>
    <r>
      <rPr>
        <strike/>
        <sz val="11"/>
        <rFont val="Calibri"/>
        <family val="2"/>
        <scheme val="minor"/>
      </rPr>
      <t xml:space="preserve"> 80% of Site Initiation Visits &amp; Reports Completed</t>
    </r>
  </si>
  <si>
    <t>INV FRA-004844</t>
  </si>
  <si>
    <r>
      <t xml:space="preserve">CEVQ2023.01.01 - </t>
    </r>
    <r>
      <rPr>
        <b/>
        <sz val="11"/>
        <rFont val="Calibri"/>
        <family val="2"/>
        <scheme val="minor"/>
      </rPr>
      <t>P000014_2023</t>
    </r>
  </si>
  <si>
    <t>P00014_2023</t>
  </si>
  <si>
    <t>CEVQ2023.11.01 - Pas de PO</t>
  </si>
  <si>
    <t>TK calculation Main tox study ABX464 juvenil Rats</t>
  </si>
  <si>
    <t>INV PJ202113354</t>
  </si>
  <si>
    <t>Maintenance Machine Labo 2022-2023 (14/12/2023 au 13/12/2025)</t>
  </si>
  <si>
    <t>ABX464NGlu PKPD analyses on UC patients - At signature of the present Cost Estimate</t>
  </si>
  <si>
    <r>
      <t xml:space="preserve">PH23074_WO15 - </t>
    </r>
    <r>
      <rPr>
        <b/>
        <sz val="11"/>
        <rFont val="Calibri"/>
        <family val="2"/>
        <scheme val="minor"/>
      </rPr>
      <t>P00455_2023</t>
    </r>
  </si>
  <si>
    <t>At contact amendment signature</t>
  </si>
  <si>
    <t>At database lock</t>
  </si>
  <si>
    <t>PV</t>
  </si>
  <si>
    <t>INV 230.23.15 + INV 232.23.17 + INV 236.23.21 + INV 238.23.23 + INV 243.23.28 + INV 255.23.40</t>
  </si>
  <si>
    <t>06/07/2023 + 19/07/2023 + 07/08/2023 + 17/08/2023 + 04/10/2023 + 28/12/2023</t>
  </si>
  <si>
    <r>
      <t xml:space="preserve">PH23075_WO16 - </t>
    </r>
    <r>
      <rPr>
        <b/>
        <sz val="11"/>
        <rFont val="Calibri"/>
        <family val="2"/>
        <scheme val="minor"/>
      </rPr>
      <t>P00456_2023</t>
    </r>
  </si>
  <si>
    <t>P00456_2023</t>
  </si>
  <si>
    <t>ALMAC</t>
  </si>
  <si>
    <t>CNRS</t>
  </si>
  <si>
    <t>P00002_2024</t>
  </si>
  <si>
    <t>Génotypage 10/2023 + 11/2023 + /12/2023</t>
  </si>
  <si>
    <r>
      <t xml:space="preserve">240105FR01740202CB - </t>
    </r>
    <r>
      <rPr>
        <b/>
        <sz val="11"/>
        <rFont val="Calibri"/>
        <family val="2"/>
        <scheme val="minor"/>
      </rPr>
      <t>P00004_2024</t>
    </r>
  </si>
  <si>
    <t>P00004_2024</t>
  </si>
  <si>
    <r>
      <t xml:space="preserve">DV-ABI-1223-1778 - </t>
    </r>
    <r>
      <rPr>
        <b/>
        <sz val="11"/>
        <rFont val="Calibri"/>
        <family val="2"/>
        <scheme val="minor"/>
      </rPr>
      <t>P00007_2024</t>
    </r>
    <r>
      <rPr>
        <sz val="11"/>
        <rFont val="Calibri"/>
        <family val="2"/>
        <scheme val="minor"/>
      </rPr>
      <t xml:space="preserve"> remplace P00433_2023</t>
    </r>
  </si>
  <si>
    <t>P00007_2024</t>
  </si>
  <si>
    <t>Annulé via PO00007_2024</t>
  </si>
  <si>
    <r>
      <t xml:space="preserve">D5325195 - </t>
    </r>
    <r>
      <rPr>
        <b/>
        <sz val="11"/>
        <rFont val="Calibri"/>
        <family val="2"/>
        <scheme val="minor"/>
      </rPr>
      <t>P00006_2024</t>
    </r>
  </si>
  <si>
    <t>P00006_2024</t>
  </si>
  <si>
    <r>
      <t xml:space="preserve">124532 - </t>
    </r>
    <r>
      <rPr>
        <b/>
        <sz val="11"/>
        <rFont val="Calibri"/>
        <family val="2"/>
        <scheme val="minor"/>
      </rPr>
      <t>P00008_2024</t>
    </r>
  </si>
  <si>
    <t>P00008_2024</t>
  </si>
  <si>
    <t>P00013_2024</t>
  </si>
  <si>
    <r>
      <t xml:space="preserve">240112_104626_CDG - </t>
    </r>
    <r>
      <rPr>
        <b/>
        <sz val="11"/>
        <rFont val="Calibri"/>
        <family val="2"/>
        <scheme val="minor"/>
      </rPr>
      <t>P00021_2024</t>
    </r>
  </si>
  <si>
    <t>P00021_2024</t>
  </si>
  <si>
    <t>Transport échantillons</t>
  </si>
  <si>
    <r>
      <t>SOW#2023-02 -</t>
    </r>
    <r>
      <rPr>
        <b/>
        <sz val="11"/>
        <rFont val="Calibri"/>
        <family val="2"/>
        <scheme val="minor"/>
      </rPr>
      <t xml:space="preserve"> P00018_2024</t>
    </r>
  </si>
  <si>
    <t>P00018_2024</t>
  </si>
  <si>
    <t>Audit - CLARIO US</t>
  </si>
  <si>
    <t>5M Partner</t>
  </si>
  <si>
    <r>
      <t xml:space="preserve">OM2024-01v2 - </t>
    </r>
    <r>
      <rPr>
        <b/>
        <sz val="11"/>
        <rFont val="Calibri"/>
        <family val="2"/>
        <scheme val="minor"/>
      </rPr>
      <t>P00019_2024</t>
    </r>
  </si>
  <si>
    <t>P00019_2024</t>
  </si>
  <si>
    <t>Routine Audit SEQENS ARAMON FR</t>
  </si>
  <si>
    <r>
      <t xml:space="preserve">Quote 2021_02_11 - </t>
    </r>
    <r>
      <rPr>
        <b/>
        <sz val="11"/>
        <rFont val="Calibri"/>
        <family val="2"/>
        <scheme val="minor"/>
      </rPr>
      <t>P00023_2024</t>
    </r>
  </si>
  <si>
    <t>P00023_2024</t>
  </si>
  <si>
    <t>Co-auditor Creapharm Le Haillan</t>
  </si>
  <si>
    <r>
      <t xml:space="preserve">2024-02 - </t>
    </r>
    <r>
      <rPr>
        <b/>
        <sz val="11"/>
        <rFont val="Calibri"/>
        <family val="2"/>
        <scheme val="minor"/>
      </rPr>
      <t>P00025_2024</t>
    </r>
  </si>
  <si>
    <t>P00025_2024</t>
  </si>
  <si>
    <t>CAPA Plan review</t>
  </si>
  <si>
    <t>P00040_2024</t>
  </si>
  <si>
    <t>ABX464-107 - Centralisation PO 2023+2024</t>
  </si>
  <si>
    <t>P00032_2024</t>
  </si>
  <si>
    <t>annulé par PO00032_2024</t>
  </si>
  <si>
    <r>
      <t xml:space="preserve">P00032_2024 </t>
    </r>
    <r>
      <rPr>
        <sz val="11"/>
        <rFont val="Calibri"/>
        <family val="2"/>
        <scheme val="minor"/>
      </rPr>
      <t>- Annule PO00434_2023</t>
    </r>
  </si>
  <si>
    <r>
      <t xml:space="preserve">QSC302277 - </t>
    </r>
    <r>
      <rPr>
        <b/>
        <sz val="11"/>
        <rFont val="Calibri"/>
        <family val="2"/>
        <scheme val="minor"/>
      </rPr>
      <t>P00028_2024</t>
    </r>
  </si>
  <si>
    <t>P00028_2024</t>
  </si>
  <si>
    <t>P00027_2024</t>
  </si>
  <si>
    <r>
      <t xml:space="preserve">P-BRP-312071-R1 - </t>
    </r>
    <r>
      <rPr>
        <b/>
        <sz val="11"/>
        <rFont val="Calibri"/>
        <family val="2"/>
        <scheme val="minor"/>
      </rPr>
      <t>P00027_2024</t>
    </r>
    <r>
      <rPr>
        <sz val="11"/>
        <rFont val="Calibri"/>
        <family val="2"/>
        <scheme val="minor"/>
      </rPr>
      <t xml:space="preserve"> - Annule PO00361_2022</t>
    </r>
  </si>
  <si>
    <r>
      <t>P-BRP-312071-R1 -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P00361_2022</t>
    </r>
  </si>
  <si>
    <t xml:space="preserve">Prend la suite du PO361_2022 </t>
  </si>
  <si>
    <t>INV 58006682</t>
  </si>
  <si>
    <t>ABX464 Tox Study by Oral route Juvenile Rats - Add ext Review</t>
  </si>
  <si>
    <t>INV 58006681</t>
  </si>
  <si>
    <t>INV 59001455</t>
  </si>
  <si>
    <t>INV PSI015929</t>
  </si>
  <si>
    <t>INV 242.23.27 + INV 250.23.35 + INV 248.23.33</t>
  </si>
  <si>
    <t>03/10/2023 + 01/01/2024 + 01/01/2024</t>
  </si>
  <si>
    <t>INV 246.23.31</t>
  </si>
  <si>
    <t xml:space="preserve"> INV 20230402479 + INV 20230502510 + INV 20230602534 + INV 20230802593 + INV 20231102669</t>
  </si>
  <si>
    <t>30/04/2023 + 30/05/2023 + 01/07/2023 (recu en 07/2023) + 31/08/2023 + 01/01/2024</t>
  </si>
  <si>
    <t>INV INC-339927</t>
  </si>
  <si>
    <t>INV 22262866 + INV 22262534 + INV 22263231 + INV 22263632 + INV 22263964 + INV 22264273 + INV 23264114</t>
  </si>
  <si>
    <t>31/08/2022 + 31/07/2022 + 30/09/2022 (recu 11/2022) + 31/10/2022 + 30/11/2022 + 31/12/2022 + 01/01/2024</t>
  </si>
  <si>
    <t>INV 58006621</t>
  </si>
  <si>
    <t>INV 00010 23002871 RI</t>
  </si>
  <si>
    <t>INV 00010 23002870 RI</t>
  </si>
  <si>
    <t>INV 22300131 + INV 22300289 + INV 22300505 + INV 22300564 + INV 22300689 + INV 22300809 + INV 22300923 + INV 22301035 + INV 22301153 + INV 22301265 + INV 22301319 + INV 22301445</t>
  </si>
  <si>
    <t>23/01/2023 + 20/02/2023 + 23/03/2023 + 19/04/2023 + 23/05/2023 + 21/06/2023 + 20/07/2023 + 23/08/2023 + 22/09/2023 + 20/10/2023 + 21/11/2023 + 01/01/2024</t>
  </si>
  <si>
    <t>INV 1032312018 + INV 1032312020 + INV 1032312022</t>
  </si>
  <si>
    <t>01/01/2024 + 01/01/2024 + 01/01/2024</t>
  </si>
  <si>
    <t>INV 10000817</t>
  </si>
  <si>
    <t>INV 35412394 R2</t>
  </si>
  <si>
    <t>INV 47040270</t>
  </si>
  <si>
    <t>Packaging, Labelling &amp; Distribution Study CD202</t>
  </si>
  <si>
    <t>INV 59001507</t>
  </si>
  <si>
    <t>INV 59001514 + INV 59001506</t>
  </si>
  <si>
    <t>12/01/2024 + 09/01/2024</t>
  </si>
  <si>
    <t>INV 1938957 RI + INV 1938838 RI + INV 1938554 RI</t>
  </si>
  <si>
    <t>12/01/2024 + 11/01/2024 + 09/01/2024</t>
  </si>
  <si>
    <t>INV RA202367 + INV RA202383 + INV RA202380 + Inv RA2023104</t>
  </si>
  <si>
    <t>22/09/2023 + 31/10/2023 + 31/10/2023 + 01/01/2024</t>
  </si>
  <si>
    <t>INV PJ20233069</t>
  </si>
  <si>
    <t>22/12/2023 (recu 2024)</t>
  </si>
  <si>
    <t>INV PJ20232626 + INV PJ20233069</t>
  </si>
  <si>
    <t>30/11/2023 + 22/12/2023 (recu 2024)</t>
  </si>
  <si>
    <t>INV PIN162414 + INV PIN166258 + INV PIN168379 + INV PIN171072 + INV PIN173376 + INV PIN175197 + INV PIN177685 + INV PIN178984 + INV PIN181777 + INV PIN183927 - INV PIN183927 + INV PIN185266 + INV PIN187935</t>
  </si>
  <si>
    <t>10/02/2023 + 24/02/2023 + 31/03/2023 + 28/04/2023 + 26/05/2023 + 30/06/2023 (recu 07/2023) + 28/07/2023 + 25/08/2023 + 29/09/2023 + 27/10/2023 - 23/10/2023 + 24/11/2023 + 31/12/2023 (recu 2024)</t>
  </si>
  <si>
    <t>Obefazimod trials, repacking and shipment</t>
  </si>
  <si>
    <t>UPC-2023-051</t>
  </si>
  <si>
    <t>INV 005471</t>
  </si>
  <si>
    <t>INV 10083257</t>
  </si>
  <si>
    <t>21/09/2023 (recu 2024)</t>
  </si>
  <si>
    <t>INV 22300131 + INV 22300289 + INV 22300505 + INV 22300564 + INV 22300689 + INV 22300809 + INV 22300923 + INV 22301035 + INV 22301153 + INV 22301265 + INV 22301319 + INV 22301445 - INV 922400002 - INV 22400001</t>
  </si>
  <si>
    <t>23/01/2023 + 20/02/2023 + 23/03/2023 + 19/04/2023 + 23/05/2023 + 21/06/2023 + 20/07/2023 + 22/08/2023 + 22/09/2023 + 20/10/2023 + 21/11/2023 + 01/01/2024 + 04/01/2024 + 03/01/2024</t>
  </si>
  <si>
    <t>INV  0145-23-11-B03 + INV 0003-24-01-B03</t>
  </si>
  <si>
    <t>20/11/2023 + 05/01/2024</t>
  </si>
  <si>
    <t>INV FRA-004819 - INV FRA-004851 + INV FRA-004925</t>
  </si>
  <si>
    <t>11/12/2023 - 01/01/2024 + 17/01/2024</t>
  </si>
  <si>
    <t>31/10/2022 (recu en 2024)</t>
  </si>
  <si>
    <t>INV BCG-0000154 + INV BCG-0000156 + INV BCG-0000158 + INV BCG-0000160 + INV BCG-0000166 + Inv BCG-0000172 + INV BCG0000162 + INV BCG-0000168 + INV BCG-0000170</t>
  </si>
  <si>
    <t>INV 82472 RI</t>
  </si>
  <si>
    <t>INV 0339/24 + INV 0447/24</t>
  </si>
  <si>
    <t>01/01/2024 + 31/01/2024</t>
  </si>
  <si>
    <t>INV 0268/24 + INV 0445/24</t>
  </si>
  <si>
    <t>30/11/2023 + 31/01/2024</t>
  </si>
  <si>
    <t>INV 00010 24000107 RI</t>
  </si>
  <si>
    <t>INV F24-1744</t>
  </si>
  <si>
    <t>INV F24-1745</t>
  </si>
  <si>
    <t>INV 47040270 + INV 47041359</t>
  </si>
  <si>
    <t>01/01/2024 + 06/02/2024</t>
  </si>
  <si>
    <r>
      <t xml:space="preserve">OPP-319365 - CRL-501342 Amdt 1 - </t>
    </r>
    <r>
      <rPr>
        <b/>
        <sz val="11"/>
        <rFont val="Calibri"/>
        <family val="2"/>
        <scheme val="minor"/>
      </rPr>
      <t>P00109_2024</t>
    </r>
  </si>
  <si>
    <t>P00109_2024</t>
  </si>
  <si>
    <r>
      <t xml:space="preserve">WO#73 - </t>
    </r>
    <r>
      <rPr>
        <b/>
        <sz val="11"/>
        <rFont val="Calibri"/>
        <family val="2"/>
        <scheme val="minor"/>
      </rPr>
      <t>P00076_2024</t>
    </r>
  </si>
  <si>
    <t>P00076_2024</t>
  </si>
  <si>
    <t>Product shipment</t>
  </si>
  <si>
    <t>P00078_2024</t>
  </si>
  <si>
    <t>Validation method for quatification ABX464 Nglu in Human Plasma</t>
  </si>
  <si>
    <r>
      <t>23ARC1011 -</t>
    </r>
    <r>
      <rPr>
        <b/>
        <sz val="11"/>
        <rFont val="Calibri"/>
        <family val="2"/>
        <scheme val="minor"/>
      </rPr>
      <t xml:space="preserve"> P00079_2024</t>
    </r>
  </si>
  <si>
    <t>P00079_2024</t>
  </si>
  <si>
    <t>Archiving Photox Studies - 1 année</t>
  </si>
  <si>
    <t>P00077_2024</t>
  </si>
  <si>
    <r>
      <t xml:space="preserve">OPP-330367 - CRL-532531 - </t>
    </r>
    <r>
      <rPr>
        <b/>
        <sz val="11"/>
        <rFont val="Calibri"/>
        <family val="2"/>
        <scheme val="minor"/>
      </rPr>
      <t>P00077_2024</t>
    </r>
    <r>
      <rPr>
        <sz val="11"/>
        <rFont val="Calibri"/>
        <family val="2"/>
        <scheme val="minor"/>
      </rPr>
      <t xml:space="preserve"> - Amdt PO00427_2023</t>
    </r>
  </si>
  <si>
    <r>
      <t xml:space="preserve">2021_02_12 - </t>
    </r>
    <r>
      <rPr>
        <b/>
        <sz val="11"/>
        <rFont val="Calibri"/>
        <family val="2"/>
        <scheme val="minor"/>
      </rPr>
      <t>P00074_2024</t>
    </r>
  </si>
  <si>
    <t>P00074_2024</t>
  </si>
  <si>
    <t>Audit Cenduit</t>
  </si>
  <si>
    <r>
      <t xml:space="preserve">140065397 - </t>
    </r>
    <r>
      <rPr>
        <b/>
        <sz val="11"/>
        <rFont val="Calibri"/>
        <family val="2"/>
        <scheme val="minor"/>
      </rPr>
      <t>P00073_2024</t>
    </r>
  </si>
  <si>
    <t>P00073_2024</t>
  </si>
  <si>
    <t>P00067_2024</t>
  </si>
  <si>
    <t>ABX464 Dossolution tests on API</t>
  </si>
  <si>
    <r>
      <t xml:space="preserve">79/2023/ZEFI - </t>
    </r>
    <r>
      <rPr>
        <b/>
        <sz val="11"/>
        <rFont val="Calibri"/>
        <family val="2"/>
        <scheme val="minor"/>
      </rPr>
      <t>P00071_2024</t>
    </r>
  </si>
  <si>
    <t>P00071_2024</t>
  </si>
  <si>
    <t>Hebergement cage - T4</t>
  </si>
  <si>
    <t>P00068_2024</t>
  </si>
  <si>
    <t>Audit Almac</t>
  </si>
  <si>
    <t>Audit CREAPHARM - CENDUIT</t>
  </si>
  <si>
    <r>
      <t xml:space="preserve">WO#72 - </t>
    </r>
    <r>
      <rPr>
        <b/>
        <sz val="11"/>
        <rFont val="Calibri"/>
        <family val="2"/>
        <scheme val="minor"/>
      </rPr>
      <t>P00060_2024</t>
    </r>
  </si>
  <si>
    <t>P00060_2024</t>
  </si>
  <si>
    <t>Modification process</t>
  </si>
  <si>
    <t>SRV_21096_A2</t>
  </si>
  <si>
    <t>6. CO#2 additionnal services</t>
  </si>
  <si>
    <t>INV 22300131 + INV 22300289 + INV 22300505 + INV 22300564 + INV 22300689 + INV 22300809 + INV 22300923 + INV 22301035 + INV 22301153 + INV 22301265 + INV 22301445 + INV 22400007</t>
  </si>
  <si>
    <t>23/01/2023 + 20/02/2023 + 23/03/2023 + 19/04/2023 + 23/05/2023 + 21/06/2023 + 20/07/2023 + 23/08/2023 + 22/09/2023 + 20/10/2023 + 01/01/2024 + 24/01/2024</t>
  </si>
  <si>
    <t>III. Kits &amp; Supplies -2023+2024</t>
  </si>
  <si>
    <t>IV. Speciemen Management - 2023+2024</t>
  </si>
  <si>
    <t>V. Laboratory Analysis - 2023+2024</t>
  </si>
  <si>
    <t>VI. PTC - 2023+2024</t>
  </si>
  <si>
    <t>INV S24-029281</t>
  </si>
  <si>
    <t>INV 35412837 R2</t>
  </si>
  <si>
    <t>BIOIVT</t>
  </si>
  <si>
    <r>
      <t xml:space="preserve">112123PM1r2 - SOW#1 - </t>
    </r>
    <r>
      <rPr>
        <b/>
        <sz val="11"/>
        <rFont val="Calibri"/>
        <family val="2"/>
        <scheme val="minor"/>
      </rPr>
      <t>P00092_2024</t>
    </r>
  </si>
  <si>
    <t>P00092_2024</t>
  </si>
  <si>
    <r>
      <t xml:space="preserve">110623PM1r2 - SOW#2 - </t>
    </r>
    <r>
      <rPr>
        <b/>
        <sz val="11"/>
        <rFont val="Calibri"/>
        <family val="2"/>
        <scheme val="minor"/>
      </rPr>
      <t>P00093_2024</t>
    </r>
  </si>
  <si>
    <t>P00093_2024</t>
  </si>
  <si>
    <r>
      <t xml:space="preserve">XT233133 - SOW#3 - </t>
    </r>
    <r>
      <rPr>
        <b/>
        <sz val="11"/>
        <rFont val="Calibri"/>
        <family val="2"/>
        <scheme val="minor"/>
      </rPr>
      <t>P00094_2024</t>
    </r>
  </si>
  <si>
    <t>P00094_2024</t>
  </si>
  <si>
    <r>
      <t xml:space="preserve">XT238095 - SOW#4 - </t>
    </r>
    <r>
      <rPr>
        <b/>
        <sz val="11"/>
        <rFont val="Calibri"/>
        <family val="2"/>
        <scheme val="minor"/>
      </rPr>
      <t>P00098_2024</t>
    </r>
  </si>
  <si>
    <t>P00098_2024</t>
  </si>
  <si>
    <t>INV 2024-KI-0008</t>
  </si>
  <si>
    <t>INV BCG-0000154 + INV BCG-0000156 + INV BCG-0000158 + INV BCG-0000160 + INV BCG-0000166 + Inv BCG-0000172 + INV BCG-0000176 + INV BCG-0000178 + INV BCG0000162 + INV BCG-0000168 + INV BCG-0000170 + INV BCG-0000174 + INV BCG-0000164</t>
  </si>
  <si>
    <t>21/09/2022 + 21/09/2022 + 21/09/2022 + 30/09/2022 + 31/12/2022 (ercu en 02/2023) + 31/03/2023 + 31/05/2023 (recu en 06/2023) + 30/06/2023 (recu en 07/2023) + 31/10/2022 (recu en 2024) + 31/01/2023 (recu en 2024) + 28/02/2023 (recu en 2024) + 30/04/2023 (recu en 2024) + 30/11/2022 (recu 02/2024)</t>
  </si>
  <si>
    <t>INV BCG-0000154 + INV BCG-0000156 + INV BCG-0000158 + INV BCG-0000160 + INV BCG-0000166 + Inv BCG-0000172 + INV BCG0000162 + INV BCG-0000168 + INV BCG-0000170 + INV BCG-0000164</t>
  </si>
  <si>
    <t>21/09/2022 + 21/09/2022 + 21/09/2022 + 30/09/2022 + 31/12/2022 (ercu en 02/2023) + 31/03/2023 + 31/10/2022 (recu en 2024) + 31/01/2023 (recu en 2024) + 28/02/2023 (recu en 2024) + 30/11/2022 (recu 02/2024)</t>
  </si>
  <si>
    <t>INV BCG-0000160 + INV BCG-0000166 + INV BCG-0000172 + INV BCG0000162 + INV BCG-0000168 + INV BCG-0000170 + INV BCG-0000164</t>
  </si>
  <si>
    <t>30/09/2022 + 31/12/2022 (ercu en 02/2023) + 31/03/2023 + 31/10/2022 (recu en 2024) + 31/01/2023 (recu en 2024) + 28/02/2023 (recu en 2024) + 30/11/2022 (recu 02/2024)</t>
  </si>
  <si>
    <t>INV BCG-0000162</t>
  </si>
  <si>
    <t>ANA (SAM)</t>
  </si>
  <si>
    <t>MITSUBAICHO</t>
  </si>
  <si>
    <r>
      <t xml:space="preserve">Quote du 10/02/2024 v1 - </t>
    </r>
    <r>
      <rPr>
        <b/>
        <sz val="11"/>
        <rFont val="Calibri"/>
        <family val="2"/>
        <scheme val="minor"/>
      </rPr>
      <t>P00097_2024</t>
    </r>
  </si>
  <si>
    <t>P00097_2024</t>
  </si>
  <si>
    <t>ABIVAX Obefazimod Tablet &amp; Capsule Colors</t>
  </si>
  <si>
    <t>P000101_2024</t>
  </si>
  <si>
    <r>
      <t xml:space="preserve">D5355598 - </t>
    </r>
    <r>
      <rPr>
        <b/>
        <sz val="11"/>
        <rFont val="Calibri"/>
        <family val="2"/>
        <scheme val="minor"/>
      </rPr>
      <t>P000101_2024</t>
    </r>
  </si>
  <si>
    <r>
      <t xml:space="preserve">20497464 - </t>
    </r>
    <r>
      <rPr>
        <b/>
        <sz val="11"/>
        <rFont val="Calibri"/>
        <family val="2"/>
        <scheme val="minor"/>
      </rPr>
      <t>P00095_2024</t>
    </r>
  </si>
  <si>
    <t>P00095_2024</t>
  </si>
  <si>
    <t>OBEFAZIMOD - GMP- PIN-Milling UnderContainment - Batch 29kg</t>
  </si>
  <si>
    <t>OBEFAZIMOD - GMP- PIN-Milling UnderContainment - Batch 25kg</t>
  </si>
  <si>
    <r>
      <t xml:space="preserve">7018835-00 - </t>
    </r>
    <r>
      <rPr>
        <b/>
        <sz val="11"/>
        <rFont val="Calibri"/>
        <family val="2"/>
        <scheme val="minor"/>
      </rPr>
      <t>P00090_2024</t>
    </r>
  </si>
  <si>
    <t>P00090_2024</t>
  </si>
  <si>
    <r>
      <t xml:space="preserve">24100075 SQ Rev 2 - </t>
    </r>
    <r>
      <rPr>
        <b/>
        <sz val="11"/>
        <rFont val="Calibri"/>
        <family val="2"/>
        <scheme val="minor"/>
      </rPr>
      <t>P00106_2024</t>
    </r>
  </si>
  <si>
    <t>P00106_2024</t>
  </si>
  <si>
    <t>112123PM1r2 - SOW#1 - Add work</t>
  </si>
  <si>
    <t>112123PM1r2 - SOW#1</t>
  </si>
  <si>
    <t>110623PM1r2 - SOW#2</t>
  </si>
  <si>
    <r>
      <t xml:space="preserve">DDR 2024 037 V1 - </t>
    </r>
    <r>
      <rPr>
        <b/>
        <sz val="11"/>
        <rFont val="Calibri"/>
        <family val="2"/>
        <scheme val="minor"/>
      </rPr>
      <t>P00100_2024</t>
    </r>
  </si>
  <si>
    <t>P00100_2024</t>
  </si>
  <si>
    <t>ABX464 Process Optimization Trial Complements</t>
  </si>
  <si>
    <r>
      <t xml:space="preserve">L24_3932A - </t>
    </r>
    <r>
      <rPr>
        <b/>
        <sz val="11"/>
        <rFont val="Calibri"/>
        <family val="2"/>
        <scheme val="minor"/>
      </rPr>
      <t>P00108_2024</t>
    </r>
  </si>
  <si>
    <t>P00108_2024</t>
  </si>
  <si>
    <t>Dissolution testing with new method</t>
  </si>
  <si>
    <r>
      <t xml:space="preserve">L24_3961A - </t>
    </r>
    <r>
      <rPr>
        <b/>
        <sz val="11"/>
        <rFont val="Calibri"/>
        <family val="2"/>
        <scheme val="minor"/>
      </rPr>
      <t>P00107_2024</t>
    </r>
  </si>
  <si>
    <t>P00107_2024</t>
  </si>
  <si>
    <t>ABX464 - Fabrication &amp; conditionnement 25mg</t>
  </si>
  <si>
    <t>J2PHARMA</t>
  </si>
  <si>
    <r>
      <t xml:space="preserve">2024-101 - </t>
    </r>
    <r>
      <rPr>
        <b/>
        <sz val="11"/>
        <rFont val="Calibri"/>
        <family val="2"/>
        <scheme val="minor"/>
      </rPr>
      <t>P00117_2024</t>
    </r>
  </si>
  <si>
    <t>P00117_2024</t>
  </si>
  <si>
    <t>Combination assessment</t>
  </si>
  <si>
    <t>P00120_2024</t>
  </si>
  <si>
    <t>Conservation echantillons 1 an</t>
  </si>
  <si>
    <r>
      <t>2021_02_13 CSV -</t>
    </r>
    <r>
      <rPr>
        <b/>
        <sz val="11"/>
        <rFont val="Calibri"/>
        <family val="2"/>
        <scheme val="minor"/>
      </rPr>
      <t xml:space="preserve"> P00126_2024</t>
    </r>
  </si>
  <si>
    <t>P00126_2024</t>
  </si>
  <si>
    <t>THERMO FISHER TORONTO - PATHEON</t>
  </si>
  <si>
    <r>
      <t xml:space="preserve">21541933 - </t>
    </r>
    <r>
      <rPr>
        <b/>
        <sz val="11"/>
        <rFont val="Calibri"/>
        <family val="2"/>
        <scheme val="minor"/>
      </rPr>
      <t>P000104_2024</t>
    </r>
  </si>
  <si>
    <t>P00104_2024</t>
  </si>
  <si>
    <t>TORO-ABX464 IR Capsules 25mg et 50mg</t>
  </si>
  <si>
    <t>P00084_2024</t>
  </si>
  <si>
    <t>P00088_2024</t>
  </si>
  <si>
    <t>P00089_2024</t>
  </si>
  <si>
    <t>CoS-1 - Implementation and validation of manuf process ABX464</t>
  </si>
  <si>
    <t>CoS-2 - Implementation and validation of manuf process ABX464</t>
  </si>
  <si>
    <t>CoS-3 - Implementation and validation of manuf process ABX464</t>
  </si>
  <si>
    <r>
      <t xml:space="preserve">3124A0003Cv1 - </t>
    </r>
    <r>
      <rPr>
        <b/>
        <sz val="11"/>
        <rFont val="Calibri"/>
        <family val="2"/>
        <scheme val="minor"/>
      </rPr>
      <t>P00130_2024</t>
    </r>
  </si>
  <si>
    <t>P00130_2024</t>
  </si>
  <si>
    <r>
      <t xml:space="preserve">SRV_23118_A1 - </t>
    </r>
    <r>
      <rPr>
        <b/>
        <sz val="11"/>
        <rFont val="Calibri"/>
        <family val="2"/>
        <scheme val="minor"/>
      </rPr>
      <t>P00116_2024</t>
    </r>
  </si>
  <si>
    <t>P00116_2024</t>
  </si>
  <si>
    <t>Data management, biostatistics - At Amdt signature</t>
  </si>
  <si>
    <t>Data management, biostatistics - At databaselock parts A&amp;B</t>
  </si>
  <si>
    <t>Data management, biostatistics - After sending safety stat &amp; ADaM Package</t>
  </si>
  <si>
    <t>INV 58006881</t>
  </si>
  <si>
    <t>INV 59001284 + AV 59001287 + INV 59001547</t>
  </si>
  <si>
    <t>25/07/2023 + 27/07/2023 + 26/01/2024</t>
  </si>
  <si>
    <r>
      <t>OPP-305888 - CRL-4969</t>
    </r>
    <r>
      <rPr>
        <b/>
        <sz val="11"/>
        <rFont val="Calibri"/>
        <family val="2"/>
        <scheme val="minor"/>
      </rPr>
      <t xml:space="preserve">35 </t>
    </r>
    <r>
      <rPr>
        <sz val="11"/>
        <rFont val="Calibri"/>
        <family val="2"/>
        <scheme val="minor"/>
      </rPr>
      <t xml:space="preserve">- </t>
    </r>
    <r>
      <rPr>
        <strike/>
        <sz val="11"/>
        <rFont val="Calibri"/>
        <family val="2"/>
        <scheme val="minor"/>
      </rPr>
      <t>P00157_2023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P00177_2023</t>
    </r>
  </si>
  <si>
    <r>
      <t>OPP-305888 - CRL-4969</t>
    </r>
    <r>
      <rPr>
        <b/>
        <sz val="11"/>
        <rFont val="Calibri"/>
        <family val="2"/>
        <scheme val="minor"/>
      </rPr>
      <t>34</t>
    </r>
    <r>
      <rPr>
        <sz val="11"/>
        <rFont val="Calibri"/>
        <family val="2"/>
        <scheme val="minor"/>
      </rPr>
      <t xml:space="preserve"> - </t>
    </r>
    <r>
      <rPr>
        <strike/>
        <sz val="11"/>
        <rFont val="Calibri"/>
        <family val="2"/>
        <scheme val="minor"/>
      </rPr>
      <t>P00157_2023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P00177_2023</t>
    </r>
  </si>
  <si>
    <t>INV 47039490 + INV 47041046</t>
  </si>
  <si>
    <t>02/11/2023 + 23/01/2024</t>
  </si>
  <si>
    <t>02/11/2023 + 23/01/2023</t>
  </si>
  <si>
    <t>INV 252.23.37 + INV 257.24.01</t>
  </si>
  <si>
    <t>01/01/2024 + 27/02/2024</t>
  </si>
  <si>
    <t>EVEREST</t>
  </si>
  <si>
    <t>Statistics and Statistical Programming Services - Pinnacle 21 Enterprise License fees. Fee of $3,500 per annual license, per study.</t>
  </si>
  <si>
    <t>INV ABIV202402</t>
  </si>
  <si>
    <t>LKF</t>
  </si>
  <si>
    <t>MSA_23187_WO1</t>
  </si>
  <si>
    <t>Central lab CD202</t>
  </si>
  <si>
    <t>SRV_23041_CO2</t>
  </si>
  <si>
    <t>INV 23100469 + INV 24100017</t>
  </si>
  <si>
    <t>01/01/2024 + 29/01/2024</t>
  </si>
  <si>
    <r>
      <t xml:space="preserve">WO68#2023 - </t>
    </r>
    <r>
      <rPr>
        <b/>
        <sz val="11"/>
        <rFont val="Calibri"/>
        <family val="2"/>
        <scheme val="minor"/>
      </rPr>
      <t>P00322_2023</t>
    </r>
  </si>
  <si>
    <t>INV 00010 24000273 RI</t>
  </si>
  <si>
    <t>INV 90743107</t>
  </si>
  <si>
    <t>INV FRA-004976</t>
  </si>
  <si>
    <t>INV 027282</t>
  </si>
  <si>
    <t>Annulé et remplacé par PO00129_2024</t>
  </si>
  <si>
    <t>INV SI16000002875 - CM16000000098</t>
  </si>
  <si>
    <t>21/02/2024 + 06/03/2024</t>
  </si>
  <si>
    <t>BIOIVT - XenoTech</t>
  </si>
  <si>
    <t>INV 10000514 + INV 10000654 + INV 10000768 + INV 10001132</t>
  </si>
  <si>
    <t>30/10/2023 + 28/11/2023 + 18/12/2023 + 22/02/2024</t>
  </si>
  <si>
    <t>INV F24-1756</t>
  </si>
  <si>
    <t>INV F24-1766</t>
  </si>
  <si>
    <t>Caroline Lee</t>
  </si>
  <si>
    <t>PBPK model dev ABX464 &amp; ABX464NGlu - At signature</t>
  </si>
  <si>
    <t>PBPK model dev ABX464 &amp; ABX464NGlu - 12 900€ * 11 mois</t>
  </si>
  <si>
    <r>
      <t xml:space="preserve">PH23068_WO14 - </t>
    </r>
    <r>
      <rPr>
        <b/>
        <sz val="11"/>
        <rFont val="Calibri"/>
        <family val="2"/>
        <scheme val="minor"/>
      </rPr>
      <t>P00062_2024</t>
    </r>
  </si>
  <si>
    <t>P00062_2024</t>
  </si>
  <si>
    <t>INV F24-1752</t>
  </si>
  <si>
    <t>INV F24-1765</t>
  </si>
  <si>
    <t>INV 59001574</t>
  </si>
  <si>
    <t>INV FRA-005028</t>
  </si>
  <si>
    <t>INV FRA-005020</t>
  </si>
  <si>
    <t>INV 009174 - INV 00374 + 009375</t>
  </si>
  <si>
    <t>04/01/2024 + 09/02/2024 + 09/02/2024</t>
  </si>
  <si>
    <t>INV F-24021324</t>
  </si>
  <si>
    <t>INV 009376</t>
  </si>
  <si>
    <t>INV 009501</t>
  </si>
  <si>
    <t>INV 10000574</t>
  </si>
  <si>
    <t>INV 10000986</t>
  </si>
  <si>
    <r>
      <t>IBDQ22-088 A1 -</t>
    </r>
    <r>
      <rPr>
        <b/>
        <sz val="11"/>
        <rFont val="Calibri"/>
        <family val="2"/>
        <scheme val="minor"/>
      </rPr>
      <t xml:space="preserve"> P00011_2024</t>
    </r>
  </si>
  <si>
    <r>
      <t>IBDQ22-089 A1 -</t>
    </r>
    <r>
      <rPr>
        <b/>
        <sz val="11"/>
        <rFont val="Calibri"/>
        <family val="2"/>
        <scheme val="minor"/>
      </rPr>
      <t xml:space="preserve"> P00011_2024</t>
    </r>
  </si>
  <si>
    <r>
      <t xml:space="preserve">IBDQ22-090 A1 A2 A3 A4-  </t>
    </r>
    <r>
      <rPr>
        <b/>
        <sz val="11"/>
        <rFont val="Calibri"/>
        <family val="2"/>
        <scheme val="minor"/>
      </rPr>
      <t>P00011_2024</t>
    </r>
  </si>
  <si>
    <t>P00011_2024</t>
  </si>
  <si>
    <r>
      <t>PH24008_WO18 -</t>
    </r>
    <r>
      <rPr>
        <b/>
        <sz val="11"/>
        <rFont val="Calibri"/>
        <family val="2"/>
        <scheme val="minor"/>
      </rPr>
      <t xml:space="preserve"> P00135_2024</t>
    </r>
  </si>
  <si>
    <t>P00135_2024</t>
  </si>
  <si>
    <t>ABX464-921 - Update of PK analysis - Signature</t>
  </si>
  <si>
    <t>ABX464-921 - Update of PK analysis - release of update PK TFLs</t>
  </si>
  <si>
    <t>ABX464-921 - Update of PK analysis - Sending PP and ADPP datsets</t>
  </si>
  <si>
    <t>ABX464-921 - Update of PK analysis - PK report</t>
  </si>
  <si>
    <t>Crohn &amp; colitis Foudation</t>
  </si>
  <si>
    <t>P00136_2024</t>
  </si>
  <si>
    <t xml:space="preserve">Socila Media Campaign - 2 Posts </t>
  </si>
  <si>
    <r>
      <t xml:space="preserve">24100119 SQ - </t>
    </r>
    <r>
      <rPr>
        <b/>
        <sz val="11"/>
        <rFont val="Calibri"/>
        <family val="2"/>
        <scheme val="minor"/>
      </rPr>
      <t>P00134_2024</t>
    </r>
  </si>
  <si>
    <t>P00134_2024</t>
  </si>
  <si>
    <t>Shipment of milled batches</t>
  </si>
  <si>
    <r>
      <t xml:space="preserve">P2402261 - </t>
    </r>
    <r>
      <rPr>
        <b/>
        <sz val="11"/>
        <rFont val="Calibri"/>
        <family val="2"/>
        <scheme val="minor"/>
      </rPr>
      <t>P00133_2024</t>
    </r>
  </si>
  <si>
    <t>P00133_2024</t>
  </si>
  <si>
    <t>ABX464 &amp; ABX464NGlu Re-analyse</t>
  </si>
  <si>
    <r>
      <t xml:space="preserve">B 24 039 V1 - </t>
    </r>
    <r>
      <rPr>
        <b/>
        <sz val="11"/>
        <rFont val="Calibri"/>
        <family val="2"/>
        <scheme val="minor"/>
      </rPr>
      <t>P00137_2024</t>
    </r>
  </si>
  <si>
    <t>P00137_2024</t>
  </si>
  <si>
    <t>ABX464 Dissolution tests on API</t>
  </si>
  <si>
    <t>Meusure de surface specifique API broyé</t>
  </si>
  <si>
    <r>
      <t xml:space="preserve">24100128 SQ rev2 - </t>
    </r>
    <r>
      <rPr>
        <b/>
        <sz val="11"/>
        <rFont val="Calibri"/>
        <family val="2"/>
        <scheme val="minor"/>
      </rPr>
      <t>P00141_2024</t>
    </r>
  </si>
  <si>
    <t>P00141_2024</t>
  </si>
  <si>
    <t>Packaging of milled batches</t>
  </si>
  <si>
    <r>
      <t xml:space="preserve">Q1 75141 - </t>
    </r>
    <r>
      <rPr>
        <b/>
        <sz val="11"/>
        <rFont val="Calibri"/>
        <family val="2"/>
        <scheme val="minor"/>
      </rPr>
      <t>P00148_2024</t>
    </r>
  </si>
  <si>
    <t>P00148_2024</t>
  </si>
  <si>
    <t>KO miR-124 femal mice</t>
  </si>
  <si>
    <r>
      <t xml:space="preserve">12032024 - </t>
    </r>
    <r>
      <rPr>
        <b/>
        <sz val="11"/>
        <rFont val="Calibri"/>
        <family val="2"/>
        <scheme val="minor"/>
      </rPr>
      <t>P00154_2024</t>
    </r>
  </si>
  <si>
    <t>P00154_2024</t>
  </si>
  <si>
    <t>Transport ABX464NGlu - USA</t>
  </si>
  <si>
    <r>
      <t xml:space="preserve">OPP-336235 - CRL-532531 - </t>
    </r>
    <r>
      <rPr>
        <b/>
        <sz val="11"/>
        <rFont val="Calibri"/>
        <family val="2"/>
        <scheme val="minor"/>
      </rPr>
      <t>P00078_2024</t>
    </r>
  </si>
  <si>
    <t>P00150_2024</t>
  </si>
  <si>
    <r>
      <t xml:space="preserve">Q2200284_A1 - </t>
    </r>
    <r>
      <rPr>
        <b/>
        <sz val="11"/>
        <rFont val="Calibri"/>
        <family val="2"/>
        <scheme val="minor"/>
      </rPr>
      <t>P00150_2024</t>
    </r>
  </si>
  <si>
    <r>
      <t xml:space="preserve">Q2200285_A1 - </t>
    </r>
    <r>
      <rPr>
        <b/>
        <sz val="11"/>
        <rFont val="Calibri"/>
        <family val="2"/>
        <scheme val="minor"/>
      </rPr>
      <t>P00151_2024</t>
    </r>
  </si>
  <si>
    <t>P00151_2024</t>
  </si>
  <si>
    <r>
      <t xml:space="preserve">Q2200254_A1 - </t>
    </r>
    <r>
      <rPr>
        <b/>
        <sz val="11"/>
        <rFont val="Calibri"/>
        <family val="2"/>
        <scheme val="minor"/>
      </rPr>
      <t>P00152_2024</t>
    </r>
  </si>
  <si>
    <t>P00152_2024</t>
  </si>
  <si>
    <t>Histopathology Scoring ABX464-107 - année 2026</t>
  </si>
  <si>
    <t>CSV SAS support implementation at Abivax  - ILC SAS</t>
  </si>
  <si>
    <t>INV 2024_06</t>
  </si>
  <si>
    <t>INV 2023_10 + INV 2023_53 + INV 2023_103 + INV 2023_160 + INV 2024_04</t>
  </si>
  <si>
    <t>10/04/2023 + 15/06/2023 + 18/09/2023 + 19/12/2023 + 13/03/2024</t>
  </si>
  <si>
    <r>
      <t xml:space="preserve">P2403011 - </t>
    </r>
    <r>
      <rPr>
        <b/>
        <sz val="11"/>
        <rFont val="Calibri"/>
        <family val="2"/>
        <scheme val="minor"/>
      </rPr>
      <t>P00142_2024</t>
    </r>
  </si>
  <si>
    <t>P00142_2024</t>
  </si>
  <si>
    <t>INV 032337</t>
  </si>
  <si>
    <t>INV 59001602</t>
  </si>
  <si>
    <t>INV 940545969</t>
  </si>
  <si>
    <t>INV 3777620 + INV 3780768</t>
  </si>
  <si>
    <t>15/01/2024 + 18/01/2024</t>
  </si>
  <si>
    <t>INV 90741537</t>
  </si>
  <si>
    <t>INV S24-047281</t>
  </si>
  <si>
    <t>INV OGPVTE240087</t>
  </si>
  <si>
    <t>INV 840177432</t>
  </si>
  <si>
    <t>SRV_23041_CO3</t>
  </si>
  <si>
    <t>MLS Fees  - Start-Up - INVOICE 1</t>
  </si>
  <si>
    <t>MLS Fees  - INVOICE 31</t>
  </si>
  <si>
    <t>Q2 SOLUTIONS IQVIA</t>
  </si>
  <si>
    <t>Metabolite Profiling and Identification ABX464NGlu</t>
  </si>
  <si>
    <t>Additional cost for exploratory pediatric simulations</t>
  </si>
  <si>
    <r>
      <t xml:space="preserve">ZNA79291 CO n°10 - APTU - </t>
    </r>
    <r>
      <rPr>
        <b/>
        <sz val="11"/>
        <rFont val="Calibri"/>
        <family val="2"/>
        <scheme val="minor"/>
      </rPr>
      <t>P00166_2024</t>
    </r>
  </si>
  <si>
    <t>P00166_2024</t>
  </si>
  <si>
    <t>Dev of Solid Oral Dosage Form (Solid Dispersion) - CO10 On delivery of draft report</t>
  </si>
  <si>
    <t>BIOBOSTON CONSULTING</t>
  </si>
  <si>
    <r>
      <t>SOW#1 -</t>
    </r>
    <r>
      <rPr>
        <b/>
        <sz val="11"/>
        <rFont val="Calibri"/>
        <family val="2"/>
        <scheme val="minor"/>
      </rPr>
      <t xml:space="preserve"> P00167_2024</t>
    </r>
  </si>
  <si>
    <t>P00167_2024</t>
  </si>
  <si>
    <t>Consuling for CMC ABX464</t>
  </si>
  <si>
    <t>EUROFINS CDMO</t>
  </si>
  <si>
    <r>
      <t xml:space="preserve">20240307v1 - </t>
    </r>
    <r>
      <rPr>
        <b/>
        <sz val="11"/>
        <rFont val="Calibri"/>
        <family val="2"/>
        <scheme val="minor"/>
      </rPr>
      <t>P00165_2024</t>
    </r>
  </si>
  <si>
    <t>P00165_2024</t>
  </si>
  <si>
    <t>Destruction of material</t>
  </si>
  <si>
    <r>
      <t xml:space="preserve">B 24 039 V1 - </t>
    </r>
    <r>
      <rPr>
        <b/>
        <sz val="11"/>
        <rFont val="Calibri"/>
        <family val="2"/>
        <scheme val="minor"/>
      </rPr>
      <t>P00164_2024</t>
    </r>
  </si>
  <si>
    <t>P00164_2024</t>
  </si>
  <si>
    <t>ABX464 Dissolution retests on API</t>
  </si>
  <si>
    <r>
      <t xml:space="preserve">20032024-24 - </t>
    </r>
    <r>
      <rPr>
        <b/>
        <sz val="11"/>
        <rFont val="Calibri"/>
        <family val="2"/>
        <scheme val="minor"/>
      </rPr>
      <t>P00162_2024</t>
    </r>
  </si>
  <si>
    <t>P00162_2024</t>
  </si>
  <si>
    <r>
      <t xml:space="preserve">20504004 - </t>
    </r>
    <r>
      <rPr>
        <b/>
        <sz val="11"/>
        <rFont val="Calibri"/>
        <family val="2"/>
        <scheme val="minor"/>
      </rPr>
      <t>P00160_2024</t>
    </r>
  </si>
  <si>
    <t>P00160_2024</t>
  </si>
  <si>
    <r>
      <t>7025692-00 -</t>
    </r>
    <r>
      <rPr>
        <b/>
        <sz val="11"/>
        <rFont val="Calibri"/>
        <family val="2"/>
        <scheme val="minor"/>
      </rPr>
      <t xml:space="preserve"> P00157_2024</t>
    </r>
  </si>
  <si>
    <t>P00157_2024</t>
  </si>
  <si>
    <r>
      <t xml:space="preserve">Q23000522079 - </t>
    </r>
    <r>
      <rPr>
        <b/>
        <sz val="11"/>
        <rFont val="Calibri"/>
        <family val="2"/>
        <scheme val="minor"/>
      </rPr>
      <t>P00156_2024</t>
    </r>
  </si>
  <si>
    <t>P00156_2024</t>
  </si>
  <si>
    <r>
      <t xml:space="preserve">1XJBG031924-NC-ABIVA - </t>
    </r>
    <r>
      <rPr>
        <b/>
        <sz val="11"/>
        <rFont val="Calibri"/>
        <family val="2"/>
        <scheme val="minor"/>
      </rPr>
      <t>P00155_2024</t>
    </r>
  </si>
  <si>
    <t>P00155_2024</t>
  </si>
  <si>
    <t>P00180_2024</t>
  </si>
  <si>
    <t>Additional validation decrease the LLOQ</t>
  </si>
  <si>
    <r>
      <t xml:space="preserve">V3 - </t>
    </r>
    <r>
      <rPr>
        <b/>
        <sz val="11"/>
        <rFont val="Calibri"/>
        <family val="2"/>
        <scheme val="minor"/>
      </rPr>
      <t>P00173_2024</t>
    </r>
  </si>
  <si>
    <t>P00173_2024</t>
  </si>
  <si>
    <t>Consulting pour CMC</t>
  </si>
  <si>
    <t>Nitroso ABX464 impurty study</t>
  </si>
  <si>
    <t>P00171_2024</t>
  </si>
  <si>
    <r>
      <t xml:space="preserve">WO76#2024 - </t>
    </r>
    <r>
      <rPr>
        <b/>
        <sz val="11"/>
        <rFont val="Calibri"/>
        <family val="2"/>
        <scheme val="minor"/>
      </rPr>
      <t>P00169_2024</t>
    </r>
  </si>
  <si>
    <t>P00169_2024</t>
  </si>
  <si>
    <t>ABX-Benzoquinoline synthesis</t>
  </si>
  <si>
    <r>
      <t xml:space="preserve">2021_02_14 - </t>
    </r>
    <r>
      <rPr>
        <b/>
        <sz val="11"/>
        <rFont val="Calibri"/>
        <family val="2"/>
        <scheme val="minor"/>
      </rPr>
      <t>P00168_2024</t>
    </r>
  </si>
  <si>
    <t>P00168_2024</t>
  </si>
  <si>
    <t>Audit on site VOISIN CONSULTIN (VCLS Paris)</t>
  </si>
  <si>
    <r>
      <t xml:space="preserve">24100163SQ - </t>
    </r>
    <r>
      <rPr>
        <b/>
        <sz val="11"/>
        <rFont val="Calibri"/>
        <family val="2"/>
        <scheme val="minor"/>
      </rPr>
      <t>P00199_2024</t>
    </r>
  </si>
  <si>
    <t>P00199_2024</t>
  </si>
  <si>
    <t>Shipment to Canada</t>
  </si>
  <si>
    <r>
      <t xml:space="preserve">240408_045610_CDG_0800024587 - </t>
    </r>
    <r>
      <rPr>
        <b/>
        <sz val="11"/>
        <rFont val="Calibri"/>
        <family val="2"/>
        <scheme val="minor"/>
      </rPr>
      <t>P00196_2024</t>
    </r>
  </si>
  <si>
    <t>P00196_2024</t>
  </si>
  <si>
    <r>
      <t xml:space="preserve">240404_053532_CDG_0800024587 - </t>
    </r>
    <r>
      <rPr>
        <b/>
        <sz val="11"/>
        <rFont val="Calibri"/>
        <family val="2"/>
        <scheme val="minor"/>
      </rPr>
      <t>P00195_2024</t>
    </r>
  </si>
  <si>
    <t>P00195_2024</t>
  </si>
  <si>
    <t>Transport vers Santa Clara</t>
  </si>
  <si>
    <t>Transport vers Indianapolis</t>
  </si>
  <si>
    <r>
      <rPr>
        <sz val="11"/>
        <rFont val="Calibri"/>
        <family val="2"/>
        <scheme val="minor"/>
      </rPr>
      <t xml:space="preserve">DDR 2024 55 V1.0 - </t>
    </r>
    <r>
      <rPr>
        <b/>
        <sz val="11"/>
        <rFont val="Calibri"/>
        <family val="2"/>
        <scheme val="minor"/>
      </rPr>
      <t>P00190_2024</t>
    </r>
  </si>
  <si>
    <t>P00190_2024</t>
  </si>
  <si>
    <t>JetPharma API Technical batches</t>
  </si>
  <si>
    <r>
      <t xml:space="preserve">D_98_240228_MR_1158 - </t>
    </r>
    <r>
      <rPr>
        <b/>
        <sz val="11"/>
        <rFont val="Calibri"/>
        <family val="2"/>
        <scheme val="minor"/>
      </rPr>
      <t>P00188_2024</t>
    </r>
  </si>
  <si>
    <t>P00188_2024</t>
  </si>
  <si>
    <t>Evaluation and validation of S-PLEX method</t>
  </si>
  <si>
    <t>manque le devis</t>
  </si>
  <si>
    <r>
      <t xml:space="preserve">7027893-00 - </t>
    </r>
    <r>
      <rPr>
        <b/>
        <sz val="11"/>
        <rFont val="Calibri"/>
        <family val="2"/>
        <scheme val="minor"/>
      </rPr>
      <t>P00184_2024</t>
    </r>
  </si>
  <si>
    <t>P00184_2024</t>
  </si>
  <si>
    <t>P00183_2024</t>
  </si>
  <si>
    <r>
      <t xml:space="preserve">SOW#1 - </t>
    </r>
    <r>
      <rPr>
        <b/>
        <sz val="11"/>
        <rFont val="Calibri"/>
        <family val="2"/>
        <scheme val="minor"/>
      </rPr>
      <t>P00183_2024</t>
    </r>
  </si>
  <si>
    <t>FDA Expert Consultation</t>
  </si>
  <si>
    <t>doublon avec le PO00167_2024 ?</t>
  </si>
  <si>
    <r>
      <t xml:space="preserve">3124A0004Cv1 - CO au 3124A0003Cv1 - </t>
    </r>
    <r>
      <rPr>
        <b/>
        <sz val="11"/>
        <rFont val="Calibri"/>
        <family val="2"/>
        <scheme val="minor"/>
      </rPr>
      <t>P00185_2024</t>
    </r>
  </si>
  <si>
    <t>P00185_2024</t>
  </si>
  <si>
    <t>INV 58007161</t>
  </si>
  <si>
    <t>22/03/2024 (recu en 05/2024)</t>
  </si>
  <si>
    <t>INV 47043008</t>
  </si>
  <si>
    <t>INV F24-1786</t>
  </si>
  <si>
    <t>28/03/2024 (recu en 05/2024)</t>
  </si>
  <si>
    <t>INV 128</t>
  </si>
  <si>
    <t>INV 10001044</t>
  </si>
  <si>
    <t>INV 58007235</t>
  </si>
  <si>
    <t>INV F24-1790</t>
  </si>
  <si>
    <t>INV 10001377</t>
  </si>
  <si>
    <t>DAT</t>
  </si>
  <si>
    <t>INV ABIV202403</t>
  </si>
  <si>
    <t>INV 347507</t>
  </si>
  <si>
    <t>Jan-April 2024-Juillet2024</t>
  </si>
  <si>
    <t>WO ZZA92074 - CO2</t>
  </si>
  <si>
    <t>65% of Monitoring Visits &amp; Reports Completed</t>
  </si>
  <si>
    <t>75% of Monitoring Visits &amp; Reports Completed</t>
  </si>
  <si>
    <t>90% of Monitoring Visits &amp; Reports Completed</t>
  </si>
  <si>
    <t>WO ZZA92069 - CO2</t>
  </si>
  <si>
    <t>Upon execution CO2</t>
  </si>
  <si>
    <t>WOFZA86006 - CO2</t>
  </si>
  <si>
    <t>15% Patients randomised</t>
  </si>
  <si>
    <r>
      <t xml:space="preserve">7016355-00 - </t>
    </r>
    <r>
      <rPr>
        <b/>
        <sz val="11"/>
        <rFont val="Calibri"/>
        <family val="2"/>
        <scheme val="minor"/>
      </rPr>
      <t>P00274_2024</t>
    </r>
  </si>
  <si>
    <t>P00274_2024</t>
  </si>
  <si>
    <t>Aude G</t>
  </si>
  <si>
    <t>VEEVA</t>
  </si>
  <si>
    <r>
      <t xml:space="preserve">SRV_24115 - </t>
    </r>
    <r>
      <rPr>
        <b/>
        <sz val="11"/>
        <rFont val="Calibri"/>
        <family val="2"/>
        <scheme val="minor"/>
      </rPr>
      <t>P00269_2024</t>
    </r>
  </si>
  <si>
    <t>P00269_2024</t>
  </si>
  <si>
    <t>Vault Quality Docs + Training sessions</t>
  </si>
  <si>
    <r>
      <t xml:space="preserve">SRV_24114 - </t>
    </r>
    <r>
      <rPr>
        <b/>
        <sz val="11"/>
        <rFont val="Calibri"/>
        <family val="2"/>
        <scheme val="minor"/>
      </rPr>
      <t>P00260_2024</t>
    </r>
  </si>
  <si>
    <t>P00260_2024</t>
  </si>
  <si>
    <t>QMS tools Vault Quality Docs + Training sessions</t>
  </si>
  <si>
    <t>ADAMAS</t>
  </si>
  <si>
    <t>PO requestor</t>
  </si>
  <si>
    <t>P00270_2024</t>
  </si>
  <si>
    <t>25 investigator sites audits</t>
  </si>
  <si>
    <r>
      <t xml:space="preserve">WO75#2024 - </t>
    </r>
    <r>
      <rPr>
        <strike/>
        <sz val="11"/>
        <rFont val="Calibri"/>
        <family val="2"/>
        <scheme val="minor"/>
      </rPr>
      <t>P00170_2024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P00273_2024</t>
    </r>
  </si>
  <si>
    <t>P00273_2024</t>
  </si>
  <si>
    <r>
      <t xml:space="preserve">WO78#2024 - </t>
    </r>
    <r>
      <rPr>
        <b/>
        <sz val="11"/>
        <rFont val="Calibri"/>
        <family val="2"/>
        <scheme val="minor"/>
      </rPr>
      <t>P00272_2024</t>
    </r>
  </si>
  <si>
    <t>P00272_2024</t>
  </si>
  <si>
    <t>QSAR for QbD &amp; Carry over</t>
  </si>
  <si>
    <r>
      <t xml:space="preserve">7016355-00 - </t>
    </r>
    <r>
      <rPr>
        <b/>
        <sz val="11"/>
        <rFont val="Calibri"/>
        <family val="2"/>
        <scheme val="minor"/>
      </rPr>
      <t>P00261_2024</t>
    </r>
  </si>
  <si>
    <t>P00261_2024</t>
  </si>
  <si>
    <r>
      <t xml:space="preserve">DE-49285 - </t>
    </r>
    <r>
      <rPr>
        <b/>
        <sz val="11"/>
        <rFont val="Calibri"/>
        <family val="2"/>
        <scheme val="minor"/>
      </rPr>
      <t>P00258_2024</t>
    </r>
  </si>
  <si>
    <t>P00258_2024</t>
  </si>
  <si>
    <r>
      <t xml:space="preserve">140067778 - </t>
    </r>
    <r>
      <rPr>
        <b/>
        <sz val="11"/>
        <rFont val="Calibri"/>
        <family val="2"/>
        <scheme val="minor"/>
      </rPr>
      <t>P00257_2024</t>
    </r>
  </si>
  <si>
    <t>P00257_2024</t>
  </si>
  <si>
    <r>
      <t xml:space="preserve">D5444521 - </t>
    </r>
    <r>
      <rPr>
        <b/>
        <sz val="11"/>
        <rFont val="Calibri"/>
        <family val="2"/>
        <scheme val="minor"/>
      </rPr>
      <t>P00256_2024</t>
    </r>
  </si>
  <si>
    <t>P00256_2024</t>
  </si>
  <si>
    <t>P00253_2024</t>
  </si>
  <si>
    <t>RI907</t>
  </si>
  <si>
    <t>RI907 - Renal impairment Study</t>
  </si>
  <si>
    <t>Marianne P</t>
  </si>
  <si>
    <t>Signant Health Global Solutions</t>
  </si>
  <si>
    <r>
      <t xml:space="preserve">SRV_24027 - </t>
    </r>
    <r>
      <rPr>
        <b/>
        <sz val="11"/>
        <rFont val="Calibri"/>
        <family val="2"/>
        <scheme val="minor"/>
      </rPr>
      <t>P00251_2024</t>
    </r>
  </si>
  <si>
    <t>P00251_2024</t>
  </si>
  <si>
    <t>Saas Software annual fee 2024</t>
  </si>
  <si>
    <t>Saas Software steup fee 2024</t>
  </si>
  <si>
    <t>Audrey A / Julien</t>
  </si>
  <si>
    <r>
      <t xml:space="preserve">080024480_VR_01 - </t>
    </r>
    <r>
      <rPr>
        <b/>
        <sz val="11"/>
        <rFont val="Calibri"/>
        <family val="2"/>
        <scheme val="minor"/>
      </rPr>
      <t>P00254_2024</t>
    </r>
  </si>
  <si>
    <t>P00254_2024</t>
  </si>
  <si>
    <t>Shipment ABX464-910</t>
  </si>
  <si>
    <r>
      <t xml:space="preserve">Q23000522079 - </t>
    </r>
    <r>
      <rPr>
        <b/>
        <sz val="11"/>
        <rFont val="Calibri"/>
        <family val="2"/>
        <scheme val="minor"/>
      </rPr>
      <t>P00255_2024</t>
    </r>
  </si>
  <si>
    <t>P00255_2024</t>
  </si>
  <si>
    <t>Ouahiba K / Ana S</t>
  </si>
  <si>
    <t>P00249_2024</t>
  </si>
  <si>
    <t>ABTECT - 4 Audits On site - CERBA HISTALIM</t>
  </si>
  <si>
    <t>Internal - 4 Audits On site - LAB Montpllier ABIVAX</t>
  </si>
  <si>
    <t>CROHN - 4 Audits On site - LKF - Nordic Bioscience</t>
  </si>
  <si>
    <t>Jerome D</t>
  </si>
  <si>
    <t>Julien</t>
  </si>
  <si>
    <t>Nadege B</t>
  </si>
  <si>
    <t>P00248_2024</t>
  </si>
  <si>
    <r>
      <t xml:space="preserve">Quote 2021_02_13 - </t>
    </r>
    <r>
      <rPr>
        <b/>
        <sz val="11"/>
        <rFont val="Calibri"/>
        <family val="2"/>
        <scheme val="minor"/>
      </rPr>
      <t>P00248_2024</t>
    </r>
  </si>
  <si>
    <r>
      <t xml:space="preserve">Quote 2021_02_15 - </t>
    </r>
    <r>
      <rPr>
        <b/>
        <sz val="11"/>
        <rFont val="Calibri"/>
        <family val="2"/>
        <scheme val="minor"/>
      </rPr>
      <t>P00249_2024</t>
    </r>
  </si>
  <si>
    <t>CSV and support on SAS implementation</t>
  </si>
  <si>
    <t>Sunil S / Jerome</t>
  </si>
  <si>
    <t>P00242_2024</t>
  </si>
  <si>
    <t>TORO-ABX464 IR Capsules 25mg et 50mg Manuf - Withe opaque hard caps size 1</t>
  </si>
  <si>
    <t>Kevin S</t>
  </si>
  <si>
    <t>INV FRA-005102</t>
  </si>
  <si>
    <t>INV FRA-005103</t>
  </si>
  <si>
    <t>INV FRA-005100</t>
  </si>
  <si>
    <t>INV FRA-005101</t>
  </si>
  <si>
    <t>INV FACLI000223 + INV FACLI000142 + INV FACLI000372 + INV FACLI000444 + INV FACLI000445</t>
  </si>
  <si>
    <t>29/12/2023 + 31/01/2024 + 29/02/2024 + 29/03/2024 + 29/03/2024</t>
  </si>
  <si>
    <t>Pascaline</t>
  </si>
  <si>
    <t>ROME FOUNDATION</t>
  </si>
  <si>
    <t>LIC_23215</t>
  </si>
  <si>
    <t>Bristol Stool Form Scale (BSFS) - 15 languages</t>
  </si>
  <si>
    <t>LIC_23215_A1</t>
  </si>
  <si>
    <t>Bristol Stool Form Scale (BSFS) - Spanish</t>
  </si>
  <si>
    <t>INV 20240506</t>
  </si>
  <si>
    <t>Josainne</t>
  </si>
  <si>
    <t>35947-LOA</t>
  </si>
  <si>
    <t>renal study - Direct fees</t>
  </si>
  <si>
    <t>renal study - PTC</t>
  </si>
  <si>
    <t>INV OCRF-FTI-000140 - OCFR-FTC-000091 + INV OCFR-FTI-000161</t>
  </si>
  <si>
    <t>19/04/2024 - 08/05/2024 + 08/05/2024</t>
  </si>
  <si>
    <t>INV OCFR-PIN-000095</t>
  </si>
  <si>
    <t>INV FRA-005219</t>
  </si>
  <si>
    <t>ce n'est pas une facture mais un request for prepayment - Rabat 17,79% WP4 rowe material</t>
  </si>
  <si>
    <t>INV PJI-SC01-102684</t>
  </si>
  <si>
    <t>29/04/2024 (recu 05/2024)</t>
  </si>
  <si>
    <t>INV 59001675</t>
  </si>
  <si>
    <r>
      <t xml:space="preserve">OPP-336235 - CRL-543061 - </t>
    </r>
    <r>
      <rPr>
        <b/>
        <sz val="11"/>
        <rFont val="Calibri"/>
        <family val="2"/>
        <scheme val="minor"/>
      </rPr>
      <t>P00180_2024</t>
    </r>
    <r>
      <rPr>
        <sz val="11"/>
        <rFont val="Calibri"/>
        <family val="2"/>
        <scheme val="minor"/>
      </rPr>
      <t xml:space="preserve"> Add P00078_2024</t>
    </r>
  </si>
  <si>
    <t>INV 0710/24</t>
  </si>
  <si>
    <r>
      <t xml:space="preserve">L24_4003A - </t>
    </r>
    <r>
      <rPr>
        <b/>
        <sz val="11"/>
        <rFont val="Calibri"/>
        <family val="2"/>
        <scheme val="minor"/>
      </rPr>
      <t>P00247_2024</t>
    </r>
  </si>
  <si>
    <t>P00247_2024</t>
  </si>
  <si>
    <t>Second lot technique 25mg avec API Jetpharma</t>
  </si>
  <si>
    <t>Adrien K</t>
  </si>
  <si>
    <t>MAF</t>
  </si>
  <si>
    <t>Phuong T</t>
  </si>
  <si>
    <t>PELOTON ADVANTAGE LLC</t>
  </si>
  <si>
    <r>
      <t xml:space="preserve">2024-02 - </t>
    </r>
    <r>
      <rPr>
        <b/>
        <sz val="11"/>
        <rFont val="Calibri"/>
        <family val="2"/>
        <scheme val="minor"/>
      </rPr>
      <t>P00245_2024</t>
    </r>
  </si>
  <si>
    <t>P00245_2024</t>
  </si>
  <si>
    <t>Obefazimod Publication Plan Dev - at signature</t>
  </si>
  <si>
    <t>Obefazimod Publication Plan Dev - at completion</t>
  </si>
  <si>
    <t>David D</t>
  </si>
  <si>
    <t>XPLICO</t>
  </si>
  <si>
    <t>P00244_2024</t>
  </si>
  <si>
    <t>Additional 2 lice,ces</t>
  </si>
  <si>
    <t>Julien S</t>
  </si>
  <si>
    <r>
      <t xml:space="preserve">OPP-345994 - CRL-560284 - </t>
    </r>
    <r>
      <rPr>
        <b/>
        <sz val="11"/>
        <rFont val="Calibri"/>
        <family val="2"/>
        <scheme val="minor"/>
      </rPr>
      <t>P00234_2024</t>
    </r>
  </si>
  <si>
    <t>P00234_2024</t>
  </si>
  <si>
    <t>Analysis quantifictaion ABX464 &amp; ABX464NGlu in human plasma</t>
  </si>
  <si>
    <t>Saadia</t>
  </si>
  <si>
    <r>
      <t xml:space="preserve">DDR 2024 059 V1 - </t>
    </r>
    <r>
      <rPr>
        <b/>
        <sz val="11"/>
        <rFont val="Calibri"/>
        <family val="2"/>
        <scheme val="minor"/>
      </rPr>
      <t>P00236_2024</t>
    </r>
  </si>
  <si>
    <t>P00236_2024</t>
  </si>
  <si>
    <t>Dissolution testing</t>
  </si>
  <si>
    <r>
      <t xml:space="preserve">24100154 SQ - </t>
    </r>
    <r>
      <rPr>
        <b/>
        <sz val="11"/>
        <rFont val="Calibri"/>
        <family val="2"/>
        <scheme val="minor"/>
      </rPr>
      <t>P00237_2024</t>
    </r>
  </si>
  <si>
    <t>P00237_2024</t>
  </si>
  <si>
    <t>Storage fees 04/2024</t>
  </si>
  <si>
    <t>Didier S</t>
  </si>
  <si>
    <t>OROXCELL</t>
  </si>
  <si>
    <r>
      <t xml:space="preserve">DV3501-1 - </t>
    </r>
    <r>
      <rPr>
        <b/>
        <sz val="11"/>
        <rFont val="Calibri"/>
        <family val="2"/>
        <scheme val="minor"/>
      </rPr>
      <t>P00235_2024</t>
    </r>
  </si>
  <si>
    <t>P00235_2024</t>
  </si>
  <si>
    <t>Retour archive études</t>
  </si>
  <si>
    <r>
      <t xml:space="preserve">24100176 SQ Rev2 - </t>
    </r>
    <r>
      <rPr>
        <b/>
        <sz val="11"/>
        <rFont val="Calibri"/>
        <family val="2"/>
        <scheme val="minor"/>
      </rPr>
      <t>P00231_2024</t>
    </r>
  </si>
  <si>
    <t>P00231_2024</t>
  </si>
  <si>
    <t>Mary M</t>
  </si>
  <si>
    <t>CEDIENCE</t>
  </si>
  <si>
    <r>
      <t xml:space="preserve">SA220308 - </t>
    </r>
    <r>
      <rPr>
        <b/>
        <sz val="11"/>
        <rFont val="Calibri"/>
        <family val="2"/>
        <scheme val="minor"/>
      </rPr>
      <t>P00229_2024</t>
    </r>
  </si>
  <si>
    <t>P00229_2024</t>
  </si>
  <si>
    <t>Regulatory intelligence Tool</t>
  </si>
  <si>
    <r>
      <t xml:space="preserve">00187346 - </t>
    </r>
    <r>
      <rPr>
        <b/>
        <sz val="11"/>
        <rFont val="Calibri"/>
        <family val="2"/>
        <scheme val="minor"/>
      </rPr>
      <t>P00215_2024</t>
    </r>
  </si>
  <si>
    <t>P00215_2024</t>
  </si>
  <si>
    <t>Vault submission ELA</t>
  </si>
  <si>
    <r>
      <t xml:space="preserve">SOW VC-377886 - </t>
    </r>
    <r>
      <rPr>
        <b/>
        <sz val="11"/>
        <rFont val="Calibri"/>
        <family val="2"/>
        <scheme val="minor"/>
      </rPr>
      <t>P00214_2024</t>
    </r>
  </si>
  <si>
    <t>P00214_2024</t>
  </si>
  <si>
    <t>RIMS Vault implementation Costs</t>
  </si>
  <si>
    <r>
      <t xml:space="preserve">2021_02_016 - </t>
    </r>
    <r>
      <rPr>
        <b/>
        <sz val="11"/>
        <rFont val="Calibri"/>
        <family val="2"/>
        <scheme val="minor"/>
      </rPr>
      <t>P00222_2024</t>
    </r>
  </si>
  <si>
    <t>P00222_2024</t>
  </si>
  <si>
    <r>
      <t xml:space="preserve">P2404112 - </t>
    </r>
    <r>
      <rPr>
        <b/>
        <sz val="11"/>
        <rFont val="Calibri"/>
        <family val="2"/>
        <scheme val="minor"/>
      </rPr>
      <t>P00217_2024</t>
    </r>
  </si>
  <si>
    <t>P00217_2024</t>
  </si>
  <si>
    <t>Shipment to USA</t>
  </si>
  <si>
    <r>
      <t xml:space="preserve">P2404111 - </t>
    </r>
    <r>
      <rPr>
        <b/>
        <sz val="11"/>
        <rFont val="Calibri"/>
        <family val="2"/>
        <scheme val="minor"/>
      </rPr>
      <t>P00216_2024</t>
    </r>
  </si>
  <si>
    <t>P00216_2024</t>
  </si>
  <si>
    <t>Shipment to Netherlands</t>
  </si>
  <si>
    <r>
      <t xml:space="preserve">24100166 SQ - </t>
    </r>
    <r>
      <rPr>
        <b/>
        <sz val="11"/>
        <rFont val="Calibri"/>
        <family val="2"/>
        <scheme val="minor"/>
      </rPr>
      <t>P00218_2024</t>
    </r>
  </si>
  <si>
    <t>P00218_2024</t>
  </si>
  <si>
    <t>Shipment of samples</t>
  </si>
  <si>
    <r>
      <t xml:space="preserve">RHEM-IRCM-2024-T1-ABIVAX - </t>
    </r>
    <r>
      <rPr>
        <b/>
        <sz val="11"/>
        <rFont val="Calibri"/>
        <family val="2"/>
        <scheme val="minor"/>
      </rPr>
      <t>P00213_2024</t>
    </r>
  </si>
  <si>
    <t>P00213_2024</t>
  </si>
  <si>
    <r>
      <t xml:space="preserve">RT-qPCR - </t>
    </r>
    <r>
      <rPr>
        <b/>
        <sz val="11"/>
        <rFont val="Calibri"/>
        <family val="2"/>
        <scheme val="minor"/>
      </rPr>
      <t>P00212_2024</t>
    </r>
  </si>
  <si>
    <t>P00212_2024</t>
  </si>
  <si>
    <t>REVVITY</t>
  </si>
  <si>
    <r>
      <t xml:space="preserve">Q-267605 - </t>
    </r>
    <r>
      <rPr>
        <b/>
        <sz val="11"/>
        <rFont val="Calibri"/>
        <family val="2"/>
        <scheme val="minor"/>
      </rPr>
      <t>P00211_2024</t>
    </r>
  </si>
  <si>
    <t>P00211_2024</t>
  </si>
  <si>
    <r>
      <t xml:space="preserve">PH21028A5_WO19 - </t>
    </r>
    <r>
      <rPr>
        <b/>
        <sz val="11"/>
        <rFont val="Calibri"/>
        <family val="2"/>
        <scheme val="minor"/>
      </rPr>
      <t>P00210_2024</t>
    </r>
  </si>
  <si>
    <t>P00210_2024</t>
  </si>
  <si>
    <t>Product storage</t>
  </si>
  <si>
    <r>
      <t xml:space="preserve">P2404091 - </t>
    </r>
    <r>
      <rPr>
        <b/>
        <sz val="11"/>
        <rFont val="Calibri"/>
        <family val="2"/>
        <scheme val="minor"/>
      </rPr>
      <t>P00198_2024</t>
    </r>
  </si>
  <si>
    <t>P00198_2024</t>
  </si>
  <si>
    <t>refacturation Worldcourier</t>
  </si>
  <si>
    <r>
      <t xml:space="preserve">B 24 039 V1 - </t>
    </r>
    <r>
      <rPr>
        <b/>
        <sz val="11"/>
        <rFont val="Calibri"/>
        <family val="2"/>
        <scheme val="minor"/>
      </rPr>
      <t>P00202_2024</t>
    </r>
  </si>
  <si>
    <t>P00202_2024</t>
  </si>
  <si>
    <t>ABX464 Dissolution retests on API Paddle dissolution</t>
  </si>
  <si>
    <r>
      <t xml:space="preserve">Abivax-04-08-24 - </t>
    </r>
    <r>
      <rPr>
        <b/>
        <sz val="11"/>
        <rFont val="Calibri"/>
        <family val="2"/>
        <scheme val="minor"/>
      </rPr>
      <t>P00203_2024</t>
    </r>
  </si>
  <si>
    <t>P00203_2024</t>
  </si>
  <si>
    <t>BET Surface aera test and retest</t>
  </si>
  <si>
    <t>PATHEON France</t>
  </si>
  <si>
    <t>Formulation developpment CTM manufacture ABX711</t>
  </si>
  <si>
    <t>INV 303801187</t>
  </si>
  <si>
    <t>22/02/2024 (Recu 06/2024)</t>
  </si>
  <si>
    <t>Validation complement and stab ABX464 &amp; ABX464NGlu</t>
  </si>
  <si>
    <t>INV 59001548 + INV 59001607</t>
  </si>
  <si>
    <t>26/01/2024 + 20/03/2024 (recu 06/2024)</t>
  </si>
  <si>
    <t>Projet annulé</t>
  </si>
  <si>
    <r>
      <t xml:space="preserve">PH24042_WO20 - </t>
    </r>
    <r>
      <rPr>
        <b/>
        <sz val="11"/>
        <rFont val="Calibri"/>
        <family val="2"/>
        <scheme val="minor"/>
      </rPr>
      <t>P00253_2024</t>
    </r>
  </si>
  <si>
    <t>INV F-24051398</t>
  </si>
  <si>
    <t>INV 00010 24001247 RI</t>
  </si>
  <si>
    <t>INV 00010 24001194 RI</t>
  </si>
  <si>
    <t>INV 00010 24001195 RI</t>
  </si>
  <si>
    <t>INV 24100180</t>
  </si>
  <si>
    <t>OBEFAZIMOD Milling operation on 2 batches</t>
  </si>
  <si>
    <t>INV 24100181</t>
  </si>
  <si>
    <t xml:space="preserve">INV 24100192 </t>
  </si>
  <si>
    <r>
      <t xml:space="preserve">24100154 SQ - </t>
    </r>
    <r>
      <rPr>
        <b/>
        <sz val="11"/>
        <rFont val="Calibri"/>
        <family val="2"/>
        <scheme val="minor"/>
      </rPr>
      <t>P00281_2024</t>
    </r>
  </si>
  <si>
    <t>P00281_2024</t>
  </si>
  <si>
    <r>
      <t xml:space="preserve">24100207 SQ - </t>
    </r>
    <r>
      <rPr>
        <b/>
        <sz val="11"/>
        <rFont val="Calibri"/>
        <family val="2"/>
        <scheme val="minor"/>
      </rPr>
      <t>P00282_2024</t>
    </r>
  </si>
  <si>
    <t>P00282_2024</t>
  </si>
  <si>
    <t>Packing of milled batches</t>
  </si>
  <si>
    <t>INV 24100193</t>
  </si>
  <si>
    <t>INV 35414356 R2</t>
  </si>
  <si>
    <t>INV IV-01240170-ABI + INV IV-05240533-ABI</t>
  </si>
  <si>
    <t>31/01/2024 + 17/05/2024</t>
  </si>
  <si>
    <t>INV F24-1837</t>
  </si>
  <si>
    <t>INV 1961522 RI + INV 1961737 RI</t>
  </si>
  <si>
    <t>14/05/2024 + 15/05/2024</t>
  </si>
  <si>
    <t>INV 10088512</t>
  </si>
  <si>
    <t>INV 1032405345</t>
  </si>
  <si>
    <t>INV-SHGS-01858</t>
  </si>
  <si>
    <r>
      <t xml:space="preserve">Abivax-30-05-24 - </t>
    </r>
    <r>
      <rPr>
        <b/>
        <sz val="11"/>
        <rFont val="Calibri"/>
        <family val="2"/>
        <scheme val="minor"/>
      </rPr>
      <t>P00285_2024</t>
    </r>
  </si>
  <si>
    <t>P00285_2024</t>
  </si>
  <si>
    <t>INV F24-1827</t>
  </si>
  <si>
    <t>INV F24-1852</t>
  </si>
  <si>
    <t>INV 2024_66</t>
  </si>
  <si>
    <t>INV 00010 24001429 RI</t>
  </si>
  <si>
    <r>
      <t xml:space="preserve">L24_4054A - </t>
    </r>
    <r>
      <rPr>
        <b/>
        <sz val="11"/>
        <rFont val="Calibri"/>
        <family val="2"/>
        <scheme val="minor"/>
      </rPr>
      <t>P00293_2024</t>
    </r>
  </si>
  <si>
    <t>P00293_2024</t>
  </si>
  <si>
    <t>Production lot technique avec API 5000 rpm</t>
  </si>
  <si>
    <r>
      <t xml:space="preserve">B 24 039 V1 - </t>
    </r>
    <r>
      <rPr>
        <b/>
        <sz val="11"/>
        <rFont val="Calibri"/>
        <family val="2"/>
        <scheme val="minor"/>
      </rPr>
      <t>P00284_2024</t>
    </r>
  </si>
  <si>
    <t>P00284_2024</t>
  </si>
  <si>
    <t>ABX464 Dissolution consommable</t>
  </si>
  <si>
    <r>
      <t xml:space="preserve">DDR 2024 62 V1 - </t>
    </r>
    <r>
      <rPr>
        <b/>
        <sz val="11"/>
        <rFont val="Calibri"/>
        <family val="2"/>
        <scheme val="minor"/>
      </rPr>
      <t>P00278_2024</t>
    </r>
  </si>
  <si>
    <t>P00278_2024</t>
  </si>
  <si>
    <t>Assay method robustness activites</t>
  </si>
  <si>
    <r>
      <t xml:space="preserve">CBA/240611/1 - </t>
    </r>
    <r>
      <rPr>
        <b/>
        <sz val="11"/>
        <rFont val="Calibri"/>
        <family val="2"/>
        <scheme val="minor"/>
      </rPr>
      <t>P00298_2024</t>
    </r>
  </si>
  <si>
    <t>P00298_2024</t>
  </si>
  <si>
    <t>Stockage API/PF/PSF</t>
  </si>
  <si>
    <t>INV 10001390</t>
  </si>
  <si>
    <t>INV 0750/24</t>
  </si>
  <si>
    <t>INV FV24REC04818</t>
  </si>
  <si>
    <t>INV 010062</t>
  </si>
  <si>
    <t>INV 009691</t>
  </si>
  <si>
    <t>INV 009884</t>
  </si>
  <si>
    <t>Pas en compta</t>
  </si>
  <si>
    <t>INV 840184618</t>
  </si>
  <si>
    <t>INV 457095</t>
  </si>
  <si>
    <t>INV FRA-005327</t>
  </si>
  <si>
    <r>
      <t xml:space="preserve">7038131-01 - </t>
    </r>
    <r>
      <rPr>
        <b/>
        <sz val="11"/>
        <rFont val="Calibri"/>
        <family val="2"/>
        <scheme val="minor"/>
      </rPr>
      <t>P00305_2024</t>
    </r>
  </si>
  <si>
    <t>P00305_2024</t>
  </si>
  <si>
    <t>INV 1032406068</t>
  </si>
  <si>
    <t>INV F-24031345</t>
  </si>
  <si>
    <t>SRV_23063_A1 - ATL-2023-125</t>
  </si>
  <si>
    <t>INV F24-011299</t>
  </si>
  <si>
    <t>SRV_23063_A2 - ATL-2023-125</t>
  </si>
  <si>
    <t>INV F-24061415</t>
  </si>
  <si>
    <t>INV FRA-005330</t>
  </si>
  <si>
    <t>Sheldon S</t>
  </si>
  <si>
    <t>INV 010232</t>
  </si>
  <si>
    <r>
      <t xml:space="preserve">621919 - </t>
    </r>
    <r>
      <rPr>
        <b/>
        <sz val="11"/>
        <rFont val="Calibri"/>
        <family val="2"/>
        <scheme val="minor"/>
      </rPr>
      <t>P00329_2024</t>
    </r>
  </si>
  <si>
    <t>P00329_2024</t>
  </si>
  <si>
    <t xml:space="preserve">Microscopie </t>
  </si>
  <si>
    <t>INV 90763961</t>
  </si>
  <si>
    <r>
      <t xml:space="preserve">7039786-00 - </t>
    </r>
    <r>
      <rPr>
        <b/>
        <sz val="11"/>
        <rFont val="Calibri"/>
        <family val="2"/>
        <scheme val="minor"/>
      </rPr>
      <t>P00330_2024</t>
    </r>
  </si>
  <si>
    <t>P00330_2024</t>
  </si>
  <si>
    <t>INV 1032406403</t>
  </si>
  <si>
    <t>OC910 -  Contraceptive Trial</t>
  </si>
  <si>
    <t>OC910 -  Contraceptive Trial Amdt 1</t>
  </si>
  <si>
    <t>Aurélien F</t>
  </si>
  <si>
    <t>INV F020-SIN-0002719</t>
  </si>
  <si>
    <t>INV F24-1879</t>
  </si>
  <si>
    <t>INV F24-1880</t>
  </si>
  <si>
    <t>INV F24-1881</t>
  </si>
  <si>
    <t>PK model ABX464&amp;Nglu - At signature of the present Cost Estimate</t>
  </si>
  <si>
    <t>PK model ABX464&amp;Nglu - At completion of MAP</t>
  </si>
  <si>
    <t>PK model ABX464&amp;Nglu - At 1st update of the PK model (Step 1)</t>
  </si>
  <si>
    <t>PK model ABX464&amp;Nglu - At final uptade of the PK model (Step 2)</t>
  </si>
  <si>
    <t>PK model ABX464&amp;Nglu - At the final release of the draft report</t>
  </si>
  <si>
    <t>INV F24-1884</t>
  </si>
  <si>
    <t>27/06/20224</t>
  </si>
  <si>
    <t>A&amp;M Labor Fur Analytik</t>
  </si>
  <si>
    <t>Metabolic profiling ABX464-903</t>
  </si>
  <si>
    <t>012/24_1 - Pas de PO</t>
  </si>
  <si>
    <r>
      <t xml:space="preserve">24100210 SQ - </t>
    </r>
    <r>
      <rPr>
        <b/>
        <sz val="11"/>
        <rFont val="Calibri"/>
        <family val="2"/>
        <scheme val="minor"/>
      </rPr>
      <t>P00291_2024</t>
    </r>
  </si>
  <si>
    <t>P00291_2024</t>
  </si>
  <si>
    <t>INV 24100210</t>
  </si>
  <si>
    <t>INV I005-101844</t>
  </si>
  <si>
    <t>P00283_2024</t>
  </si>
  <si>
    <r>
      <t xml:space="preserve">B 24 039 V1 - </t>
    </r>
    <r>
      <rPr>
        <b/>
        <sz val="11"/>
        <rFont val="Calibri"/>
        <family val="2"/>
        <scheme val="minor"/>
      </rPr>
      <t>P00283_2024</t>
    </r>
  </si>
  <si>
    <t>ABX464 Dossolution retests on API</t>
  </si>
  <si>
    <t>INV 10001483</t>
  </si>
  <si>
    <t>INV ABIV202408</t>
  </si>
  <si>
    <t>INV ABIV202407</t>
  </si>
  <si>
    <t>INV ABIV202405</t>
  </si>
  <si>
    <t>INV 35408994 R2 + INV 35409726 R2 + INV 35410211 R2 + INV 35414817 R2</t>
  </si>
  <si>
    <t>30/03/2023 + 30/05/2023 + 30/06/2023 (recu 07/2023) + 28/06/2024</t>
  </si>
  <si>
    <t>INV ABI 20231031 + INV ABI 20231130 + INV ABI 20240229 + ABI 20231231 + INV ABI 20240131 + INV ABI 20240229 + INV ABI 20240331</t>
  </si>
  <si>
    <t>31/10/2023 + 30/11/2023 + 29/02/2024 + 31/12/2023 + 31/01/2024 + 29/02/2024 + 31/03/2024</t>
  </si>
  <si>
    <t>30/01/2024 + 31/03/2024 + 30/04/2024 + 31/05/2024</t>
  </si>
  <si>
    <t>JANVIER LABS</t>
  </si>
  <si>
    <r>
      <t xml:space="preserve">JLCO240503372 - </t>
    </r>
    <r>
      <rPr>
        <b/>
        <sz val="11"/>
        <rFont val="Calibri"/>
        <family val="2"/>
        <scheme val="minor"/>
      </rPr>
      <t>P00286_2024</t>
    </r>
  </si>
  <si>
    <t>P00286_2024</t>
  </si>
  <si>
    <t>WCG</t>
  </si>
  <si>
    <r>
      <t xml:space="preserve">MSA_24050 - </t>
    </r>
    <r>
      <rPr>
        <b/>
        <sz val="11"/>
        <rFont val="Calibri"/>
        <family val="2"/>
        <scheme val="minor"/>
      </rPr>
      <t>P00271_2024</t>
    </r>
  </si>
  <si>
    <t>P00271_2024</t>
  </si>
  <si>
    <t>SOP bundie 26 documents</t>
  </si>
  <si>
    <t>INV-AV-001166</t>
  </si>
  <si>
    <r>
      <t xml:space="preserve">24100206 SQ - </t>
    </r>
    <r>
      <rPr>
        <b/>
        <sz val="11"/>
        <rFont val="Calibri"/>
        <family val="2"/>
        <scheme val="minor"/>
      </rPr>
      <t>P00279_2024</t>
    </r>
  </si>
  <si>
    <t>P00279_2024</t>
  </si>
  <si>
    <r>
      <t xml:space="preserve">24100205 SQ - </t>
    </r>
    <r>
      <rPr>
        <b/>
        <sz val="11"/>
        <rFont val="Calibri"/>
        <family val="2"/>
        <scheme val="minor"/>
      </rPr>
      <t>P00287_2024</t>
    </r>
  </si>
  <si>
    <t>P00287_2024</t>
  </si>
  <si>
    <t>Milling operation trials</t>
  </si>
  <si>
    <t>Josianne</t>
  </si>
  <si>
    <t>P00300_2024</t>
  </si>
  <si>
    <t>CD202 - Sample analysis ABX464 &amp; Nglu in human Plasma</t>
  </si>
  <si>
    <t>Annulé par P00300_2024</t>
  </si>
  <si>
    <r>
      <t xml:space="preserve">240612_063242_CDG_0800024587_VR_01 - </t>
    </r>
    <r>
      <rPr>
        <b/>
        <sz val="11"/>
        <rFont val="Calibri"/>
        <family val="2"/>
        <scheme val="minor"/>
      </rPr>
      <t>P00306_2024</t>
    </r>
  </si>
  <si>
    <t>P00306_2024</t>
  </si>
  <si>
    <t>ABX464-910 Shipment Cohort n°3</t>
  </si>
  <si>
    <r>
      <t xml:space="preserve">240612_064558_CDG_0800024587_VR_01 - </t>
    </r>
    <r>
      <rPr>
        <b/>
        <sz val="11"/>
        <rFont val="Calibri"/>
        <family val="2"/>
        <scheme val="minor"/>
      </rPr>
      <t>P00307_2024</t>
    </r>
  </si>
  <si>
    <t>P00307_2024</t>
  </si>
  <si>
    <t>ABX464-910 Shipment Cohort n°4</t>
  </si>
  <si>
    <t>P00304_2024</t>
  </si>
  <si>
    <t>Ana S</t>
  </si>
  <si>
    <t>SCIMITAR</t>
  </si>
  <si>
    <r>
      <t xml:space="preserve">MSA_23198_WO_2 - </t>
    </r>
    <r>
      <rPr>
        <b/>
        <sz val="11"/>
        <rFont val="Calibri"/>
        <family val="2"/>
        <scheme val="minor"/>
      </rPr>
      <t>P00296_2024</t>
    </r>
  </si>
  <si>
    <t>P00296_2024</t>
  </si>
  <si>
    <t>QMS SOPs for Reg Aff and Med Aff</t>
  </si>
  <si>
    <r>
      <t xml:space="preserve">web - </t>
    </r>
    <r>
      <rPr>
        <b/>
        <sz val="11"/>
        <rFont val="Calibri"/>
        <family val="2"/>
        <scheme val="minor"/>
      </rPr>
      <t>P00292_2024</t>
    </r>
  </si>
  <si>
    <t>P00292_2024</t>
  </si>
  <si>
    <r>
      <t xml:space="preserve">ASTIS-6RE6 - </t>
    </r>
    <r>
      <rPr>
        <b/>
        <sz val="11"/>
        <rFont val="Calibri"/>
        <family val="2"/>
        <scheme val="minor"/>
      </rPr>
      <t>P00290_2024</t>
    </r>
  </si>
  <si>
    <t>P00290_2024</t>
  </si>
  <si>
    <t xml:space="preserve">ReAnalyse de lot Nglu </t>
  </si>
  <si>
    <r>
      <t xml:space="preserve">WO77#2024 - </t>
    </r>
    <r>
      <rPr>
        <b/>
        <sz val="11"/>
        <rFont val="Calibri"/>
        <family val="2"/>
        <scheme val="minor"/>
      </rPr>
      <t>P00289_2024</t>
    </r>
  </si>
  <si>
    <t>P00289_2024</t>
  </si>
  <si>
    <t>Analytical transfer - additionnal activites</t>
  </si>
  <si>
    <r>
      <t xml:space="preserve">P2406201 - </t>
    </r>
    <r>
      <rPr>
        <b/>
        <sz val="11"/>
        <rFont val="Calibri"/>
        <family val="2"/>
        <scheme val="minor"/>
      </rPr>
      <t>P00326_2024</t>
    </r>
  </si>
  <si>
    <t>P00326_2024</t>
  </si>
  <si>
    <t>Shipping &amp; Handing</t>
  </si>
  <si>
    <t>Product Storage</t>
  </si>
  <si>
    <r>
      <t xml:space="preserve">240618FR010803238CB - </t>
    </r>
    <r>
      <rPr>
        <b/>
        <sz val="11"/>
        <rFont val="Calibri"/>
        <family val="2"/>
        <scheme val="minor"/>
      </rPr>
      <t>P00318_2024</t>
    </r>
  </si>
  <si>
    <t>P00318_2024</t>
  </si>
  <si>
    <r>
      <t xml:space="preserve">CPQ-02230515 - </t>
    </r>
    <r>
      <rPr>
        <b/>
        <sz val="11"/>
        <rFont val="Calibri"/>
        <family val="2"/>
        <scheme val="minor"/>
      </rPr>
      <t>P00319_2024</t>
    </r>
  </si>
  <si>
    <t>P00319_2024</t>
  </si>
  <si>
    <t>P00327_2024</t>
  </si>
  <si>
    <r>
      <t xml:space="preserve">QTOC213386 - </t>
    </r>
    <r>
      <rPr>
        <b/>
        <sz val="11"/>
        <rFont val="Calibri"/>
        <family val="2"/>
        <scheme val="minor"/>
      </rPr>
      <t>P00328_2024</t>
    </r>
  </si>
  <si>
    <t>P00328_2024</t>
  </si>
  <si>
    <t>Licence OCEAlert + OCEAVeiw</t>
  </si>
  <si>
    <r>
      <t xml:space="preserve">7039786-00 - </t>
    </r>
    <r>
      <rPr>
        <b/>
        <sz val="11"/>
        <rFont val="Calibri"/>
        <family val="2"/>
        <scheme val="minor"/>
      </rPr>
      <t>P00331_2024</t>
    </r>
  </si>
  <si>
    <t>P00331_2024</t>
  </si>
  <si>
    <t xml:space="preserve">LAB </t>
  </si>
  <si>
    <t>PI MOTION</t>
  </si>
  <si>
    <r>
      <t xml:space="preserve">DEV-20240617-00424 - </t>
    </r>
    <r>
      <rPr>
        <b/>
        <sz val="11"/>
        <rFont val="Calibri"/>
        <family val="2"/>
        <scheme val="minor"/>
      </rPr>
      <t>P00333_2024</t>
    </r>
  </si>
  <si>
    <t>P00333_2024</t>
  </si>
  <si>
    <t xml:space="preserve">Abonnement PI planner </t>
  </si>
  <si>
    <r>
      <t xml:space="preserve">L21_3318D + L23_3702 - </t>
    </r>
    <r>
      <rPr>
        <b/>
        <sz val="11"/>
        <rFont val="Calibri"/>
        <family val="2"/>
        <scheme val="minor"/>
      </rPr>
      <t>P00335_2024</t>
    </r>
  </si>
  <si>
    <t>P00335_2024</t>
  </si>
  <si>
    <t>Refacturation analytique consommbale Labo + sous-traitance S1 2023</t>
  </si>
  <si>
    <r>
      <t>OPP-349662 - 31982894</t>
    </r>
    <r>
      <rPr>
        <b/>
        <sz val="11"/>
        <rFont val="Calibri"/>
        <family val="2"/>
        <scheme val="minor"/>
      </rPr>
      <t xml:space="preserve"> - P00334_2024</t>
    </r>
  </si>
  <si>
    <r>
      <t>OPP-349662 - 31982895</t>
    </r>
    <r>
      <rPr>
        <b/>
        <sz val="11"/>
        <rFont val="Calibri"/>
        <family val="2"/>
        <scheme val="minor"/>
      </rPr>
      <t xml:space="preserve"> - P00334_2024</t>
    </r>
  </si>
  <si>
    <r>
      <t xml:space="preserve">OPP-349662 - 31982896 - </t>
    </r>
    <r>
      <rPr>
        <b/>
        <sz val="11"/>
        <rFont val="Calibri"/>
        <family val="2"/>
        <scheme val="minor"/>
      </rPr>
      <t>P00334_2024</t>
    </r>
  </si>
  <si>
    <t>P00334_2024</t>
  </si>
  <si>
    <t>ERA Tox program - Dissociation constant water</t>
  </si>
  <si>
    <t>ERA Tox program - Chironomid Toxicity Test</t>
  </si>
  <si>
    <t>ERA Tox program - Water Solubility 3pH</t>
  </si>
  <si>
    <r>
      <t xml:space="preserve">WO79#2024 - </t>
    </r>
    <r>
      <rPr>
        <b/>
        <sz val="11"/>
        <rFont val="Calibri"/>
        <family val="2"/>
        <scheme val="minor"/>
      </rPr>
      <t>P00309_2024</t>
    </r>
  </si>
  <si>
    <t>P00309_2024</t>
  </si>
  <si>
    <t>Transfer Miling &amp; Analyze</t>
  </si>
  <si>
    <r>
      <t xml:space="preserve">Web - </t>
    </r>
    <r>
      <rPr>
        <b/>
        <sz val="11"/>
        <rFont val="Calibri"/>
        <family val="2"/>
        <scheme val="minor"/>
      </rPr>
      <t>P00310_2024</t>
    </r>
  </si>
  <si>
    <t>P00310_2024</t>
  </si>
  <si>
    <t>P00312_2024</t>
  </si>
  <si>
    <t>P00313_2024</t>
  </si>
  <si>
    <t>TORO-ABX464 IR Capsules - Refacturation PTC</t>
  </si>
  <si>
    <r>
      <t xml:space="preserve">21541933 - </t>
    </r>
    <r>
      <rPr>
        <b/>
        <sz val="11"/>
        <rFont val="Calibri"/>
        <family val="2"/>
        <scheme val="minor"/>
      </rPr>
      <t>P00312_2024</t>
    </r>
  </si>
  <si>
    <r>
      <t xml:space="preserve">21541933 - </t>
    </r>
    <r>
      <rPr>
        <b/>
        <sz val="11"/>
        <rFont val="Calibri"/>
        <family val="2"/>
        <scheme val="minor"/>
      </rPr>
      <t>P00313_2024</t>
    </r>
  </si>
  <si>
    <r>
      <t xml:space="preserve">Quote 2021_02_18 - </t>
    </r>
    <r>
      <rPr>
        <b/>
        <sz val="11"/>
        <rFont val="Calibri"/>
        <family val="2"/>
        <scheme val="minor"/>
      </rPr>
      <t>P00308_2024</t>
    </r>
  </si>
  <si>
    <t>P00308_2024</t>
  </si>
  <si>
    <t>CSV on Veeva Quality Docs &amp; RIMS Applications</t>
  </si>
  <si>
    <r>
      <t xml:space="preserve">24100221 SQ - </t>
    </r>
    <r>
      <rPr>
        <b/>
        <sz val="11"/>
        <rFont val="Calibri"/>
        <family val="2"/>
        <scheme val="minor"/>
      </rPr>
      <t>P00320_2024</t>
    </r>
  </si>
  <si>
    <t>P00320_2024</t>
  </si>
  <si>
    <t>Sampling and re-packing</t>
  </si>
  <si>
    <t>P00342_2024</t>
  </si>
  <si>
    <t>INV 940557028</t>
  </si>
  <si>
    <t>INV 940556221</t>
  </si>
  <si>
    <t>INV 24100218</t>
  </si>
  <si>
    <t>INV 9216183664</t>
  </si>
  <si>
    <t>INV 1968083 RI</t>
  </si>
  <si>
    <t>INV INVOC1015956</t>
  </si>
  <si>
    <t>INV 032354</t>
  </si>
  <si>
    <t>INV FA24 0058</t>
  </si>
  <si>
    <t>INV 10000000</t>
  </si>
  <si>
    <t>CRS</t>
  </si>
  <si>
    <t>SRV_24125</t>
  </si>
  <si>
    <t>RI907 - Renal Impairment Study - At signature</t>
  </si>
  <si>
    <t>RI907 - Renal Impairment Study - FPFV Start screening</t>
  </si>
  <si>
    <t>RI907 - Renal Impairment Study - 50% severe and matched control completed</t>
  </si>
  <si>
    <t>RI907 - Renal Impairment Study - 100% severe and matched control completed</t>
  </si>
  <si>
    <t>RI907 - Renal Impairment Study - 50% mild and moderate group completed</t>
  </si>
  <si>
    <t>RI907 - Renal Impairment Study - 100% mild and moderate group completed</t>
  </si>
  <si>
    <t>RI907 - Renal Impairment Study - LPLV</t>
  </si>
  <si>
    <t>RI907 - Renal Impairment Study - Data base lock</t>
  </si>
  <si>
    <t>RI907 - Renal Impairment Study - Final study report</t>
  </si>
  <si>
    <t>RI907 - Renal Impairment Study - PTC</t>
  </si>
  <si>
    <t>INV 2024-KI-0046</t>
  </si>
  <si>
    <t>35947-WO 009</t>
  </si>
  <si>
    <t>RI907 - Renal Impairment Study - At siganture (247 522€ - LOA(53 021 €)</t>
  </si>
  <si>
    <t>RI907 - Renal Impairment Study - Monthly fees 2024 (9 mois x 18 335€)</t>
  </si>
  <si>
    <t>RI907 - Renal Impairment Study - Monthly fees 2025 (7 mois x 6 188€)</t>
  </si>
  <si>
    <t>RI907 - Renal Impairment Study - PTC - ORACLE</t>
  </si>
  <si>
    <t>RI907 - Renal Impairment Study - Combined Approval Received</t>
  </si>
  <si>
    <t>RI907 - Renal Impairment Study - eCRF go live</t>
  </si>
  <si>
    <t>RI907 - Renal Impairment Study - First subject First Dose Cohort 1</t>
  </si>
  <si>
    <t>RI907 - Renal Impairment Study - First subject First Dose Cohort 2</t>
  </si>
  <si>
    <t>RI907 - Renal Impairment Study Database Lock</t>
  </si>
  <si>
    <t>RI907 - Renal Impairment Study - Draft CSR</t>
  </si>
  <si>
    <t>INV OCFR-FTI-000191</t>
  </si>
  <si>
    <r>
      <t xml:space="preserve">140069012 - </t>
    </r>
    <r>
      <rPr>
        <b/>
        <sz val="11"/>
        <rFont val="Calibri"/>
        <family val="2"/>
        <scheme val="minor"/>
      </rPr>
      <t>P00346_2024</t>
    </r>
  </si>
  <si>
    <t>P00346_2024</t>
  </si>
  <si>
    <r>
      <t xml:space="preserve">240704FR01810205CB - </t>
    </r>
    <r>
      <rPr>
        <b/>
        <sz val="11"/>
        <rFont val="Calibri"/>
        <family val="2"/>
        <scheme val="minor"/>
      </rPr>
      <t>P00345_2024</t>
    </r>
  </si>
  <si>
    <t>P00345_2024</t>
  </si>
  <si>
    <t>Romain N / Didier s</t>
  </si>
  <si>
    <r>
      <t xml:space="preserve">DJ00089015 - </t>
    </r>
    <r>
      <rPr>
        <b/>
        <sz val="11"/>
        <rFont val="Calibri"/>
        <family val="2"/>
        <scheme val="minor"/>
      </rPr>
      <t>P00344_2024</t>
    </r>
  </si>
  <si>
    <t>P00344_2024</t>
  </si>
  <si>
    <t>Instant Jchem &amp; Marvin Beans license - 07/2024 au 07/2025</t>
  </si>
  <si>
    <r>
      <t xml:space="preserve">24100250 SQ - </t>
    </r>
    <r>
      <rPr>
        <b/>
        <sz val="11"/>
        <rFont val="Calibri"/>
        <family val="2"/>
        <scheme val="minor"/>
      </rPr>
      <t>P00343_2024</t>
    </r>
  </si>
  <si>
    <t>P00343_2024</t>
  </si>
  <si>
    <t>Shipment for Cork</t>
  </si>
  <si>
    <r>
      <t xml:space="preserve">OPP-315267 - CRL-509177 - </t>
    </r>
    <r>
      <rPr>
        <b/>
        <sz val="11"/>
        <rFont val="Calibri"/>
        <family val="2"/>
        <scheme val="minor"/>
      </rPr>
      <t>P00339_2024</t>
    </r>
  </si>
  <si>
    <t>P00339_2024</t>
  </si>
  <si>
    <r>
      <t xml:space="preserve">20521662 - </t>
    </r>
    <r>
      <rPr>
        <b/>
        <sz val="11"/>
        <rFont val="Calibri"/>
        <family val="2"/>
        <scheme val="minor"/>
      </rPr>
      <t>P00338_2024</t>
    </r>
  </si>
  <si>
    <t>P00338_2024</t>
  </si>
  <si>
    <r>
      <t xml:space="preserve">Quote 2021_02_19 - </t>
    </r>
    <r>
      <rPr>
        <b/>
        <sz val="11"/>
        <rFont val="Calibri"/>
        <family val="2"/>
        <scheme val="minor"/>
      </rPr>
      <t>P00337_2024</t>
    </r>
  </si>
  <si>
    <t>P00337_2024</t>
  </si>
  <si>
    <t>Trainign on CSV ILC Training for 2024</t>
  </si>
  <si>
    <r>
      <t xml:space="preserve">2024-01 - </t>
    </r>
    <r>
      <rPr>
        <b/>
        <sz val="11"/>
        <rFont val="Calibri"/>
        <family val="2"/>
        <scheme val="minor"/>
      </rPr>
      <t>P00354_2024</t>
    </r>
  </si>
  <si>
    <t>P00354_2024</t>
  </si>
  <si>
    <t>UEG Week 2024 - Symposium support - at signature</t>
  </si>
  <si>
    <t>UEG Week 2024 - Symposium support - at at completion</t>
  </si>
  <si>
    <r>
      <t xml:space="preserve">QTOC213596 - </t>
    </r>
    <r>
      <rPr>
        <b/>
        <sz val="11"/>
        <rFont val="Calibri"/>
        <family val="2"/>
        <scheme val="minor"/>
      </rPr>
      <t>P00355_2024</t>
    </r>
  </si>
  <si>
    <t>P00355_2024</t>
  </si>
  <si>
    <r>
      <t xml:space="preserve">QTOC213487 - </t>
    </r>
    <r>
      <rPr>
        <b/>
        <sz val="11"/>
        <rFont val="Calibri"/>
        <family val="2"/>
        <scheme val="minor"/>
      </rPr>
      <t>P00349_2024 n°2</t>
    </r>
  </si>
  <si>
    <t>P00349_2024 n°2</t>
  </si>
  <si>
    <t>Maintenance 2024</t>
  </si>
  <si>
    <r>
      <t xml:space="preserve">WO3 - </t>
    </r>
    <r>
      <rPr>
        <b/>
        <sz val="11"/>
        <rFont val="Calibri"/>
        <family val="2"/>
        <scheme val="minor"/>
      </rPr>
      <t>P00350_2024</t>
    </r>
  </si>
  <si>
    <t>P00350_2024</t>
  </si>
  <si>
    <t>Audit Q2 Solutions</t>
  </si>
  <si>
    <r>
      <t xml:space="preserve">SOW#2024-01 - </t>
    </r>
    <r>
      <rPr>
        <b/>
        <sz val="11"/>
        <rFont val="Calibri"/>
        <family val="2"/>
        <scheme val="minor"/>
      </rPr>
      <t>P00351_2024</t>
    </r>
  </si>
  <si>
    <t>P00351_2024</t>
  </si>
  <si>
    <t>Audit EDETEK</t>
  </si>
  <si>
    <t>CALCIUM</t>
  </si>
  <si>
    <r>
      <t xml:space="preserve">SOW#6 - </t>
    </r>
    <r>
      <rPr>
        <b/>
        <sz val="11"/>
        <rFont val="Calibri"/>
        <family val="2"/>
        <scheme val="minor"/>
      </rPr>
      <t>P00353_2024</t>
    </r>
  </si>
  <si>
    <t>P00353_2024</t>
  </si>
  <si>
    <t>Congress Banner &amp; Brochure Printing</t>
  </si>
  <si>
    <r>
      <t xml:space="preserve">D5514300 - </t>
    </r>
    <r>
      <rPr>
        <b/>
        <sz val="11"/>
        <rFont val="Calibri"/>
        <family val="2"/>
        <scheme val="minor"/>
      </rPr>
      <t>P00349_2024 n°1</t>
    </r>
  </si>
  <si>
    <t>P00349_2024 n°1</t>
  </si>
  <si>
    <t>SRV_21096_A3</t>
  </si>
  <si>
    <t xml:space="preserve">7. CO#3 additionnal services </t>
  </si>
  <si>
    <t>INV PJ20241122</t>
  </si>
  <si>
    <r>
      <t xml:space="preserve">EH00077872 - </t>
    </r>
    <r>
      <rPr>
        <b/>
        <sz val="11"/>
        <rFont val="Calibri"/>
        <family val="2"/>
        <scheme val="minor"/>
      </rPr>
      <t>P00195_2023</t>
    </r>
  </si>
  <si>
    <t>P00195_2023</t>
  </si>
  <si>
    <t>INV VSK-23-0296</t>
  </si>
  <si>
    <t>INV-24-0251</t>
  </si>
  <si>
    <t>INV OCFR-FTI-000211 - OCFR-FTC-000121 + INV OCFR-FTI-000213</t>
  </si>
  <si>
    <t>02/07/2024 + 09/07/2024 + 09/07/2024</t>
  </si>
  <si>
    <t>INV RA2023117 + RA2024013 + RA2024005 + RA2024032 + RA2024088</t>
  </si>
  <si>
    <t>01/01/2024 + 31/01/2024 + 31/01/2024 + 28/03/2024 + 30/06/2024</t>
  </si>
  <si>
    <t>INV 0095873542</t>
  </si>
  <si>
    <t>INV 840188184</t>
  </si>
  <si>
    <t>Histologie 2024 T1</t>
  </si>
  <si>
    <t>INV 90766708</t>
  </si>
  <si>
    <t>MERCK - MILLIPORE</t>
  </si>
  <si>
    <t>INV 28842642</t>
  </si>
  <si>
    <t>INV 24260601 + INV 24261658 + INV 0090012891 + INV 0090012893</t>
  </si>
  <si>
    <t>29/02/2024 + 30/05/2024 + 30/06/2024 + 30/06/2024</t>
  </si>
  <si>
    <t>INV 24100240</t>
  </si>
  <si>
    <t>INV 253.23.38 + INV 260.24.04</t>
  </si>
  <si>
    <t>01/01/2024 + 18/03/2024</t>
  </si>
  <si>
    <r>
      <t xml:space="preserve">ABIVAX_A_CRO-Biom_2024-115 - </t>
    </r>
    <r>
      <rPr>
        <b/>
        <sz val="11"/>
        <rFont val="Calibri"/>
        <family val="2"/>
        <scheme val="minor"/>
      </rPr>
      <t>P00369_2024</t>
    </r>
  </si>
  <si>
    <t>P00369_2024</t>
  </si>
  <si>
    <t>Audit on site ATLANSTAT</t>
  </si>
  <si>
    <r>
      <t xml:space="preserve">24100263 SQ - </t>
    </r>
    <r>
      <rPr>
        <b/>
        <sz val="11"/>
        <rFont val="Calibri"/>
        <family val="2"/>
        <scheme val="minor"/>
      </rPr>
      <t>P00368_2024</t>
    </r>
  </si>
  <si>
    <t>P00368_2024</t>
  </si>
  <si>
    <t>Shipment to Cork</t>
  </si>
  <si>
    <r>
      <t xml:space="preserve">OPP-352785 - CRL-31988352 - </t>
    </r>
    <r>
      <rPr>
        <b/>
        <sz val="11"/>
        <rFont val="Calibri"/>
        <family val="2"/>
        <scheme val="minor"/>
      </rPr>
      <t>P00366_2024</t>
    </r>
  </si>
  <si>
    <t>P00366_2024</t>
  </si>
  <si>
    <t>ICH M7 assessment impurties</t>
  </si>
  <si>
    <r>
      <t xml:space="preserve">Devis 14079-2 - </t>
    </r>
    <r>
      <rPr>
        <b/>
        <sz val="11"/>
        <rFont val="Calibri"/>
        <family val="2"/>
        <scheme val="minor"/>
      </rPr>
      <t>P00367_2024</t>
    </r>
  </si>
  <si>
    <t>P00367_2024</t>
  </si>
  <si>
    <t>ABX464-CUP001 Labelling &amp; Packaging France ABX464 25mg&amp;50mg</t>
  </si>
  <si>
    <r>
      <t xml:space="preserve">QSC302430 - </t>
    </r>
    <r>
      <rPr>
        <b/>
        <sz val="11"/>
        <rFont val="Calibri"/>
        <family val="2"/>
        <scheme val="minor"/>
      </rPr>
      <t>P00365_2024</t>
    </r>
  </si>
  <si>
    <t>P00365_2024</t>
  </si>
  <si>
    <r>
      <t xml:space="preserve">84/2024/ZEFI - </t>
    </r>
    <r>
      <rPr>
        <b/>
        <sz val="11"/>
        <rFont val="Calibri"/>
        <family val="2"/>
        <scheme val="minor"/>
      </rPr>
      <t>P00363_2024</t>
    </r>
  </si>
  <si>
    <t>P00363_2024</t>
  </si>
  <si>
    <t>Hébergement animalerie T1</t>
  </si>
  <si>
    <r>
      <t xml:space="preserve">99/2024/ZEFI - </t>
    </r>
    <r>
      <rPr>
        <b/>
        <sz val="11"/>
        <rFont val="Calibri"/>
        <family val="2"/>
        <scheme val="minor"/>
      </rPr>
      <t>P00365_2024</t>
    </r>
  </si>
  <si>
    <t>P00364_2024</t>
  </si>
  <si>
    <t>Hébergement animalerie T2</t>
  </si>
  <si>
    <r>
      <t xml:space="preserve">OPP-318628 - CRL-514195 - </t>
    </r>
    <r>
      <rPr>
        <b/>
        <sz val="11"/>
        <rFont val="Calibri"/>
        <family val="2"/>
        <scheme val="minor"/>
      </rPr>
      <t>P00359_2024</t>
    </r>
  </si>
  <si>
    <t>P00359_2024</t>
  </si>
  <si>
    <t>Phase II ERA Assessment - Admt n°1</t>
  </si>
  <si>
    <r>
      <t xml:space="preserve">24100221 SQ - </t>
    </r>
    <r>
      <rPr>
        <b/>
        <sz val="11"/>
        <rFont val="Calibri"/>
        <family val="2"/>
        <scheme val="minor"/>
      </rPr>
      <t>P00358_2024</t>
    </r>
  </si>
  <si>
    <t>P00358_2024</t>
  </si>
  <si>
    <t>Re-Packing</t>
  </si>
  <si>
    <r>
      <t xml:space="preserve">MGC_CLONAGE-T2-2024 - </t>
    </r>
    <r>
      <rPr>
        <b/>
        <sz val="11"/>
        <rFont val="Calibri"/>
        <family val="2"/>
        <scheme val="minor"/>
      </rPr>
      <t>P00360_2024</t>
    </r>
  </si>
  <si>
    <t>P00360_2024</t>
  </si>
  <si>
    <t>Passage échantillon ARN</t>
  </si>
  <si>
    <r>
      <t xml:space="preserve">Devis 14060-2 - </t>
    </r>
    <r>
      <rPr>
        <b/>
        <sz val="11"/>
        <rFont val="Calibri"/>
        <family val="2"/>
        <scheme val="minor"/>
      </rPr>
      <t>P00357_2024</t>
    </r>
  </si>
  <si>
    <t>P00357_2024</t>
  </si>
  <si>
    <t xml:space="preserve">RI907 - Labelling &amp; Packing of ABX64 Germany 50mg </t>
  </si>
  <si>
    <t>P00356_2024</t>
  </si>
  <si>
    <t>ABX464 seeds for TFS and sample for UK</t>
  </si>
  <si>
    <t>P00362_2024</t>
  </si>
  <si>
    <t>UC107 - Distribution</t>
  </si>
  <si>
    <t>INV 90766844</t>
  </si>
  <si>
    <t>INV 90766840</t>
  </si>
  <si>
    <t>INV 24100246</t>
  </si>
  <si>
    <t>SRV_23176_A1 - ATP</t>
  </si>
  <si>
    <r>
      <t xml:space="preserve">2024-04 - </t>
    </r>
    <r>
      <rPr>
        <b/>
        <sz val="11"/>
        <rFont val="Calibri"/>
        <family val="2"/>
        <scheme val="minor"/>
      </rPr>
      <t>P00332_2024</t>
    </r>
  </si>
  <si>
    <t>P00332_2024</t>
  </si>
  <si>
    <t>ABIVAX Obefazimod MOA Patients infographic</t>
  </si>
  <si>
    <t>INV I005-102026</t>
  </si>
  <si>
    <r>
      <t xml:space="preserve">24100154 SQ - </t>
    </r>
    <r>
      <rPr>
        <b/>
        <sz val="11"/>
        <rFont val="Calibri"/>
        <family val="2"/>
        <scheme val="minor"/>
      </rPr>
      <t xml:space="preserve"> P00327_2024</t>
    </r>
  </si>
  <si>
    <r>
      <t xml:space="preserve">24100154 SQ - </t>
    </r>
    <r>
      <rPr>
        <b/>
        <sz val="11"/>
        <rFont val="Calibri"/>
        <family val="2"/>
        <scheme val="minor"/>
      </rPr>
      <t xml:space="preserve"> P00321_2024</t>
    </r>
  </si>
  <si>
    <t>P00321_2024</t>
  </si>
  <si>
    <t>INV 24100217</t>
  </si>
  <si>
    <t>INV 24100250</t>
  </si>
  <si>
    <t>Milling of 1,5kg of J002 batch</t>
  </si>
  <si>
    <t>INV SI16000002876 + INV SI16000003005 + INV SI16000003009</t>
  </si>
  <si>
    <t>21/02/2024 + 18/07/2024 + 19/07/2024</t>
  </si>
  <si>
    <t>INV 53231220</t>
  </si>
  <si>
    <t>INV 53217677 + INV 53218939</t>
  </si>
  <si>
    <t>26/02/2024 + 11/03/2024</t>
  </si>
  <si>
    <t>INV 53221816</t>
  </si>
  <si>
    <t>INV 53207208</t>
  </si>
  <si>
    <t>INV 90167385</t>
  </si>
  <si>
    <t>PATHEON - THERMO FISHER TORONTO</t>
  </si>
  <si>
    <r>
      <t xml:space="preserve">WO82#2024 - </t>
    </r>
    <r>
      <rPr>
        <b/>
        <sz val="11"/>
        <rFont val="Calibri"/>
        <family val="2"/>
        <scheme val="minor"/>
      </rPr>
      <t>P00370_2024</t>
    </r>
  </si>
  <si>
    <t>P00370_2024</t>
  </si>
  <si>
    <t>New XRPD method validation by Solvias</t>
  </si>
  <si>
    <t>240612_064558_CDG_0800024587_VR_04</t>
  </si>
  <si>
    <t>P00371_2024</t>
  </si>
  <si>
    <t xml:space="preserve">ABX464-906 </t>
  </si>
  <si>
    <t>KCAS BIO - ACTIVE BIOMARKERS</t>
  </si>
  <si>
    <r>
      <t xml:space="preserve">D_098_240423_KC_1172_V4 - </t>
    </r>
    <r>
      <rPr>
        <b/>
        <sz val="11"/>
        <rFont val="Calibri"/>
        <family val="2"/>
        <scheme val="minor"/>
      </rPr>
      <t>P00372_2024</t>
    </r>
  </si>
  <si>
    <t>P00372_2024</t>
  </si>
  <si>
    <t>CD202 - Evaluation Cytokines in plasma or serum</t>
  </si>
  <si>
    <r>
      <t xml:space="preserve">MSA_23198_WO_3 - </t>
    </r>
    <r>
      <rPr>
        <b/>
        <sz val="11"/>
        <rFont val="Calibri"/>
        <family val="2"/>
        <scheme val="minor"/>
      </rPr>
      <t>P00379_2024</t>
    </r>
  </si>
  <si>
    <t>P00379_2024</t>
  </si>
  <si>
    <r>
      <t xml:space="preserve">MSA_23198_WO_4 - </t>
    </r>
    <r>
      <rPr>
        <b/>
        <sz val="11"/>
        <rFont val="Calibri"/>
        <family val="2"/>
        <scheme val="minor"/>
      </rPr>
      <t>P00378_2024</t>
    </r>
  </si>
  <si>
    <t>P00378_2024</t>
  </si>
  <si>
    <t>14 SOPS writting support</t>
  </si>
  <si>
    <r>
      <t xml:space="preserve">24100257 SQ - </t>
    </r>
    <r>
      <rPr>
        <b/>
        <sz val="11"/>
        <rFont val="Calibri"/>
        <family val="2"/>
        <scheme val="minor"/>
      </rPr>
      <t>P00373_2024</t>
    </r>
  </si>
  <si>
    <t>P00373_2024</t>
  </si>
  <si>
    <t>Sample shipments</t>
  </si>
  <si>
    <r>
      <t xml:space="preserve">24100221 SQ - </t>
    </r>
    <r>
      <rPr>
        <b/>
        <sz val="11"/>
        <rFont val="Calibri"/>
        <family val="2"/>
        <scheme val="minor"/>
      </rPr>
      <t>P00376_2024</t>
    </r>
  </si>
  <si>
    <t>P00376_2024</t>
  </si>
  <si>
    <r>
      <t xml:space="preserve">24100271 SQ - </t>
    </r>
    <r>
      <rPr>
        <b/>
        <sz val="11"/>
        <rFont val="Calibri"/>
        <family val="2"/>
        <scheme val="minor"/>
      </rPr>
      <t>P00377_2024</t>
    </r>
  </si>
  <si>
    <t>P00377_2024</t>
  </si>
  <si>
    <r>
      <t xml:space="preserve">24100154 SQ - </t>
    </r>
    <r>
      <rPr>
        <b/>
        <sz val="11"/>
        <rFont val="Calibri"/>
        <family val="2"/>
        <scheme val="minor"/>
      </rPr>
      <t>P00380_2024</t>
    </r>
  </si>
  <si>
    <t>P00380_2024</t>
  </si>
  <si>
    <t>Storage fees august 2024</t>
  </si>
  <si>
    <r>
      <t xml:space="preserve">54 SA - </t>
    </r>
    <r>
      <rPr>
        <b/>
        <sz val="11"/>
        <rFont val="Calibri"/>
        <family val="2"/>
        <scheme val="minor"/>
      </rPr>
      <t>P00381_2024</t>
    </r>
  </si>
  <si>
    <t>P00381_2024</t>
  </si>
  <si>
    <t>Morphology analysis</t>
  </si>
  <si>
    <r>
      <t xml:space="preserve">B 24 039 V1 - </t>
    </r>
    <r>
      <rPr>
        <b/>
        <sz val="11"/>
        <rFont val="Calibri"/>
        <family val="2"/>
        <scheme val="minor"/>
      </rPr>
      <t>P00382_2024</t>
    </r>
  </si>
  <si>
    <t>P00382_2024</t>
  </si>
  <si>
    <t>INV RA2024040 + INV RA2024090 + INV RA2024049</t>
  </si>
  <si>
    <t>28/03/2024 + 30/06/2024 + 30/04/2024</t>
  </si>
  <si>
    <t>INV RA20244039 + INV RA20244091 + INV RA2024089 + INV RA2024101 + INV RA2024026 + INV RA2024049</t>
  </si>
  <si>
    <t>28/03/2024 + 30/06/2024 + 30/06/2024 + 30/07/2024 + 26/02/2024 + 30/04/2024</t>
  </si>
  <si>
    <t>INV 24100251</t>
  </si>
  <si>
    <t>INV 59001599 - INV 59001771</t>
  </si>
  <si>
    <t>11/03/2024 + 26/07/2024</t>
  </si>
  <si>
    <t>INV 90768303</t>
  </si>
  <si>
    <t>INV 0743/24 + INV 0830/24 + INV 0039/25</t>
  </si>
  <si>
    <t>14/06/2024 + 27/06/2024 + 25/07/2024</t>
  </si>
  <si>
    <t>30/05/2024 + 28/06/2024</t>
  </si>
  <si>
    <t>INV F24000637 + INV F24000820</t>
  </si>
  <si>
    <t>INV PJI-SC01-103202</t>
  </si>
  <si>
    <t>Validation of ABX464 Assay Method</t>
  </si>
  <si>
    <t>ALMAC Sciences</t>
  </si>
  <si>
    <r>
      <t xml:space="preserve">68397_v4 - </t>
    </r>
    <r>
      <rPr>
        <b/>
        <sz val="11"/>
        <rFont val="Calibri"/>
        <family val="2"/>
        <scheme val="minor"/>
      </rPr>
      <t>P00362_2024</t>
    </r>
  </si>
  <si>
    <t>INV 8360005530</t>
  </si>
  <si>
    <t>INV 24100256</t>
  </si>
  <si>
    <t>INV 24100266</t>
  </si>
  <si>
    <t>INV 24100267</t>
  </si>
  <si>
    <t>INV 47040268 + INV 47044090</t>
  </si>
  <si>
    <t>01/01/2024 + 30/07/2024</t>
  </si>
  <si>
    <t>INV 010416</t>
  </si>
  <si>
    <t>INV 00010 24001821 RI</t>
  </si>
  <si>
    <t>INV 00010 2400275 RI + O?V 00010 24001823 RI</t>
  </si>
  <si>
    <t>06/02/2024 + 30/07/2024</t>
  </si>
  <si>
    <t>INV 940558373</t>
  </si>
  <si>
    <t>INV S24-306281</t>
  </si>
  <si>
    <t>INV S24-214281</t>
  </si>
  <si>
    <t>INV S24-349281</t>
  </si>
  <si>
    <t>Extension Archiving 8 studies - 1 année</t>
  </si>
  <si>
    <r>
      <t xml:space="preserve">ARCH-24-006 - </t>
    </r>
    <r>
      <rPr>
        <b/>
        <sz val="11"/>
        <rFont val="Calibri"/>
        <family val="2"/>
        <scheme val="minor"/>
      </rPr>
      <t>P00384_2024</t>
    </r>
  </si>
  <si>
    <t>P00384_2024</t>
  </si>
  <si>
    <t>P00387_2024</t>
  </si>
  <si>
    <t>INV 0095873941</t>
  </si>
  <si>
    <t>INV 0095873940</t>
  </si>
  <si>
    <t>INV 24100275</t>
  </si>
  <si>
    <t>INV JLFC240600715</t>
  </si>
  <si>
    <t>INV OCFR-FTI-000236</t>
  </si>
  <si>
    <t>INV ABIV202409</t>
  </si>
  <si>
    <t>MICROMERITICS</t>
  </si>
  <si>
    <t>INV PSI019798</t>
  </si>
  <si>
    <t>INV PSI021940</t>
  </si>
  <si>
    <t>INV 00010 24001859 RI</t>
  </si>
  <si>
    <t>INV 24100185</t>
  </si>
  <si>
    <t>MSA_23187_WO2</t>
  </si>
  <si>
    <t>Payement Schedule en cours de réalisation chez Julien le 29/08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</si>
  <si>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</t>
    </r>
    <r>
      <rPr>
        <sz val="11"/>
        <color theme="5" tint="-0.249977111117893"/>
        <rFont val="Calibri"/>
        <family val="2"/>
        <scheme val="minor"/>
      </rPr>
      <t>Amdt 5</t>
    </r>
  </si>
  <si>
    <t>ADME study - Add cost Amendment 5</t>
  </si>
  <si>
    <t>INV FACLI001408</t>
  </si>
  <si>
    <t>INV FRA-005434</t>
  </si>
  <si>
    <t>09/008/2024</t>
  </si>
  <si>
    <t>INV FRA-005433</t>
  </si>
  <si>
    <t>INV 10000135</t>
  </si>
  <si>
    <t>CD202 Central Lab</t>
  </si>
  <si>
    <r>
      <t xml:space="preserve">JLCO240802159 - </t>
    </r>
    <r>
      <rPr>
        <b/>
        <sz val="11"/>
        <rFont val="Calibri"/>
        <family val="2"/>
        <scheme val="minor"/>
      </rPr>
      <t>P00401_2024</t>
    </r>
  </si>
  <si>
    <t>P00401_2024</t>
  </si>
  <si>
    <t>BIO-TECHNE</t>
  </si>
  <si>
    <r>
      <t xml:space="preserve">Q-536639 - </t>
    </r>
    <r>
      <rPr>
        <b/>
        <sz val="11"/>
        <rFont val="Calibri"/>
        <family val="2"/>
        <scheme val="minor"/>
      </rPr>
      <t>P00400_2024</t>
    </r>
  </si>
  <si>
    <t>P00400_2024</t>
  </si>
  <si>
    <r>
      <t xml:space="preserve">2024-101 - </t>
    </r>
    <r>
      <rPr>
        <b/>
        <sz val="11"/>
        <rFont val="Calibri"/>
        <family val="2"/>
        <scheme val="minor"/>
      </rPr>
      <t>P00394_2024</t>
    </r>
  </si>
  <si>
    <t>P00394_2024</t>
  </si>
  <si>
    <t>Regulatory Strategy scenarios</t>
  </si>
  <si>
    <t>MERCK - SIGMA</t>
  </si>
  <si>
    <t>P00395_2024</t>
  </si>
  <si>
    <t>P00397_2024</t>
  </si>
  <si>
    <t>P00398_2024</t>
  </si>
  <si>
    <t>Q4 2024</t>
  </si>
  <si>
    <t>Amdt 1 - Sample analysis for quantification of test material</t>
  </si>
  <si>
    <r>
      <t xml:space="preserve">OPP-315267 - CRL-509177 - </t>
    </r>
    <r>
      <rPr>
        <b/>
        <sz val="11"/>
        <rFont val="Calibri"/>
        <family val="2"/>
        <scheme val="minor"/>
      </rPr>
      <t>P00392_2024</t>
    </r>
  </si>
  <si>
    <t>Amdt 2 - Sample analysis for quantification of test material</t>
  </si>
  <si>
    <t>P00392_2024</t>
  </si>
  <si>
    <r>
      <t xml:space="preserve">L24_4107A - </t>
    </r>
    <r>
      <rPr>
        <b/>
        <sz val="11"/>
        <rFont val="Calibri"/>
        <family val="2"/>
        <scheme val="minor"/>
      </rPr>
      <t>P00383_2024</t>
    </r>
  </si>
  <si>
    <t>P00383_2024</t>
  </si>
  <si>
    <t>Commande de gélule LONZA</t>
  </si>
  <si>
    <r>
      <t xml:space="preserve">Abivax 08-06-24 - </t>
    </r>
    <r>
      <rPr>
        <b/>
        <sz val="11"/>
        <rFont val="Calibri"/>
        <family val="2"/>
        <scheme val="minor"/>
      </rPr>
      <t>P00388_2024</t>
    </r>
  </si>
  <si>
    <t>P00388_2024</t>
  </si>
  <si>
    <t>EUROFINS BIOPHARMA PRODUCT</t>
  </si>
  <si>
    <r>
      <t xml:space="preserve">JV5KPH240134-02 - </t>
    </r>
    <r>
      <rPr>
        <b/>
        <sz val="11"/>
        <rFont val="Calibri"/>
        <family val="2"/>
        <scheme val="minor"/>
      </rPr>
      <t>P00393_2024</t>
    </r>
  </si>
  <si>
    <t>P00393_2024</t>
  </si>
  <si>
    <r>
      <t xml:space="preserve">MB-24-0728/1 - </t>
    </r>
    <r>
      <rPr>
        <b/>
        <sz val="11"/>
        <rFont val="Calibri"/>
        <family val="2"/>
        <scheme val="minor"/>
      </rPr>
      <t>P00391_2024</t>
    </r>
  </si>
  <si>
    <t>P00391_2024</t>
  </si>
  <si>
    <t>Maintenance Matériel - 01/09/2024 au 31/08/2025</t>
  </si>
  <si>
    <t>INV 23014483</t>
  </si>
  <si>
    <t>ABCAM</t>
  </si>
  <si>
    <t>P00390_2024</t>
  </si>
  <si>
    <r>
      <t xml:space="preserve">24100277 SQ - </t>
    </r>
    <r>
      <rPr>
        <b/>
        <sz val="11"/>
        <rFont val="Calibri"/>
        <family val="2"/>
        <scheme val="minor"/>
      </rPr>
      <t>P00389_2024</t>
    </r>
  </si>
  <si>
    <t>P00389_2024</t>
  </si>
  <si>
    <r>
      <t xml:space="preserve">DE-50439 - </t>
    </r>
    <r>
      <rPr>
        <b/>
        <sz val="11"/>
        <rFont val="Calibri"/>
        <family val="2"/>
        <scheme val="minor"/>
      </rPr>
      <t>P00408_2024</t>
    </r>
  </si>
  <si>
    <t>P00408_2024</t>
  </si>
  <si>
    <r>
      <t xml:space="preserve">Q23000522079 - </t>
    </r>
    <r>
      <rPr>
        <b/>
        <sz val="11"/>
        <rFont val="Calibri"/>
        <family val="2"/>
        <scheme val="minor"/>
      </rPr>
      <t>P00413_2024</t>
    </r>
  </si>
  <si>
    <t>P00413_2024</t>
  </si>
  <si>
    <r>
      <t xml:space="preserve">113/2024/ZEFI - </t>
    </r>
    <r>
      <rPr>
        <b/>
        <sz val="11"/>
        <rFont val="Calibri"/>
        <family val="2"/>
        <scheme val="minor"/>
      </rPr>
      <t>P00414_2024</t>
    </r>
  </si>
  <si>
    <t>P00414_2024</t>
  </si>
  <si>
    <t>Hebergement cage - Bimestre 4</t>
  </si>
  <si>
    <t>Bacterial Reverse Mutaion Test (Ames-Test) - 55%</t>
  </si>
  <si>
    <t>Bacterial Reverse Mutaion Test (Ames-Test) - 45%</t>
  </si>
  <si>
    <t>INV 24005760CDE028IV</t>
  </si>
  <si>
    <t>INV 027842</t>
  </si>
  <si>
    <t>INV 1978842 RI</t>
  </si>
  <si>
    <t>INV 59001785</t>
  </si>
  <si>
    <t>INV 3954177</t>
  </si>
  <si>
    <r>
      <t xml:space="preserve">NB2023-067-1 - </t>
    </r>
    <r>
      <rPr>
        <b/>
        <sz val="11"/>
        <rFont val="Calibri"/>
        <family val="2"/>
        <scheme val="minor"/>
      </rPr>
      <t>P00342_2024</t>
    </r>
  </si>
  <si>
    <t>Biomarker Analysis - 10% Part A - Upon execution A1</t>
  </si>
  <si>
    <t>Biomarker Analysis - 30% Part A - Upon initiation sample meusurement</t>
  </si>
  <si>
    <t>Biomarker Analysis - 30% Part A - Upon delivery Part A result</t>
  </si>
  <si>
    <t>Biomarker Analysis - GO/NOGO - 30% Part B - Upon finalization biomarker panel</t>
  </si>
  <si>
    <t>Biomarker Analysis - GO/NOGO - 30% Part B - Upon receipt firts sample</t>
  </si>
  <si>
    <t>Biomarker Analysis - GO/NOGO - 40% Part B - Upon Delivery of data</t>
  </si>
  <si>
    <t>Biomarker Analysis - GO/NOGO - 30% Part C - Upon finalization biomarker panel</t>
  </si>
  <si>
    <t>Biomarker Analysis - GO/NOGO - 30% Part C - Upon receipt firts sample</t>
  </si>
  <si>
    <t>Biomarker Analysis - GO/NOGO - 40% Part C - Upon Delivery of data</t>
  </si>
  <si>
    <t>INV 005765</t>
  </si>
  <si>
    <t>INV PSI018633</t>
  </si>
  <si>
    <t>INV PSI022414</t>
  </si>
  <si>
    <t>Inspection readiness, Training &amp; QMS roadmap</t>
  </si>
  <si>
    <t>5 990 861,65 GBP</t>
  </si>
  <si>
    <t>LAB59781</t>
  </si>
  <si>
    <t>INV F24-1922</t>
  </si>
  <si>
    <t xml:space="preserve"> SOW#4 - Bidirectionnal Permeability ABX464</t>
  </si>
  <si>
    <t>SOW#3 - In vitro evalu ABX464NGlu</t>
  </si>
  <si>
    <t>INV S26642 + INV SI21000001391 + INV SI21000001551</t>
  </si>
  <si>
    <t>15/02/2024 + 18/07/2024 + 20/08/2024</t>
  </si>
  <si>
    <t>P00284_2023</t>
  </si>
  <si>
    <t>INV 47044091</t>
  </si>
  <si>
    <t>INV 47040271 + INV 47044231</t>
  </si>
  <si>
    <t>01/01/2024 + 13/08/2024</t>
  </si>
  <si>
    <t>INV 59001777</t>
  </si>
  <si>
    <t>INV OCFR-FTI-000244</t>
  </si>
  <si>
    <t>INV F020-SIN-0002785</t>
  </si>
  <si>
    <t>INV 351889</t>
  </si>
  <si>
    <t>INV 8360005662</t>
  </si>
  <si>
    <t>SRV_23176_W1</t>
  </si>
  <si>
    <t>CD202 - Monthly professional fees instalment 1</t>
  </si>
  <si>
    <t>CD202 - Monthly professional fees instalment 2</t>
  </si>
  <si>
    <t>CD202 - Upon execution of WO part 1</t>
  </si>
  <si>
    <t>CD202 - First site initiated</t>
  </si>
  <si>
    <t>CD202 - 25% of Site Initiation Visits &amp; Reports Completed</t>
  </si>
  <si>
    <t>CD202 - 50% of Site Initiation Visits &amp; Reports
Completed</t>
  </si>
  <si>
    <t>CD202 - 75% of Site Initiation Visits &amp; Reports Completed</t>
  </si>
  <si>
    <t>CD202 - 15% Patients randomised</t>
  </si>
  <si>
    <r>
      <rPr>
        <sz val="10"/>
        <color rgb="FF211F1F"/>
        <rFont val="Times New Roman"/>
        <family val="1"/>
      </rPr>
      <t>Mar-25</t>
    </r>
  </si>
  <si>
    <t>CD202 - 95% of Site Initiation Visits &amp; Reports
Completed</t>
  </si>
  <si>
    <r>
      <rPr>
        <sz val="10"/>
        <color rgb="FF211F1F"/>
        <rFont val="Times New Roman"/>
        <family val="1"/>
      </rPr>
      <t>Apr-25</t>
    </r>
  </si>
  <si>
    <t>CD202 - 25% Patients randomised</t>
  </si>
  <si>
    <r>
      <rPr>
        <sz val="10"/>
        <color rgb="FF211F1F"/>
        <rFont val="Times New Roman"/>
        <family val="1"/>
      </rPr>
      <t>May-25</t>
    </r>
  </si>
  <si>
    <t>CD202 - 40% Patients randomised</t>
  </si>
  <si>
    <r>
      <rPr>
        <sz val="10"/>
        <color rgb="FF211F1F"/>
        <rFont val="Times New Roman"/>
        <family val="1"/>
      </rPr>
      <t>Jul-25</t>
    </r>
  </si>
  <si>
    <t>CD202 - 10% of Monitoring Visits Completed</t>
  </si>
  <si>
    <r>
      <rPr>
        <sz val="10"/>
        <color rgb="FF211F1F"/>
        <rFont val="Times New Roman"/>
        <family val="1"/>
      </rPr>
      <t>Sep-25</t>
    </r>
  </si>
  <si>
    <t>CD202 - 60% Patients randomised</t>
  </si>
  <si>
    <r>
      <rPr>
        <sz val="10"/>
        <color rgb="FF211F1F"/>
        <rFont val="Times New Roman"/>
        <family val="1"/>
      </rPr>
      <t>Oct-25</t>
    </r>
  </si>
  <si>
    <t>CD202 - 70% Patients randomised</t>
  </si>
  <si>
    <r>
      <rPr>
        <sz val="10"/>
        <color rgb="FF211F1F"/>
        <rFont val="Times New Roman"/>
        <family val="1"/>
      </rPr>
      <t>Nov-25</t>
    </r>
  </si>
  <si>
    <t>CD202 - 85% Patients randomised</t>
  </si>
  <si>
    <r>
      <rPr>
        <sz val="10"/>
        <color rgb="FF211F1F"/>
        <rFont val="Times New Roman"/>
        <family val="1"/>
      </rPr>
      <t>Jan-26</t>
    </r>
  </si>
  <si>
    <t>CD202 - 25% of Monitoring Visits Completed</t>
  </si>
  <si>
    <t>CD202 - 30% of Monitoring Visits Completed</t>
  </si>
  <si>
    <r>
      <rPr>
        <sz val="10"/>
        <color rgb="FF211F1F"/>
        <rFont val="Times New Roman"/>
        <family val="1"/>
      </rPr>
      <t>Feb-26</t>
    </r>
  </si>
  <si>
    <t>CD202 - 35% of Monitoring Visits Completed</t>
  </si>
  <si>
    <r>
      <rPr>
        <sz val="10"/>
        <color rgb="FF211F1F"/>
        <rFont val="Times New Roman"/>
        <family val="1"/>
      </rPr>
      <t>May-26</t>
    </r>
  </si>
  <si>
    <t>CD202 - 40% of Monitoring Visits Completed</t>
  </si>
  <si>
    <r>
      <rPr>
        <sz val="10"/>
        <color rgb="FF211F1F"/>
        <rFont val="Times New Roman"/>
        <family val="1"/>
      </rPr>
      <t>Sep-26</t>
    </r>
  </si>
  <si>
    <t>CD202 - 50% of Monitoring Visits Completed</t>
  </si>
  <si>
    <r>
      <rPr>
        <sz val="10"/>
        <color rgb="FF211F1F"/>
        <rFont val="Times New Roman"/>
        <family val="1"/>
      </rPr>
      <t>Dec-26</t>
    </r>
  </si>
  <si>
    <t>CD202 - 60% of Monitoring Visits Completed</t>
  </si>
  <si>
    <r>
      <rPr>
        <sz val="10"/>
        <color rgb="FF211F1F"/>
        <rFont val="Times New Roman"/>
        <family val="1"/>
      </rPr>
      <t>Apr-27</t>
    </r>
  </si>
  <si>
    <t>CD202 - 70% of Monitoring Visits Completed</t>
  </si>
  <si>
    <r>
      <rPr>
        <sz val="10"/>
        <color rgb="FF211F1F"/>
        <rFont val="Times New Roman"/>
        <family val="1"/>
      </rPr>
      <t>Aug-27</t>
    </r>
  </si>
  <si>
    <t>CD202 - 75% of Monitoring Visits Completed</t>
  </si>
  <si>
    <r>
      <rPr>
        <sz val="10"/>
        <color rgb="FF211F1F"/>
        <rFont val="Times New Roman"/>
        <family val="1"/>
      </rPr>
      <t>Nov-27</t>
    </r>
  </si>
  <si>
    <t>CD202 - Last patient entered (in eCRF)</t>
  </si>
  <si>
    <r>
      <rPr>
        <sz val="10"/>
        <color rgb="FF211F1F"/>
        <rFont val="Times New Roman"/>
        <family val="1"/>
      </rPr>
      <t>Mar-28</t>
    </r>
  </si>
  <si>
    <t>CD202 - Database Lock (DBL)</t>
  </si>
  <si>
    <r>
      <rPr>
        <sz val="10"/>
        <color rgb="FF211F1F"/>
        <rFont val="Times New Roman"/>
        <family val="1"/>
      </rPr>
      <t>Apr-28</t>
    </r>
  </si>
  <si>
    <t>CD202 - 100% of Monitoring Visits Completed</t>
  </si>
  <si>
    <t>CD202 - Final Clinical Study Report (CSR) Delivered to Sponsor</t>
  </si>
  <si>
    <r>
      <rPr>
        <sz val="10"/>
        <color rgb="FF211F1F"/>
        <rFont val="Times New Roman"/>
        <family val="1"/>
      </rPr>
      <t>Jul-28</t>
    </r>
  </si>
  <si>
    <t>CD202 - Transfer of Trial Master File (TMF) to Sponsor</t>
  </si>
  <si>
    <r>
      <rPr>
        <sz val="10"/>
        <color rgb="FF211F1F"/>
        <rFont val="Times New Roman"/>
        <family val="1"/>
      </rPr>
      <t>Oct-28</t>
    </r>
  </si>
  <si>
    <t>CD202 - Other payments based on actual</t>
  </si>
  <si>
    <t>CD202 - Upfront payment - Pass-Through Reimbursement</t>
  </si>
  <si>
    <t>CD202 - Investigator Fees</t>
  </si>
  <si>
    <t>CD202 - Upfront payment - Investigator Fees</t>
  </si>
  <si>
    <t>CD202 - Upfront payment - Investigator Fees Reimbursement</t>
  </si>
  <si>
    <t>INV FRA-005466</t>
  </si>
  <si>
    <t>CD202 - Pass-Through Costs</t>
  </si>
  <si>
    <t xml:space="preserve">CD202 - PTC - To be invoiced monthly based on actuals </t>
  </si>
  <si>
    <t>Récupéré dans WO1</t>
  </si>
  <si>
    <t>Pas repris dans le solde 11 117 999,30 € - mail envoyé a Pascaline le 12/09/24</t>
  </si>
  <si>
    <t>INV FRA-004888 + INV FRA-004974 + INV FRA-005053 + INV FRA-005130 + INV FRA-005209 + INV FRA-005284 + INV FRA-005370</t>
  </si>
  <si>
    <t>09/01/2024 + 08/02/2024 + 08/03/2024 + 09/04/2024 + 07/05/2024 + 10/06/2024 + 10/07/2024</t>
  </si>
  <si>
    <t>INV FRA-005454</t>
  </si>
  <si>
    <t>EDETEK</t>
  </si>
  <si>
    <t>MSA_24154_W3</t>
  </si>
  <si>
    <t>MSA_24154_W4</t>
  </si>
  <si>
    <r>
      <t xml:space="preserve">24100282 SQ - </t>
    </r>
    <r>
      <rPr>
        <b/>
        <sz val="11"/>
        <rFont val="Calibri"/>
        <family val="2"/>
        <scheme val="minor"/>
      </rPr>
      <t>P00416_2024</t>
    </r>
  </si>
  <si>
    <t>P00416_2024</t>
  </si>
  <si>
    <t>Packing and shipment</t>
  </si>
  <si>
    <r>
      <t xml:space="preserve">2021_02_21 - </t>
    </r>
    <r>
      <rPr>
        <b/>
        <sz val="11"/>
        <rFont val="Calibri"/>
        <family val="2"/>
        <scheme val="minor"/>
      </rPr>
      <t>P00417_2024</t>
    </r>
  </si>
  <si>
    <t>P00417_2024</t>
  </si>
  <si>
    <t>Audit IQVIA PV</t>
  </si>
  <si>
    <t>Devis 12892-1 - ALL PO</t>
  </si>
  <si>
    <t>stability study</t>
  </si>
  <si>
    <r>
      <t xml:space="preserve">MRI Septembre 2024 - </t>
    </r>
    <r>
      <rPr>
        <b/>
        <sz val="11"/>
        <rFont val="Calibri"/>
        <family val="2"/>
        <scheme val="minor"/>
      </rPr>
      <t>P00421_2024</t>
    </r>
  </si>
  <si>
    <t>P00421_2024</t>
  </si>
  <si>
    <t>Microscope + lames</t>
  </si>
  <si>
    <r>
      <t xml:space="preserve">OZY29740S - </t>
    </r>
    <r>
      <rPr>
        <b/>
        <sz val="11"/>
        <rFont val="Calibri"/>
        <family val="2"/>
        <scheme val="minor"/>
      </rPr>
      <t>P00423_2024</t>
    </r>
  </si>
  <si>
    <t>P00423_2024</t>
  </si>
  <si>
    <r>
      <t xml:space="preserve">240911FR01833482CB - </t>
    </r>
    <r>
      <rPr>
        <b/>
        <sz val="11"/>
        <rFont val="Calibri"/>
        <family val="2"/>
        <scheme val="minor"/>
      </rPr>
      <t>P00426_2024</t>
    </r>
  </si>
  <si>
    <t>P00426_2024</t>
  </si>
  <si>
    <r>
      <t xml:space="preserve">D5577514 - </t>
    </r>
    <r>
      <rPr>
        <b/>
        <sz val="11"/>
        <rFont val="Calibri"/>
        <family val="2"/>
        <scheme val="minor"/>
      </rPr>
      <t>P00425_2024</t>
    </r>
  </si>
  <si>
    <t>P00425_2024</t>
  </si>
  <si>
    <r>
      <t xml:space="preserve">JLCO0240901239 - </t>
    </r>
    <r>
      <rPr>
        <b/>
        <sz val="11"/>
        <rFont val="Calibri"/>
        <family val="2"/>
        <scheme val="minor"/>
      </rPr>
      <t>P00428_2024</t>
    </r>
  </si>
  <si>
    <t>P00428_2024</t>
  </si>
  <si>
    <r>
      <t xml:space="preserve">8206601775 - </t>
    </r>
    <r>
      <rPr>
        <b/>
        <sz val="11"/>
        <rFont val="Calibri"/>
        <family val="2"/>
        <scheme val="minor"/>
      </rPr>
      <t>P00430_2024</t>
    </r>
  </si>
  <si>
    <t>P00430_2024</t>
  </si>
  <si>
    <t>Maintenance Nanodrop 1 an - 10/09/2024 au 10/09/2025</t>
  </si>
  <si>
    <t>Maintenance Nanodrop 1 an - 10/09/2025 au 10/09/2026</t>
  </si>
  <si>
    <t>Maintenance Nanodrop 1 an - 10/09/2025 au 10/09/2027</t>
  </si>
  <si>
    <t>INV-SHGS-01858 + INV-SHGS-02240 + INV SHGS-02733</t>
  </si>
  <si>
    <t>28/05/2024 + 08/07/2024 + 30/08/2024</t>
  </si>
  <si>
    <t>INV 2024-KI-0070</t>
  </si>
  <si>
    <t>INV OCFR-FTI-000246</t>
  </si>
  <si>
    <t>INV OCFR-FTI-000266</t>
  </si>
  <si>
    <t>INV F24-1936</t>
  </si>
  <si>
    <t>INV FV24REC08002</t>
  </si>
  <si>
    <t>INV BCG-0000194</t>
  </si>
  <si>
    <t>INV BCG-0000172 + INV BGC-0000194</t>
  </si>
  <si>
    <t>31/03/2023 + 31/08/2024</t>
  </si>
  <si>
    <t>INV S26656 + SI21000001491 + INV SI21000001639</t>
  </si>
  <si>
    <t>15/02/2024 + 31/07/2024 + 31/08/2024</t>
  </si>
  <si>
    <t>IV-06230627-ABI + IV-08240851-ABI</t>
  </si>
  <si>
    <t>30/06/2023 + 31/08/2024</t>
  </si>
  <si>
    <t>INV 90773149</t>
  </si>
  <si>
    <t>INV SIN001885 + INV SIN002326 + INV SIN002447 + INV SIN002858</t>
  </si>
  <si>
    <t>28/05/2024 + 25/06/2024 + 11/07/2024 + 06/09/2024</t>
  </si>
  <si>
    <t>INV 24100309</t>
  </si>
  <si>
    <t>INV 24100313</t>
  </si>
  <si>
    <t>INV 24100125</t>
  </si>
  <si>
    <t>INV 24100073</t>
  </si>
  <si>
    <t>INV 24100072</t>
  </si>
  <si>
    <t>INV 24100068</t>
  </si>
  <si>
    <t>INV ABI 20240131 + INV ABI 20240331 + INV ABI 20240430 + INV ABI 20240531 + INV ABI 20240630</t>
  </si>
  <si>
    <t>INV ABI 20240731-B + ABI 20240831-B</t>
  </si>
  <si>
    <t>31/07/2024 + 31/08/2024</t>
  </si>
  <si>
    <t>INV ABIV202411</t>
  </si>
  <si>
    <t>INV 90773844</t>
  </si>
  <si>
    <t xml:space="preserve">INV 10001670 </t>
  </si>
  <si>
    <r>
      <t xml:space="preserve">B 24 039 V1 - </t>
    </r>
    <r>
      <rPr>
        <b/>
        <sz val="11"/>
        <rFont val="Calibri"/>
        <family val="2"/>
        <scheme val="minor"/>
      </rPr>
      <t>P00429_2424</t>
    </r>
  </si>
  <si>
    <t>P00429_2424</t>
  </si>
  <si>
    <t>INV 10000218</t>
  </si>
  <si>
    <t>INV 47040269 + INV 47044691</t>
  </si>
  <si>
    <t>01/01/2024 + 23/09/2024</t>
  </si>
  <si>
    <t>INV FRA -005528</t>
  </si>
  <si>
    <t>INV OCFR-FTI-000274</t>
  </si>
  <si>
    <t xml:space="preserve"> INV 10001747 + INV 10000075 + INV 100000236</t>
  </si>
  <si>
    <t>11/06/2024 + 26/07/2024 + 23/09/2024</t>
  </si>
  <si>
    <t>INV OCFR-FTI-000267</t>
  </si>
  <si>
    <t>INV 2024-KI-0077</t>
  </si>
  <si>
    <t>14/08/2024 + 18/09/2024</t>
  </si>
  <si>
    <t>INV 59001685 + INV 59001727 + INV 59001686 + INV 59001784 + INV59001841</t>
  </si>
  <si>
    <t>23/05/2024 + 26/06/2024 + 24/05/2024 + 21/08/2024 + 25/09/2024</t>
  </si>
  <si>
    <t>INV 10000293</t>
  </si>
  <si>
    <t>INV0001024002022 RI</t>
  </si>
  <si>
    <t>P00450_2024</t>
  </si>
  <si>
    <r>
      <t>1050473186 -</t>
    </r>
    <r>
      <rPr>
        <b/>
        <sz val="11"/>
        <rFont val="Calibri"/>
        <family val="2"/>
        <scheme val="minor"/>
      </rPr>
      <t xml:space="preserve"> </t>
    </r>
    <r>
      <rPr>
        <strike/>
        <sz val="11"/>
        <rFont val="Calibri"/>
        <family val="2"/>
        <scheme val="minor"/>
      </rPr>
      <t>P00399_2024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P00450_2024</t>
    </r>
  </si>
  <si>
    <r>
      <t xml:space="preserve">MGC_CLONAGE-T3-2024 - </t>
    </r>
    <r>
      <rPr>
        <b/>
        <sz val="11"/>
        <rFont val="Calibri"/>
        <family val="2"/>
        <scheme val="minor"/>
      </rPr>
      <t>P00451_2024</t>
    </r>
  </si>
  <si>
    <t>P00451_2024</t>
  </si>
  <si>
    <r>
      <t xml:space="preserve">JLCO240901902 - </t>
    </r>
    <r>
      <rPr>
        <b/>
        <sz val="11"/>
        <rFont val="Calibri"/>
        <family val="2"/>
        <scheme val="minor"/>
      </rPr>
      <t>P00433_2024</t>
    </r>
  </si>
  <si>
    <t>P00433_2024</t>
  </si>
  <si>
    <r>
      <t xml:space="preserve">240916FR01835069CB - </t>
    </r>
    <r>
      <rPr>
        <b/>
        <sz val="11"/>
        <rFont val="Calibri"/>
        <family val="2"/>
        <scheme val="minor"/>
      </rPr>
      <t>P00434_2024</t>
    </r>
  </si>
  <si>
    <t>P00434_2024</t>
  </si>
  <si>
    <r>
      <t xml:space="preserve">24100154 SQ - </t>
    </r>
    <r>
      <rPr>
        <b/>
        <sz val="11"/>
        <rFont val="Calibri"/>
        <family val="2"/>
        <scheme val="minor"/>
      </rPr>
      <t>P00427_2024</t>
    </r>
  </si>
  <si>
    <t>P00427_2024</t>
  </si>
  <si>
    <t>Product Storage - 09/2024</t>
  </si>
  <si>
    <r>
      <t xml:space="preserve">DDR 2025 008 V1.0 - </t>
    </r>
    <r>
      <rPr>
        <b/>
        <sz val="11"/>
        <rFont val="Calibri"/>
        <family val="2"/>
        <scheme val="minor"/>
      </rPr>
      <t>P00435_2024</t>
    </r>
  </si>
  <si>
    <t>P00435_2024</t>
  </si>
  <si>
    <t>Blister PVC Stability Study</t>
  </si>
  <si>
    <r>
      <t xml:space="preserve">B 24 039 V1 - </t>
    </r>
    <r>
      <rPr>
        <b/>
        <sz val="11"/>
        <rFont val="Calibri"/>
        <family val="2"/>
        <scheme val="minor"/>
      </rPr>
      <t>P00429_2024</t>
    </r>
  </si>
  <si>
    <t>P00429_2024</t>
  </si>
  <si>
    <r>
      <t xml:space="preserve">L24_41285A - </t>
    </r>
    <r>
      <rPr>
        <b/>
        <sz val="11"/>
        <rFont val="Calibri"/>
        <family val="2"/>
        <scheme val="minor"/>
      </rPr>
      <t>P00443_2024</t>
    </r>
  </si>
  <si>
    <t>P00443_2024</t>
  </si>
  <si>
    <r>
      <t xml:space="preserve">L24_4101A - </t>
    </r>
    <r>
      <rPr>
        <b/>
        <sz val="11"/>
        <rFont val="Calibri"/>
        <family val="2"/>
        <scheme val="minor"/>
      </rPr>
      <t>P00448_2024</t>
    </r>
  </si>
  <si>
    <t>P00448_2024</t>
  </si>
  <si>
    <t>Analyse complémentaires 3 lots</t>
  </si>
  <si>
    <t>USP - United States Pharmacopeial</t>
  </si>
  <si>
    <r>
      <t xml:space="preserve">Q1637130 - </t>
    </r>
    <r>
      <rPr>
        <b/>
        <sz val="11"/>
        <rFont val="Calibri"/>
        <family val="2"/>
        <scheme val="minor"/>
      </rPr>
      <t>P00438_2024</t>
    </r>
  </si>
  <si>
    <t>P00438_2024</t>
  </si>
  <si>
    <t>USP-NF Online - Souscription 1 an pour 20 users</t>
  </si>
  <si>
    <r>
      <t xml:space="preserve">Web - </t>
    </r>
    <r>
      <rPr>
        <b/>
        <sz val="11"/>
        <rFont val="Calibri"/>
        <family val="2"/>
        <scheme val="minor"/>
      </rPr>
      <t>P00441_2024</t>
    </r>
  </si>
  <si>
    <t>P00441_2024</t>
  </si>
  <si>
    <r>
      <t xml:space="preserve">Online - </t>
    </r>
    <r>
      <rPr>
        <b/>
        <sz val="11"/>
        <rFont val="Calibri"/>
        <family val="2"/>
        <scheme val="minor"/>
      </rPr>
      <t>P00442_2024</t>
    </r>
  </si>
  <si>
    <t>P00442_2024</t>
  </si>
  <si>
    <t>INV 24100339</t>
  </si>
  <si>
    <t>INV F-24031346</t>
  </si>
  <si>
    <t>Data management, biostatistics - At signature Amdt 2</t>
  </si>
  <si>
    <t>Data management, biostatistics - After interim dry-run SDTM domains</t>
  </si>
  <si>
    <t>Data management, biostatistics - database lock part A&amp;B</t>
  </si>
  <si>
    <r>
      <t xml:space="preserve">SRV_23118 - </t>
    </r>
    <r>
      <rPr>
        <b/>
        <sz val="11"/>
        <rFont val="Calibri"/>
        <family val="2"/>
        <scheme val="minor"/>
      </rPr>
      <t>P00306_2023</t>
    </r>
    <r>
      <rPr>
        <sz val="11"/>
        <rFont val="Calibri"/>
        <family val="2"/>
        <scheme val="minor"/>
      </rPr>
      <t xml:space="preserve"> + A1 + A2</t>
    </r>
  </si>
  <si>
    <r>
      <t xml:space="preserve">SRV_23118 - </t>
    </r>
    <r>
      <rPr>
        <b/>
        <sz val="11"/>
        <rFont val="Calibri"/>
        <family val="2"/>
        <scheme val="minor"/>
      </rPr>
      <t>P00306_2023</t>
    </r>
    <r>
      <rPr>
        <sz val="11"/>
        <rFont val="Calibri"/>
        <family val="2"/>
        <scheme val="minor"/>
      </rPr>
      <t xml:space="preserve"> + A1</t>
    </r>
  </si>
  <si>
    <t>Intégré dans A2</t>
  </si>
  <si>
    <t>INV 2024-KI-0026</t>
  </si>
  <si>
    <t>INV 1982091</t>
  </si>
  <si>
    <t>INV FA852837</t>
  </si>
  <si>
    <t>Sophie G</t>
  </si>
  <si>
    <t>CSV of GxP Inventory (Signant Health)</t>
  </si>
  <si>
    <t>INV F24-1951</t>
  </si>
  <si>
    <t>INV 47044659</t>
  </si>
  <si>
    <t>INV INVOC1016764</t>
  </si>
  <si>
    <t>INV 8053347984</t>
  </si>
  <si>
    <t>INV 940562218</t>
  </si>
  <si>
    <t>INV FRCI-00025605</t>
  </si>
  <si>
    <t>INV 2350508</t>
  </si>
  <si>
    <t>Chris R</t>
  </si>
  <si>
    <t>INV 010611</t>
  </si>
  <si>
    <t>INV 010801</t>
  </si>
  <si>
    <t>INV 3975579</t>
  </si>
  <si>
    <t>INV 9216189156</t>
  </si>
  <si>
    <t>INV ABIV202412</t>
  </si>
  <si>
    <t>INV 10000318</t>
  </si>
  <si>
    <t>INV INVOC1016980</t>
  </si>
  <si>
    <t>INV 47042885 + INV 47044944</t>
  </si>
  <si>
    <t>02/05/2024 + 08/10/2024</t>
  </si>
  <si>
    <t>INV F-24091496</t>
  </si>
  <si>
    <t>INV-2460 + INV 2618</t>
  </si>
  <si>
    <t>16/09/2024 + 11/10/2024</t>
  </si>
  <si>
    <t>INV FRA-005592</t>
  </si>
  <si>
    <t>INV 58008239</t>
  </si>
  <si>
    <t>INV 59001653 + INV 59001728 + INV 59001761 + INV 59001786 + INV 59001873</t>
  </si>
  <si>
    <t>16/04/2024 + 26/06/2024 + 25/07/2024 + 21/08/2024 + 21/10/2024</t>
  </si>
  <si>
    <r>
      <t xml:space="preserve">DE-51052 - </t>
    </r>
    <r>
      <rPr>
        <b/>
        <sz val="11"/>
        <rFont val="Calibri"/>
        <family val="2"/>
        <scheme val="minor"/>
      </rPr>
      <t>P00479_2024</t>
    </r>
  </si>
  <si>
    <t>P00479_2024</t>
  </si>
  <si>
    <t>web - P00480_2024</t>
  </si>
  <si>
    <t>P00480_2024</t>
  </si>
  <si>
    <r>
      <t xml:space="preserve">Q24000704599 - </t>
    </r>
    <r>
      <rPr>
        <b/>
        <sz val="11"/>
        <rFont val="Calibri"/>
        <family val="2"/>
        <scheme val="minor"/>
      </rPr>
      <t>P00481_2024</t>
    </r>
  </si>
  <si>
    <t>P00481_2024</t>
  </si>
  <si>
    <r>
      <t xml:space="preserve">1XJBG181024-NC-ABIVA - </t>
    </r>
    <r>
      <rPr>
        <b/>
        <sz val="11"/>
        <rFont val="Calibri"/>
        <family val="2"/>
        <scheme val="minor"/>
      </rPr>
      <t>P00483_2024</t>
    </r>
  </si>
  <si>
    <t>P00483_2024</t>
  </si>
  <si>
    <r>
      <t xml:space="preserve">D5618566 - </t>
    </r>
    <r>
      <rPr>
        <b/>
        <sz val="11"/>
        <rFont val="Calibri"/>
        <family val="2"/>
        <scheme val="minor"/>
      </rPr>
      <t>P00488_2024</t>
    </r>
  </si>
  <si>
    <t>P00488_2024</t>
  </si>
  <si>
    <r>
      <t xml:space="preserve">JLCO241002874 - </t>
    </r>
    <r>
      <rPr>
        <b/>
        <sz val="11"/>
        <rFont val="Calibri"/>
        <family val="2"/>
        <scheme val="minor"/>
      </rPr>
      <t>P00489_2024</t>
    </r>
  </si>
  <si>
    <t>P00489_2024</t>
  </si>
  <si>
    <r>
      <t xml:space="preserve">54UH - </t>
    </r>
    <r>
      <rPr>
        <b/>
        <sz val="11"/>
        <rFont val="Calibri"/>
        <family val="2"/>
        <scheme val="minor"/>
      </rPr>
      <t>P00470_2024</t>
    </r>
  </si>
  <si>
    <t>P00470_2024</t>
  </si>
  <si>
    <t>Pin-milling development</t>
  </si>
  <si>
    <r>
      <t xml:space="preserve">24100154 SQ - </t>
    </r>
    <r>
      <rPr>
        <b/>
        <sz val="11"/>
        <rFont val="Calibri"/>
        <family val="2"/>
        <scheme val="minor"/>
      </rPr>
      <t>P00473_2024</t>
    </r>
  </si>
  <si>
    <t>P00473_2024</t>
  </si>
  <si>
    <t>Storage fees 10/2024 + 11/2024 + 12/2024</t>
  </si>
  <si>
    <r>
      <t xml:space="preserve">B 24 039 V1 - </t>
    </r>
    <r>
      <rPr>
        <b/>
        <sz val="11"/>
        <rFont val="Calibri"/>
        <family val="2"/>
        <scheme val="minor"/>
      </rPr>
      <t>P00474_2024</t>
    </r>
  </si>
  <si>
    <t>P00474_2024</t>
  </si>
  <si>
    <r>
      <t xml:space="preserve">QTOC214442 - </t>
    </r>
    <r>
      <rPr>
        <b/>
        <sz val="11"/>
        <rFont val="Calibri"/>
        <family val="2"/>
        <scheme val="minor"/>
      </rPr>
      <t>P00472_2024</t>
    </r>
  </si>
  <si>
    <t>P00472_2024</t>
  </si>
  <si>
    <t>SAV sonde enregistrement</t>
  </si>
  <si>
    <t>PMO</t>
  </si>
  <si>
    <t>Stephane</t>
  </si>
  <si>
    <t>SPRINGER NATURE</t>
  </si>
  <si>
    <r>
      <t xml:space="preserve">Q-110408 - </t>
    </r>
    <r>
      <rPr>
        <b/>
        <sz val="11"/>
        <rFont val="Calibri"/>
        <family val="2"/>
        <scheme val="minor"/>
      </rPr>
      <t>P00468_2024</t>
    </r>
  </si>
  <si>
    <t>P00468_2024</t>
  </si>
  <si>
    <t>Documentation</t>
  </si>
  <si>
    <r>
      <t xml:space="preserve">ABIVAX 10-01-24 - </t>
    </r>
    <r>
      <rPr>
        <b/>
        <sz val="11"/>
        <rFont val="Calibri"/>
        <family val="2"/>
        <scheme val="minor"/>
      </rPr>
      <t>P00464_2024</t>
    </r>
  </si>
  <si>
    <t>P00464_2024</t>
  </si>
  <si>
    <r>
      <t xml:space="preserve">DDR 2025 007 V1 - </t>
    </r>
    <r>
      <rPr>
        <b/>
        <sz val="11"/>
        <rFont val="Calibri"/>
        <family val="2"/>
        <scheme val="minor"/>
      </rPr>
      <t>P00455_2024</t>
    </r>
  </si>
  <si>
    <t>P00455_2024</t>
  </si>
  <si>
    <t>Assay method complementary validation</t>
  </si>
  <si>
    <r>
      <t xml:space="preserve">P2409261 - </t>
    </r>
    <r>
      <rPr>
        <b/>
        <sz val="11"/>
        <rFont val="Calibri"/>
        <family val="2"/>
        <scheme val="minor"/>
      </rPr>
      <t>P00456_2024</t>
    </r>
  </si>
  <si>
    <t>P00456_2024</t>
  </si>
  <si>
    <t>Shipments to TNO</t>
  </si>
  <si>
    <t>EDQM</t>
  </si>
  <si>
    <r>
      <t xml:space="preserve">10049679 - </t>
    </r>
    <r>
      <rPr>
        <b/>
        <sz val="11"/>
        <rFont val="Calibri"/>
        <family val="2"/>
        <scheme val="minor"/>
      </rPr>
      <t>P00453_2024</t>
    </r>
  </si>
  <si>
    <t>P00453_2024</t>
  </si>
  <si>
    <t>Online EP access renewal 2025 - 01/2025 to 12/2025</t>
  </si>
  <si>
    <r>
      <t xml:space="preserve">L24_4127A - </t>
    </r>
    <r>
      <rPr>
        <b/>
        <sz val="11"/>
        <rFont val="Calibri"/>
        <family val="2"/>
        <scheme val="minor"/>
      </rPr>
      <t>P00454_2024</t>
    </r>
  </si>
  <si>
    <t>P00454_2024</t>
  </si>
  <si>
    <t>Covalidation methode optimisée dosage</t>
  </si>
  <si>
    <r>
      <t xml:space="preserve">02/2024/MAGS - </t>
    </r>
    <r>
      <rPr>
        <b/>
        <sz val="11"/>
        <rFont val="Calibri"/>
        <family val="2"/>
        <scheme val="minor"/>
      </rPr>
      <t>P00466_2024</t>
    </r>
  </si>
  <si>
    <t>P00466_2024</t>
  </si>
  <si>
    <t>Achat magasin CNRS - 2023</t>
  </si>
  <si>
    <r>
      <t xml:space="preserve">01/2024/MAGS - </t>
    </r>
    <r>
      <rPr>
        <b/>
        <sz val="11"/>
        <rFont val="Calibri"/>
        <family val="2"/>
        <scheme val="minor"/>
      </rPr>
      <t>P00465_2024</t>
    </r>
  </si>
  <si>
    <t>P00465_2024</t>
  </si>
  <si>
    <t>Achat magasin CNRS - 2022</t>
  </si>
  <si>
    <r>
      <t xml:space="preserve">1XCB041024-NC-IGMM - </t>
    </r>
    <r>
      <rPr>
        <b/>
        <sz val="11"/>
        <rFont val="Calibri"/>
        <family val="2"/>
        <scheme val="minor"/>
      </rPr>
      <t>P00461_2024</t>
    </r>
  </si>
  <si>
    <t>P00461_2024</t>
  </si>
  <si>
    <r>
      <t xml:space="preserve">web - </t>
    </r>
    <r>
      <rPr>
        <b/>
        <sz val="11"/>
        <rFont val="Calibri"/>
        <family val="2"/>
        <scheme val="minor"/>
      </rPr>
      <t>P00462_2024</t>
    </r>
  </si>
  <si>
    <t>P00462_2024</t>
  </si>
  <si>
    <r>
      <t xml:space="preserve">OPP-322222 - CRL-519043 - </t>
    </r>
    <r>
      <rPr>
        <b/>
        <sz val="11"/>
        <rFont val="Calibri"/>
        <family val="2"/>
        <scheme val="minor"/>
      </rPr>
      <t>P00458_2024</t>
    </r>
  </si>
  <si>
    <t>P00458_2024</t>
  </si>
  <si>
    <r>
      <t xml:space="preserve">7053765 - </t>
    </r>
    <r>
      <rPr>
        <b/>
        <sz val="11"/>
        <rFont val="Calibri"/>
        <family val="2"/>
        <scheme val="minor"/>
      </rPr>
      <t>P00460_2024</t>
    </r>
  </si>
  <si>
    <t>P00460_2024</t>
  </si>
  <si>
    <t>INV 1032409685</t>
  </si>
  <si>
    <t>INV EUSI299944</t>
  </si>
  <si>
    <t>INV 1986602 RI + INV 1987895 RI</t>
  </si>
  <si>
    <t>07/10/2024 + 14/10/2024</t>
  </si>
  <si>
    <t>INV 940564129</t>
  </si>
  <si>
    <t>P00491_2024</t>
  </si>
  <si>
    <t>INV 00010 23002939 RI + INV 00010 24000402 RI + INV 00010 24001097 RI + INV 00010 24001536 RI + INV 00010 24001818 RI + INV 0001024002400 RI</t>
  </si>
  <si>
    <t>01/01/2024 + 21/02/2024 + 30/04/2024 + 27/06/2024 + 30/07/2024 + 24/10/2024</t>
  </si>
  <si>
    <t>INV EUSI312761</t>
  </si>
  <si>
    <t>INV 1989922 RI</t>
  </si>
  <si>
    <t>INV 24013466</t>
  </si>
  <si>
    <t>P00503_2024</t>
  </si>
  <si>
    <t>Vault Quality Docs and Vault training essentials licenses</t>
  </si>
  <si>
    <r>
      <t xml:space="preserve">00213007 - </t>
    </r>
    <r>
      <rPr>
        <b/>
        <sz val="11"/>
        <rFont val="Calibri"/>
        <family val="2"/>
        <scheme val="minor"/>
      </rPr>
      <t>P00503_2024</t>
    </r>
  </si>
  <si>
    <r>
      <t xml:space="preserve">VB 2024-17 - </t>
    </r>
    <r>
      <rPr>
        <b/>
        <sz val="11"/>
        <rFont val="Calibri"/>
        <family val="2"/>
        <scheme val="minor"/>
      </rPr>
      <t>P00509_2024</t>
    </r>
  </si>
  <si>
    <t>P00509_2024</t>
  </si>
  <si>
    <t>Expertise Analyse microscopique CAC</t>
  </si>
  <si>
    <t>INV FFV24REC09734</t>
  </si>
  <si>
    <t>INV FTI- 000308</t>
  </si>
  <si>
    <t>INV 2024-KI-0096</t>
  </si>
  <si>
    <t>INV 2024-KI-0080</t>
  </si>
  <si>
    <r>
      <t xml:space="preserve">QTOC214661 - </t>
    </r>
    <r>
      <rPr>
        <b/>
        <sz val="11"/>
        <rFont val="Calibri"/>
        <family val="2"/>
        <scheme val="minor"/>
      </rPr>
      <t>P00516_2024</t>
    </r>
  </si>
  <si>
    <t>P00516_2024</t>
  </si>
  <si>
    <t>SAV sonde triple</t>
  </si>
  <si>
    <r>
      <t xml:space="preserve">090424RT1 - </t>
    </r>
    <r>
      <rPr>
        <b/>
        <sz val="11"/>
        <rFont val="Calibri"/>
        <family val="2"/>
        <scheme val="minor"/>
      </rPr>
      <t>P00508_2024</t>
    </r>
  </si>
  <si>
    <t>P00508_2024</t>
  </si>
  <si>
    <t>Transporteur studies for MRP2, BCRP &amp; P-gp</t>
  </si>
  <si>
    <t>112123PM1r2 - SOW#1 +A1(P00129_2024) + A1CO1 (P00506_2024)</t>
  </si>
  <si>
    <t>P00129_2024 + P00506_2024</t>
  </si>
  <si>
    <r>
      <t xml:space="preserve">127/2024/ZEFI - </t>
    </r>
    <r>
      <rPr>
        <b/>
        <sz val="11"/>
        <rFont val="Calibri"/>
        <family val="2"/>
        <scheme val="minor"/>
      </rPr>
      <t>P00514_2024</t>
    </r>
  </si>
  <si>
    <t>P00514_2024</t>
  </si>
  <si>
    <t>Hébergement animalerie T3 + Régule</t>
  </si>
  <si>
    <r>
      <t xml:space="preserve">57537 - </t>
    </r>
    <r>
      <rPr>
        <b/>
        <sz val="11"/>
        <rFont val="Calibri"/>
        <family val="2"/>
        <scheme val="minor"/>
      </rPr>
      <t>P00511_2024</t>
    </r>
  </si>
  <si>
    <t>P00511_2024</t>
  </si>
  <si>
    <t>Maintenance centrifugeuse</t>
  </si>
  <si>
    <t>24/20/2024</t>
  </si>
  <si>
    <r>
      <t xml:space="preserve">WO89#2024 - </t>
    </r>
    <r>
      <rPr>
        <b/>
        <sz val="11"/>
        <rFont val="Calibri"/>
        <family val="2"/>
        <scheme val="minor"/>
      </rPr>
      <t>P00510_2024</t>
    </r>
  </si>
  <si>
    <t>P00510_2024</t>
  </si>
  <si>
    <t>Roowin batch recontrol</t>
  </si>
  <si>
    <t>INV JLFC240902808</t>
  </si>
  <si>
    <t>INV JFFC240902093</t>
  </si>
  <si>
    <t>INV JLFC240900644</t>
  </si>
  <si>
    <t>INV 10000445</t>
  </si>
  <si>
    <t>INV F-24081460</t>
  </si>
  <si>
    <t>INV F-24101507</t>
  </si>
  <si>
    <t>INV 00010 24002458 RI</t>
  </si>
  <si>
    <t>INV 10000292</t>
  </si>
  <si>
    <t>INV OCFR-FTI-000309</t>
  </si>
  <si>
    <t>INV OCFR-FTI-000278</t>
  </si>
  <si>
    <t>INV S24-497281</t>
  </si>
  <si>
    <t>INV 480248</t>
  </si>
  <si>
    <t>Nakesha</t>
  </si>
  <si>
    <t>INV 940563090 + INV 940563326 + INV 940562586</t>
  </si>
  <si>
    <t>04/10/2024 + 08/10/2024 + 30/09/2024</t>
  </si>
  <si>
    <t>INV 90782851</t>
  </si>
  <si>
    <t>INV JLFC241100694</t>
  </si>
  <si>
    <t>INV ABIV202414</t>
  </si>
  <si>
    <t>INV SI16000002884 + INV SI16000003118</t>
  </si>
  <si>
    <t>08/03/2024 + 05/11/2024</t>
  </si>
  <si>
    <t>INV PSI024325</t>
  </si>
  <si>
    <t>INV-3380 + INV-3452 + INV-3499</t>
  </si>
  <si>
    <t>31/07/2024 + 30/09/2024 +31/10/2024</t>
  </si>
  <si>
    <t>INV 90778409</t>
  </si>
  <si>
    <t>INV 90778410</t>
  </si>
  <si>
    <t>INV 59001852</t>
  </si>
  <si>
    <t>SRV_23041_CO4</t>
  </si>
  <si>
    <t>INV FRA-005541</t>
  </si>
  <si>
    <t>INV FRA-005543</t>
  </si>
  <si>
    <t>TNO</t>
  </si>
  <si>
    <t>ABX464-903 - plasma and urine metabolite profile additions and report</t>
  </si>
  <si>
    <t>INV 10000275 + INV 10000317+ INV 10000494</t>
  </si>
  <si>
    <t>30/09/2024 + 24/09/2024+20/11/2024</t>
  </si>
  <si>
    <t>WO008 - 35948 - Admt 01</t>
  </si>
  <si>
    <t>Monthly Management Fees 2025</t>
  </si>
  <si>
    <t>On Signature Admt 01</t>
  </si>
  <si>
    <t>INV OCFR-FTI-000325</t>
  </si>
  <si>
    <t>INV OCFR-FTI-000196</t>
  </si>
  <si>
    <t>INV OCFR-FTI-000011</t>
  </si>
  <si>
    <t>INV OCFR-FTI-000035</t>
  </si>
  <si>
    <t>INV OCFR-FTI-000053</t>
  </si>
  <si>
    <t>INV OCFR-FTI-000072</t>
  </si>
  <si>
    <t>INV OCFR-FTI-000095</t>
  </si>
  <si>
    <t>INV OCFR-FTI-000117</t>
  </si>
  <si>
    <t>INV OCFR-FTI-000146</t>
  </si>
  <si>
    <t>INV OCFR-FTI-000170</t>
  </si>
  <si>
    <t>SRV_21002_CO10</t>
  </si>
  <si>
    <t>289377 - MSA_24225_LOI</t>
  </si>
  <si>
    <t>LOI - ABX464 - Etude 914</t>
  </si>
  <si>
    <t>MD914</t>
  </si>
  <si>
    <t>INV 24014880</t>
  </si>
  <si>
    <r>
      <t xml:space="preserve">Web - </t>
    </r>
    <r>
      <rPr>
        <b/>
        <sz val="11"/>
        <rFont val="Calibri"/>
        <family val="2"/>
        <scheme val="minor"/>
      </rPr>
      <t>P00526_2024</t>
    </r>
  </si>
  <si>
    <t>P00526_2024</t>
  </si>
  <si>
    <r>
      <t xml:space="preserve">OPP-322222 - CRL-519043 - </t>
    </r>
    <r>
      <rPr>
        <b/>
        <sz val="11"/>
        <rFont val="Calibri"/>
        <family val="2"/>
        <scheme val="minor"/>
      </rPr>
      <t>P00525_2024</t>
    </r>
  </si>
  <si>
    <t>P00525_2024</t>
  </si>
  <si>
    <t>P00523_2024</t>
  </si>
  <si>
    <r>
      <t xml:space="preserve">OPP-315267 - CRL-509177 - </t>
    </r>
    <r>
      <rPr>
        <b/>
        <sz val="11"/>
        <rFont val="Calibri"/>
        <family val="2"/>
        <scheme val="minor"/>
      </rPr>
      <t>P00524_2024</t>
    </r>
  </si>
  <si>
    <t>P00524_2024</t>
  </si>
  <si>
    <r>
      <t xml:space="preserve">OPP-319365 - CRL-501341 - </t>
    </r>
    <r>
      <rPr>
        <b/>
        <sz val="11"/>
        <rFont val="Calibri"/>
        <family val="2"/>
        <scheme val="minor"/>
      </rPr>
      <t>P00523_2024</t>
    </r>
  </si>
  <si>
    <t xml:space="preserve">Sample analysis ABX464 &amp; Nglu in human Plasma - Add cost </t>
  </si>
  <si>
    <t>HI908 - Sample analysis for quatification ABX464 &amp; Nglu in plasma Add cost au PO310</t>
  </si>
  <si>
    <t>Sample analysis for quantification of test material Add cost au PO425</t>
  </si>
  <si>
    <r>
      <t xml:space="preserve">54 SA - </t>
    </r>
    <r>
      <rPr>
        <b/>
        <sz val="11"/>
        <rFont val="Calibri"/>
        <family val="2"/>
        <scheme val="minor"/>
      </rPr>
      <t>P00520_2024</t>
    </r>
  </si>
  <si>
    <t>P00520_2024</t>
  </si>
  <si>
    <t>PSD Additionnal testing</t>
  </si>
  <si>
    <r>
      <t xml:space="preserve">DDR 2025 014 V1.0 - </t>
    </r>
    <r>
      <rPr>
        <b/>
        <sz val="11"/>
        <rFont val="Calibri"/>
        <family val="2"/>
        <scheme val="minor"/>
      </rPr>
      <t>P00513_2024</t>
    </r>
  </si>
  <si>
    <t>P00513_2024</t>
  </si>
  <si>
    <t>Transparent PVC-PVDC Blister Stab Study</t>
  </si>
  <si>
    <t>OXFORD UNIVERSITY</t>
  </si>
  <si>
    <r>
      <t xml:space="preserve">1553289 - </t>
    </r>
    <r>
      <rPr>
        <b/>
        <sz val="11"/>
        <rFont val="Calibri"/>
        <family val="2"/>
        <scheme val="minor"/>
      </rPr>
      <t>P00518_2024</t>
    </r>
  </si>
  <si>
    <t>P00518_2024</t>
  </si>
  <si>
    <t>2 journals sub renewal 2025</t>
  </si>
  <si>
    <t>P00527_2024</t>
  </si>
  <si>
    <r>
      <t xml:space="preserve">OPP-246302 - CRL-383566 - </t>
    </r>
    <r>
      <rPr>
        <b/>
        <sz val="11"/>
        <rFont val="Calibri"/>
        <family val="2"/>
        <scheme val="minor"/>
      </rPr>
      <t>P00527_2024</t>
    </r>
  </si>
  <si>
    <r>
      <t xml:space="preserve">7061555-00 - </t>
    </r>
    <r>
      <rPr>
        <b/>
        <sz val="11"/>
        <rFont val="Calibri"/>
        <family val="2"/>
        <scheme val="minor"/>
      </rPr>
      <t>P00528_2024</t>
    </r>
  </si>
  <si>
    <t>P00528_2024</t>
  </si>
  <si>
    <r>
      <t xml:space="preserve">1300 - </t>
    </r>
    <r>
      <rPr>
        <b/>
        <sz val="11"/>
        <rFont val="Calibri"/>
        <family val="2"/>
        <scheme val="minor"/>
      </rPr>
      <t>P00530_2024</t>
    </r>
  </si>
  <si>
    <t>P00530_2024</t>
  </si>
  <si>
    <r>
      <t xml:space="preserve">Devis-CM191124-1 - </t>
    </r>
    <r>
      <rPr>
        <b/>
        <sz val="11"/>
        <rFont val="Calibri"/>
        <family val="2"/>
        <scheme val="minor"/>
      </rPr>
      <t>P00531_2024</t>
    </r>
  </si>
  <si>
    <t>P00531_2024</t>
  </si>
  <si>
    <r>
      <t xml:space="preserve">Web - </t>
    </r>
    <r>
      <rPr>
        <b/>
        <sz val="11"/>
        <rFont val="Calibri"/>
        <family val="2"/>
        <scheme val="minor"/>
      </rPr>
      <t>P00533_2024</t>
    </r>
  </si>
  <si>
    <t>P00533_2024</t>
  </si>
  <si>
    <r>
      <t xml:space="preserve">JLCO241102439 - </t>
    </r>
    <r>
      <rPr>
        <b/>
        <sz val="11"/>
        <rFont val="Calibri"/>
        <family val="2"/>
        <scheme val="minor"/>
      </rPr>
      <t>P00538_2024</t>
    </r>
  </si>
  <si>
    <t>P00538_2024</t>
  </si>
  <si>
    <t>RI907 - Validation Complement LCMS method urine</t>
  </si>
  <si>
    <r>
      <t xml:space="preserve">OPP-369989 - CRL-32018022 - </t>
    </r>
    <r>
      <rPr>
        <b/>
        <sz val="11"/>
        <rFont val="Calibri"/>
        <family val="2"/>
        <scheme val="minor"/>
      </rPr>
      <t>P00535_2024</t>
    </r>
  </si>
  <si>
    <t>P00535_2024</t>
  </si>
  <si>
    <r>
      <t xml:space="preserve">24100320 SQ - </t>
    </r>
    <r>
      <rPr>
        <b/>
        <sz val="11"/>
        <rFont val="Calibri"/>
        <family val="2"/>
        <scheme val="minor"/>
      </rPr>
      <t>P00521_2024</t>
    </r>
  </si>
  <si>
    <t>P00521_2024</t>
  </si>
  <si>
    <r>
      <t xml:space="preserve">285772 - </t>
    </r>
    <r>
      <rPr>
        <b/>
        <sz val="11"/>
        <rFont val="Calibri"/>
        <family val="2"/>
        <scheme val="minor"/>
      </rPr>
      <t>P00540_2024</t>
    </r>
  </si>
  <si>
    <t>P00540_2024</t>
  </si>
  <si>
    <t>Presta Histo MHL</t>
  </si>
  <si>
    <t>Devis 14179-2 - ALL PO</t>
  </si>
  <si>
    <t>MD914 - Labelling &amp; Secondary Packaging</t>
  </si>
  <si>
    <t>INV OCFR-FTI-000326</t>
  </si>
  <si>
    <t>A 22/128 - CO1</t>
  </si>
  <si>
    <t>PK hepatic impairment - Upon signature CO1</t>
  </si>
  <si>
    <t>INV 2024-KI-01103</t>
  </si>
  <si>
    <t>INV 032371</t>
  </si>
  <si>
    <t>INV 90785246</t>
  </si>
  <si>
    <t>INV 10090811</t>
  </si>
  <si>
    <t>INV100950 + INV 10092541</t>
  </si>
  <si>
    <t>21/10/2024 + 14/11/2024</t>
  </si>
  <si>
    <t>INV INVOC1017487</t>
  </si>
  <si>
    <t>INV 1032411528</t>
  </si>
  <si>
    <t>INV FV24REC10880</t>
  </si>
  <si>
    <t>INV 8053356283</t>
  </si>
  <si>
    <t>INV 10000282 +INV 10000495 + INV 10000493</t>
  </si>
  <si>
    <t>30/09/2024 + 20/11/2024 + 20/11/2024</t>
  </si>
  <si>
    <t>INV 59001874</t>
  </si>
  <si>
    <t>INV 59001523 + INV 59001598</t>
  </si>
  <si>
    <t>19/01/2024 + 11/03/2024</t>
  </si>
  <si>
    <t>INV FACLI001799 + INV FACLI001796 + INV FACLI002009</t>
  </si>
  <si>
    <t>30/09/2024 + 30/09/2024 + 31/10/2024</t>
  </si>
  <si>
    <t>INV JLFC241103110</t>
  </si>
  <si>
    <t>INV 10000551</t>
  </si>
  <si>
    <t>INV 58008473</t>
  </si>
  <si>
    <t>INV 59001920</t>
  </si>
  <si>
    <t>RI907 - PK Analysis</t>
  </si>
  <si>
    <t>INV 59001919</t>
  </si>
  <si>
    <t>INV 1995915 RI</t>
  </si>
  <si>
    <r>
      <t xml:space="preserve">OPP-353689 - CRL-31989756 - </t>
    </r>
    <r>
      <rPr>
        <b/>
        <sz val="11"/>
        <rFont val="Calibri"/>
        <family val="2"/>
        <scheme val="minor"/>
      </rPr>
      <t>P00398_2024</t>
    </r>
  </si>
  <si>
    <t>INV PIN193321 + INV PIN195154 + INV PIN197846 + INV PIN199416 + INV PIN201912 - PCM008709 + INV PIN203453 + INV PIN205057 + INV PIN208659 + INV PIN209246</t>
  </si>
  <si>
    <t>29/03/2024 + 26/04/2024 + 24/05/2024 + 28/06/2024 + 26/07/2024 + 12/08/2024 + 23/08/2024 + 27/09/2024 + 25/10/2024 + 29/11/2024</t>
  </si>
  <si>
    <t>INV 24100442</t>
  </si>
  <si>
    <t>INV 47044945 + INV 47046009</t>
  </si>
  <si>
    <t>08/10/2024 + 26/11/2024</t>
  </si>
  <si>
    <t>INVOC1017542</t>
  </si>
  <si>
    <t>TdB Labs</t>
  </si>
  <si>
    <t>INV 9310</t>
  </si>
  <si>
    <t>INV 0027/22 + INV 0039/22 + INV 0135/22 + INV 0146/22 + INV 0166/22 + INV 0186/22 + INV 0223/22 + INV 0242/22 + INV 0312/22 + INV 0373/22 + INV 0458/22 + INV 0533/22 + INV 0531/22 + INV 0592/22 + INV 0746/22 + INV 0777/22 + INV 0787/22 + INV 0877/22 + INV 0147/23 + INV 0226/23 + INV 0418/23 + INV 0703/23 + INV 0896/23 + INV 0201/24 + INV 0257/25</t>
  </si>
  <si>
    <t>22/07/2021 + 23/07/2021 + 27/09/2021 + 30/09/2021 + 13/10/2021 + 18/10/2021 + 27/10/2021 + 29/10/2021 + 30/11/2021 + 20/12/2021 + 28/01/2022 + 28/02/2022 + 28/02/2022 + 23/03/2022 + 23/05/2022 + 30/05/2022 + 31/05/2022 + 27/06/2022 + 28/09/2022 + 26/10/2022 + 22/12/2022 + 19/04/2023 + 28/06/2023 + 30/10/2023 + 25/11/2024</t>
  </si>
  <si>
    <t>LAB45111 - SRV_24077 + A1</t>
  </si>
  <si>
    <t>CYP and UGT Phenotyping for ABX464&amp;NGlu - Study setup fee</t>
  </si>
  <si>
    <t>INV FRA-005683</t>
  </si>
  <si>
    <t>INV FRA-005693</t>
  </si>
  <si>
    <t>INV F24-1811</t>
  </si>
  <si>
    <t>INV F24-1981</t>
  </si>
  <si>
    <t>INV F24-1980</t>
  </si>
  <si>
    <t>Storage 2025 - 01/01/2025 au 31/12/2025</t>
  </si>
  <si>
    <r>
      <t xml:space="preserve">CRL-47732 - </t>
    </r>
    <r>
      <rPr>
        <b/>
        <sz val="11"/>
        <rFont val="Calibri"/>
        <family val="2"/>
        <scheme val="minor"/>
      </rPr>
      <t>P00560_2024</t>
    </r>
  </si>
  <si>
    <t>P00560_2024</t>
  </si>
  <si>
    <r>
      <t xml:space="preserve">1XCB041024-NC-IGMM - </t>
    </r>
    <r>
      <rPr>
        <b/>
        <sz val="11"/>
        <rFont val="Calibri"/>
        <family val="2"/>
        <scheme val="minor"/>
      </rPr>
      <t>P00562_2024</t>
    </r>
  </si>
  <si>
    <t>P00562_2024</t>
  </si>
  <si>
    <r>
      <t xml:space="preserve">7063924 - </t>
    </r>
    <r>
      <rPr>
        <b/>
        <sz val="11"/>
        <rFont val="Calibri"/>
        <family val="2"/>
        <scheme val="minor"/>
      </rPr>
      <t>P00556_2024</t>
    </r>
  </si>
  <si>
    <t>P00556_2024</t>
  </si>
  <si>
    <r>
      <t xml:space="preserve">web - </t>
    </r>
    <r>
      <rPr>
        <b/>
        <sz val="11"/>
        <rFont val="Calibri"/>
        <family val="2"/>
        <scheme val="minor"/>
      </rPr>
      <t>P00552_2024</t>
    </r>
  </si>
  <si>
    <t>P00552_2024</t>
  </si>
  <si>
    <t>BIOLOG ID</t>
  </si>
  <si>
    <r>
      <t xml:space="preserve">DV00004200 - </t>
    </r>
    <r>
      <rPr>
        <b/>
        <sz val="11"/>
        <rFont val="Calibri"/>
        <family val="2"/>
        <scheme val="minor"/>
      </rPr>
      <t>P00550_2024</t>
    </r>
  </si>
  <si>
    <t>P00550_2024</t>
  </si>
  <si>
    <r>
      <t xml:space="preserve">24100221 - </t>
    </r>
    <r>
      <rPr>
        <b/>
        <sz val="11"/>
        <rFont val="Calibri"/>
        <family val="2"/>
        <scheme val="minor"/>
      </rPr>
      <t>P00551_2024</t>
    </r>
  </si>
  <si>
    <t>P00551_2024</t>
  </si>
  <si>
    <r>
      <t xml:space="preserve">L24_4171A - </t>
    </r>
    <r>
      <rPr>
        <b/>
        <sz val="11"/>
        <rFont val="Calibri"/>
        <family val="2"/>
        <scheme val="minor"/>
      </rPr>
      <t>P00542_2024</t>
    </r>
  </si>
  <si>
    <t>P00542_2024</t>
  </si>
  <si>
    <t>Production lot technique avec API JP 5000rpm</t>
  </si>
  <si>
    <r>
      <t xml:space="preserve">WO81#2024 - </t>
    </r>
    <r>
      <rPr>
        <b/>
        <sz val="11"/>
        <rFont val="Calibri"/>
        <family val="2"/>
        <scheme val="minor"/>
      </rPr>
      <t>P00545_2024</t>
    </r>
  </si>
  <si>
    <t>P00545_2024</t>
  </si>
  <si>
    <r>
      <t xml:space="preserve">WO80#2024 - </t>
    </r>
    <r>
      <rPr>
        <b/>
        <sz val="11"/>
        <rFont val="Calibri"/>
        <family val="2"/>
        <scheme val="minor"/>
      </rPr>
      <t>P00356_2024</t>
    </r>
  </si>
  <si>
    <t>RSM3 Data Review</t>
  </si>
  <si>
    <r>
      <t xml:space="preserve">WO90#2024 - </t>
    </r>
    <r>
      <rPr>
        <b/>
        <sz val="11"/>
        <rFont val="Calibri"/>
        <family val="2"/>
        <scheme val="minor"/>
      </rPr>
      <t>P00543_2024</t>
    </r>
  </si>
  <si>
    <t>P00543_2024</t>
  </si>
  <si>
    <t>Ethyl cloride &amp; isopropyl chl methods validation</t>
  </si>
  <si>
    <r>
      <t xml:space="preserve">WO61#2023 A1 - </t>
    </r>
    <r>
      <rPr>
        <b/>
        <sz val="11"/>
        <rFont val="Calibri"/>
        <family val="2"/>
        <scheme val="minor"/>
      </rPr>
      <t>P00544_2024</t>
    </r>
  </si>
  <si>
    <t>P00544_2024</t>
  </si>
  <si>
    <t>PCV Storage fee ABX464 2025 (01/01/25-31/12/25)</t>
  </si>
  <si>
    <t>inv 8053391646</t>
  </si>
  <si>
    <t>INV 8053384343 + INV 8053389897 + INV 8053395749</t>
  </si>
  <si>
    <t>19/11/2024 + 21/11/2024 + 06/12/2024</t>
  </si>
  <si>
    <t>INV I005-103687</t>
  </si>
  <si>
    <t>INV I005-102027 + INV I005-103685</t>
  </si>
  <si>
    <t>18/07/2024 + 10/12/2024</t>
  </si>
  <si>
    <t>INV I005-103688</t>
  </si>
  <si>
    <t>INVF24-2027</t>
  </si>
  <si>
    <t>INV 1032412297</t>
  </si>
  <si>
    <t>INV OCFR-FTI-000360</t>
  </si>
  <si>
    <t>INV OCFR-FTI-000361</t>
  </si>
  <si>
    <t>INV F-24121534</t>
  </si>
  <si>
    <t>INV ABIV202416</t>
  </si>
  <si>
    <t>INV 011203</t>
  </si>
  <si>
    <t>INV OCFR-FTI-000341</t>
  </si>
  <si>
    <t>INV 2024_124 + INV 2024_186</t>
  </si>
  <si>
    <t>19/09/2024 + 10/12/2024</t>
  </si>
  <si>
    <t>INV F24-2028</t>
  </si>
  <si>
    <t>INV 24100465</t>
  </si>
  <si>
    <t>INV 24100389 + INV 24100415 + INV  24100471</t>
  </si>
  <si>
    <t>31/10/2024 + 20/11/2024 + 16/12/2024</t>
  </si>
  <si>
    <t>INV 58008551</t>
  </si>
  <si>
    <t>14/06/2024 + 19/09/2024 + 11/12/2024</t>
  </si>
  <si>
    <t>INV 2023_102 + INV 2023_161 + INV 2024_05 + INV 2024_67 + INV 2024_123 + INV 2024_191</t>
  </si>
  <si>
    <t>18/09/2023 + 19/12/2023 + 13/03/2024 + 14/06/2024 + 19/09/2024 + 11/12/2024</t>
  </si>
  <si>
    <t>INV 2023_161 + INV 2024_05 + INV 2024_123 + INV 2024_191</t>
  </si>
  <si>
    <t>19/12/2023 + 13/03/2024 + 19/09/2024 + 11/12/2024</t>
  </si>
  <si>
    <t>INV 2024_05 + INV 2024_63 + INV 2024_123 + INV 2024_191</t>
  </si>
  <si>
    <t>13/03/2024 + 14/06/2024 + 19/09/2024 + 11/12/2024</t>
  </si>
  <si>
    <t>INV 2024_05 + INV 2024_64 + INV 2024_123 + INV 2024_191</t>
  </si>
  <si>
    <t>INV 2024_65 + INV 2024_123 + INV 2024_191</t>
  </si>
  <si>
    <t>INV 2024_123 + INV 2024_191</t>
  </si>
  <si>
    <t>19/09/2024 + 11/12/2024</t>
  </si>
  <si>
    <t>INV 009053 + INV 010231 + INV 010667 + INV 011283</t>
  </si>
  <si>
    <t>13/12/2023 + 28/06/2024 + 06/09/2024 + 10/12/2024</t>
  </si>
  <si>
    <t>MLS Fees  - INVOICE 32</t>
  </si>
  <si>
    <t>MLS Fees  - INVOICE 33 - Reconciliation line</t>
  </si>
  <si>
    <t>INV 011105</t>
  </si>
  <si>
    <t>INV 0146-24-11-B12</t>
  </si>
  <si>
    <t>INV 00010 23002178 RI + INV 00010 24002793 RI</t>
  </si>
  <si>
    <t>03/10/2023 + 06/12/2024</t>
  </si>
  <si>
    <t>INV EUSI311768</t>
  </si>
  <si>
    <t>CYTEL INC</t>
  </si>
  <si>
    <t>MSA_24185_WO2 - 24185_WO1_ABX464-202</t>
  </si>
  <si>
    <t xml:space="preserve">replace IQVIA in performing IDMC support services - ABTECT IDMC </t>
  </si>
  <si>
    <t>replace Keyrus in performing independent cardiovascular safety committee (ICVSC)</t>
  </si>
  <si>
    <t>PH23055_WO17</t>
  </si>
  <si>
    <t>PK model ABX464&amp;N-Gluc ABTECT studies - At signature</t>
  </si>
  <si>
    <t>PK model ABX464&amp;N-Gluc ABTECT studies - Part 1 PK CSR activities - completion PK SAPs</t>
  </si>
  <si>
    <t>PK model ABX464&amp;N-Gluc ABTECT studies - Part 1 PK CSR activities - completion PK TFLs</t>
  </si>
  <si>
    <t>PK model ABX464&amp;N-Gluc ABTECT studies - Part 2 Poulation PK - At completion of MAP</t>
  </si>
  <si>
    <t>PK model ABX464&amp;N-Gluc ABTECT studies - Part 2 Poulation PK - At popPK analysis after studies 105 and 106 finalization</t>
  </si>
  <si>
    <t>PK model ABX464&amp;N-Gluc ABTECT studies - Part 2 Poulation PK - At popPK analysis after studies 107 finalization</t>
  </si>
  <si>
    <t>PK model ABX464&amp;N-Gluc ABTECT studies - Part 2 Poulation PK - At the first release of the draft report (105 &amp; 106)</t>
  </si>
  <si>
    <t>PK model ABX464&amp;N-Gluc ABTECT studies - Part 2 Poulation PK - At the first release of the draft report (107)</t>
  </si>
  <si>
    <t>PH24092_WO22</t>
  </si>
  <si>
    <t>PBPK modeling ABX464 - At signature</t>
  </si>
  <si>
    <t>PBPK modeling ABX464 - At completion of parameter senstive analysis</t>
  </si>
  <si>
    <t>PBPK modeling ABX464 - At completion of simulations</t>
  </si>
  <si>
    <t>PBPK modeling ABX464 - At completion of reporting</t>
  </si>
  <si>
    <t>INV F24-2032</t>
  </si>
  <si>
    <t>INV F24-2031</t>
  </si>
  <si>
    <t>INV F24-2029</t>
  </si>
  <si>
    <t>INV 24002958 RI</t>
  </si>
  <si>
    <t>INV 24002949 RI</t>
  </si>
  <si>
    <t>5kg Milling Demobatch</t>
  </si>
  <si>
    <t>P00127_2024 + P00557_2024</t>
  </si>
  <si>
    <t>Consommable Labo - janvier 2025</t>
  </si>
  <si>
    <t>Consommable Labo - février 2025</t>
  </si>
  <si>
    <t>Consommable Labo - mars 2025</t>
  </si>
  <si>
    <t>Consommable Labo - avril 2025</t>
  </si>
  <si>
    <t>Consommable Labo - mai 2025</t>
  </si>
  <si>
    <t>Consommable Labo - juin 2025</t>
  </si>
  <si>
    <r>
      <t xml:space="preserve">commande janvier 2025 - </t>
    </r>
    <r>
      <rPr>
        <b/>
        <sz val="11"/>
        <rFont val="Calibri"/>
        <family val="2"/>
        <scheme val="minor"/>
      </rPr>
      <t>P00568_2024</t>
    </r>
  </si>
  <si>
    <t>P00568_2024</t>
  </si>
  <si>
    <r>
      <t xml:space="preserve">commande février 2025 - </t>
    </r>
    <r>
      <rPr>
        <b/>
        <sz val="11"/>
        <rFont val="Calibri"/>
        <family val="2"/>
        <scheme val="minor"/>
      </rPr>
      <t>P00569_2024</t>
    </r>
  </si>
  <si>
    <t>P00569_2024</t>
  </si>
  <si>
    <r>
      <t xml:space="preserve">commande mars 2025 - </t>
    </r>
    <r>
      <rPr>
        <b/>
        <sz val="11"/>
        <rFont val="Calibri"/>
        <family val="2"/>
        <scheme val="minor"/>
      </rPr>
      <t>P00570_2024</t>
    </r>
  </si>
  <si>
    <t>P00570_2024</t>
  </si>
  <si>
    <r>
      <t xml:space="preserve">commande avril 2025 - </t>
    </r>
    <r>
      <rPr>
        <b/>
        <sz val="11"/>
        <rFont val="Calibri"/>
        <family val="2"/>
        <scheme val="minor"/>
      </rPr>
      <t>P00571_2024</t>
    </r>
  </si>
  <si>
    <t>P00571_2024</t>
  </si>
  <si>
    <r>
      <t xml:space="preserve">commande mai 2025 - </t>
    </r>
    <r>
      <rPr>
        <b/>
        <sz val="11"/>
        <rFont val="Calibri"/>
        <family val="2"/>
        <scheme val="minor"/>
      </rPr>
      <t>P00572_2024</t>
    </r>
  </si>
  <si>
    <t>P00572_2024</t>
  </si>
  <si>
    <r>
      <t xml:space="preserve">commande juin 2025 - </t>
    </r>
    <r>
      <rPr>
        <b/>
        <sz val="11"/>
        <rFont val="Calibri"/>
        <family val="2"/>
        <scheme val="minor"/>
      </rPr>
      <t>P00573_2024</t>
    </r>
  </si>
  <si>
    <t>P00573_2024</t>
  </si>
  <si>
    <t>Sample analysis quantif ABX464&amp;Nglu</t>
  </si>
  <si>
    <r>
      <t xml:space="preserve">OPP-36472 - CRL-32008367 - </t>
    </r>
    <r>
      <rPr>
        <b/>
        <sz val="11"/>
        <rFont val="Calibri"/>
        <family val="2"/>
        <scheme val="minor"/>
      </rPr>
      <t>P00561_2024</t>
    </r>
  </si>
  <si>
    <t>P00561_2024</t>
  </si>
  <si>
    <r>
      <t xml:space="preserve">DDR 2025 23 V1.0 - </t>
    </r>
    <r>
      <rPr>
        <b/>
        <sz val="11"/>
        <rFont val="Calibri"/>
        <family val="2"/>
        <scheme val="minor"/>
      </rPr>
      <t>P00563_2024</t>
    </r>
  </si>
  <si>
    <t>P00563_2024</t>
  </si>
  <si>
    <t>Discriminatory dissolution method</t>
  </si>
  <si>
    <r>
      <t xml:space="preserve">24100350 - </t>
    </r>
    <r>
      <rPr>
        <b/>
        <sz val="11"/>
        <rFont val="Calibri"/>
        <family val="2"/>
        <scheme val="minor"/>
      </rPr>
      <t>P00565_2024</t>
    </r>
  </si>
  <si>
    <t>P00565_2024</t>
  </si>
  <si>
    <t>PSD Analysis &amp; Co-validation</t>
  </si>
  <si>
    <r>
      <t xml:space="preserve">24100373 - </t>
    </r>
    <r>
      <rPr>
        <b/>
        <sz val="11"/>
        <rFont val="Calibri"/>
        <family val="2"/>
        <scheme val="minor"/>
      </rPr>
      <t>P00566_2024</t>
    </r>
  </si>
  <si>
    <t>P00566_2024</t>
  </si>
  <si>
    <t>Packaging &amp; shipments</t>
  </si>
  <si>
    <r>
      <t xml:space="preserve">DDR 2025 021 V1 - </t>
    </r>
    <r>
      <rPr>
        <b/>
        <sz val="11"/>
        <rFont val="Calibri"/>
        <family val="2"/>
        <scheme val="minor"/>
      </rPr>
      <t>P00558_2024</t>
    </r>
  </si>
  <si>
    <t>P00558_2024</t>
  </si>
  <si>
    <t>MERCK-SIGMA</t>
  </si>
  <si>
    <r>
      <t xml:space="preserve">8206656627 - </t>
    </r>
    <r>
      <rPr>
        <b/>
        <sz val="11"/>
        <rFont val="Calibri"/>
        <family val="2"/>
        <scheme val="minor"/>
      </rPr>
      <t>P00605_2024</t>
    </r>
  </si>
  <si>
    <t>P00605_2024</t>
  </si>
  <si>
    <r>
      <t xml:space="preserve">OPP-318628 + OPP-349662 - CRL-32023964 -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</si>
  <si>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CRL-32023960 -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</si>
  <si>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CRL-32023961 -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</si>
  <si>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CRL-32023962 -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</si>
  <si>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CRL-32025578 -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</si>
  <si>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CRL-32023963 - </t>
    </r>
    <r>
      <rPr>
        <b/>
        <sz val="11"/>
        <rFont val="Calibri"/>
        <family val="2"/>
        <scheme val="minor"/>
      </rPr>
      <t>P00603_2024</t>
    </r>
  </si>
  <si>
    <t>P00603_2024</t>
  </si>
  <si>
    <t>ERA phase II B package follow-up</t>
  </si>
  <si>
    <r>
      <t xml:space="preserve">OPP-318628 + OPP-349662 - CRL-32023965 - </t>
    </r>
    <r>
      <rPr>
        <b/>
        <sz val="11"/>
        <rFont val="Calibri"/>
        <family val="2"/>
        <scheme val="minor"/>
      </rPr>
      <t>P00603_2024</t>
    </r>
  </si>
  <si>
    <r>
      <t xml:space="preserve">CoS-6 - A-CRKA-335410-R3 CO n°6 - </t>
    </r>
    <r>
      <rPr>
        <b/>
        <sz val="11"/>
        <rFont val="Calibri"/>
        <family val="2"/>
        <scheme val="minor"/>
      </rPr>
      <t>P00601_2024</t>
    </r>
  </si>
  <si>
    <t>P00601_2024</t>
  </si>
  <si>
    <r>
      <t xml:space="preserve">QSC302430_SOW2 - </t>
    </r>
    <r>
      <rPr>
        <b/>
        <sz val="11"/>
        <rFont val="Calibri"/>
        <family val="2"/>
        <scheme val="minor"/>
      </rPr>
      <t>P00583_2024</t>
    </r>
  </si>
  <si>
    <t>P00583_2024</t>
  </si>
  <si>
    <t>Amdt 2 -  Formulation development ABX464 pediatric form - Signature WO 30%</t>
  </si>
  <si>
    <t>Amdt 2 -  Formulation development ABX464 pediatric form - Completion Confirmation batch 40%</t>
  </si>
  <si>
    <t>Amdt 2 -  Formulation development ABX464 pediatric form - Completion CMC batch 15%</t>
  </si>
  <si>
    <t>Amdt 2 -  Formulation development ABX464 pediatric form - Completion CTM batch 15%</t>
  </si>
  <si>
    <r>
      <t xml:space="preserve">WO22#2020 - </t>
    </r>
    <r>
      <rPr>
        <b/>
        <sz val="11"/>
        <rFont val="Calibri"/>
        <family val="2"/>
        <scheme val="minor"/>
      </rPr>
      <t>P00590_2024</t>
    </r>
  </si>
  <si>
    <t>P00590_2024</t>
  </si>
  <si>
    <t>Sample shipments in 2024</t>
  </si>
  <si>
    <r>
      <t xml:space="preserve">Regul etude covid - </t>
    </r>
    <r>
      <rPr>
        <b/>
        <sz val="11"/>
        <rFont val="Calibri"/>
        <family val="2"/>
        <scheme val="minor"/>
      </rPr>
      <t>P00586_2024</t>
    </r>
  </si>
  <si>
    <t>P00586_2024</t>
  </si>
  <si>
    <t>Regul étude Mir-Age Covid</t>
  </si>
  <si>
    <r>
      <t xml:space="preserve">Q182474 - </t>
    </r>
    <r>
      <rPr>
        <b/>
        <sz val="11"/>
        <rFont val="Calibri"/>
        <family val="2"/>
        <scheme val="minor"/>
      </rPr>
      <t>P00585_2024</t>
    </r>
  </si>
  <si>
    <t>P00585_2024</t>
  </si>
  <si>
    <t>KO mice - breeding, production &amp; shipment</t>
  </si>
  <si>
    <r>
      <t xml:space="preserve">54 SA - </t>
    </r>
    <r>
      <rPr>
        <b/>
        <sz val="11"/>
        <rFont val="Calibri"/>
        <family val="2"/>
        <scheme val="minor"/>
      </rPr>
      <t>P00580_2024</t>
    </r>
  </si>
  <si>
    <t>P00580_2024</t>
  </si>
  <si>
    <t>additional PSD analysis</t>
  </si>
  <si>
    <r>
      <t xml:space="preserve">QSC303253_SOW1 - </t>
    </r>
    <r>
      <rPr>
        <b/>
        <sz val="11"/>
        <rFont val="Calibri"/>
        <family val="2"/>
        <scheme val="minor"/>
      </rPr>
      <t>P00581_2024</t>
    </r>
  </si>
  <si>
    <t>P00581_2024</t>
  </si>
  <si>
    <t>PBK modeling &amp; simulation prediatric formulation - signature WO</t>
  </si>
  <si>
    <t>PBK modeling &amp; simulation prediatric formulation - Ongoing work</t>
  </si>
  <si>
    <t>INV SIN003823</t>
  </si>
  <si>
    <r>
      <t xml:space="preserve">COS-5-A-CRKA-335410-R3 CO n°5 - </t>
    </r>
    <r>
      <rPr>
        <b/>
        <sz val="11"/>
        <rFont val="Calibri"/>
        <family val="2"/>
        <scheme val="minor"/>
      </rPr>
      <t>P00577_2024</t>
    </r>
  </si>
  <si>
    <t>P00577_2024</t>
  </si>
  <si>
    <t>Anhydride synthesis</t>
  </si>
  <si>
    <t>ABX-Metabenzoquinoline impurty - WP1 - Spiking study</t>
  </si>
  <si>
    <t>ABX-Metabenzoquinoline impurt - WP2 - Stage 2 specification change</t>
  </si>
  <si>
    <t>INV 1032412493 + INV 1032412494 + INV 1032412492 + 1032412496</t>
  </si>
  <si>
    <t>17/12/2024+17/12/2024+17/12/2024 + 17/12/2024</t>
  </si>
  <si>
    <t>INV 8053402547</t>
  </si>
  <si>
    <t>replace IQVIA in performing IDMC support services - CD202 IDMC</t>
  </si>
  <si>
    <t>INV 24100464</t>
  </si>
  <si>
    <r>
      <t xml:space="preserve">24100205 &amp; 54SA - </t>
    </r>
    <r>
      <rPr>
        <b/>
        <sz val="11"/>
        <rFont val="Calibri"/>
        <family val="2"/>
        <scheme val="minor"/>
      </rPr>
      <t>P00606_2024</t>
    </r>
  </si>
  <si>
    <t>P00606_2024</t>
  </si>
  <si>
    <t>INV 24100466 + INV 24100479</t>
  </si>
  <si>
    <t>16/12/2024 + 20/12/2024</t>
  </si>
  <si>
    <t>INV 24100477</t>
  </si>
  <si>
    <t>INV 00010 24002902 RI</t>
  </si>
  <si>
    <t>INV 00010 24002951 RI</t>
  </si>
  <si>
    <t>INV 10000667 + INV 10000548</t>
  </si>
  <si>
    <t>18/12/2024 + 28/11/2024</t>
  </si>
  <si>
    <t>LAB59781_WO1</t>
  </si>
  <si>
    <t>DRUG SAFETY AND PHARMACOVIGILANCE PARTNERSHIP - Professional fees upon execution ATP</t>
  </si>
  <si>
    <t>DRUG SAFETY AND PHARMACOVIGILANCE - Professional fees upon execution WO1</t>
  </si>
  <si>
    <t>DRUG SAFETY AND PHARMACOVIGILANCE - PTC upon execution WO</t>
  </si>
  <si>
    <t xml:space="preserve">DRUG SAFETY AND PHARMACOVIGILANCE - Professional fees </t>
  </si>
  <si>
    <t>DRUG SAFETY AND PHARMACOVIGILANCE - PTC</t>
  </si>
  <si>
    <t>INV THV-304762</t>
  </si>
  <si>
    <t>INV SIN004100</t>
  </si>
  <si>
    <t>INV F24-2040</t>
  </si>
  <si>
    <t>INV F24-2046</t>
  </si>
  <si>
    <t>INV BIO-029000 + INV BIO-029500</t>
  </si>
  <si>
    <t>08/10/2024 + 27/12/2024</t>
  </si>
  <si>
    <t>INV BIO-029508</t>
  </si>
  <si>
    <t>INV FRA-005794</t>
  </si>
  <si>
    <t>INV FRA-005793</t>
  </si>
  <si>
    <t>INV FRA-005792</t>
  </si>
  <si>
    <t>INV F24-2048</t>
  </si>
  <si>
    <t>INV 12101115385</t>
  </si>
  <si>
    <t>INV 8554</t>
  </si>
  <si>
    <t>INV F020-SIN-0002928</t>
  </si>
  <si>
    <t>INV 0090012892 + INV 0090020629 + INV 0090034326 + INV 0090034325 + INV 0090042895 + INV 0090042896 + INV 0090052528 + INV 0090064130</t>
  </si>
  <si>
    <t>30/06/2024 + 31/07/2024 + 30/09/2024 + 30/09/2024 + 31/10/2024 + 31/10/2024 + 30/11/2024 + 31/12/2024</t>
  </si>
  <si>
    <t>INV F24000636 + INV F24000819 + INV F24000918 + INV F24001073 + INV F24001150 + INV F24001507</t>
  </si>
  <si>
    <t>30/05/2024 + 28/06/2024 + 29/07/2024 + 30/08/2024 + 30/09/2024 + 24/12/2024</t>
  </si>
  <si>
    <t>INV F24000635 + INV F24000818 + INV F24000917 + INV F24001072 + INV 24001149 + INV F24001387 INV F24001508</t>
  </si>
  <si>
    <t>30/05/2024 + 28/06/2024 + 29/07/2024 + 30/08/2024+30/09/2024+28/11/2024+24/12/2024</t>
  </si>
  <si>
    <t>INV FAC/L/23/0517 + INV F6022402-00046 + INV F6022412-00443</t>
  </si>
  <si>
    <t>01/01/2024 + 29/02/2024 + 31/12/2024</t>
  </si>
  <si>
    <t>INV 2024-KI-0120</t>
  </si>
  <si>
    <r>
      <t xml:space="preserve">DE-51793 - </t>
    </r>
    <r>
      <rPr>
        <b/>
        <sz val="11"/>
        <rFont val="Calibri"/>
        <family val="2"/>
        <scheme val="minor"/>
      </rPr>
      <t>P00004_2025</t>
    </r>
  </si>
  <si>
    <t>P00004_2025</t>
  </si>
  <si>
    <t>Consomable Labo</t>
  </si>
  <si>
    <r>
      <t xml:space="preserve">FR40180089013 - </t>
    </r>
    <r>
      <rPr>
        <b/>
        <sz val="11"/>
        <rFont val="Calibri"/>
        <family val="2"/>
        <scheme val="minor"/>
      </rPr>
      <t>P00009_2025</t>
    </r>
  </si>
  <si>
    <t>P00009_2025</t>
  </si>
  <si>
    <t>Consomable Labo - Achat 2024</t>
  </si>
  <si>
    <r>
      <t xml:space="preserve">11300193664 - </t>
    </r>
    <r>
      <rPr>
        <b/>
        <sz val="11"/>
        <rFont val="Calibri"/>
        <family val="2"/>
        <scheme val="minor"/>
      </rPr>
      <t>P00010_2025</t>
    </r>
  </si>
  <si>
    <t>P00010_2025</t>
  </si>
  <si>
    <t>Archived Material Studies 01/01/2025 au 31/12/2025</t>
  </si>
  <si>
    <r>
      <t xml:space="preserve">Q-292858 - </t>
    </r>
    <r>
      <rPr>
        <b/>
        <sz val="11"/>
        <rFont val="Calibri"/>
        <family val="2"/>
        <scheme val="minor"/>
      </rPr>
      <t>P00011_2025</t>
    </r>
  </si>
  <si>
    <t>P00011_2025</t>
  </si>
  <si>
    <t>P00012_2025</t>
  </si>
  <si>
    <t>AD903 - Metabolite identification in human plasma</t>
  </si>
  <si>
    <r>
      <t xml:space="preserve">SRV_24023 - </t>
    </r>
    <r>
      <rPr>
        <b/>
        <sz val="11"/>
        <rFont val="Calibri"/>
        <family val="2"/>
        <scheme val="minor"/>
      </rPr>
      <t>P00012_2025</t>
    </r>
  </si>
  <si>
    <r>
      <t xml:space="preserve">250113_091600_CDG_0800 - </t>
    </r>
    <r>
      <rPr>
        <b/>
        <sz val="11"/>
        <rFont val="Calibri"/>
        <family val="2"/>
        <scheme val="minor"/>
      </rPr>
      <t>P00016_2025</t>
    </r>
  </si>
  <si>
    <t>P00016_2025</t>
  </si>
  <si>
    <t>Transport ABX464 Aptuit</t>
  </si>
  <si>
    <r>
      <t xml:space="preserve">142/2024/ZEFI - </t>
    </r>
    <r>
      <rPr>
        <b/>
        <sz val="11"/>
        <rFont val="Calibri"/>
        <family val="2"/>
        <scheme val="minor"/>
      </rPr>
      <t>P00015_2025</t>
    </r>
  </si>
  <si>
    <t>P00015_2025</t>
  </si>
  <si>
    <t>Entretien cage - Bimestre 6 - Nov-Dec 2024</t>
  </si>
  <si>
    <t>ANA</t>
  </si>
  <si>
    <t>SAI MED PARTNERS</t>
  </si>
  <si>
    <r>
      <t xml:space="preserve">76800 - </t>
    </r>
    <r>
      <rPr>
        <b/>
        <sz val="11"/>
        <rFont val="Calibri"/>
        <family val="2"/>
        <scheme val="minor"/>
      </rPr>
      <t>P00002_2024</t>
    </r>
  </si>
  <si>
    <t>Cometitive Intelligence 2nd Monitoring 2025</t>
  </si>
  <si>
    <r>
      <t xml:space="preserve">DDR 2025 021 V1 - </t>
    </r>
    <r>
      <rPr>
        <b/>
        <sz val="11"/>
        <rFont val="Calibri"/>
        <family val="2"/>
        <scheme val="minor"/>
      </rPr>
      <t>P00029_2025</t>
    </r>
  </si>
  <si>
    <t>P00029_2025</t>
  </si>
  <si>
    <t>WP3 - Skin conditions for 3 drugs product</t>
  </si>
  <si>
    <t>WP1 +WP 2 - Solubility test + commun cost + Option 3</t>
  </si>
  <si>
    <r>
      <t xml:space="preserve">DDR 2024 028 V1 - </t>
    </r>
    <r>
      <rPr>
        <b/>
        <sz val="11"/>
        <rFont val="Calibri"/>
        <family val="2"/>
        <scheme val="minor"/>
      </rPr>
      <t>P00028_2025</t>
    </r>
  </si>
  <si>
    <t>P00028_2025</t>
  </si>
  <si>
    <t>Dissolution trials</t>
  </si>
  <si>
    <t>MERCK SIGMA</t>
  </si>
  <si>
    <t>P00025_2025</t>
  </si>
  <si>
    <r>
      <t xml:space="preserve">2021_02_23 - </t>
    </r>
    <r>
      <rPr>
        <b/>
        <sz val="11"/>
        <rFont val="Calibri"/>
        <family val="2"/>
        <scheme val="minor"/>
      </rPr>
      <t>P00023_2025</t>
    </r>
  </si>
  <si>
    <t>P00023_2025</t>
  </si>
  <si>
    <t>GDPR Trainings &amp; data Gov Strategy</t>
  </si>
  <si>
    <r>
      <t xml:space="preserve">2021_02_24 - </t>
    </r>
    <r>
      <rPr>
        <b/>
        <sz val="11"/>
        <rFont val="Calibri"/>
        <family val="2"/>
        <scheme val="minor"/>
      </rPr>
      <t>P00022_2025</t>
    </r>
  </si>
  <si>
    <t>P00022_2025</t>
  </si>
  <si>
    <t>CSV improvements &amp; VEEVA releases upgrade</t>
  </si>
  <si>
    <r>
      <t xml:space="preserve">WO91#2024 - </t>
    </r>
    <r>
      <rPr>
        <b/>
        <sz val="11"/>
        <rFont val="Calibri"/>
        <family val="2"/>
        <scheme val="minor"/>
      </rPr>
      <t>P00018_2025</t>
    </r>
  </si>
  <si>
    <t>P00018_2025</t>
  </si>
  <si>
    <r>
      <t xml:space="preserve">B 24 039 V1 - </t>
    </r>
    <r>
      <rPr>
        <b/>
        <sz val="11"/>
        <rFont val="Calibri"/>
        <family val="2"/>
        <scheme val="minor"/>
      </rPr>
      <t>P00019_2025</t>
    </r>
  </si>
  <si>
    <t>P00019_2025</t>
  </si>
  <si>
    <t>INSTRUMAT</t>
  </si>
  <si>
    <r>
      <t xml:space="preserve">D-20241100002 - </t>
    </r>
    <r>
      <rPr>
        <b/>
        <sz val="11"/>
        <rFont val="Calibri"/>
        <family val="2"/>
        <scheme val="minor"/>
      </rPr>
      <t>P00021_2025</t>
    </r>
  </si>
  <si>
    <t>P00021_2025</t>
  </si>
  <si>
    <t>Achat mini centrifugeuse D1008</t>
  </si>
  <si>
    <t>MD914 - Sample Analysis for quantification ABX464&amp;Nglu</t>
  </si>
  <si>
    <t>INV-3368 + INV-3420 + INV-3463</t>
  </si>
  <si>
    <t>31/07/2024 + 31/08/2024 + 30/09/2024 ( recu en 2025)</t>
  </si>
  <si>
    <t>INV FV25REC00196</t>
  </si>
  <si>
    <t>INV 3000222923</t>
  </si>
  <si>
    <t>INV OCFR-FTI-000373</t>
  </si>
  <si>
    <t>INV 8053409766</t>
  </si>
  <si>
    <t>INV 10000621</t>
  </si>
  <si>
    <t>LAB86059 - SRV_24093 + A1 + CO1</t>
  </si>
  <si>
    <t>MSA_23179_WO1 A1+A2+A3+A4+A5</t>
  </si>
  <si>
    <t>INV OCFR-FTI-000372</t>
  </si>
  <si>
    <t>INV OGPVTE240012 + INV OGPVTE240278 + INV OGPVTE250008</t>
  </si>
  <si>
    <t>24/01/2024 + 30/09/2024 + 20/01/2025</t>
  </si>
  <si>
    <t>INV THV - 305471</t>
  </si>
  <si>
    <t>INV FA233128 + INV FA233704 + INV FA233956 + INV FA235119 + INV FA235372 + INV FA236173 + INV FACLI000199 + INV FACLI-000127 + INV FACLI000358 + INV FACLI000409 + INV FACLI000722 + INV FACLI000825 + INV FACLI001092 + INV FACLI001308 + INV FACLI001558 + INV FACLI001663 + INV FACLI002004 + INV FACLI002375 + INV FACLI002414</t>
  </si>
  <si>
    <t>31/05/2023 + 30/06/2023 (recu 07/2023) + 31/07/2023 + 31/08/2023 + 30/09/2023 + 31/10/2023 + 29/12/2023 + 31/01/2024 + 29/02/2024 + 29/03/2024 + 30/04/2024 + 31/05/2024 + 28/06/2024 + 31/07/2024 + 30/08/2024 + 30/09/2024 + 31/10/2024 + 29/11/2024 + 31/12/2024</t>
  </si>
  <si>
    <t>INV 90171013 + INV 90174164</t>
  </si>
  <si>
    <t>30/10/2024 + 27/01/2025</t>
  </si>
  <si>
    <t>INV 10000820</t>
  </si>
  <si>
    <t>INV 0928/24 + INV 0038/25 + INV 0145/25 + INV 220/25 + INV 0247/25 + 0406/25</t>
  </si>
  <si>
    <t>27/06/2024 + 25/07/2024 + 30/09/2024+31/10/2024 + 19/11/2024 + 28/01/25</t>
  </si>
  <si>
    <t>INV GR00352652 + INV GR00358624 + INV GR00362279 + INV GR00365645 + INV GR00368838 + INV GR00372877 + INV GR00380683 + INV GR00383810 + INV GR00386894 + INV GR00396672 + INV 8360002135 + INV 8360003100 - INV 8360005898</t>
  </si>
  <si>
    <t>19/07/2021 + 09/09/2021 + 13/10/2021 + 09/11/2021 + 08/12/2021 + 14/01/2022 + 21/03/2022 + 19/04/2022 + 17/05/2022 + 22/08/2022 + 26/06/2023 + 29/09/2023 + 10/10/2024 (recu 2025)</t>
  </si>
  <si>
    <t>CHARLES RIVER HUNGARY</t>
  </si>
  <si>
    <t>INV 49905126</t>
  </si>
  <si>
    <t>INV 49905127</t>
  </si>
  <si>
    <t>INV 49905130</t>
  </si>
  <si>
    <t>INV F-20250100007</t>
  </si>
  <si>
    <t>INV 0313/25 + INV 0401/25 + INV 0449/25</t>
  </si>
  <si>
    <t>10/12/2024 + 15/01/2024 + 31/01/2025</t>
  </si>
  <si>
    <r>
      <t xml:space="preserve">140072831 - </t>
    </r>
    <r>
      <rPr>
        <b/>
        <sz val="11"/>
        <rFont val="Calibri"/>
        <family val="2"/>
        <scheme val="minor"/>
      </rPr>
      <t>P00030_2025</t>
    </r>
  </si>
  <si>
    <t>P00030_2025</t>
  </si>
  <si>
    <r>
      <t xml:space="preserve">7070154-00 - </t>
    </r>
    <r>
      <rPr>
        <b/>
        <sz val="11"/>
        <rFont val="Calibri"/>
        <family val="2"/>
        <scheme val="minor"/>
      </rPr>
      <t>P00031_2025</t>
    </r>
  </si>
  <si>
    <t>P00031_2025</t>
  </si>
  <si>
    <r>
      <t xml:space="preserve">1xJBG10125NC-ABIV - </t>
    </r>
    <r>
      <rPr>
        <b/>
        <sz val="11"/>
        <rFont val="Calibri"/>
        <family val="2"/>
        <scheme val="minor"/>
      </rPr>
      <t>P00032_2025</t>
    </r>
  </si>
  <si>
    <t>P00032_2025</t>
  </si>
  <si>
    <r>
      <t xml:space="preserve">250122FR01887879CB - </t>
    </r>
    <r>
      <rPr>
        <b/>
        <sz val="11"/>
        <rFont val="Calibri"/>
        <family val="2"/>
        <scheme val="minor"/>
      </rPr>
      <t>P00034_2025</t>
    </r>
  </si>
  <si>
    <t>P00034_2025</t>
  </si>
  <si>
    <r>
      <t xml:space="preserve">783085 - </t>
    </r>
    <r>
      <rPr>
        <b/>
        <sz val="11"/>
        <rFont val="Calibri"/>
        <family val="2"/>
        <scheme val="minor"/>
      </rPr>
      <t>P00035_2025</t>
    </r>
  </si>
  <si>
    <t>P00035_2025</t>
  </si>
  <si>
    <t>BECTON DICKINSON</t>
  </si>
  <si>
    <t>P00037_2025</t>
  </si>
  <si>
    <r>
      <t xml:space="preserve">web - </t>
    </r>
    <r>
      <rPr>
        <b/>
        <sz val="11"/>
        <rFont val="Calibri"/>
        <family val="2"/>
        <scheme val="minor"/>
      </rPr>
      <t>P00038_2025</t>
    </r>
  </si>
  <si>
    <t>P00038_2025</t>
  </si>
  <si>
    <t>SPUR environnement</t>
  </si>
  <si>
    <t>P00039_2025</t>
  </si>
  <si>
    <t>Destruction de produits LABO</t>
  </si>
  <si>
    <r>
      <t xml:space="preserve">DDR 2025 024 v1.0 - </t>
    </r>
    <r>
      <rPr>
        <b/>
        <sz val="11"/>
        <rFont val="Calibri"/>
        <family val="2"/>
        <scheme val="minor"/>
      </rPr>
      <t>P00040_2025</t>
    </r>
  </si>
  <si>
    <t>P00040_2025</t>
  </si>
  <si>
    <t>Comparaison Reims &amp; Lille results batch 50kg</t>
  </si>
  <si>
    <r>
      <t xml:space="preserve">L25_4230A - </t>
    </r>
    <r>
      <rPr>
        <b/>
        <sz val="11"/>
        <rFont val="Calibri"/>
        <family val="2"/>
        <scheme val="minor"/>
      </rPr>
      <t>P00042_2025</t>
    </r>
  </si>
  <si>
    <t>P00042_2025</t>
  </si>
  <si>
    <t>Commande de gélule Blanches Taille 1 B12</t>
  </si>
  <si>
    <r>
      <t xml:space="preserve">32028592 - </t>
    </r>
    <r>
      <rPr>
        <b/>
        <sz val="11"/>
        <rFont val="Calibri"/>
        <family val="2"/>
        <scheme val="minor"/>
      </rPr>
      <t>P00043_2025</t>
    </r>
  </si>
  <si>
    <t>P00043_2025</t>
  </si>
  <si>
    <t>Theoretical nitrosamine impurty</t>
  </si>
  <si>
    <r>
      <t xml:space="preserve">JLCO250102470 - </t>
    </r>
    <r>
      <rPr>
        <b/>
        <sz val="11"/>
        <rFont val="Calibri"/>
        <family val="2"/>
        <scheme val="minor"/>
      </rPr>
      <t>P00044_2025</t>
    </r>
  </si>
  <si>
    <t>P00044_2025</t>
  </si>
  <si>
    <r>
      <t xml:space="preserve">7070510-00 - </t>
    </r>
    <r>
      <rPr>
        <b/>
        <sz val="11"/>
        <rFont val="Calibri"/>
        <family val="2"/>
        <scheme val="minor"/>
      </rPr>
      <t>P00045_2025</t>
    </r>
  </si>
  <si>
    <t>P00045_2025</t>
  </si>
  <si>
    <r>
      <t xml:space="preserve">L24_4171A - </t>
    </r>
    <r>
      <rPr>
        <b/>
        <sz val="11"/>
        <rFont val="Calibri"/>
        <family val="2"/>
        <scheme val="minor"/>
      </rPr>
      <t>P00047_2025</t>
    </r>
  </si>
  <si>
    <t>P00047_2025</t>
  </si>
  <si>
    <t>Lots cliniques Q1 2025</t>
  </si>
  <si>
    <r>
      <t xml:space="preserve">1050509316 - </t>
    </r>
    <r>
      <rPr>
        <b/>
        <sz val="11"/>
        <rFont val="Calibri"/>
        <family val="2"/>
        <scheme val="minor"/>
      </rPr>
      <t>P00056_2025</t>
    </r>
  </si>
  <si>
    <t>P00056_2025</t>
  </si>
  <si>
    <t>Maintenance pipettes</t>
  </si>
  <si>
    <t>P00058_2025</t>
  </si>
  <si>
    <r>
      <t xml:space="preserve">25100020 SQ - </t>
    </r>
    <r>
      <rPr>
        <b/>
        <sz val="11"/>
        <rFont val="Calibri"/>
        <family val="2"/>
        <scheme val="minor"/>
      </rPr>
      <t>P00059_2025</t>
    </r>
  </si>
  <si>
    <t>P00059_2025</t>
  </si>
  <si>
    <t>Pediatric Program - API shipment to Quotient</t>
  </si>
  <si>
    <r>
      <t xml:space="preserve">D5728084 - </t>
    </r>
    <r>
      <rPr>
        <b/>
        <sz val="11"/>
        <rFont val="Calibri"/>
        <family val="2"/>
        <scheme val="minor"/>
      </rPr>
      <t>P00062_2025</t>
    </r>
  </si>
  <si>
    <t>P00062_2025</t>
  </si>
  <si>
    <t>CELLCARTA</t>
  </si>
  <si>
    <r>
      <t xml:space="preserve">DDR 2025 015 v1.0 - </t>
    </r>
    <r>
      <rPr>
        <b/>
        <sz val="11"/>
        <rFont val="Calibri"/>
        <family val="2"/>
        <scheme val="minor"/>
      </rPr>
      <t>P00065_2025</t>
    </r>
  </si>
  <si>
    <t>P00065_2025</t>
  </si>
  <si>
    <t>JetPharma API Technical batches Q1 2025</t>
  </si>
  <si>
    <r>
      <t xml:space="preserve">24100154 SQ - </t>
    </r>
    <r>
      <rPr>
        <b/>
        <sz val="11"/>
        <rFont val="Calibri"/>
        <family val="2"/>
        <scheme val="minor"/>
      </rPr>
      <t>P00066_2025</t>
    </r>
  </si>
  <si>
    <t>P00066_2025</t>
  </si>
  <si>
    <t>Storage fee 3 mois</t>
  </si>
  <si>
    <r>
      <t xml:space="preserve">WO85#2024 - </t>
    </r>
    <r>
      <rPr>
        <b/>
        <sz val="11"/>
        <rFont val="Calibri"/>
        <family val="2"/>
        <scheme val="minor"/>
      </rPr>
      <t>P00067_2025</t>
    </r>
  </si>
  <si>
    <t>P00067_2025</t>
  </si>
  <si>
    <t>Stability study ABX464 pharaon Intermediates</t>
  </si>
  <si>
    <t>Analysis &amp; Milling validation batches &amp; co</t>
  </si>
  <si>
    <r>
      <t xml:space="preserve">web - </t>
    </r>
    <r>
      <rPr>
        <b/>
        <sz val="11"/>
        <rFont val="Calibri"/>
        <family val="2"/>
        <scheme val="minor"/>
      </rPr>
      <t>P00070_2025</t>
    </r>
  </si>
  <si>
    <t>P00070_2025</t>
  </si>
  <si>
    <r>
      <t xml:space="preserve">LJCO250200271 - </t>
    </r>
    <r>
      <rPr>
        <b/>
        <sz val="11"/>
        <rFont val="Calibri"/>
        <family val="2"/>
        <scheme val="minor"/>
      </rPr>
      <t>P00072_2025</t>
    </r>
  </si>
  <si>
    <t>P00072_2025</t>
  </si>
  <si>
    <t>ORGAPHARM - AXYNTIS</t>
  </si>
  <si>
    <t>P00073_2025</t>
  </si>
  <si>
    <r>
      <t xml:space="preserve">ABIVAX_04022025 - </t>
    </r>
    <r>
      <rPr>
        <b/>
        <sz val="11"/>
        <rFont val="Calibri"/>
        <family val="2"/>
        <scheme val="minor"/>
      </rPr>
      <t>P00073_2025</t>
    </r>
  </si>
  <si>
    <t>Pediatric Program - API shipment to Quotient - Import taxes</t>
  </si>
  <si>
    <r>
      <t xml:space="preserve">email - </t>
    </r>
    <r>
      <rPr>
        <b/>
        <sz val="11"/>
        <rFont val="Calibri"/>
        <family val="2"/>
        <scheme val="minor"/>
      </rPr>
      <t>P00074_2025</t>
    </r>
    <r>
      <rPr>
        <sz val="11"/>
        <rFont val="Calibri"/>
        <family val="2"/>
        <scheme val="minor"/>
      </rPr>
      <t xml:space="preserve"> (lié P00059_2025)</t>
    </r>
  </si>
  <si>
    <t>P00074_2025 (lié P00059_2025)</t>
  </si>
  <si>
    <t>P00076_2025</t>
  </si>
  <si>
    <t>Nitroso ABX464 impurty study in DS&amp;DP - Synthesis of new batch</t>
  </si>
  <si>
    <t>Nitroso ABX464 impurty study in DS&amp;DP - Analytical Dev</t>
  </si>
  <si>
    <r>
      <t xml:space="preserve">WO91#2024 - </t>
    </r>
    <r>
      <rPr>
        <b/>
        <sz val="11"/>
        <rFont val="Calibri"/>
        <family val="2"/>
        <scheme val="minor"/>
      </rPr>
      <t>P00076_2025</t>
    </r>
  </si>
  <si>
    <t>INV 840200292</t>
  </si>
  <si>
    <t>INV 4063741</t>
  </si>
  <si>
    <t>INV 1032500495</t>
  </si>
  <si>
    <t>INV 940570000 + INV 940570044</t>
  </si>
  <si>
    <t>23/01/2025 + 24/01/2025</t>
  </si>
  <si>
    <t>INV EUSI317770</t>
  </si>
  <si>
    <t>INV 1300193664</t>
  </si>
  <si>
    <t>30/12/2024 (recu 2025)</t>
  </si>
  <si>
    <t>INV JLFC250103315</t>
  </si>
  <si>
    <t>INV 1032500604</t>
  </si>
  <si>
    <t>INV 006053648</t>
  </si>
  <si>
    <t>PJ20250154</t>
  </si>
  <si>
    <t>PJ20240972</t>
  </si>
  <si>
    <t>INV 25100021</t>
  </si>
  <si>
    <t>INV 25100034</t>
  </si>
  <si>
    <t>INV F24-2026 +INV F25-2079</t>
  </si>
  <si>
    <t>11/12/2024 + 13/02/2025</t>
  </si>
  <si>
    <t>Vue avec OUAHIBA 17/02/225</t>
  </si>
  <si>
    <t>INV 59001757 + INV 59001851 + INV 59001886 + INV 59001977 + INV 59900031+INV 59002033</t>
  </si>
  <si>
    <t>19/07/2024 + 30/09/2024 + 25/10/2024 + 20/12/2024 + 04/02/2025 + 04/02/2025</t>
  </si>
  <si>
    <t>INV 25100004 +INV 25100038</t>
  </si>
  <si>
    <t>14/01/2025 + 10/02/2025</t>
  </si>
  <si>
    <t>INV SIN001059 + INV SIN001292 +INV SIN004318+ INV SIN004382</t>
  </si>
  <si>
    <t>20/10/2023 + 26/02/2024 + 29/01/2025 + 07/02/2025</t>
  </si>
  <si>
    <t>INV OCFR-FTI-000401</t>
  </si>
  <si>
    <t>INV OCFR-FTI-000402</t>
  </si>
  <si>
    <t>INV 8053418658</t>
  </si>
  <si>
    <t>INV JLFC25021447</t>
  </si>
  <si>
    <t>INV 59002061</t>
  </si>
  <si>
    <t>INV 59001640 + INV 263892 + INV 590001887 + INV 59002056</t>
  </si>
  <si>
    <t>29/03/2024 + 30/09/2024 + 25/10/2024+19/02/2025</t>
  </si>
  <si>
    <t>INV 001025000410 RI</t>
  </si>
  <si>
    <t>INV 0163/25  +INV 0488/25</t>
  </si>
  <si>
    <t>15/10/2024+19/02/2025</t>
  </si>
  <si>
    <t>INV 9060148677</t>
  </si>
  <si>
    <t>P9812_02 - voir P00012_2025</t>
  </si>
  <si>
    <r>
      <t xml:space="preserve">Abbivax 01-22-25A - </t>
    </r>
    <r>
      <rPr>
        <b/>
        <sz val="11"/>
        <rFont val="Calibri"/>
        <family val="2"/>
        <scheme val="minor"/>
      </rPr>
      <t>P00060_2025</t>
    </r>
  </si>
  <si>
    <t>P00060_2025</t>
  </si>
  <si>
    <t>Specific surface test</t>
  </si>
  <si>
    <r>
      <t xml:space="preserve">25100040 SQ - </t>
    </r>
    <r>
      <rPr>
        <b/>
        <sz val="11"/>
        <rFont val="Calibri"/>
        <family val="2"/>
        <scheme val="minor"/>
      </rPr>
      <t>P00077_2025</t>
    </r>
  </si>
  <si>
    <t>P00077_2025</t>
  </si>
  <si>
    <t>Shipment</t>
  </si>
  <si>
    <r>
      <t xml:space="preserve">25100205 - </t>
    </r>
    <r>
      <rPr>
        <b/>
        <sz val="11"/>
        <rFont val="Calibri"/>
        <family val="2"/>
        <scheme val="minor"/>
      </rPr>
      <t>P00078_2025</t>
    </r>
  </si>
  <si>
    <t>P00078_2025</t>
  </si>
  <si>
    <t>800g Milling lab batch</t>
  </si>
  <si>
    <r>
      <t xml:space="preserve">WO93#2025 - </t>
    </r>
    <r>
      <rPr>
        <b/>
        <sz val="11"/>
        <rFont val="Calibri"/>
        <family val="2"/>
        <scheme val="minor"/>
      </rPr>
      <t>P00080_2025</t>
    </r>
  </si>
  <si>
    <t>P00080_2025</t>
  </si>
  <si>
    <r>
      <t xml:space="preserve">Q23000522079 - </t>
    </r>
    <r>
      <rPr>
        <b/>
        <sz val="11"/>
        <rFont val="Calibri"/>
        <family val="2"/>
        <scheme val="minor"/>
      </rPr>
      <t>P00084_2025</t>
    </r>
  </si>
  <si>
    <t>P00084_2025</t>
  </si>
  <si>
    <r>
      <t xml:space="preserve">DE-52272 - </t>
    </r>
    <r>
      <rPr>
        <b/>
        <sz val="11"/>
        <rFont val="Calibri"/>
        <family val="2"/>
        <scheme val="minor"/>
      </rPr>
      <t>P00087_2025</t>
    </r>
  </si>
  <si>
    <t>P00087_2025</t>
  </si>
  <si>
    <r>
      <t xml:space="preserve">B 24 039 V1 - </t>
    </r>
    <r>
      <rPr>
        <b/>
        <sz val="11"/>
        <rFont val="Calibri"/>
        <family val="2"/>
        <scheme val="minor"/>
      </rPr>
      <t>P00091_2025</t>
    </r>
  </si>
  <si>
    <t>P00091_2025</t>
  </si>
  <si>
    <r>
      <t xml:space="preserve">CQP-02310555 - </t>
    </r>
    <r>
      <rPr>
        <b/>
        <sz val="11"/>
        <rFont val="Calibri"/>
        <family val="2"/>
        <scheme val="minor"/>
      </rPr>
      <t>P00092_2025</t>
    </r>
  </si>
  <si>
    <t>P00092_2025</t>
  </si>
  <si>
    <r>
      <t xml:space="preserve">L25_4253B - </t>
    </r>
    <r>
      <rPr>
        <b/>
        <sz val="11"/>
        <rFont val="Calibri"/>
        <family val="2"/>
        <scheme val="minor"/>
      </rPr>
      <t>P00093_2025</t>
    </r>
  </si>
  <si>
    <t>P00093_2025</t>
  </si>
  <si>
    <t>Outillage conditionnement primaire</t>
  </si>
  <si>
    <r>
      <t xml:space="preserve">DDR 2025 0047 V1 - </t>
    </r>
    <r>
      <rPr>
        <b/>
        <sz val="11"/>
        <rFont val="Calibri"/>
        <family val="2"/>
        <scheme val="minor"/>
      </rPr>
      <t>P00095_2025</t>
    </r>
  </si>
  <si>
    <t>P00095_2025</t>
  </si>
  <si>
    <t>Assay method validation complement 50mg</t>
  </si>
  <si>
    <r>
      <t xml:space="preserve">DDR 2025 034 V2 - </t>
    </r>
    <r>
      <rPr>
        <b/>
        <sz val="11"/>
        <rFont val="Calibri"/>
        <family val="2"/>
        <scheme val="minor"/>
      </rPr>
      <t>P00096_2025</t>
    </r>
  </si>
  <si>
    <t>P00096_2025</t>
  </si>
  <si>
    <t>New dissolution validation 25&amp;50mg</t>
  </si>
  <si>
    <r>
      <t xml:space="preserve">Abivax 01-22-25B - </t>
    </r>
    <r>
      <rPr>
        <b/>
        <sz val="11"/>
        <rFont val="Calibri"/>
        <family val="2"/>
        <scheme val="minor"/>
      </rPr>
      <t>P00097_2025</t>
    </r>
  </si>
  <si>
    <t>P00097_2025</t>
  </si>
  <si>
    <t>Specific surface test - DOE</t>
  </si>
  <si>
    <t>INV S25-046281</t>
  </si>
  <si>
    <t>INV ABIV202414 + INV ABIV202501</t>
  </si>
  <si>
    <t>08/11/2024 + 06/02/2025</t>
  </si>
  <si>
    <t>INV ABIV202419</t>
  </si>
  <si>
    <t>INV ABIV202501</t>
  </si>
  <si>
    <t>Année 2026</t>
  </si>
  <si>
    <t>28/02/2025 - Fini ? Demander a Josianne</t>
  </si>
  <si>
    <t>INV FV25REC01279</t>
  </si>
  <si>
    <t>Doug / Caroline L</t>
  </si>
  <si>
    <t>FAC-24-214 + FAC-24-285 + FAC-25-041</t>
  </si>
  <si>
    <t>31/07/2024 + 30/09/2024 + 31/01/2025</t>
  </si>
  <si>
    <t>INV 0408/25 + INV0503/25</t>
  </si>
  <si>
    <t>28/01/2025+21/02/2025</t>
  </si>
  <si>
    <t>INV SI16000003119 + INV SI16000003186 + INV SI16000003214 + INV SI16000003230</t>
  </si>
  <si>
    <t>05/11/2024 + 17/12/2024 + 31/01/2025 + 18/02/2025</t>
  </si>
  <si>
    <t>INV 25000349CDE028IV</t>
  </si>
  <si>
    <t>INV PSI026798</t>
  </si>
  <si>
    <t>INV 25000436 RI</t>
  </si>
  <si>
    <t>INV SI_PHI2500121</t>
  </si>
  <si>
    <t>INV 250029528075200</t>
  </si>
  <si>
    <t>HEGP - PAREXEL</t>
  </si>
  <si>
    <t>INV RA2024116 + INV RA2024199 + INV RA2025026</t>
  </si>
  <si>
    <t>30/09/2024 + 19/12/2024 + 28/02/2025</t>
  </si>
  <si>
    <t>INV 2438574</t>
  </si>
  <si>
    <t>INV G2502217</t>
  </si>
  <si>
    <t>INV OCFR-FTI-000431</t>
  </si>
  <si>
    <t>INV 25100062</t>
  </si>
  <si>
    <t>INV PIN211891 +INV PCM9528+ INV PCM009583 + INV PIN217186 + INV PIN216900</t>
  </si>
  <si>
    <t>31/12/2024 +10/01/2025 + 17/01/2025 + 28/02/2025 + 28/02/2025</t>
  </si>
  <si>
    <t>ABX464 Dissolution test on API</t>
  </si>
  <si>
    <t>INV 10000822</t>
  </si>
  <si>
    <t>INV FRA-005964</t>
  </si>
  <si>
    <t>INV 00010 22001251 RI + INV 00010 23000950 RI + INV 00010 24001346 RI + INV 00010 25000449 RI</t>
  </si>
  <si>
    <t>15/04/2022 + 25/04/2023 + 05/06/2024 + 25/02/2025</t>
  </si>
  <si>
    <t>P00101_2025</t>
  </si>
  <si>
    <r>
      <t xml:space="preserve">WO92#2025 - </t>
    </r>
    <r>
      <rPr>
        <strike/>
        <sz val="11"/>
        <rFont val="Calibri"/>
        <family val="2"/>
        <scheme val="minor"/>
      </rPr>
      <t>P00068_2025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P00101_2025</t>
    </r>
  </si>
  <si>
    <t>PO00068 annulé et remplacé par PO00101</t>
  </si>
  <si>
    <r>
      <t xml:space="preserve">QSC302430_CO1 - </t>
    </r>
    <r>
      <rPr>
        <b/>
        <sz val="11"/>
        <rFont val="Calibri"/>
        <family val="2"/>
        <scheme val="minor"/>
      </rPr>
      <t>P00491_2024</t>
    </r>
  </si>
  <si>
    <t>INV SIN3585</t>
  </si>
  <si>
    <t>Formulation development ABX464 pediatric form signature SOW</t>
  </si>
  <si>
    <t>CO2 - Formulation development ABX464 pediatric form - Upon completion confirmation batches</t>
  </si>
  <si>
    <t>CO2 - Formulation development ABX464 pediatric form - Upon Regulatory approvals</t>
  </si>
  <si>
    <r>
      <t xml:space="preserve">QSC302430_CO2 - </t>
    </r>
    <r>
      <rPr>
        <b/>
        <sz val="11"/>
        <rFont val="Calibri"/>
        <family val="2"/>
        <scheme val="minor"/>
      </rPr>
      <t>P00099_2025</t>
    </r>
    <r>
      <rPr>
        <sz val="11"/>
        <rFont val="Calibri"/>
        <family val="2"/>
        <scheme val="minor"/>
      </rPr>
      <t xml:space="preserve"> suite du PO00491_2024</t>
    </r>
  </si>
  <si>
    <t>P00099_2025</t>
  </si>
  <si>
    <t>CO1 - Formulation development ABX464 pediatric form - Upon singnature CO1</t>
  </si>
  <si>
    <t>CO2 - Formulation development ABX464 pediatric form - Upon singnature CO2</t>
  </si>
  <si>
    <t>CO2 - Formulation development ABX464 pediatric form - Completion of CO2</t>
  </si>
  <si>
    <r>
      <t xml:space="preserve">250225FR01901506CB - </t>
    </r>
    <r>
      <rPr>
        <b/>
        <sz val="11"/>
        <rFont val="Calibri"/>
        <family val="2"/>
        <scheme val="minor"/>
      </rPr>
      <t>P00098_2025</t>
    </r>
  </si>
  <si>
    <t>P00098_2025</t>
  </si>
  <si>
    <t>JANVIERLABS</t>
  </si>
  <si>
    <r>
      <t xml:space="preserve">JLCO250300015 - </t>
    </r>
    <r>
      <rPr>
        <b/>
        <sz val="11"/>
        <rFont val="Calibri"/>
        <family val="2"/>
        <scheme val="minor"/>
      </rPr>
      <t>P00103_2025</t>
    </r>
  </si>
  <si>
    <t>P00103_2025</t>
  </si>
  <si>
    <r>
      <t xml:space="preserve">FR40180089013 - </t>
    </r>
    <r>
      <rPr>
        <b/>
        <sz val="11"/>
        <rFont val="Calibri"/>
        <family val="2"/>
        <scheme val="minor"/>
      </rPr>
      <t>P00105_2025</t>
    </r>
  </si>
  <si>
    <t>P00105_2025</t>
  </si>
  <si>
    <r>
      <t xml:space="preserve">Achats magasins - </t>
    </r>
    <r>
      <rPr>
        <b/>
        <sz val="11"/>
        <rFont val="Calibri"/>
        <family val="2"/>
        <scheme val="minor"/>
      </rPr>
      <t>P00111_2025</t>
    </r>
  </si>
  <si>
    <t>P00111_2025</t>
  </si>
  <si>
    <r>
      <t xml:space="preserve">Devis-IL060325-4 - </t>
    </r>
    <r>
      <rPr>
        <b/>
        <sz val="11"/>
        <rFont val="Calibri"/>
        <family val="2"/>
        <scheme val="minor"/>
      </rPr>
      <t>P00113_2025</t>
    </r>
  </si>
  <si>
    <t>P00113_2025</t>
  </si>
  <si>
    <r>
      <t xml:space="preserve">24RC2026 - </t>
    </r>
    <r>
      <rPr>
        <b/>
        <sz val="11"/>
        <rFont val="Calibri"/>
        <family val="2"/>
        <scheme val="minor"/>
      </rPr>
      <t>P00126_2025</t>
    </r>
  </si>
  <si>
    <t>P00126_2025</t>
  </si>
  <si>
    <t>Study archiving - 01/04/2025 au 01/04/2026</t>
  </si>
  <si>
    <r>
      <t xml:space="preserve">2021_02_26 - </t>
    </r>
    <r>
      <rPr>
        <b/>
        <sz val="11"/>
        <rFont val="Calibri"/>
        <family val="2"/>
        <scheme val="minor"/>
      </rPr>
      <t>P00106_2025</t>
    </r>
  </si>
  <si>
    <t>P00106_2025</t>
  </si>
  <si>
    <t>CSV Docusign</t>
  </si>
  <si>
    <r>
      <t xml:space="preserve">P2412021 - </t>
    </r>
    <r>
      <rPr>
        <b/>
        <sz val="11"/>
        <rFont val="Calibri"/>
        <family val="2"/>
        <scheme val="minor"/>
      </rPr>
      <t>P00124_2025</t>
    </r>
  </si>
  <si>
    <t>P00124_2025</t>
  </si>
  <si>
    <t>Synthèse de métabolites de ABX464</t>
  </si>
  <si>
    <r>
      <t xml:space="preserve">P2503051 - </t>
    </r>
    <r>
      <rPr>
        <b/>
        <sz val="11"/>
        <rFont val="Calibri"/>
        <family val="2"/>
        <scheme val="minor"/>
      </rPr>
      <t>P00123_2025</t>
    </r>
  </si>
  <si>
    <t>P00123_2025</t>
  </si>
  <si>
    <t>Retest of reference standrad</t>
  </si>
  <si>
    <r>
      <t xml:space="preserve">WO94#2025 - </t>
    </r>
    <r>
      <rPr>
        <b/>
        <sz val="11"/>
        <rFont val="Calibri"/>
        <family val="2"/>
        <scheme val="minor"/>
      </rPr>
      <t>P00119_2025</t>
    </r>
  </si>
  <si>
    <t>P00119_2025</t>
  </si>
  <si>
    <t>Stability study on batch J003 milled by jetpharma</t>
  </si>
  <si>
    <r>
      <t>WO91#2024 -</t>
    </r>
    <r>
      <rPr>
        <b/>
        <sz val="11"/>
        <rFont val="Calibri"/>
        <family val="2"/>
        <scheme val="minor"/>
      </rPr>
      <t xml:space="preserve"> P00112_2025</t>
    </r>
  </si>
  <si>
    <t>P00112_2025</t>
  </si>
  <si>
    <t>Nitroso ABX464 impurty study in DS&amp;DP</t>
  </si>
  <si>
    <r>
      <t xml:space="preserve">OCS/L/25/4165 - </t>
    </r>
    <r>
      <rPr>
        <b/>
        <sz val="11"/>
        <rFont val="Calibri"/>
        <family val="2"/>
        <scheme val="minor"/>
      </rPr>
      <t>P00114_2025</t>
    </r>
  </si>
  <si>
    <t>P00114_2025</t>
  </si>
  <si>
    <r>
      <t xml:space="preserve">OPP-379729 - CRL_32037185 - </t>
    </r>
    <r>
      <rPr>
        <b/>
        <sz val="11"/>
        <rFont val="Calibri"/>
        <family val="2"/>
        <scheme val="minor"/>
      </rPr>
      <t>P00121_2025</t>
    </r>
  </si>
  <si>
    <t>P00121_2025</t>
  </si>
  <si>
    <t>ICH M7 asessment using in silico tools</t>
  </si>
  <si>
    <r>
      <t xml:space="preserve">DDR 2025 034 V2 - </t>
    </r>
    <r>
      <rPr>
        <b/>
        <sz val="11"/>
        <rFont val="Calibri"/>
        <family val="2"/>
        <scheme val="minor"/>
      </rPr>
      <t>P00125_2025</t>
    </r>
  </si>
  <si>
    <t>P00125_2025</t>
  </si>
  <si>
    <t>New dissolution validation 25&amp;50mg - Option 2</t>
  </si>
  <si>
    <t>P00120_2025</t>
  </si>
  <si>
    <t>MP4 Filter Order materiel</t>
  </si>
  <si>
    <t>P00117_2025</t>
  </si>
  <si>
    <t>Sent of 600g ABX464 blend for Explosivity testing</t>
  </si>
  <si>
    <t>P00116_2025</t>
  </si>
  <si>
    <r>
      <t xml:space="preserve">CoS-7 - A-CRKA-335410-R3 CO n°7 - </t>
    </r>
    <r>
      <rPr>
        <b/>
        <sz val="11"/>
        <rFont val="Calibri"/>
        <family val="2"/>
        <scheme val="minor"/>
      </rPr>
      <t>P00115_2025</t>
    </r>
  </si>
  <si>
    <t>P00115_2025</t>
  </si>
  <si>
    <t>GMP production &amp; Validation ABX464</t>
  </si>
  <si>
    <t>P00104_2025</t>
  </si>
  <si>
    <t>ouahiba K / Sophie G</t>
  </si>
  <si>
    <r>
      <t xml:space="preserve">2021_02_28 - </t>
    </r>
    <r>
      <rPr>
        <b/>
        <sz val="11"/>
        <rFont val="Calibri"/>
        <family val="2"/>
        <scheme val="minor"/>
      </rPr>
      <t>P00109_2025</t>
    </r>
  </si>
  <si>
    <t>P00109_2025</t>
  </si>
  <si>
    <t>Audits Cerba Histalim, Cell Carta, Cell&amp;Co, Nordic Biosciences</t>
  </si>
  <si>
    <r>
      <t xml:space="preserve">QUO-004120 - </t>
    </r>
    <r>
      <rPr>
        <b/>
        <sz val="11"/>
        <rFont val="Calibri"/>
        <family val="2"/>
        <scheme val="minor"/>
      </rPr>
      <t>P00122_2025</t>
    </r>
  </si>
  <si>
    <t>P00122_2025</t>
  </si>
  <si>
    <t>Renouvellement licences VAULT - 30/04/2025 au 29/04/2026</t>
  </si>
  <si>
    <t>INV OCFR-FTI-000435</t>
  </si>
  <si>
    <t>INV OCFR-FTI-000436</t>
  </si>
  <si>
    <t>INV 90794961</t>
  </si>
  <si>
    <t>Entretien Cage Bimestre 1 - 2025</t>
  </si>
  <si>
    <t>INV 90795841</t>
  </si>
  <si>
    <t>INV 47046910 + INV 47047634</t>
  </si>
  <si>
    <t>21/01/2025 + 03/03/2025</t>
  </si>
  <si>
    <t>INV 24-0104 + INV 25-0001</t>
  </si>
  <si>
    <t>27/06/2024 + 07/01/2025</t>
  </si>
  <si>
    <t>INV 2006153 RI</t>
  </si>
  <si>
    <t>INV ABIV202505</t>
  </si>
  <si>
    <t>1.0 PROJECT START-UP - Project Start-Up</t>
  </si>
  <si>
    <t>3.1 ANALYTICAL SERVICES - 3.1 Cleaning Residuals Assay (Multiple Surfaces Development and Validation)</t>
  </si>
  <si>
    <t>3.11 ANALYTICAL SERVICES - 3.11 Product Dissolution Assay by HPLC (Method Evaluation and Method Transfer)</t>
  </si>
  <si>
    <t>out</t>
  </si>
  <si>
    <t>4.0 MICROBIOLOGY - SUB TOTAL (Number of Trials Assumed = 1 Trial)</t>
  </si>
  <si>
    <t>5.2 TECH. TRANSFER 2 BATCHES - First Batch Analytical Support #1 25mg CVHWS</t>
  </si>
  <si>
    <t>5.2 TECH. TRANSFER 2 BATCHES -  First Batch Analytical Support #2 50mg CTHZX</t>
  </si>
  <si>
    <t>5.2 TECH. TRANSFER 2 BATCHES - First Batch Manufacturing #1 25mg CVHWS</t>
  </si>
  <si>
    <t>5.2 TECH. TRANSFER 2 BATCHES - First Batch Manufacturing #1 50mg CTHZX</t>
  </si>
  <si>
    <t>5.2 TECH. TRANSFER 2 BATCHES -  Manufacturing Report</t>
  </si>
  <si>
    <t>3.10 ANALYTICAL SERVICES - 3.10 Drug Substance Microbial Limit Testing (Method Transfer)</t>
  </si>
  <si>
    <t>3.12 ANALYTICAL SERVICES - 3.12 Product ID/BU/CU/Potency and Related Substances Assay (Method Evaluation and Method Transfer)</t>
  </si>
  <si>
    <t>3.13 ANALYTICAL SERVICES - 3.13 Karl Fischer (USP Method Verification)</t>
  </si>
  <si>
    <t>3.14 ANALYTICAL SERVICES - 3.14 Discriminating Dissolution Method</t>
  </si>
  <si>
    <t>3.15 ANALYTICAL SERVICES - 3.15 Drug Substance Release Testing (per Lot)</t>
  </si>
  <si>
    <t>3.2 ANALYTICAL SERVICES - 3.2 Drug Substance Identification by IR (Method Transfer)</t>
  </si>
  <si>
    <t>3.4 ANALYTICAL SERVICES - 3.4 Drug Substance Residual Solvent Assay by GC - Method 1 (Method Transfer)</t>
  </si>
  <si>
    <t>3.5 ANALYTICAL SERVICES - 3.5 Drug Substance Residual Solvent Assay by GC - Method 2 (Method Transfer)</t>
  </si>
  <si>
    <t>3.6 ANALYTICAL SERVICES - 3.6 Drug Substance Particle Size Distribution (Method Transfer)</t>
  </si>
  <si>
    <t>3.7 ANALYTICAL SERVICES - 3.7 Drug Substance Moisture Content by KF (Method Transfer)</t>
  </si>
  <si>
    <t>3.8 ANALYTICAL SERVICES -</t>
  </si>
  <si>
    <t>3.9 ANALYTICAL SERVICES -</t>
  </si>
  <si>
    <t>3.16 ANALYTICAL SERVICES -</t>
  </si>
  <si>
    <t>3.17 ANALYTICAL SERVICES - 3.17 Specification Generation (Assumed 3 Specifications)</t>
  </si>
  <si>
    <t>7.1 DESIGN EXPERIMENT (DoE) - Protocol preparation - Designe of Experiment</t>
  </si>
  <si>
    <t>7.2 DESIGN EXPERIMENT (DoE) - Protocol preparation - Confirmation 2 Batches GMP</t>
  </si>
  <si>
    <t>8.0 FEASIBILITY SCALE-UP BATCHES - Analytical Support CTPFK CTPFD</t>
  </si>
  <si>
    <t>8.0 FEASIBILITY SCALE-UP BATCHES - Back to Back Batch Analytical Support</t>
  </si>
  <si>
    <t>8.0 FEASIBILITY SCALE-UP BATCHES - Back to Back Batch Manufacturing CTPFD</t>
  </si>
  <si>
    <t>8.0 FEASIBILITY SCALE-UP BATCHES - Back to Back Batch Stability Packaging</t>
  </si>
  <si>
    <t>8.0 FEASIBILITY SCALE-UP BATCHES - First Batch Manufacturing CTPFK</t>
  </si>
  <si>
    <t>8.0 FEASIBILITY SCALE-UP BATCHES - First Batch Stability Packaging</t>
  </si>
  <si>
    <t>8.0 FEASIBILITY SCALE-UP BATCHES - Manufacturing Report</t>
  </si>
  <si>
    <t>9.0 STABILITY - FEASIBILITY SCALE-UP BATCHES - Protocol Generation</t>
  </si>
  <si>
    <t>9.0 STABILITY - FEASIBILITY SCALE-UP BATCHES - Summary Report Generation</t>
  </si>
  <si>
    <t>9.0 STABILITY - FEASIBILITY SCALE-UP BATCHES - T = 1 Months (40C / 75% RH) (30C / 75% RH) (25C / 60% RH)</t>
  </si>
  <si>
    <t>9.0 STABILITY - FEASIBILITY SCALE-UP BATCHES - T = 12 Months (30C / 75% RH) (25C / 60% RH)</t>
  </si>
  <si>
    <t>9.0 STABILITY - FEASIBILITY SCALE-UP BATCHES - T = 2 Months (40C / 75% RH) (30C / 75% RH) (25C / 60% RH)</t>
  </si>
  <si>
    <t>9.0 STABILITY - FEASIBILITY SCALE-UP BATCHES - T = 3 Months (40C / 75% RH) (30C / 75% RH) (25C / 60% RH)</t>
  </si>
  <si>
    <t>9.0 STABILITY - FEASIBILITY SCALE-UP BATCHES - T = 6 Months (30C / 75% RH) (25C / 60% RH)</t>
  </si>
  <si>
    <t>9.0 STABILITY - FEASIBILITY SCALE-UP BATCHES - T = 9 Months (30C / 75% RH) (25C / 60% RH)</t>
  </si>
  <si>
    <t>10.0 REGISTRATION MANUFACTURING - Back to Back Batch - Manuf</t>
  </si>
  <si>
    <t>10.0 REGISTRATION MANUFACTURING - Protocol - 1st batch manuf</t>
  </si>
  <si>
    <t>10.0 REGISTRATION MANUFACTURING - Protocol - 1st batch - manuf</t>
  </si>
  <si>
    <t>10.0 REGISTRATION MANUFACTURING - Protocol - 1st batch - Stab pack</t>
  </si>
  <si>
    <t>10.0 REGISTRATION MANUFACTURING - Protocol - 1st batch - Ana Support</t>
  </si>
  <si>
    <t>10.0 REGISTRATION MANUFACTURING - Back to Back Batch - Stab</t>
  </si>
  <si>
    <t>10.0 REGISTRATION MANUFACTURING - Back to Back Batch - Ana Support</t>
  </si>
  <si>
    <t>10.0 REGISTRATION MANUFACTURING - Back to Back Batch - Manuf - for more 4 batches</t>
  </si>
  <si>
    <t>10.0 REGISTRATION MANUFACTURING - Manuf report</t>
  </si>
  <si>
    <t>10.0 REGISTRATION MANUFACTURING - DISCOUNT</t>
  </si>
  <si>
    <t>11.0 STANILITY REGISTRATION BATCHES - Proto gen</t>
  </si>
  <si>
    <t>11.0 STANILITY REGISTRATION BATCHES - T1</t>
  </si>
  <si>
    <t>11.0 STANILITY REGISTRATION BATCHES - T2</t>
  </si>
  <si>
    <t>11.0 STANILITY REGISTRATION BATCHES - T3</t>
  </si>
  <si>
    <t>11.0 STANILITY REGISTRATION BATCHES - T6</t>
  </si>
  <si>
    <t>11.0 STANILITY REGISTRATION BATCHES - T9</t>
  </si>
  <si>
    <t>11.0 STANILITY REGISTRATION BATCHES - T12</t>
  </si>
  <si>
    <t>11.0 STANILITY REGISTRATION BATCHES - T18</t>
  </si>
  <si>
    <t>11.0 STANILITY REGISTRATION BATCHES - T24</t>
  </si>
  <si>
    <t>11.0 STANILITY REGISTRATION BATCHES - T36</t>
  </si>
  <si>
    <t>11.0 STANILITY REGISTRATION BATCHES - T48</t>
  </si>
  <si>
    <t>11.0 STANILITY REGISTRATION BATCHES - T60</t>
  </si>
  <si>
    <t>11.0 STANILITY REGISTRATION BATCHES - Summary report Gen</t>
  </si>
  <si>
    <t>P00127_2024</t>
  </si>
  <si>
    <t>12.1 Analytical Services - 12.1Phase III Samples tested using Stationary Basket</t>
  </si>
  <si>
    <t>12.2 Analytical Services - 12.2Method Investigation</t>
  </si>
  <si>
    <t>12.3 Analytical Services - 12.3Particle Size Distribution - 4 samples</t>
  </si>
  <si>
    <t>12.4 Analytical Services - 12.4Repeat CU Analysis on Manually Filled Capsules</t>
  </si>
  <si>
    <t>12.5 Analytical Services - 12.5Automatically Filled Capsule Analysis using 1 Method</t>
  </si>
  <si>
    <t>P00557_2024</t>
  </si>
  <si>
    <t>13.0 FORMULATION DEVELOPMENT - 13.1Tech. Transfer Batches - 3 batches Analytical Support ABIC25MG0101, ABI1C25MG0201, CTHZZ</t>
  </si>
  <si>
    <t>13.0 FORMULATION DEVELOPMENT - 13.1Tech. Transfer Batches - 3 batches Manufacturing ABIC25MG0101, ABI1C25MG0201, CTHZZ</t>
  </si>
  <si>
    <t>13.0 FORMULATION DEVELOPMENT - 13.1Tech. Transfer Batches - 3 batches Protocol Preparation</t>
  </si>
  <si>
    <t>14.0 ANALYTICAL SERVICES - Analytical Testing - Adjusted Fill Weight Capsules (Batch CTHZX)</t>
  </si>
  <si>
    <t>14.0 ANALYTICAL SERVICES - Analytical Testing - Adjusted Fill Weight Capsules (Batch CVHWS)</t>
  </si>
  <si>
    <t>14.0 ANALYTICAL SERVICES - Analytical Testing - Adjusted Fill Weight Capsules (Batch CVKNF)</t>
  </si>
  <si>
    <t>14.0 ANALYTICAL SERVICES - Analytical Testing - Adjusted Fill Weight Capsules (Batch CVYVG)</t>
  </si>
  <si>
    <t>15.0 GMP Tech-Transfer B2B Campaign - Back to Back Batch Analytical Support CVKNF 50mg</t>
  </si>
  <si>
    <t>15.0 GMP Tech-Transfer B2B Campaign - Back to Back Batch Manufacturing CVKNF 50mg</t>
  </si>
  <si>
    <t>15.0 GMP Tech-Transfer B2B Campaign - Back to Back Batch Packaging CVKNF 50mg</t>
  </si>
  <si>
    <t>15.0 GMP Tech-Transfer B2B Campaign - First Batch Analytical Support CVYVG 25mg</t>
  </si>
  <si>
    <t>15.0 GMP Tech-Transfer B2B Campaign - First Batch Manufacturing CVYVG 25mg</t>
  </si>
  <si>
    <t>15.0 GMP Tech-Transfer B2B Campaign - First Batch Packaging CVYVG 25mg</t>
  </si>
  <si>
    <t>16.0 STABILITY - FEASIBILITY - Protocol Generation</t>
  </si>
  <si>
    <t>16.0 STABILITY - FEASIBILITY - Summary Report Generation</t>
  </si>
  <si>
    <t>16.0 STABILITY - FEASIBILITY - T = 1 Months (40C / 75% RH) (30C / 75% RH) (25C / 60% RH)</t>
  </si>
  <si>
    <t>16.0 STABILITY - FEASIBILITY - T = 12 Months (30C / 75% RH) (25C / 60% RH)</t>
  </si>
  <si>
    <t>16.0 STABILITY - FEASIBILITY - T = 18 Months (30C / 75% RH) (25C / 60% RH)</t>
  </si>
  <si>
    <t>16.0 STABILITY - FEASIBILITY - T = 2 Months (40C / 75% RH) (30C / 75% RH) (25C / 60% RH)</t>
  </si>
  <si>
    <t>16.0 STABILITY - FEASIBILITY - T = 24 Months (30C / 75% RH) (25C / 60% RH)</t>
  </si>
  <si>
    <t>16.0 STABILITY - FEASIBILITY - T = 3 Months (40C / 75% RH) (30C / 75% RH) (25C / 60% RH)</t>
  </si>
  <si>
    <t>16.0 STABILITY - FEASIBILITY - T = 36 Months</t>
  </si>
  <si>
    <t>16.0 STABILITY - FEASIBILITY - T = 48 Months</t>
  </si>
  <si>
    <t>16.0 STABILITY - FEASIBILITY - T = 6 Months (30C / 75% RH) (25C / 60% RH)</t>
  </si>
  <si>
    <t>16.0 STABILITY - FEASIBILITY - T = 9 Months (30C / 75% RH) (25C / 60% RH)</t>
  </si>
  <si>
    <t>17.0 ANALYTICAL SERVICES - Drug Substance 2-nitrochlorobenzene MT</t>
  </si>
  <si>
    <t>17.0 ANALYTICAL SERVICES - Drug Substance assay by HPLC MT</t>
  </si>
  <si>
    <t>17.0 ANALYTICAL SERVICES - Drug substance Assay ME</t>
  </si>
  <si>
    <t>17.0 ANALYTICAL SERVICES - Drug Substance Impurity by HPLC MT</t>
  </si>
  <si>
    <t>17.0 ANALYTICAL SERVICES - Drug Substance Impurity ME</t>
  </si>
  <si>
    <t>P00127_2024 + P00116_2025</t>
  </si>
  <si>
    <t>INV 90173588</t>
  </si>
  <si>
    <t>INV 90162447</t>
  </si>
  <si>
    <t>INV 90164380</t>
  </si>
  <si>
    <t>INV 90166729</t>
  </si>
  <si>
    <t>INV 90172805</t>
  </si>
  <si>
    <t>INV 90174505</t>
  </si>
  <si>
    <t>INV 90174506</t>
  </si>
  <si>
    <t>INV 90174507</t>
  </si>
  <si>
    <t>INV 90175017</t>
  </si>
  <si>
    <t>INV 90175619</t>
  </si>
  <si>
    <t>INV 90175702</t>
  </si>
  <si>
    <r>
      <t xml:space="preserve">5.1 TECH. TRANSFER 4 BATCHES - </t>
    </r>
    <r>
      <rPr>
        <sz val="11"/>
        <color rgb="FFFF0000"/>
        <rFont val="Calibri"/>
        <family val="2"/>
        <scheme val="minor"/>
      </rPr>
      <t>ANNULE via CoS 02</t>
    </r>
  </si>
  <si>
    <r>
      <t xml:space="preserve">3.3 ANALYTICAL SERVICES - 3.3 Drug Substance Potency and related substance assay by HPLC (method Transfer) - </t>
    </r>
    <r>
      <rPr>
        <sz val="11"/>
        <color rgb="FFFF0000"/>
        <rFont val="Calibri"/>
        <family val="2"/>
        <scheme val="minor"/>
      </rPr>
      <t>ANNULE Via CoS 04</t>
    </r>
  </si>
  <si>
    <t>P-TRP-333562-R7 - TORO-ABX464 IR Capsules 25mg et 50mg Manuf</t>
  </si>
  <si>
    <t>P-TRP-333562-R7 - TORO-ABX464 IR Capsules 25mg et 50mg Manuf - CoS 02</t>
  </si>
  <si>
    <t>P-TRP-333562-R7 - TORO-ABX464 IR Capsules 25mg et 50mg Manuf - CoS 03</t>
  </si>
  <si>
    <t>P-TRP-333562-R7 - TORO-ABX464 IR Capsules 25mg et 50mg Manuf - CoS 04</t>
  </si>
  <si>
    <t>P-TRP-333562-R7 - TORO-ABX464 IR Capsules 25mg et 50mg Manuf + P-TRP-333562-R7 - CoS 04</t>
  </si>
  <si>
    <t>P-TRP-333562-R7 - TORO-ABX464 IR Capsules 25mg et 50mg Manuf + P-TRP-333562-R7 - CoS 02</t>
  </si>
  <si>
    <t>INV 90176049</t>
  </si>
  <si>
    <t>INV 90176050</t>
  </si>
  <si>
    <r>
      <t xml:space="preserve">P-TRP-333562-R7 - Achat MP - </t>
    </r>
    <r>
      <rPr>
        <b/>
        <sz val="11"/>
        <rFont val="Calibri"/>
        <family val="2"/>
        <scheme val="minor"/>
      </rPr>
      <t>P00120_2025</t>
    </r>
  </si>
  <si>
    <r>
      <t xml:space="preserve">P-TRP-333562-R7 - Achat MP - </t>
    </r>
    <r>
      <rPr>
        <b/>
        <sz val="11"/>
        <rFont val="Calibri"/>
        <family val="2"/>
        <scheme val="minor"/>
      </rPr>
      <t>P00242_2024</t>
    </r>
  </si>
  <si>
    <t>Annulé via CoS 02</t>
  </si>
  <si>
    <t>Annulé via CoS 04</t>
  </si>
  <si>
    <t>INV JLFC250301526</t>
  </si>
  <si>
    <t>INV FV25REC02182</t>
  </si>
  <si>
    <t>INV 25100023 + INV 25100060 + INV 25100103</t>
  </si>
  <si>
    <t>31/01/2025 + 27/02/2025+24/03/2025</t>
  </si>
  <si>
    <t>INV F25-2108 + INVF25-2107</t>
  </si>
  <si>
    <t>21/03/2025+20/03/2025</t>
  </si>
  <si>
    <t>INV F25-2106</t>
  </si>
  <si>
    <t>INV 176</t>
  </si>
  <si>
    <t>INV 90176425</t>
  </si>
  <si>
    <t>INV 90176201</t>
  </si>
  <si>
    <t>INV 90176202</t>
  </si>
  <si>
    <t>INV FACLI001314 + INV FACLI001588 + INV FACLI001808 + INV FACLI002001 + INV FACLI002243 + INV FACLI002417 + INV FACLI000081 + INV FACLI000219</t>
  </si>
  <si>
    <t>31/07/2024 + 30/08/2024 + 30/09/2024 + 31/10/2024 + 29/11/2024 + 31/12/2024 + 31/01/2025 + 28/02/2025</t>
  </si>
  <si>
    <t>INV FA233707 + INV FA23955 + INV FA235117 + INV FA235370 + INV FA236171 + INV FACLI000198 + INV FACLI000126 + INV FACLI000356 + INV FACLI000400 + INV FACLI000717 + INV FACLI000823 + INV FACLI001091 + INV FACLI001307 + INV FACLI001556 + INV FACLI001664 + INV FACLI002003 +INV FACLI002374 + INV FACLI002416 + INV FACLI000079 + INV FACLI000218</t>
  </si>
  <si>
    <t>30/06/2023 (recu 07/2023) + 31/07/2023 + 31/08/2023 + 30/09/2023 + 30/10/2023 + 29/12/2023 + 31/01/2024 + 29/02/2024 + 29/03/2024 + 30/04/2024 + 31/05/2024 + 28/06/2024 + 31/07/2024 + 30/08/2024 + 30/09/2024 + 31/10/2024 + 29/11/2024 + 31/12/2024 + 31/01/2025 + 28/02/2025</t>
  </si>
  <si>
    <t>INV FA220561 + INV FA221285 + INV FA224429 + INV FA224425 + INV FA224877 + INV FA225485 + INV FA225837 + INV FA226380 + FA230424 + INV FA230301 + INV FA231100 + INV FA231096 + INV FA231250 + INV FA231274 + INV FA231275 + INV FA232489 + INV FA232131 + INV FA233089 + INV FA233611 + INV FA234422 + INV FA234412 + INV FA234410 + INV FA235166 + INV FA235164 + INV FA235385 + INV FA235444 + INV FA235445 + INV FA236291 + INV FA236240 + INV FACLI000222 + INV FACLI000162 - AVCLI000023 - AVCLI000057 + INV FACLI000383 + INV FACLI000389 + INV FACLI000393 + INV FACLI000414 + INV FACLI000783 + INV FACLI000760 + INV FACLI000794 + INV FACLI000931 + INV FACLI000942 + INV FACLI000940 + INV FACLI000433 + INV FACLI001160 + INV FACLI001143 + INV FACLI001405 + INV FACLI001404 + INV FACLI001403 + INV FACLI001401 + INV FACLI001636 + INV FACLI002166 + INV FACLI002083 + INV FACLI002346 + INV FACLI002350 + INV FACLI002351 + INV FACLI002583 - AVCLI000015 + INV FACLI000157 + INV FACLI000193 + INV FACLI000194 + INV FACLI000400 + INV FACLI000210 + INV FACLI000209</t>
  </si>
  <si>
    <t>28/02/2022 + 31/02/2022 + 31/08/2022 + 31/08/2022 + 30/09/2022 + 31/10/2022 + 01/12/2022 + 30/12/2022 + 31/01/2023 - 31/01/2023 + 28/02/2023 + 28/02/2023 + 28/02/2023 + 31/03/2023 + 31/03/2023 + 28/04/2023 + 28/04/2023 + 31/05/2023 + 30/06/2023 (recu 07/2023) + 31/07/2023 + 31/07/2023 + 31/07/2023 + 31/08/2023 + 31/08/2023 + 30/09/2023 + 30/09/2023 + 30/09/2023 + 31/10/2023 + 31/10/2023 + 29/12/2023 + 31/01/2024 + 31/01/2024 + 29/02/2024 + 29/02/2024 + 29/02/2024 + 29/02/2024 + 29/03/2024 + 30/04/2024 + 30/04/2024 + 30/04/2024 + 31/05/2024 + 31/05/2024 + 31/05/2024 + 29/03/2024 (recu en 07/2024) + 28/06/2024 + 28/06/2024 + 31/07/2024 + 31/07/2024 + 31/07/2024 + 31/07/2024 + 30/08/2024 + 31/10/2024 + 31/10/2024 + 29/11/2024 + 29/11/2024 + 29/11/2024 + 31/12/2024 + 31/11/2025 + 31/01/2025 + 31/01/2025 + 31/01/2025 + 03/03/2025 + 28/02/2025 + 28/02/2025</t>
  </si>
  <si>
    <t>FG veux du NOTAPP</t>
  </si>
  <si>
    <t>INV 24100340 +INV  24100368 + INV 24100388 + INV 24100401 + INV 25100104 + INV 25100116</t>
  </si>
  <si>
    <t>26/09/2024 + 15/10/2024 + 31/10/20240+08/11/2024+24/03/2025 + 28/03/2025</t>
  </si>
  <si>
    <t>289377 - MSA_25001</t>
  </si>
  <si>
    <t>MD914 - Phase 1 in healthy participants - Upon signature LOI (9%) - allready invoice in LOI</t>
  </si>
  <si>
    <t>MD914 - Phase 1 in healthy participants - Upon signature (11%)</t>
  </si>
  <si>
    <t>MD914 - Phase 1 in healthy participants - First Subject Screened (20%)</t>
  </si>
  <si>
    <t>MD914 - Phase 1 in healthy participants - First Subject Dosed (15%)</t>
  </si>
  <si>
    <t>MD914 - Phase 1 in healthy participants - Upon 50% Subject completed (15%)</t>
  </si>
  <si>
    <t>MD914 - Phase 1 in healthy participants - Upon completion of clinical part ( 10%)</t>
  </si>
  <si>
    <t>MD914 - Phase 1 in healthy participants - Upon database locked &amp; final Statistics (10%)</t>
  </si>
  <si>
    <t>MD914 - Phase 1 in healthy participants - Upond delivery of draft report (10%)</t>
  </si>
  <si>
    <t>MD914 - Phase 1 in healthy participants - PTC</t>
  </si>
  <si>
    <t>Allready invoice via LOI</t>
  </si>
  <si>
    <t>Pas de PO</t>
  </si>
  <si>
    <r>
      <t xml:space="preserve">P-TRP-333562-R7 - Achat MP - </t>
    </r>
    <r>
      <rPr>
        <b/>
        <sz val="11"/>
        <rFont val="Calibri"/>
        <family val="2"/>
        <scheme val="minor"/>
      </rPr>
      <t>P00137_2025</t>
    </r>
  </si>
  <si>
    <t>P00137_2025</t>
  </si>
  <si>
    <t>Outsourcing method XRPD &amp; DSC</t>
  </si>
  <si>
    <r>
      <t xml:space="preserve">OPP-254665 - CRL-403505 - </t>
    </r>
    <r>
      <rPr>
        <b/>
        <sz val="11"/>
        <rFont val="Calibri"/>
        <family val="2"/>
        <scheme val="minor"/>
      </rPr>
      <t>P00142_2025</t>
    </r>
  </si>
  <si>
    <t>P00142_2025</t>
  </si>
  <si>
    <t>Sampling</t>
  </si>
  <si>
    <t>Shipments</t>
  </si>
  <si>
    <t>Morphology Analysis</t>
  </si>
  <si>
    <r>
      <t xml:space="preserve">25100091 - </t>
    </r>
    <r>
      <rPr>
        <b/>
        <sz val="11"/>
        <rFont val="Calibri"/>
        <family val="2"/>
        <scheme val="minor"/>
      </rPr>
      <t>P00140_2025</t>
    </r>
  </si>
  <si>
    <t>P00140_2025</t>
  </si>
  <si>
    <r>
      <t xml:space="preserve">25100089 - </t>
    </r>
    <r>
      <rPr>
        <b/>
        <sz val="11"/>
        <rFont val="Calibri"/>
        <family val="2"/>
        <scheme val="minor"/>
      </rPr>
      <t>P00141_2025</t>
    </r>
  </si>
  <si>
    <t>P00141_2025</t>
  </si>
  <si>
    <r>
      <t xml:space="preserve">54 SA - </t>
    </r>
    <r>
      <rPr>
        <b/>
        <sz val="11"/>
        <rFont val="Calibri"/>
        <family val="2"/>
        <scheme val="minor"/>
      </rPr>
      <t>P00147_2025</t>
    </r>
  </si>
  <si>
    <t>P00147_2025</t>
  </si>
  <si>
    <r>
      <t xml:space="preserve">CBA/2503311/1 - </t>
    </r>
    <r>
      <rPr>
        <b/>
        <sz val="11"/>
        <rFont val="Calibri"/>
        <family val="2"/>
        <scheme val="minor"/>
      </rPr>
      <t>P00128_2025</t>
    </r>
  </si>
  <si>
    <t>P00128_2025</t>
  </si>
  <si>
    <t>Additional dissolution profiles</t>
  </si>
  <si>
    <r>
      <t xml:space="preserve">JLCO250303118 - </t>
    </r>
    <r>
      <rPr>
        <b/>
        <sz val="11"/>
        <rFont val="Calibri"/>
        <family val="2"/>
        <scheme val="minor"/>
      </rPr>
      <t>P00148_2025</t>
    </r>
  </si>
  <si>
    <t>P00148_2025</t>
  </si>
  <si>
    <r>
      <t xml:space="preserve">JLCO250303117 - </t>
    </r>
    <r>
      <rPr>
        <b/>
        <sz val="11"/>
        <rFont val="Calibri"/>
        <family val="2"/>
        <scheme val="minor"/>
      </rPr>
      <t>P00149_2025</t>
    </r>
  </si>
  <si>
    <t>P00149_2025</t>
  </si>
  <si>
    <r>
      <t xml:space="preserve">JLCO250303120 - </t>
    </r>
    <r>
      <rPr>
        <b/>
        <sz val="11"/>
        <rFont val="Calibri"/>
        <family val="2"/>
        <scheme val="minor"/>
      </rPr>
      <t>P00150_2025</t>
    </r>
  </si>
  <si>
    <t>P00150_2025</t>
  </si>
  <si>
    <t>Thanh-Huong</t>
  </si>
  <si>
    <t>P00146_2025</t>
  </si>
  <si>
    <t>Amdt 2 -  Formulation development ABX464 pediatric form - Signature CO</t>
  </si>
  <si>
    <r>
      <t xml:space="preserve">QSC302430_SOW2_CO1 - </t>
    </r>
    <r>
      <rPr>
        <b/>
        <sz val="11"/>
        <rFont val="Calibri"/>
        <family val="2"/>
        <scheme val="minor"/>
      </rPr>
      <t>P00146_2025</t>
    </r>
    <r>
      <rPr>
        <sz val="11"/>
        <rFont val="Calibri"/>
        <family val="2"/>
        <scheme val="minor"/>
      </rPr>
      <t xml:space="preserve"> - </t>
    </r>
    <r>
      <rPr>
        <strike/>
        <sz val="11"/>
        <color rgb="FFFF0000"/>
        <rFont val="Calibri"/>
        <family val="2"/>
        <scheme val="minor"/>
      </rPr>
      <t>P00583_2024</t>
    </r>
  </si>
  <si>
    <t>Veeva RIMS Vault Submission ELA100</t>
  </si>
  <si>
    <r>
      <t>Quote 00187346 -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P00152_2025</t>
    </r>
  </si>
  <si>
    <t>PO a changer avec le PO00161</t>
  </si>
  <si>
    <t>Ouahiba</t>
  </si>
  <si>
    <r>
      <t xml:space="preserve">SOW 2025-01 - </t>
    </r>
    <r>
      <rPr>
        <b/>
        <sz val="11"/>
        <rFont val="Calibri"/>
        <family val="2"/>
        <scheme val="minor"/>
      </rPr>
      <t>P00153_2025</t>
    </r>
  </si>
  <si>
    <t>P00153_2025</t>
  </si>
  <si>
    <t>Audit CYTEL 2 jours</t>
  </si>
  <si>
    <r>
      <t xml:space="preserve">CRO_2025-052 - </t>
    </r>
    <r>
      <rPr>
        <b/>
        <sz val="11"/>
        <rFont val="Calibri"/>
        <family val="2"/>
        <scheme val="minor"/>
      </rPr>
      <t>P00154_2025</t>
    </r>
  </si>
  <si>
    <t>P00154_2025</t>
  </si>
  <si>
    <t>Audit KEYRUS FR</t>
  </si>
  <si>
    <r>
      <t>AR-2025-032 -</t>
    </r>
    <r>
      <rPr>
        <b/>
        <sz val="11"/>
        <rFont val="Calibri"/>
        <family val="2"/>
        <scheme val="minor"/>
      </rPr>
      <t xml:space="preserve"> P00155_2025</t>
    </r>
  </si>
  <si>
    <t>P00155_2025</t>
  </si>
  <si>
    <t>INV 32401</t>
  </si>
  <si>
    <t>250007540RI</t>
  </si>
  <si>
    <t>INV 59001947 +  INV 59002105</t>
  </si>
  <si>
    <t>04/12/2024 + 26/03/25</t>
  </si>
  <si>
    <t>INV 940574123</t>
  </si>
  <si>
    <t>INV 32397 + INV 32400</t>
  </si>
  <si>
    <t>07/03/2025 + 19/03/2025</t>
  </si>
  <si>
    <t>INV 25100039 + INV 25100107</t>
  </si>
  <si>
    <t>10/02/2025 + 26/03/2025</t>
  </si>
  <si>
    <t>INV 25100118</t>
  </si>
  <si>
    <t>INV SIN004954</t>
  </si>
  <si>
    <t>INV F25-2120</t>
  </si>
  <si>
    <r>
      <t xml:space="preserve">W961342528 - </t>
    </r>
    <r>
      <rPr>
        <b/>
        <sz val="11"/>
        <rFont val="Calibri"/>
        <family val="2"/>
        <scheme val="minor"/>
      </rPr>
      <t>P00139_2025</t>
    </r>
  </si>
  <si>
    <t>P00139_2025</t>
  </si>
  <si>
    <t>INV 90176858</t>
  </si>
  <si>
    <t>INV 90176765</t>
  </si>
  <si>
    <t>INV 00010 25000752 RI</t>
  </si>
  <si>
    <t>INV F25-2118</t>
  </si>
  <si>
    <t>INV 2015548 RI</t>
  </si>
  <si>
    <t>INV 0452/25+ INV 0597/25</t>
  </si>
  <si>
    <t>31/01/2025+31/03/2025</t>
  </si>
  <si>
    <t>INV 0605/24 + INV 0569/24 + INV 0835/24 +INV0384/25 + INV 0595/25</t>
  </si>
  <si>
    <t>29/03/2024 + 22/03/2024 + 28/06/2024 +30/12/2024+31/03/2025</t>
  </si>
  <si>
    <t>INV 0368/25 + INV 0442/25 + INV 0593/25</t>
  </si>
  <si>
    <t>20/12/2024+31/01/2025+31/03/2025</t>
  </si>
  <si>
    <t>INV 0124/22 + INV 0213/22 + INV 0503/22 + INV 0685/22 + INV 0084/23 + INV 0236/23 + INV 0595/23 + INV 0681/23 + INV 0701/23 + INV 0600/24 + INV 0489/25 + INV 0591/25</t>
  </si>
  <si>
    <t>27/09/2021 + 27/10/2021 + 23/02/2022 + 25/04/2022 + 30/08/2022 + 26/10/2022 + 27/02/2023 + 31/03/2023 + 19/04/2023 + 29/03/2024 + 19/02/2025+31/03/2025</t>
  </si>
  <si>
    <t>Biostatistics and Statistical Programming Services</t>
  </si>
  <si>
    <t>INV FRA-006066</t>
  </si>
  <si>
    <t>Study archiving - 01/04/2025 au 31/10/2026</t>
  </si>
  <si>
    <t>INV 25100041 - INV 25100124</t>
  </si>
  <si>
    <t>10/02/2025 + 07/04/2025</t>
  </si>
  <si>
    <t>Avoir car erreur sur la livraison</t>
  </si>
  <si>
    <t>INV F020-SIN-0003030</t>
  </si>
  <si>
    <r>
      <t xml:space="preserve">LOI - TP906 - WO_A1 - </t>
    </r>
    <r>
      <rPr>
        <b/>
        <sz val="11"/>
        <rFont val="Calibri"/>
        <family val="2"/>
        <scheme val="minor"/>
      </rPr>
      <t>P00378_2023</t>
    </r>
  </si>
  <si>
    <t>LOI - TP906 - WO_A1 - P00378_2023</t>
  </si>
  <si>
    <t>INV F-25031601</t>
  </si>
  <si>
    <t>P00306_2023 (P00116_2024)</t>
  </si>
  <si>
    <t>INV BCG-0000202</t>
  </si>
  <si>
    <t>INV OCFR-FTI-000465</t>
  </si>
  <si>
    <t>INV JLFC250400347</t>
  </si>
  <si>
    <t>INV 20240702903 + INV 20240802941 +INV 20250203146 + INV 20250303180</t>
  </si>
  <si>
    <t>31/07/2024 + 30/08/2024+28/02/2025+31/03/2025</t>
  </si>
  <si>
    <t>INV JLFC250401119</t>
  </si>
  <si>
    <t>INV 47044946+ INV 47048147</t>
  </si>
  <si>
    <t>08/10/2024+08/04/2025</t>
  </si>
  <si>
    <t>INV 2024_191 + INV 2025_17</t>
  </si>
  <si>
    <t>11/12/2024 + 10/04/2025</t>
  </si>
  <si>
    <r>
      <t xml:space="preserve">MGC-GENOBI-T1-2025-GARCEL - </t>
    </r>
    <r>
      <rPr>
        <b/>
        <sz val="11"/>
        <rFont val="Calibri"/>
        <family val="2"/>
        <scheme val="minor"/>
      </rPr>
      <t>P00162_2025</t>
    </r>
  </si>
  <si>
    <t>P00162_2025</t>
  </si>
  <si>
    <r>
      <t xml:space="preserve">Quote QUO-003682 - </t>
    </r>
    <r>
      <rPr>
        <b/>
        <sz val="11"/>
        <rFont val="Calibri"/>
        <family val="2"/>
        <scheme val="minor"/>
      </rPr>
      <t>P00161_2025</t>
    </r>
  </si>
  <si>
    <t>P00161_2025</t>
  </si>
  <si>
    <r>
      <t xml:space="preserve">25100099 &amp; 54 SA - </t>
    </r>
    <r>
      <rPr>
        <b/>
        <sz val="11"/>
        <rFont val="Calibri"/>
        <family val="2"/>
        <scheme val="minor"/>
      </rPr>
      <t>P00165_2025</t>
    </r>
  </si>
  <si>
    <t>P00165_2025</t>
  </si>
  <si>
    <t>Milling trials &amp; PSD analysis</t>
  </si>
  <si>
    <r>
      <t xml:space="preserve">B24039 - </t>
    </r>
    <r>
      <rPr>
        <b/>
        <sz val="11"/>
        <rFont val="Calibri"/>
        <family val="2"/>
        <scheme val="minor"/>
      </rPr>
      <t>P00166_2025</t>
    </r>
  </si>
  <si>
    <t>P00166_2025</t>
  </si>
  <si>
    <t>Achats filtres</t>
  </si>
  <si>
    <r>
      <t xml:space="preserve">MGC-CLONAGE-T1-2025-ABIVAX - </t>
    </r>
    <r>
      <rPr>
        <b/>
        <sz val="11"/>
        <rFont val="Calibri"/>
        <family val="2"/>
        <scheme val="minor"/>
      </rPr>
      <t>P00168_2025</t>
    </r>
  </si>
  <si>
    <t>P00168_2025</t>
  </si>
  <si>
    <t>RNA quality</t>
  </si>
  <si>
    <r>
      <t xml:space="preserve">Q-594372 - </t>
    </r>
    <r>
      <rPr>
        <b/>
        <sz val="11"/>
        <rFont val="Calibri"/>
        <family val="2"/>
        <scheme val="minor"/>
      </rPr>
      <t>P00169_2025</t>
    </r>
  </si>
  <si>
    <t>P00169_2025</t>
  </si>
  <si>
    <t>Histologie Consommable Labo</t>
  </si>
  <si>
    <t>P00170_2025</t>
  </si>
  <si>
    <t>ICH M7 Assessment using silico Tools</t>
  </si>
  <si>
    <r>
      <t xml:space="preserve">VAT import shipment - </t>
    </r>
    <r>
      <rPr>
        <b/>
        <sz val="11"/>
        <rFont val="Calibri"/>
        <family val="2"/>
        <scheme val="minor"/>
      </rPr>
      <t>P00177_2025</t>
    </r>
  </si>
  <si>
    <t>P00177_2025</t>
  </si>
  <si>
    <t>VAT import shipments</t>
  </si>
  <si>
    <r>
      <t xml:space="preserve">P-TRP-333562-R7 - Achat MP - </t>
    </r>
    <r>
      <rPr>
        <b/>
        <sz val="11"/>
        <rFont val="Calibri"/>
        <family val="2"/>
        <scheme val="minor"/>
      </rPr>
      <t>P00176_2025</t>
    </r>
  </si>
  <si>
    <t>P00176_2025</t>
  </si>
  <si>
    <t>Yellow opaque gelatine + Blue opaque gelatine caps size-1</t>
  </si>
  <si>
    <r>
      <t xml:space="preserve">WO84#2024 - </t>
    </r>
    <r>
      <rPr>
        <b/>
        <sz val="11"/>
        <rFont val="Calibri"/>
        <family val="2"/>
        <scheme val="minor"/>
      </rPr>
      <t>P00175_2025</t>
    </r>
  </si>
  <si>
    <t>P00175_2025</t>
  </si>
  <si>
    <t>ICH Stability studies validation batches</t>
  </si>
  <si>
    <t>INV 90800792</t>
  </si>
  <si>
    <t>INV 25100131</t>
  </si>
  <si>
    <r>
      <t xml:space="preserve">QSC303253_SOW1_CO1 - </t>
    </r>
    <r>
      <rPr>
        <b/>
        <sz val="11"/>
        <rFont val="Calibri"/>
        <family val="2"/>
        <scheme val="minor"/>
      </rPr>
      <t>P00186_2025</t>
    </r>
  </si>
  <si>
    <t>P00186_2025</t>
  </si>
  <si>
    <r>
      <t xml:space="preserve">L25_4315A - </t>
    </r>
    <r>
      <rPr>
        <b/>
        <sz val="11"/>
        <rFont val="Calibri"/>
        <family val="2"/>
        <scheme val="minor"/>
      </rPr>
      <t>P00192_2025</t>
    </r>
  </si>
  <si>
    <t>P00192_2025</t>
  </si>
  <si>
    <t>Mise sous piluliers lot 25mg&amp;50mg</t>
  </si>
  <si>
    <r>
      <t xml:space="preserve">W967740942 - </t>
    </r>
    <r>
      <rPr>
        <b/>
        <sz val="11"/>
        <rFont val="Calibri"/>
        <family val="2"/>
        <scheme val="minor"/>
      </rPr>
      <t>P00194_2025</t>
    </r>
  </si>
  <si>
    <t>P00194_2025</t>
  </si>
  <si>
    <r>
      <t xml:space="preserve">Q24000704599 - </t>
    </r>
    <r>
      <rPr>
        <b/>
        <sz val="11"/>
        <rFont val="Calibri"/>
        <family val="2"/>
        <scheme val="minor"/>
      </rPr>
      <t>P00188_2025</t>
    </r>
  </si>
  <si>
    <t>P00188_2025</t>
  </si>
  <si>
    <r>
      <t xml:space="preserve">B 24 039 V1 - </t>
    </r>
    <r>
      <rPr>
        <b/>
        <sz val="11"/>
        <rFont val="Calibri"/>
        <family val="2"/>
        <scheme val="minor"/>
      </rPr>
      <t>P00187_2025</t>
    </r>
  </si>
  <si>
    <t>P00187_2025</t>
  </si>
  <si>
    <t>ABX Dissolution test on API</t>
  </si>
  <si>
    <r>
      <t xml:space="preserve">web - </t>
    </r>
    <r>
      <rPr>
        <b/>
        <sz val="11"/>
        <rFont val="Calibri"/>
        <family val="2"/>
        <scheme val="minor"/>
      </rPr>
      <t>P00189_2025</t>
    </r>
  </si>
  <si>
    <t>P00189_2025</t>
  </si>
  <si>
    <r>
      <t xml:space="preserve">DE-53022 - </t>
    </r>
    <r>
      <rPr>
        <b/>
        <sz val="11"/>
        <rFont val="Calibri"/>
        <family val="2"/>
        <scheme val="minor"/>
      </rPr>
      <t>P00185_2025</t>
    </r>
  </si>
  <si>
    <t>P00185_2025</t>
  </si>
  <si>
    <r>
      <t xml:space="preserve">DE-53086 - </t>
    </r>
    <r>
      <rPr>
        <b/>
        <sz val="11"/>
        <rFont val="Calibri"/>
        <family val="2"/>
        <scheme val="minor"/>
      </rPr>
      <t>P00196_2025</t>
    </r>
  </si>
  <si>
    <t>P00196_2025</t>
  </si>
  <si>
    <r>
      <t xml:space="preserve">25100109v2 &amp; 54 SA - </t>
    </r>
    <r>
      <rPr>
        <b/>
        <sz val="11"/>
        <rFont val="Calibri"/>
        <family val="2"/>
        <scheme val="minor"/>
      </rPr>
      <t>P00183_2025</t>
    </r>
  </si>
  <si>
    <t>P00183_2025</t>
  </si>
  <si>
    <r>
      <t xml:space="preserve">25100102 - </t>
    </r>
    <r>
      <rPr>
        <b/>
        <sz val="11"/>
        <rFont val="Calibri"/>
        <family val="2"/>
        <scheme val="minor"/>
      </rPr>
      <t>P00184_2025</t>
    </r>
  </si>
  <si>
    <t>P00184_2025</t>
  </si>
  <si>
    <t>Statistic evaluation</t>
  </si>
  <si>
    <r>
      <t xml:space="preserve">NA - </t>
    </r>
    <r>
      <rPr>
        <b/>
        <sz val="11"/>
        <rFont val="Calibri"/>
        <family val="2"/>
        <scheme val="minor"/>
      </rPr>
      <t>P00180_2025</t>
    </r>
  </si>
  <si>
    <t>P00180_2025</t>
  </si>
  <si>
    <t>Materiel de labo</t>
  </si>
  <si>
    <r>
      <t xml:space="preserve">web - </t>
    </r>
    <r>
      <rPr>
        <b/>
        <sz val="11"/>
        <rFont val="Calibri"/>
        <family val="2"/>
        <scheme val="minor"/>
      </rPr>
      <t>P00179_2025</t>
    </r>
  </si>
  <si>
    <t>P00179_2025</t>
  </si>
  <si>
    <t>31/01/2025x4 - (25/03/2025) + (30/03/2025)</t>
  </si>
  <si>
    <t>28/02/2025 + 28/02/2025 + 28/02/2025 + 28/02/2025 + 28/02/2025 + 28/02/2025 - (25/03/2025) + 30/03/2025</t>
  </si>
  <si>
    <t>INV 0090087774 + INV 0090087769 + INV 0090087770 + INV 0090087771 + 0090087772 + INV 0090087773 - (0090096499+0090096498+0090096497+0090096496+0090096494+0090096493) + (0090099242+0090099241+240+239+238+237)</t>
  </si>
  <si>
    <t>INV 0090076357 + INV 0090076358 + INV 0090076359 + INV 0090076360 - (0090093484+0090096483+0090096482+0090096481) + (235+234+232+236)</t>
  </si>
  <si>
    <t>INV 0090099243+INV 0090099244+INV 0090099233+INV 0090099249+INV 0090099245+INV 0090099246+INV 0090099247+INV 0090099248)</t>
  </si>
  <si>
    <t>INV FACLI002352 + INV FACLI002494 + FACLI000076 + FACLI000217 + FACLI000664</t>
  </si>
  <si>
    <t>29/11/2024 + 31/12/2024 + 31/01/2025 + 28/02/2025 + 01/04/2025</t>
  </si>
  <si>
    <t>INV 10000983</t>
  </si>
  <si>
    <t>INV 900127959 + INV 900129778+ INV 900129829</t>
  </si>
  <si>
    <t>QUOTIENT NOTTINGHAM</t>
  </si>
  <si>
    <t>INV SIN002500 + INV SIN004845</t>
  </si>
  <si>
    <t xml:space="preserve"> INV SIN004721</t>
  </si>
  <si>
    <t>19/07/2024 + 18/03/2025</t>
  </si>
  <si>
    <t>INV 12011315383</t>
  </si>
  <si>
    <t>P00198_2025</t>
  </si>
  <si>
    <t>In vitro ADME studies</t>
  </si>
  <si>
    <r>
      <t>JV5KPH250055-03 -</t>
    </r>
    <r>
      <rPr>
        <b/>
        <sz val="11"/>
        <rFont val="Calibri"/>
        <family val="2"/>
        <scheme val="minor"/>
      </rPr>
      <t xml:space="preserve"> P00182_2025</t>
    </r>
  </si>
  <si>
    <t>P00182_2025</t>
  </si>
  <si>
    <t>Bacterial Reverese Mutation test</t>
  </si>
  <si>
    <r>
      <t xml:space="preserve">L25_4230A - </t>
    </r>
    <r>
      <rPr>
        <b/>
        <sz val="11"/>
        <rFont val="Calibri"/>
        <family val="2"/>
        <scheme val="minor"/>
      </rPr>
      <t>P00191_2025</t>
    </r>
  </si>
  <si>
    <t>P00191_2025</t>
  </si>
  <si>
    <t>Commande de gélues</t>
  </si>
  <si>
    <r>
      <t xml:space="preserve">WO95#2025 - </t>
    </r>
    <r>
      <rPr>
        <b/>
        <sz val="11"/>
        <rFont val="Calibri"/>
        <family val="2"/>
        <scheme val="minor"/>
      </rPr>
      <t>P00193_2025</t>
    </r>
  </si>
  <si>
    <t>P00193_2025</t>
  </si>
  <si>
    <t>Mapping of 4TFMA impurties</t>
  </si>
  <si>
    <r>
      <t xml:space="preserve">25100120 - </t>
    </r>
    <r>
      <rPr>
        <b/>
        <sz val="11"/>
        <rFont val="Calibri"/>
        <family val="2"/>
        <scheme val="minor"/>
      </rPr>
      <t>P00197_2025</t>
    </r>
  </si>
  <si>
    <t>P00197_2025</t>
  </si>
  <si>
    <t>Shipments to PTA</t>
  </si>
  <si>
    <t>P00203_2025</t>
  </si>
  <si>
    <t>P00204_2025</t>
  </si>
  <si>
    <t>P00205_2025</t>
  </si>
  <si>
    <t>P00206_2025</t>
  </si>
  <si>
    <t>P00207_2025</t>
  </si>
  <si>
    <r>
      <rPr>
        <sz val="11"/>
        <rFont val="Calibri"/>
        <family val="2"/>
        <scheme val="minor"/>
      </rPr>
      <t>Commande de juillet 2025</t>
    </r>
    <r>
      <rPr>
        <b/>
        <sz val="11"/>
        <rFont val="Calibri"/>
        <family val="2"/>
        <scheme val="minor"/>
      </rPr>
      <t xml:space="preserve"> - P00202_2025</t>
    </r>
  </si>
  <si>
    <r>
      <rPr>
        <sz val="11"/>
        <rFont val="Calibri"/>
        <family val="2"/>
        <scheme val="minor"/>
      </rPr>
      <t>Commande d'aout 2025 -</t>
    </r>
    <r>
      <rPr>
        <b/>
        <sz val="11"/>
        <rFont val="Calibri"/>
        <family val="2"/>
        <scheme val="minor"/>
      </rPr>
      <t xml:space="preserve"> P00203_2025</t>
    </r>
  </si>
  <si>
    <r>
      <rPr>
        <sz val="11"/>
        <rFont val="Calibri"/>
        <family val="2"/>
        <scheme val="minor"/>
      </rPr>
      <t xml:space="preserve">Commande de septembre 2025 - </t>
    </r>
    <r>
      <rPr>
        <b/>
        <sz val="11"/>
        <rFont val="Calibri"/>
        <family val="2"/>
        <scheme val="minor"/>
      </rPr>
      <t>P00204_2025</t>
    </r>
  </si>
  <si>
    <r>
      <rPr>
        <sz val="11"/>
        <rFont val="Calibri"/>
        <family val="2"/>
        <scheme val="minor"/>
      </rPr>
      <t xml:space="preserve">Commande d'octobre 2025 - </t>
    </r>
    <r>
      <rPr>
        <b/>
        <sz val="11"/>
        <rFont val="Calibri"/>
        <family val="2"/>
        <scheme val="minor"/>
      </rPr>
      <t>P00205_2025</t>
    </r>
  </si>
  <si>
    <r>
      <rPr>
        <sz val="11"/>
        <rFont val="Calibri"/>
        <family val="2"/>
        <scheme val="minor"/>
      </rPr>
      <t xml:space="preserve">Commande de novembre 2025 - </t>
    </r>
    <r>
      <rPr>
        <b/>
        <sz val="11"/>
        <rFont val="Calibri"/>
        <family val="2"/>
        <scheme val="minor"/>
      </rPr>
      <t>P00206_2025</t>
    </r>
  </si>
  <si>
    <r>
      <rPr>
        <sz val="11"/>
        <rFont val="Calibri"/>
        <family val="2"/>
        <scheme val="minor"/>
      </rPr>
      <t xml:space="preserve">Commande de décembre 2025 - </t>
    </r>
    <r>
      <rPr>
        <b/>
        <sz val="11"/>
        <rFont val="Calibri"/>
        <family val="2"/>
        <scheme val="minor"/>
      </rPr>
      <t>P00207_2025</t>
    </r>
  </si>
  <si>
    <t>Consommable Labo - Juillet 2025</t>
  </si>
  <si>
    <t>Consommable Labo - Aout 2025</t>
  </si>
  <si>
    <t>Consommable Labo - Septembre 2025</t>
  </si>
  <si>
    <t>Consommable Labo - Octobre 2025</t>
  </si>
  <si>
    <t>Consommable Labo - Novembre 2025</t>
  </si>
  <si>
    <t>Consommable Labo - Décembre 2025</t>
  </si>
  <si>
    <t>PBK modeling &amp; simulation prediatric formulation - Work for CMC department</t>
  </si>
  <si>
    <t>Attention bien séparer les couts CMC de CLI</t>
  </si>
  <si>
    <t>INV SIN005110</t>
  </si>
  <si>
    <t>INV 900129460 + INV 900129858</t>
  </si>
  <si>
    <t>24/03/2025 + 14/04/2025</t>
  </si>
  <si>
    <t>INV 900129866</t>
  </si>
  <si>
    <t>UC105 - WO#1 biostatistics programming</t>
  </si>
  <si>
    <t>UC106 - WO#2 biostatistics programming</t>
  </si>
  <si>
    <t>UC107 - WO#3 biostatistics programming</t>
  </si>
  <si>
    <t>CD202 - WO#4 biostatistics programming</t>
  </si>
  <si>
    <t>INV 90177768</t>
  </si>
  <si>
    <t>INV 2469610</t>
  </si>
  <si>
    <t>INV F020-SIN-0003058</t>
  </si>
  <si>
    <t>INV 8053462783</t>
  </si>
  <si>
    <t>INV 2021233 RI</t>
  </si>
  <si>
    <t>INV FRCI-00035675</t>
  </si>
  <si>
    <t>INV 59001514 + INV 59001790 + INV 59001842 + INV 59002060 + INV 59002143</t>
  </si>
  <si>
    <t>12/01/2024 + 22/08/2024 + 24/09/2024 + INV 20/02/2025 + INV 59002143</t>
  </si>
  <si>
    <t>INV 0622/25</t>
  </si>
  <si>
    <t>INV FV25REC03642</t>
  </si>
  <si>
    <t>INV 0528/25 + INV 0592/25+ INV 0616/25</t>
  </si>
  <si>
    <t>28/02/2025 + 31/03/2025+16/04/25</t>
  </si>
  <si>
    <t>INV 10000817 + INV 10000981 + INV 10001148 + INV 10001315</t>
  </si>
  <si>
    <t>29/01/2025 + 25/02/2025+21/03/25 + 25/04/2025</t>
  </si>
  <si>
    <t>INV 10000879 + INV 10001317</t>
  </si>
  <si>
    <t>07/02/2025+25/04/25</t>
  </si>
  <si>
    <t>INV 10001335</t>
  </si>
  <si>
    <t>INV 47616005</t>
  </si>
  <si>
    <t>INV FV25REC03838</t>
  </si>
  <si>
    <t>INV 0337/25 + INV 0502/25 + INV 0523/25 +INV 0676/25</t>
  </si>
  <si>
    <t>16/12/2024+21/02/225+28/02/2025+30/04/2025</t>
  </si>
  <si>
    <t>INV 0412/25 + INV 0413/25 + INV 0504/25+ INV 0524/25 + 0682/2025</t>
  </si>
  <si>
    <t>28/01/2025 + 28/01/2025 + 21/02/2025 + 28/02/2025 + 30/04/2025</t>
  </si>
  <si>
    <t xml:space="preserve">INV 12011316088 </t>
  </si>
  <si>
    <t>INV 12011316596</t>
  </si>
  <si>
    <t>INV F24-1961</t>
  </si>
  <si>
    <t>30/04/2025 + 30/04/2025</t>
  </si>
  <si>
    <t>INV 25100173 + INV 25100172</t>
  </si>
  <si>
    <t>INV 25100167</t>
  </si>
  <si>
    <t>INV 25100169</t>
  </si>
  <si>
    <t>INV 25100166</t>
  </si>
  <si>
    <t>INV F25-2142</t>
  </si>
  <si>
    <t>INV JLFC250500602</t>
  </si>
  <si>
    <t xml:space="preserve">INV 24100122 </t>
  </si>
  <si>
    <t>INV S25-188281</t>
  </si>
  <si>
    <t>INV FRA-006167</t>
  </si>
  <si>
    <t>INV FRA-006169</t>
  </si>
  <si>
    <t>SRV_21002_CO08</t>
  </si>
  <si>
    <t>SRV_21002_CO09</t>
  </si>
  <si>
    <t>INV SI_PHI2400698</t>
  </si>
  <si>
    <t>INV SI_PHI2400267 + INV SI_PHI2500121</t>
  </si>
  <si>
    <t>31/03/2024 + 24/02/2025</t>
  </si>
  <si>
    <t>INV F25-2148</t>
  </si>
  <si>
    <t>INV 90178311</t>
  </si>
  <si>
    <t>INV 90178312</t>
  </si>
  <si>
    <t>INV 0090115790 + INV 0090115791 + INV 0090115792 + INV 0090115793 + INV 0090115794</t>
  </si>
  <si>
    <t>30/04/2025*5</t>
  </si>
  <si>
    <t>INV 509062</t>
  </si>
  <si>
    <t>INV 509061</t>
  </si>
  <si>
    <r>
      <t xml:space="preserve">P2505061 - </t>
    </r>
    <r>
      <rPr>
        <b/>
        <sz val="11"/>
        <rFont val="Calibri"/>
        <family val="2"/>
        <scheme val="minor"/>
      </rPr>
      <t>P00233_2025</t>
    </r>
  </si>
  <si>
    <t>P00233_2025</t>
  </si>
  <si>
    <t>Shipments to Pharmaron</t>
  </si>
  <si>
    <r>
      <t xml:space="preserve">B 24 039 V1 - </t>
    </r>
    <r>
      <rPr>
        <b/>
        <sz val="11"/>
        <rFont val="Calibri"/>
        <family val="2"/>
        <scheme val="minor"/>
      </rPr>
      <t>P00232_2025</t>
    </r>
  </si>
  <si>
    <t>P00232_2025</t>
  </si>
  <si>
    <t>P00224_2025</t>
  </si>
  <si>
    <t>Ox+Glu metabolite synthesis</t>
  </si>
  <si>
    <t>P00219_2025</t>
  </si>
  <si>
    <r>
      <t xml:space="preserve">QSC302430_CO3 - </t>
    </r>
    <r>
      <rPr>
        <b/>
        <sz val="11"/>
        <rFont val="Calibri"/>
        <family val="2"/>
        <scheme val="minor"/>
      </rPr>
      <t>P00219_2025</t>
    </r>
  </si>
  <si>
    <t>CO3 - Formulation development ABX464 pediatric form - Upon singnature CO3</t>
  </si>
  <si>
    <r>
      <t xml:space="preserve">25100153 SQ - </t>
    </r>
    <r>
      <rPr>
        <b/>
        <sz val="11"/>
        <rFont val="Calibri"/>
        <family val="2"/>
        <scheme val="minor"/>
      </rPr>
      <t>P00223_2025</t>
    </r>
  </si>
  <si>
    <t>P00223_2025</t>
  </si>
  <si>
    <t>Packaging and shipment</t>
  </si>
  <si>
    <r>
      <t xml:space="preserve">7086825-00 - </t>
    </r>
    <r>
      <rPr>
        <b/>
        <sz val="11"/>
        <rFont val="Calibri"/>
        <family val="2"/>
        <scheme val="minor"/>
      </rPr>
      <t>P00220_2025</t>
    </r>
  </si>
  <si>
    <t>P00220_2025</t>
  </si>
  <si>
    <r>
      <t xml:space="preserve">DE-53157 - </t>
    </r>
    <r>
      <rPr>
        <b/>
        <sz val="11"/>
        <rFont val="Calibri"/>
        <family val="2"/>
        <scheme val="minor"/>
      </rPr>
      <t>P00218_2025</t>
    </r>
  </si>
  <si>
    <t>P00218_2025</t>
  </si>
  <si>
    <r>
      <t xml:space="preserve">CBA/250414/1 - </t>
    </r>
    <r>
      <rPr>
        <b/>
        <sz val="11"/>
        <rFont val="Calibri"/>
        <family val="2"/>
        <scheme val="minor"/>
      </rPr>
      <t>P00209_2025</t>
    </r>
  </si>
  <si>
    <t>P00209_2025</t>
  </si>
  <si>
    <t>Shipment to quotient UK</t>
  </si>
  <si>
    <r>
      <t xml:space="preserve">171/2025/ZEFI - </t>
    </r>
    <r>
      <rPr>
        <b/>
        <sz val="11"/>
        <rFont val="Calibri"/>
        <family val="2"/>
        <scheme val="minor"/>
      </rPr>
      <t>P00215_2025</t>
    </r>
  </si>
  <si>
    <t>P00215_2025</t>
  </si>
  <si>
    <t>Entretien Cage Bimestre 2 - 2025</t>
  </si>
  <si>
    <r>
      <t xml:space="preserve">L25_4314A - </t>
    </r>
    <r>
      <rPr>
        <b/>
        <sz val="11"/>
        <rFont val="Calibri"/>
        <family val="2"/>
        <scheme val="minor"/>
      </rPr>
      <t>P00214_2025</t>
    </r>
  </si>
  <si>
    <t>P00214_2025</t>
  </si>
  <si>
    <t>Méthodes analytiques Co-Validation</t>
  </si>
  <si>
    <r>
      <t xml:space="preserve">DDR 2025 034 V2 - </t>
    </r>
    <r>
      <rPr>
        <b/>
        <sz val="11"/>
        <rFont val="Calibri"/>
        <family val="2"/>
        <scheme val="minor"/>
      </rPr>
      <t>P00210_2025</t>
    </r>
  </si>
  <si>
    <t>P00210_2025</t>
  </si>
  <si>
    <t>Robustesse manquante Option 2</t>
  </si>
  <si>
    <t>Doublon ?</t>
  </si>
  <si>
    <r>
      <t xml:space="preserve">24100154 SQ - </t>
    </r>
    <r>
      <rPr>
        <b/>
        <sz val="11"/>
        <rFont val="Calibri"/>
        <family val="2"/>
        <scheme val="minor"/>
      </rPr>
      <t>P00199_2025</t>
    </r>
  </si>
  <si>
    <t>P00199_2025</t>
  </si>
  <si>
    <t>Storage fees 9 months</t>
  </si>
  <si>
    <r>
      <t xml:space="preserve">NA - </t>
    </r>
    <r>
      <rPr>
        <b/>
        <sz val="11"/>
        <rFont val="Calibri"/>
        <family val="2"/>
        <scheme val="minor"/>
      </rPr>
      <t>P00208_2025</t>
    </r>
  </si>
  <si>
    <t>P00208_2025</t>
  </si>
  <si>
    <t>P00211_2025</t>
  </si>
  <si>
    <t>étapes annulées via PO00211_2025</t>
  </si>
  <si>
    <t>P-TRP-333562-R7 - TORO-ABX464 IR Capsules 25mg et 50mg Manuf - CoS 05</t>
  </si>
  <si>
    <t>18.0 Feasibility Scale Up - 1st batch Manuf</t>
  </si>
  <si>
    <t>19.0 Stability - Feasibility</t>
  </si>
  <si>
    <r>
      <t xml:space="preserve">P2505151 - </t>
    </r>
    <r>
      <rPr>
        <b/>
        <sz val="11"/>
        <rFont val="Calibri"/>
        <family val="2"/>
        <scheme val="minor"/>
      </rPr>
      <t>P00234_2025</t>
    </r>
  </si>
  <si>
    <t>P00234_2025</t>
  </si>
  <si>
    <t>Shipment to Montpellier</t>
  </si>
  <si>
    <t>P00236_2025</t>
  </si>
  <si>
    <t>ADME Study archiving 5 years</t>
  </si>
  <si>
    <r>
      <t xml:space="preserve">ASTIS-6RE7 - </t>
    </r>
    <r>
      <rPr>
        <b/>
        <sz val="11"/>
        <rFont val="Calibri"/>
        <family val="2"/>
        <scheme val="minor"/>
      </rPr>
      <t>P00239_2025</t>
    </r>
  </si>
  <si>
    <t>P00239_2025</t>
  </si>
  <si>
    <t>Réanalyse &amp; stockage 2024</t>
  </si>
  <si>
    <r>
      <t xml:space="preserve">FR01135307 - </t>
    </r>
    <r>
      <rPr>
        <b/>
        <sz val="11"/>
        <rFont val="Calibri"/>
        <family val="2"/>
        <scheme val="minor"/>
      </rPr>
      <t>P00221_2025</t>
    </r>
  </si>
  <si>
    <t>P00221_2025</t>
  </si>
  <si>
    <r>
      <t xml:space="preserve">JLCO250501984 - </t>
    </r>
    <r>
      <rPr>
        <b/>
        <sz val="11"/>
        <rFont val="Calibri"/>
        <family val="2"/>
        <scheme val="minor"/>
      </rPr>
      <t>P00238_2025</t>
    </r>
  </si>
  <si>
    <t>P00238_2025</t>
  </si>
  <si>
    <r>
      <t xml:space="preserve">JLCO250502344 - </t>
    </r>
    <r>
      <rPr>
        <b/>
        <sz val="11"/>
        <rFont val="Calibri"/>
        <family val="2"/>
        <scheme val="minor"/>
      </rPr>
      <t>P00242_2025</t>
    </r>
  </si>
  <si>
    <t>P00242_2025</t>
  </si>
  <si>
    <r>
      <t xml:space="preserve">250513FR01930322CB - </t>
    </r>
    <r>
      <rPr>
        <b/>
        <sz val="11"/>
        <rFont val="Calibri"/>
        <family val="2"/>
        <scheme val="minor"/>
      </rPr>
      <t>P00229_2025</t>
    </r>
  </si>
  <si>
    <t>P00229_2025</t>
  </si>
  <si>
    <r>
      <t>Abivax 05-16-25 -</t>
    </r>
    <r>
      <rPr>
        <b/>
        <sz val="11"/>
        <rFont val="Calibri"/>
        <family val="2"/>
        <scheme val="minor"/>
      </rPr>
      <t xml:space="preserve"> P00235_2025</t>
    </r>
  </si>
  <si>
    <t>P00235_2025</t>
  </si>
  <si>
    <t>MSA_19087 WO1 + MSA_19087 WO1 CO4</t>
  </si>
  <si>
    <t>Upon execution CO4</t>
  </si>
  <si>
    <t>ORGAPGARM</t>
  </si>
  <si>
    <t>P00240_2025</t>
  </si>
  <si>
    <t>Shipment to US</t>
  </si>
  <si>
    <t>INV OGPVTE250110</t>
  </si>
  <si>
    <t>INV 900130259</t>
  </si>
  <si>
    <t>INV 900130256</t>
  </si>
  <si>
    <t>INV 9001300257</t>
  </si>
  <si>
    <t>INV 10001444</t>
  </si>
  <si>
    <t>MERCK CHIMIE</t>
  </si>
  <si>
    <t>INV 1700241263</t>
  </si>
  <si>
    <t>INV 10001351</t>
  </si>
  <si>
    <t>INV 0658/25</t>
  </si>
  <si>
    <t>INV 4150247 + INV 4134070</t>
  </si>
  <si>
    <t>20/05/2025 + 28/04/2025</t>
  </si>
  <si>
    <t>INV FRA-006159</t>
  </si>
  <si>
    <t>INV 90805084</t>
  </si>
  <si>
    <t>INV 32415</t>
  </si>
  <si>
    <t>INV 32416</t>
  </si>
  <si>
    <t>INV FV25REC04279</t>
  </si>
  <si>
    <t>INV 1032504350 + INV 1032504291</t>
  </si>
  <si>
    <t>13/05/2025 + 12/05/2025</t>
  </si>
  <si>
    <t>INV 25100179</t>
  </si>
  <si>
    <t>INV 25100171 + INV 25100168 +INV 25100161 + INV 25100180</t>
  </si>
  <si>
    <t>30/04/2025+30/04/2025+29/04/2025 + 08/05/2025</t>
  </si>
  <si>
    <t>A&amp;M Labor</t>
  </si>
  <si>
    <r>
      <t xml:space="preserve">SRV_25022 - </t>
    </r>
    <r>
      <rPr>
        <b/>
        <sz val="11"/>
        <rFont val="Calibri"/>
        <family val="2"/>
        <scheme val="minor"/>
      </rPr>
      <t>P00248_2025</t>
    </r>
  </si>
  <si>
    <t>P00248_2025</t>
  </si>
  <si>
    <t>Confirmation of the identity on 4 ABX464NGlu</t>
  </si>
  <si>
    <r>
      <t xml:space="preserve">JV5KPH250107-01 - </t>
    </r>
    <r>
      <rPr>
        <b/>
        <sz val="11"/>
        <rFont val="Calibri"/>
        <family val="2"/>
        <scheme val="minor"/>
      </rPr>
      <t>P00246_2025</t>
    </r>
  </si>
  <si>
    <t>P00246_2025</t>
  </si>
  <si>
    <t>In vitro Testing OECD 471</t>
  </si>
  <si>
    <t>P-TRP-333562-R7 - TORO-ABX464 IR Capsules 25mg et 50mg Manuf - CoS 07</t>
  </si>
  <si>
    <t>22.0 Analytical services</t>
  </si>
  <si>
    <t>P00243_2025</t>
  </si>
  <si>
    <t>23.0 Formulation Development - 50mg Small Scale nonGMP</t>
  </si>
  <si>
    <t>23.0 Formulation Development - Back to Back 50mg Batches</t>
  </si>
  <si>
    <t>23.0 Formulation Development - Back to Back 4 Batches TFS Cork API</t>
  </si>
  <si>
    <t>Optionnal</t>
  </si>
  <si>
    <t>23.0 Formulation Development - Manula Encap dor 25mg Scal Up</t>
  </si>
  <si>
    <t>P-TRP-333562-R7 - TORO-ABX464 IR Capsules 25mg et 50mg Manuf - CoS 08</t>
  </si>
  <si>
    <t>P00244_2025</t>
  </si>
  <si>
    <t>24.0 - Reg Campaign 1 - SJ Demo</t>
  </si>
  <si>
    <t>25.0 - Reg Campaign 2 - SJ Demo</t>
  </si>
  <si>
    <t>26.0 - Reg Campaign 3 - SJ Val 1</t>
  </si>
  <si>
    <t>27.0 - Reg Campaign 4 - TJ Demo</t>
  </si>
  <si>
    <t>28.0 - Reg Campaign 5 - TJ Demo</t>
  </si>
  <si>
    <t>29.0 - Reg Campaign 6 -TJ Reg 1</t>
  </si>
  <si>
    <t>30.0 - Stability Campaign 1 - SJ Demo</t>
  </si>
  <si>
    <t>31.0 - Stability Campaign 2 - SJ Demo</t>
  </si>
  <si>
    <t>32.0 - Stability Campaign 3 - SJ Val 1</t>
  </si>
  <si>
    <t>33.0 - Stability Campaign 4 - TJ Demo</t>
  </si>
  <si>
    <t>34.0 - Stability Campaign 5 - TJ Demo</t>
  </si>
  <si>
    <t>35.0 - Stability Campaign 6 - J Reg 1</t>
  </si>
  <si>
    <t>étapes annulées via PO00244_2025</t>
  </si>
  <si>
    <r>
      <t xml:space="preserve">SFDC OPP-388602 - CRL-32053476 - </t>
    </r>
    <r>
      <rPr>
        <b/>
        <sz val="11"/>
        <rFont val="Calibri"/>
        <family val="2"/>
        <scheme val="minor"/>
      </rPr>
      <t>P00245_2025</t>
    </r>
  </si>
  <si>
    <t>P00245_2025</t>
  </si>
  <si>
    <t>QSAR - ICH M7 Assessment</t>
  </si>
  <si>
    <t>INV SIN005343</t>
  </si>
  <si>
    <t>INV 11300201165</t>
  </si>
  <si>
    <t>INV FA25 0053</t>
  </si>
  <si>
    <t>WOFZA86006 - CO3</t>
  </si>
  <si>
    <t>Upon signature CO3 - Last Patient Entered CO3 adjustment</t>
  </si>
  <si>
    <t>WO ZZA92069 - CO3</t>
  </si>
  <si>
    <t>WO ZZA92074 - CO3</t>
  </si>
  <si>
    <r>
      <t xml:space="preserve">25100177 - </t>
    </r>
    <r>
      <rPr>
        <b/>
        <sz val="11"/>
        <rFont val="Calibri"/>
        <family val="2"/>
        <scheme val="minor"/>
      </rPr>
      <t>P00250_2025</t>
    </r>
  </si>
  <si>
    <t>P00250_2025</t>
  </si>
  <si>
    <r>
      <t xml:space="preserve">PO Global - </t>
    </r>
    <r>
      <rPr>
        <b/>
        <sz val="11"/>
        <rFont val="Calibri"/>
        <family val="2"/>
        <scheme val="minor"/>
      </rPr>
      <t>P00251_2025</t>
    </r>
  </si>
  <si>
    <t>P00251_2025</t>
  </si>
  <si>
    <t>Estimation Global Shipment costs - 2025 ?</t>
  </si>
  <si>
    <r>
      <t xml:space="preserve">3141765 - </t>
    </r>
    <r>
      <rPr>
        <b/>
        <sz val="11"/>
        <rFont val="Calibri"/>
        <family val="2"/>
        <scheme val="minor"/>
      </rPr>
      <t>P00257_2025</t>
    </r>
  </si>
  <si>
    <t>P00257_2025</t>
  </si>
  <si>
    <r>
      <t xml:space="preserve">SRV_24023_A1 - </t>
    </r>
    <r>
      <rPr>
        <b/>
        <sz val="11"/>
        <rFont val="Calibri"/>
        <family val="2"/>
        <scheme val="minor"/>
      </rPr>
      <t>P00258_2025</t>
    </r>
  </si>
  <si>
    <t>P00258_2025</t>
  </si>
  <si>
    <t>INV 9216199714+ INV 9216200838 + INV 9216203221</t>
  </si>
  <si>
    <t>22/03/2025+10/04/2025+22/05/2025</t>
  </si>
  <si>
    <t>INV 713/25</t>
  </si>
  <si>
    <t>INV 2023-0015 + INV 2024-0006 + INV 9001300258</t>
  </si>
  <si>
    <t>03/10/2023 + 26/03/2024 + 09/05/2025</t>
  </si>
  <si>
    <t>INV 25001316 RI</t>
  </si>
  <si>
    <t xml:space="preserve">INV 2027211 RI </t>
  </si>
  <si>
    <t>INV JLFC250502798</t>
  </si>
  <si>
    <r>
      <t xml:space="preserve">7090337-00 - </t>
    </r>
    <r>
      <rPr>
        <b/>
        <sz val="11"/>
        <rFont val="Calibri"/>
        <family val="2"/>
        <scheme val="minor"/>
      </rPr>
      <t>P00260_2025</t>
    </r>
  </si>
  <si>
    <t>P00260_2025</t>
  </si>
  <si>
    <t>P00266_2025</t>
  </si>
  <si>
    <r>
      <t xml:space="preserve">OPP-353689 - CRL-31989756 - </t>
    </r>
    <r>
      <rPr>
        <b/>
        <sz val="11"/>
        <rFont val="Calibri"/>
        <family val="2"/>
        <scheme val="minor"/>
      </rPr>
      <t>P00266_2025</t>
    </r>
  </si>
  <si>
    <t>RI907 - PK Analysis - Add cost</t>
  </si>
  <si>
    <t>GENOWAY</t>
  </si>
  <si>
    <r>
      <t xml:space="preserve">KSE27683 - </t>
    </r>
    <r>
      <rPr>
        <b/>
        <sz val="11"/>
        <rFont val="Calibri"/>
        <family val="2"/>
        <scheme val="minor"/>
      </rPr>
      <t>P00259_2025</t>
    </r>
  </si>
  <si>
    <t>P00259_2025</t>
  </si>
  <si>
    <t>48 femals mice</t>
  </si>
  <si>
    <t>INV 90179167</t>
  </si>
  <si>
    <t>INV FRA-006268</t>
  </si>
  <si>
    <t>INV FRA-006269</t>
  </si>
  <si>
    <t>INV 25002818CDE028IV</t>
  </si>
  <si>
    <t>INV 25003569CDE028IV</t>
  </si>
  <si>
    <r>
      <t xml:space="preserve">SRV_24027 - </t>
    </r>
    <r>
      <rPr>
        <b/>
        <sz val="11"/>
        <rFont val="Calibri"/>
        <family val="2"/>
        <scheme val="minor"/>
      </rPr>
      <t>P00270_2025</t>
    </r>
  </si>
  <si>
    <t>P00270_2025</t>
  </si>
  <si>
    <t>Saas Software annual fee 2025 - 01/05/2025 au 30/04/2026</t>
  </si>
  <si>
    <t>Saas Software annual fee 2026 - 01/05/2026 au 30/04/2027</t>
  </si>
  <si>
    <t>INV-SHGS-06278</t>
  </si>
  <si>
    <r>
      <t xml:space="preserve">JV5KPH250112-01 - </t>
    </r>
    <r>
      <rPr>
        <b/>
        <sz val="11"/>
        <rFont val="Calibri"/>
        <family val="2"/>
        <scheme val="minor"/>
      </rPr>
      <t>P00276_2025</t>
    </r>
  </si>
  <si>
    <t>P00276_2025</t>
  </si>
  <si>
    <r>
      <t xml:space="preserve">CBA/250527/1 - </t>
    </r>
    <r>
      <rPr>
        <b/>
        <sz val="11"/>
        <rFont val="Calibri"/>
        <family val="2"/>
        <scheme val="minor"/>
      </rPr>
      <t>P00274_2025</t>
    </r>
  </si>
  <si>
    <t>P00274_2025</t>
  </si>
  <si>
    <t>Dissolution testing plan</t>
  </si>
  <si>
    <r>
      <t xml:space="preserve">WO96#2025 - </t>
    </r>
    <r>
      <rPr>
        <b/>
        <sz val="11"/>
        <rFont val="Calibri"/>
        <family val="2"/>
        <scheme val="minor"/>
      </rPr>
      <t>P00252_2025</t>
    </r>
  </si>
  <si>
    <t>P00252_2025</t>
  </si>
  <si>
    <t>Nitroso ABX464 impurty in DS &amp; DP</t>
  </si>
  <si>
    <t>P00275_2025</t>
  </si>
  <si>
    <r>
      <t xml:space="preserve">SFDC OPP-379729 - CRL-32037185 - </t>
    </r>
    <r>
      <rPr>
        <b/>
        <sz val="11"/>
        <rFont val="Calibri"/>
        <family val="2"/>
        <scheme val="minor"/>
      </rPr>
      <t>P00275_2025</t>
    </r>
  </si>
  <si>
    <r>
      <t xml:space="preserve">DDR 2025 071 V10 - </t>
    </r>
    <r>
      <rPr>
        <b/>
        <sz val="11"/>
        <rFont val="Calibri"/>
        <family val="2"/>
        <scheme val="minor"/>
      </rPr>
      <t>P00269_2025</t>
    </r>
  </si>
  <si>
    <t>P00269_2025</t>
  </si>
  <si>
    <t>Jetpharma API assessment Q2 2025 - Technical batches</t>
  </si>
  <si>
    <t>Remplacé par PO00275_2025</t>
  </si>
  <si>
    <r>
      <t xml:space="preserve">SFDC OPP-379729 - CRL-32037185 - </t>
    </r>
    <r>
      <rPr>
        <b/>
        <sz val="11"/>
        <rFont val="Calibri"/>
        <family val="2"/>
        <scheme val="minor"/>
      </rPr>
      <t>P00170_2025</t>
    </r>
    <r>
      <rPr>
        <sz val="11"/>
        <rFont val="Calibri"/>
        <family val="2"/>
        <scheme val="minor"/>
      </rPr>
      <t xml:space="preserve">  - Remplacé par PO00275_2025</t>
    </r>
  </si>
  <si>
    <t>P-TRP-333562-R7 - TORO-ABX464 IR Capsules 25mg et 50mg Manuf - CoS 06</t>
  </si>
  <si>
    <t>P00247_2025</t>
  </si>
  <si>
    <t>20.0 Analytical services</t>
  </si>
  <si>
    <t>21.0 Microbiology</t>
  </si>
  <si>
    <t>P-TRP-333562-R7 - TORO-ABX464 IR Capsules 25mg et 50mg Manuf - CoS 09</t>
  </si>
  <si>
    <t>36.0 - Analytical Services</t>
  </si>
  <si>
    <t>P00273_2025</t>
  </si>
  <si>
    <r>
      <t xml:space="preserve">25100185 - </t>
    </r>
    <r>
      <rPr>
        <b/>
        <sz val="11"/>
        <rFont val="Calibri"/>
        <family val="2"/>
        <scheme val="minor"/>
      </rPr>
      <t>P00261_2025</t>
    </r>
  </si>
  <si>
    <t>P00261_2025</t>
  </si>
  <si>
    <t>Milling trials and PSD analysis</t>
  </si>
  <si>
    <r>
      <t xml:space="preserve">QSC303253_SOW1_CO2 - </t>
    </r>
    <r>
      <rPr>
        <b/>
        <sz val="11"/>
        <rFont val="Calibri"/>
        <family val="2"/>
        <scheme val="minor"/>
      </rPr>
      <t>P00268_2025</t>
    </r>
  </si>
  <si>
    <t>P00268_2025</t>
  </si>
  <si>
    <r>
      <t xml:space="preserve">P5741183 - </t>
    </r>
    <r>
      <rPr>
        <b/>
        <sz val="11"/>
        <rFont val="Calibri"/>
        <family val="2"/>
        <scheme val="minor"/>
      </rPr>
      <t>P00271_2025</t>
    </r>
  </si>
  <si>
    <t>P00271_2025</t>
  </si>
  <si>
    <t>INV F-25051656</t>
  </si>
  <si>
    <t>Cf email du 14/10/2024</t>
  </si>
  <si>
    <t>INV 90809502</t>
  </si>
  <si>
    <t>INV JLFC250600685</t>
  </si>
  <si>
    <t>PBK modeling &amp; simulation pediatric formulation - CMC Add 20hrs</t>
  </si>
  <si>
    <t>INV SIN005556</t>
  </si>
  <si>
    <t>INV OCFR-FTI-000484</t>
  </si>
  <si>
    <t>INV OCFR-FTI-000513</t>
  </si>
  <si>
    <t>INV 4123864 + INV 4163335</t>
  </si>
  <si>
    <t>11/04/2025 + 04/06/2025</t>
  </si>
  <si>
    <t>INV 00010 25001374 RI</t>
  </si>
  <si>
    <t>ICH Stability studies for demo Batch</t>
  </si>
  <si>
    <r>
      <t xml:space="preserve">WO83#2024 - </t>
    </r>
    <r>
      <rPr>
        <b/>
        <sz val="11"/>
        <rFont val="Calibri"/>
        <family val="2"/>
        <scheme val="minor"/>
      </rPr>
      <t>P00058_2025</t>
    </r>
  </si>
  <si>
    <t>INV 00010 25001373 RI</t>
  </si>
  <si>
    <t>INV 47048823</t>
  </si>
  <si>
    <t>INV 49905125 + INV 49905965</t>
  </si>
  <si>
    <t>24/01/2025 + 02/06/2025</t>
  </si>
  <si>
    <t>INV ABIV302510</t>
  </si>
  <si>
    <t>INV ABIV202506</t>
  </si>
  <si>
    <t>INV ABIV202508</t>
  </si>
  <si>
    <t>INV ABIV202510</t>
  </si>
  <si>
    <t>INV 102305185</t>
  </si>
  <si>
    <t>INV 940578394</t>
  </si>
  <si>
    <t>INV 410428 + INV 410691 + INV 4108445 - INV 410566CN + INV 410897 + INV 413993 + INV 414177 + INV 414252 + INV 414246 + INV 414245 + INV 414244 + INV 414243 + INV 414242 + INV 414241 + INV 414240 + INV 414239 + INV 414238 + INV 414237 + INV 414336 + INV 414477 + INV 414599 + INV 414748 + INV 415019 + INV 415287 + INV 415632 + INV 415840 + INV 415963 + INV 416160</t>
  </si>
  <si>
    <t>28/02/2022 + 04/05/2022 + 09/06/2022 - 29/06/2022 + 27/06/2022 + 29/04/2024 + 30/05/2024 + 07/06/2024 + 07/06/2024 + 07/06/2024 + 07/06/2024 + 07/06/2024 + 07/06/2024 + 07/06/2024 + 07/06/2024 + 07/06/2024 + 07/06/2024 + 07/06/2024 + 27/06/2024 + 25/07/2024 + 26/08/2024 + 16/09/2024 + 30/10/2024 + 18/12/2024 +20/02/2025 + 28/03/2025 + 28/04/2025 + 30/05/2025</t>
  </si>
  <si>
    <t>INV F25-2163</t>
  </si>
  <si>
    <t>INV FRA-006301</t>
  </si>
  <si>
    <r>
      <t xml:space="preserve">ABX14744_ABX464-914_ddPCR_v3.0  + CO1 - </t>
    </r>
    <r>
      <rPr>
        <b/>
        <sz val="11"/>
        <rFont val="Calibri"/>
        <family val="2"/>
        <scheme val="minor"/>
      </rPr>
      <t>P00064_2025</t>
    </r>
    <r>
      <rPr>
        <sz val="11"/>
        <rFont val="Calibri"/>
        <family val="2"/>
        <scheme val="minor"/>
      </rPr>
      <t xml:space="preserve"> + P00278_2025</t>
    </r>
  </si>
  <si>
    <t>P00064_2025 + P00278_2025</t>
  </si>
  <si>
    <t>miR124 &amp; miR16 testing blood sample at CC ANT + CO1</t>
  </si>
  <si>
    <t>P-TRP-333562-R7 - TORO-ABX464 IR Capsules 25mg et 50mg Manuf - CoS 10</t>
  </si>
  <si>
    <t>37.0 - DP Method Validation</t>
  </si>
  <si>
    <t>38.0 - Formulation development</t>
  </si>
  <si>
    <t>39.0 - Scale Up Encap 25mg</t>
  </si>
  <si>
    <t>40.0 - Packaging Only</t>
  </si>
  <si>
    <t>P00281_2025</t>
  </si>
  <si>
    <t>étape annulée via PO00281_2025</t>
  </si>
  <si>
    <t>INV 90809747</t>
  </si>
  <si>
    <t>INV 2028509 RI = INV 2029610 RI</t>
  </si>
  <si>
    <t>04/06/2025 + 11/06/2025</t>
  </si>
  <si>
    <t>INV 0090126866 + INV 0090126865</t>
  </si>
  <si>
    <t>31/05/2025 + 31/05/2025</t>
  </si>
  <si>
    <r>
      <t xml:space="preserve">25100209 - </t>
    </r>
    <r>
      <rPr>
        <b/>
        <sz val="11"/>
        <rFont val="Calibri"/>
        <family val="2"/>
        <scheme val="minor"/>
      </rPr>
      <t>P00280_2025</t>
    </r>
  </si>
  <si>
    <t>P00280_2025</t>
  </si>
  <si>
    <t>Milling Trials</t>
  </si>
  <si>
    <r>
      <t xml:space="preserve">54 SA - </t>
    </r>
    <r>
      <rPr>
        <b/>
        <sz val="11"/>
        <rFont val="Calibri"/>
        <family val="2"/>
        <scheme val="minor"/>
      </rPr>
      <t>P00282_2025</t>
    </r>
  </si>
  <si>
    <t>P00282_2025</t>
  </si>
  <si>
    <t xml:space="preserve">CMC </t>
  </si>
  <si>
    <t>LAB SERVICE</t>
  </si>
  <si>
    <r>
      <t xml:space="preserve">DEVIS n° 2025-06_09 - </t>
    </r>
    <r>
      <rPr>
        <b/>
        <sz val="11"/>
        <rFont val="Calibri"/>
        <family val="2"/>
        <scheme val="minor"/>
      </rPr>
      <t>P00283_2025</t>
    </r>
  </si>
  <si>
    <t>P00283_2025</t>
  </si>
  <si>
    <t>Supperposition de différents lots</t>
  </si>
  <si>
    <r>
      <t xml:space="preserve">CBA/250612/1 - </t>
    </r>
    <r>
      <rPr>
        <b/>
        <sz val="11"/>
        <rFont val="Calibri"/>
        <family val="2"/>
        <scheme val="minor"/>
      </rPr>
      <t>P00285_2025</t>
    </r>
  </si>
  <si>
    <t>P00285_2025</t>
  </si>
  <si>
    <r>
      <t xml:space="preserve">CBA/250522/3 - </t>
    </r>
    <r>
      <rPr>
        <b/>
        <sz val="11"/>
        <rFont val="Calibri"/>
        <family val="2"/>
        <scheme val="minor"/>
      </rPr>
      <t>P00284_2025</t>
    </r>
  </si>
  <si>
    <t>P00284_2025</t>
  </si>
  <si>
    <t>Dissolution testing plan 2&amp;3</t>
  </si>
  <si>
    <r>
      <t xml:space="preserve">1xJBG160625NC-ABIV - </t>
    </r>
    <r>
      <rPr>
        <b/>
        <sz val="11"/>
        <rFont val="Calibri"/>
        <family val="2"/>
        <scheme val="minor"/>
      </rPr>
      <t>P00288_2025</t>
    </r>
  </si>
  <si>
    <t>P00288_2025</t>
  </si>
  <si>
    <t>INV PSI029110</t>
  </si>
  <si>
    <t>30/04/2022 + 30/04/2022 + 31/05/2022 + 31/05/2022 + 30/06/2022 + 30/06/2022</t>
  </si>
  <si>
    <r>
      <t xml:space="preserve">03062025-4 - </t>
    </r>
    <r>
      <rPr>
        <b/>
        <sz val="11"/>
        <rFont val="Calibri"/>
        <family val="2"/>
        <scheme val="minor"/>
      </rPr>
      <t>P00292_2025</t>
    </r>
  </si>
  <si>
    <t>P00292_2025</t>
  </si>
  <si>
    <t>INV 0709/22 + INV 0779/22 + INV 0067/23 + INV 0248/23 + INV 0231/23 + INV 0391/23 + INV 0506/23 + INV 0628/23 + INV 0821/23 + INV 0924/23 + INV 0437/24 + INV 0413/24 + INV 0833/24 + INV0763/25</t>
  </si>
  <si>
    <t>26/04/2022 + 30/05/2022 + 25/08/2022 + 28/10/2022 + 26/10/2022 + 19/12/2022 + 31/01/2023 + 17/03/2023 + 31/05/2023 + 29/06/2023 + 31/01/2024 + 29/01/2024 + 28/06/2024+16/06/2025</t>
  </si>
  <si>
    <t>INV 0800/25</t>
  </si>
  <si>
    <t>18/06/20205</t>
  </si>
  <si>
    <t>INV 0018/22 + INV 0216/22 + INV 0350/22 + INV 0369/22 + INV 0619/22 + INV 0744/22 + INV 0497/23 + INV 0841/23 + INV 0772/24 + INV  0762/25</t>
  </si>
  <si>
    <t>22/07/2021 + 27/10/2021 + 17/12/2021 + 20/12/2021 + 30/03/2022 + 30/05/2022 + 31/01/2023 + 16/06/2023 + 19/06/2024+16/06/2025</t>
  </si>
  <si>
    <t>INV 0017/22 + INV 0215/22 + INV 0368/22 + INV 06002/22 + INV 0706/22 + INV 0387/23 + INV 0776/23 + INV 0771/24 + INV 0761/25</t>
  </si>
  <si>
    <t>22/07/2021 + 27/10/2021 + 20/12/2021 + 25/03/2022 + 26/04/2022 + 19/12/2022 + 22/05/2023 + 19/06/2024 + 16/06/2025</t>
  </si>
  <si>
    <t>INV 90179994</t>
  </si>
  <si>
    <t>INV 90179993</t>
  </si>
  <si>
    <t>Production lot ABX464 6,25mg &amp; 12,5mg &amp; 25mg &amp; 50mg gélule</t>
  </si>
  <si>
    <t>INV 12011321205</t>
  </si>
  <si>
    <t>INV 25100220</t>
  </si>
  <si>
    <t>INV 250816</t>
  </si>
  <si>
    <t>INV EUSI344577</t>
  </si>
  <si>
    <t>INV 00010 25001491 RI</t>
  </si>
  <si>
    <t>INV 00010 25000225 RI + INV 00010 25000756 RI  + INV 1025001494 RI</t>
  </si>
  <si>
    <t>29/01/2025 + 27/03/2025+ 17/06/2025</t>
  </si>
  <si>
    <t>INV 0001025001493 RI</t>
  </si>
  <si>
    <t>INV 25000795 RI +INV 25001544 RI</t>
  </si>
  <si>
    <t>31/03/2025 + 23/06/2025</t>
  </si>
  <si>
    <t>INV PSI028882 + INV PSI029175</t>
  </si>
  <si>
    <t>04/06/2025+20/06/2025</t>
  </si>
  <si>
    <r>
      <t xml:space="preserve">EVT101731 - </t>
    </r>
    <r>
      <rPr>
        <b/>
        <sz val="11"/>
        <rFont val="Calibri"/>
        <family val="2"/>
        <scheme val="minor"/>
      </rPr>
      <t>P00294_2025</t>
    </r>
  </si>
  <si>
    <t>P00294_2025</t>
  </si>
  <si>
    <t>Solid State Characterization of ABX464 Caps</t>
  </si>
  <si>
    <r>
      <t xml:space="preserve">Q-309707 - </t>
    </r>
    <r>
      <rPr>
        <b/>
        <sz val="11"/>
        <rFont val="Calibri"/>
        <family val="2"/>
        <scheme val="minor"/>
      </rPr>
      <t>P00296_2025</t>
    </r>
  </si>
  <si>
    <t>P00296_2025</t>
  </si>
  <si>
    <r>
      <t xml:space="preserve">WO92#2025 - </t>
    </r>
    <r>
      <rPr>
        <b/>
        <sz val="11"/>
        <rFont val="Calibri"/>
        <family val="2"/>
        <scheme val="minor"/>
      </rPr>
      <t>P00297_2025</t>
    </r>
  </si>
  <si>
    <t>P00297_2025</t>
  </si>
  <si>
    <t>Additional analysis of batch 24013322-J5-0625</t>
  </si>
  <si>
    <r>
      <t xml:space="preserve">QSC302430_SOW2_CO2 - </t>
    </r>
    <r>
      <rPr>
        <b/>
        <sz val="11"/>
        <rFont val="Calibri"/>
        <family val="2"/>
        <scheme val="minor"/>
      </rPr>
      <t>P00293_2025</t>
    </r>
  </si>
  <si>
    <t>P00293_2025</t>
  </si>
  <si>
    <t>Amdt 2 - CO2 - Formulation development ABX464 pediatric form - Signature CO2</t>
  </si>
  <si>
    <t>INV F25-2178</t>
  </si>
  <si>
    <t>INV F25-2183</t>
  </si>
  <si>
    <t>INV 00010 21002455 RI + inv 0001025001620 ri</t>
  </si>
  <si>
    <t>20/09/2021 + 30/06/2025</t>
  </si>
  <si>
    <t>Détermination concentration ABX464 et Nglu UC105 - add cost</t>
  </si>
  <si>
    <t>INV 59002226</t>
  </si>
  <si>
    <t>INV 59002230</t>
  </si>
  <si>
    <t>INV 25001242 RI + INV 25001459 + inv 25001615 ri</t>
  </si>
  <si>
    <t>21/05/2025 + 13/06/2025 + 27/06/2025</t>
  </si>
  <si>
    <t>MSA_24185_WO1 - 24185_WO1_ABTECT + CO1 + CO2</t>
  </si>
  <si>
    <t>INV 25100243</t>
  </si>
  <si>
    <t>INV 25100244</t>
  </si>
  <si>
    <t>INV 0802/25 + INV 0893/25</t>
  </si>
  <si>
    <t>18/06/2025 + 30/06/2025</t>
  </si>
  <si>
    <t>INV 0445/25+INV 0545/25 + INV 0596/25 + INV 0892/25</t>
  </si>
  <si>
    <t>31/01/2025+12/03/2025+31/03/2025+30/06/2025</t>
  </si>
  <si>
    <t>INV 3000225715</t>
  </si>
  <si>
    <t>INV 90180551 + INV 90180061</t>
  </si>
  <si>
    <t>27/06/2025 + 19/06/2025</t>
  </si>
  <si>
    <t>INV SIN005708</t>
  </si>
  <si>
    <t>INV OCFR-PIN-000039 + INV OCFR-PIN000062 + INV OCFR-PIN-000083 + INV OCFR-PIN-000091 + INV OCFR-PIN-000115 + INV OCFR-PIN-000126 + INV OCFR-PIN-000131 + INV OCFR-PIN-000135 + INV OCFR-PIN-000152 +  INV OCFR-PIN-000174 + INV OCFR-PIN-000191 + INV OCFR-000230 + INV OCFR-PIN-000232 + INV OCFR-PIN-000232 + INV OCFR-PIN-000261 + INV OCFR-PIN-000270 + INV OCFR-PIN-000332</t>
  </si>
  <si>
    <t>20/12/2023 + 28/02/2024 + 27/03/2024 + 15/04/2024 + 30/05/2024 + 26/06/2024 + 15/07/2024 + 30/07/2024 + 29/08/2024 + 30/09/2024 + 31/10/2024+31/12/2024+16/01/2025+30/01/2025 + 27/02/2025 + 25/03/2025 + 30/06/2025</t>
  </si>
  <si>
    <t>INV 2024_62 + INV 2024_125 + INV 2025_17 + INV 2025_77</t>
  </si>
  <si>
    <t>14/06/2024 + 19/09/2024 + 10/04/2025 + 26/06/2025</t>
  </si>
  <si>
    <r>
      <t xml:space="preserve">MGC_CLONAGE-T2-2025 - </t>
    </r>
    <r>
      <rPr>
        <b/>
        <sz val="11"/>
        <rFont val="Calibri"/>
        <family val="2"/>
        <scheme val="minor"/>
      </rPr>
      <t>P00300_2025</t>
    </r>
  </si>
  <si>
    <t>P00300_2025</t>
  </si>
  <si>
    <t>QC RNA T2 2025</t>
  </si>
  <si>
    <t>INV 90813434</t>
  </si>
  <si>
    <t>Validation manuf process for ABX464 - 35% Start Stage 1</t>
  </si>
  <si>
    <t>Validation manuf process for ABX464 - 35% Start Stage 3</t>
  </si>
  <si>
    <t>Validation manuf process for ABX464 - 20% Start API validation</t>
  </si>
  <si>
    <t>Validation manuf process for ABX464 - 10% Upon Validation report</t>
  </si>
  <si>
    <r>
      <t xml:space="preserve">L25_4360A - </t>
    </r>
    <r>
      <rPr>
        <b/>
        <sz val="11"/>
        <rFont val="Calibri"/>
        <family val="2"/>
        <scheme val="minor"/>
      </rPr>
      <t>P00298_2025</t>
    </r>
  </si>
  <si>
    <t>P00298_2025</t>
  </si>
  <si>
    <t>Lot Clinique 25mg juillet 2025</t>
  </si>
  <si>
    <r>
      <t xml:space="preserve">L25_4349A - </t>
    </r>
    <r>
      <rPr>
        <b/>
        <sz val="11"/>
        <rFont val="Calibri"/>
        <family val="2"/>
        <scheme val="minor"/>
      </rPr>
      <t>P00303_2025</t>
    </r>
  </si>
  <si>
    <t>P00303_2025</t>
  </si>
  <si>
    <t>Stockage de matières ABIVAX jusuqu'au 30/06/2025</t>
  </si>
  <si>
    <t>Devis 13032 Amd 19</t>
  </si>
  <si>
    <t>UC107 Production plan 2025</t>
  </si>
  <si>
    <t>INV 90179481 + I?V 90180690</t>
  </si>
  <si>
    <t>02/06/2025 + 30/06/2025</t>
  </si>
  <si>
    <t>F250398</t>
  </si>
  <si>
    <t>INV 25004123CDE028IV</t>
  </si>
  <si>
    <t>INV-3501 + INV - 3589 + INV - 3643 + INV-3769 +INV-3864 + INV-3982</t>
  </si>
  <si>
    <t>31/10/2024 + 30/11/2024 + 20/12/2024+28/02/2025+30/04/2025 + 30/06/2025</t>
  </si>
  <si>
    <t>INV 10000009</t>
  </si>
  <si>
    <t>INV 361550</t>
  </si>
  <si>
    <t>INV INV-PA-12321</t>
  </si>
  <si>
    <t>23/06/2025 (recu 07/2025)</t>
  </si>
  <si>
    <t>INV 1186170</t>
  </si>
  <si>
    <t>PHARMARON INC</t>
  </si>
  <si>
    <t>PHARMARON LLC</t>
  </si>
  <si>
    <t>INV 460533 + INV 463489 + INV 463533 + INV 467971 + INV 468050 + INV 472218 + INV 474598 + IN 477198 + INV 477184 + INV 476786 + INV 481686 + INV 481688 + INV 485322 + INV485368 + INV 488680 + INV 495548 + INV 501127 + INV 505539+ INV 510172 + INV 515224+INV 520437</t>
  </si>
  <si>
    <t>21/06/2024 + 05/07/2024 + 05/07/2024 + 06/08/2024 + 06/08/2024 + 06/09/2024 + 27/09/2024 + 04/10/2024 + 04/10/2024 + 04/10/2024 + 05/11/2024 + 05/11/2024 + 05/12/2024 + 05/12/2024 +20/12/2024 + 07/02/2025+07/03/2025+04/04/2025+06/05/2025+05/06/2025+04/07/2025</t>
  </si>
  <si>
    <t>P00204_2023 + P00322_2025</t>
  </si>
  <si>
    <r>
      <t xml:space="preserve">P2472 + Co1 - </t>
    </r>
    <r>
      <rPr>
        <b/>
        <sz val="11"/>
        <rFont val="Calibri"/>
        <family val="2"/>
        <scheme val="minor"/>
      </rPr>
      <t>P00204_2023 + P00322_2025</t>
    </r>
  </si>
  <si>
    <t>P00203_2023 + P00144_2025 + P00321_2025</t>
  </si>
  <si>
    <r>
      <t xml:space="preserve">P2472 + CO1 + CO2 - </t>
    </r>
    <r>
      <rPr>
        <b/>
        <sz val="11"/>
        <rFont val="Calibri"/>
        <family val="2"/>
        <scheme val="minor"/>
      </rPr>
      <t>P00203_2023 + P00144_2025 + P00321_2025</t>
    </r>
  </si>
  <si>
    <r>
      <t xml:space="preserve">WO5 - </t>
    </r>
    <r>
      <rPr>
        <b/>
        <sz val="11"/>
        <rFont val="Calibri"/>
        <family val="2"/>
        <scheme val="minor"/>
      </rPr>
      <t>P00316_2025</t>
    </r>
  </si>
  <si>
    <t>P00316_2025</t>
  </si>
  <si>
    <t>On-site audit ALMAC IR</t>
  </si>
  <si>
    <r>
      <t xml:space="preserve">DDR 2025 071 V2.0 - </t>
    </r>
    <r>
      <rPr>
        <b/>
        <sz val="11"/>
        <rFont val="Calibri"/>
        <family val="2"/>
        <scheme val="minor"/>
      </rPr>
      <t>P00320_2025</t>
    </r>
  </si>
  <si>
    <t>P00320_2025</t>
  </si>
  <si>
    <t>Dissolution impact form API Technical Batches 2025</t>
  </si>
  <si>
    <r>
      <t xml:space="preserve">WO97#2025 - </t>
    </r>
    <r>
      <rPr>
        <b/>
        <sz val="11"/>
        <rFont val="Calibri"/>
        <family val="2"/>
        <scheme val="minor"/>
      </rPr>
      <t>P00305_2025</t>
    </r>
  </si>
  <si>
    <t>P00305_2025</t>
  </si>
  <si>
    <t>Evaluation of phototoxicity ABX464&amp;Nglu</t>
  </si>
  <si>
    <r>
      <t xml:space="preserve">186/2025/ZEFI - </t>
    </r>
    <r>
      <rPr>
        <b/>
        <sz val="11"/>
        <rFont val="Calibri"/>
        <family val="2"/>
        <scheme val="minor"/>
      </rPr>
      <t>P00314_2025</t>
    </r>
  </si>
  <si>
    <t>P00314_2025</t>
  </si>
  <si>
    <t>Entretien cage Bimestre 3 2025</t>
  </si>
  <si>
    <t>CAS</t>
  </si>
  <si>
    <r>
      <t xml:space="preserve">00135573 - </t>
    </r>
    <r>
      <rPr>
        <b/>
        <sz val="11"/>
        <rFont val="Calibri"/>
        <family val="2"/>
        <scheme val="minor"/>
      </rPr>
      <t>P00254_2025</t>
    </r>
  </si>
  <si>
    <t>P00254_2025</t>
  </si>
  <si>
    <t>CAS contrat renewal - 01/06/2025 au 31/05/2026</t>
  </si>
  <si>
    <r>
      <t xml:space="preserve">DJ00101952 - </t>
    </r>
    <r>
      <rPr>
        <b/>
        <sz val="11"/>
        <rFont val="Calibri"/>
        <family val="2"/>
        <scheme val="minor"/>
      </rPr>
      <t>P00313_2025</t>
    </r>
  </si>
  <si>
    <t>P00313_2025</t>
  </si>
  <si>
    <t>Chemaxon contract renewal - 01/07/2025 au 01/07/2026</t>
  </si>
  <si>
    <r>
      <t xml:space="preserve">web - </t>
    </r>
    <r>
      <rPr>
        <b/>
        <sz val="11"/>
        <rFont val="Calibri"/>
        <family val="2"/>
        <scheme val="minor"/>
      </rPr>
      <t>P00310_2025</t>
    </r>
  </si>
  <si>
    <t>P00310_2025</t>
  </si>
  <si>
    <r>
      <t xml:space="preserve">7095831-00 - </t>
    </r>
    <r>
      <rPr>
        <b/>
        <sz val="11"/>
        <rFont val="Calibri"/>
        <family val="2"/>
        <scheme val="minor"/>
      </rPr>
      <t>P00311_2025</t>
    </r>
  </si>
  <si>
    <t>P00311_2025</t>
  </si>
  <si>
    <t>P00309_2025</t>
  </si>
  <si>
    <r>
      <t xml:space="preserve">A-CRKA-335410-R3 - </t>
    </r>
    <r>
      <rPr>
        <b/>
        <sz val="11"/>
        <rFont val="Calibri"/>
        <family val="2"/>
        <scheme val="minor"/>
      </rPr>
      <t>P00308_2025</t>
    </r>
  </si>
  <si>
    <t>P00308_2025</t>
  </si>
  <si>
    <t>Implementation and Validation of manuf process ABX464 - PTC 2023/2024</t>
  </si>
  <si>
    <r>
      <t xml:space="preserve">A-CRKA-404127-R1 - </t>
    </r>
    <r>
      <rPr>
        <b/>
        <sz val="11"/>
        <rFont val="Calibri"/>
        <family val="2"/>
        <scheme val="minor"/>
      </rPr>
      <t>P00307_2025</t>
    </r>
  </si>
  <si>
    <t>P00307_2025</t>
  </si>
  <si>
    <t>INV 0090139054 + INV 0090139053 + INV 0090139052 + INV 0090139051</t>
  </si>
  <si>
    <t>INV 006127066</t>
  </si>
  <si>
    <t>INV 49905129 + INV 49906350</t>
  </si>
  <si>
    <t>24/01/2025 + 11/07/2025</t>
  </si>
  <si>
    <t>INV 1032506412</t>
  </si>
  <si>
    <t>GBA CENTRAL LAB SERVICES (ex LKF)</t>
  </si>
  <si>
    <t>Mail envoyé a nakesha le 16/07/2025 pour faire un nouveau PO</t>
  </si>
  <si>
    <t>INV FRA-006442</t>
  </si>
  <si>
    <t>P00325_2025</t>
  </si>
  <si>
    <r>
      <t xml:space="preserve">25100233REV1 &amp; 54 SA - </t>
    </r>
    <r>
      <rPr>
        <b/>
        <sz val="11"/>
        <rFont val="Calibri"/>
        <family val="2"/>
        <scheme val="minor"/>
      </rPr>
      <t>P00325_2025</t>
    </r>
    <r>
      <rPr>
        <sz val="1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P00306_2025</t>
    </r>
  </si>
  <si>
    <r>
      <t xml:space="preserve">Abivax 07-09-25 - </t>
    </r>
    <r>
      <rPr>
        <b/>
        <sz val="11"/>
        <rFont val="Calibri"/>
        <family val="2"/>
        <scheme val="minor"/>
      </rPr>
      <t>P00329_2025</t>
    </r>
  </si>
  <si>
    <t>P00329_2025</t>
  </si>
  <si>
    <r>
      <t xml:space="preserve">L25_4353A - </t>
    </r>
    <r>
      <rPr>
        <b/>
        <sz val="11"/>
        <rFont val="Calibri"/>
        <family val="2"/>
        <scheme val="minor"/>
      </rPr>
      <t>P00328_2025</t>
    </r>
  </si>
  <si>
    <t>P00328_2025</t>
  </si>
  <si>
    <t>Additionnal dissolution on 4 batches</t>
  </si>
  <si>
    <t>INV-25-0241</t>
  </si>
  <si>
    <t>INV 8053505164 + INV 8053510179</t>
  </si>
  <si>
    <t>04/07/2025+15/07/2025</t>
  </si>
  <si>
    <t>INV PJ20251605</t>
  </si>
  <si>
    <r>
      <t xml:space="preserve">WO98#2025 - </t>
    </r>
    <r>
      <rPr>
        <b/>
        <sz val="11"/>
        <rFont val="Calibri"/>
        <family val="2"/>
        <scheme val="minor"/>
      </rPr>
      <t>P00342_2025</t>
    </r>
  </si>
  <si>
    <t>P00342_2025</t>
  </si>
  <si>
    <t>OBE4 reconditionning in cotrolled zone</t>
  </si>
  <si>
    <r>
      <t xml:space="preserve">ASTIS-5RE - </t>
    </r>
    <r>
      <rPr>
        <b/>
        <sz val="11"/>
        <rFont val="Calibri"/>
        <family val="2"/>
        <scheme val="minor"/>
      </rPr>
      <t>P00340_2025</t>
    </r>
  </si>
  <si>
    <t>P00340_2025</t>
  </si>
  <si>
    <t>Réanalyse du lot GSAASTIS5</t>
  </si>
  <si>
    <r>
      <t xml:space="preserve">JV5K02250028-01 - </t>
    </r>
    <r>
      <rPr>
        <b/>
        <sz val="11"/>
        <rFont val="Calibri"/>
        <family val="2"/>
        <scheme val="minor"/>
      </rPr>
      <t>P00330_2025</t>
    </r>
  </si>
  <si>
    <t>P00330_2025</t>
  </si>
  <si>
    <t>ALSINOVA - ex KEYRUS</t>
  </si>
  <si>
    <t>SRV_21002_CO11</t>
  </si>
  <si>
    <r>
      <t xml:space="preserve">D5926046 - </t>
    </r>
    <r>
      <rPr>
        <b/>
        <sz val="11"/>
        <rFont val="Calibri"/>
        <family val="2"/>
        <scheme val="minor"/>
      </rPr>
      <t>P00312_2025</t>
    </r>
  </si>
  <si>
    <t>P00312_2025</t>
  </si>
  <si>
    <r>
      <t xml:space="preserve">web - </t>
    </r>
    <r>
      <rPr>
        <b/>
        <sz val="11"/>
        <rFont val="Calibri"/>
        <family val="2"/>
        <scheme val="minor"/>
      </rPr>
      <t>P00338_2025</t>
    </r>
  </si>
  <si>
    <t>P00338_2025</t>
  </si>
  <si>
    <r>
      <t xml:space="preserve">NA - </t>
    </r>
    <r>
      <rPr>
        <b/>
        <sz val="11"/>
        <rFont val="Calibri"/>
        <family val="2"/>
        <scheme val="minor"/>
      </rPr>
      <t>P00339_2025</t>
    </r>
  </si>
  <si>
    <t>P00339_2025</t>
  </si>
  <si>
    <t>INV 8053511584</t>
  </si>
  <si>
    <t>INV 0760/2025 + INV 0863/25 + INV 0017/26</t>
  </si>
  <si>
    <t>16/06/2025 + 27/06/2025+21/07/2025</t>
  </si>
  <si>
    <r>
      <t xml:space="preserve">SOW-STN_abivax 050625 - </t>
    </r>
    <r>
      <rPr>
        <b/>
        <sz val="11"/>
        <rFont val="Calibri"/>
        <family val="2"/>
        <scheme val="minor"/>
      </rPr>
      <t>P00345_2025</t>
    </r>
  </si>
  <si>
    <t>P00345_2025</t>
  </si>
  <si>
    <t>Aude G / Nadege</t>
  </si>
  <si>
    <t>Archivage 3 ans - 2026-2027-2028 - 01/01/2026 au 31/12/2026</t>
  </si>
  <si>
    <t>Archivage 3 ans - 2026-2027-2028 - 01/01/2027 au 31/12/2027</t>
  </si>
  <si>
    <t>Archivage 3 ans - 2026-2027-2028 - 01/01/2028 au 31/12/2028</t>
  </si>
  <si>
    <r>
      <t xml:space="preserve">24ARC0015 - </t>
    </r>
    <r>
      <rPr>
        <b/>
        <sz val="11"/>
        <rFont val="Calibri"/>
        <family val="2"/>
        <scheme val="minor"/>
      </rPr>
      <t>P00341_2025</t>
    </r>
  </si>
  <si>
    <t>P00341_2025</t>
  </si>
  <si>
    <t>Archivage 3 ans 2026-2027-2028</t>
  </si>
  <si>
    <r>
      <t xml:space="preserve">CPQ-02310703 - </t>
    </r>
    <r>
      <rPr>
        <b/>
        <sz val="11"/>
        <rFont val="Calibri"/>
        <family val="2"/>
        <scheme val="minor"/>
      </rPr>
      <t>P00349_2025</t>
    </r>
  </si>
  <si>
    <t>P00349_2025</t>
  </si>
  <si>
    <r>
      <t xml:space="preserve">L25_4373A - </t>
    </r>
    <r>
      <rPr>
        <b/>
        <sz val="11"/>
        <rFont val="Calibri"/>
        <family val="2"/>
        <scheme val="minor"/>
      </rPr>
      <t>P00337_2025</t>
    </r>
  </si>
  <si>
    <t>P00337_2025</t>
  </si>
  <si>
    <t>Stabilité lots techniques pilulier 25mg &amp; 50mg - T0</t>
  </si>
  <si>
    <t>Stabilité lots techniques pilulier 25mg &amp; 50mg - T3</t>
  </si>
  <si>
    <t>Stabilité lots techniques pilulier 25mg &amp; 50mg - T6</t>
  </si>
  <si>
    <t>Stabilité lots techniques pilulier 25mg &amp; 50mg - T9</t>
  </si>
  <si>
    <t>Stabilité lots techniques pilulier 25mg &amp; 50mg - T12</t>
  </si>
  <si>
    <t>Stabilité lots techniques pilulier 25mg &amp; 50mg - T18</t>
  </si>
  <si>
    <t>Stabilité lots techniques pilulier 25mg &amp; 50mg - T24</t>
  </si>
  <si>
    <t>Stabilité lots techniques pilulier 25mg &amp; 50mg - T36</t>
  </si>
  <si>
    <t>Stabilité lots techniques pilulier 25mg &amp; 50mg - T48</t>
  </si>
  <si>
    <t>INV 0529/25 + INV 637/25 + INV 713/25 + 0778/25 + INV 0021/26</t>
  </si>
  <si>
    <t>28/02/2025+25/04/2025+27/05/2025+16/06/2025+21/07/2025</t>
  </si>
  <si>
    <t>INV 10000019 +INV 10000076</t>
  </si>
  <si>
    <t>10/07/2025+24/07/2025</t>
  </si>
  <si>
    <t>INV 2035470 RI + INV 2035447 RI + INV 2036334 RI + INV 2037009 RI</t>
  </si>
  <si>
    <t>11/07/2025 +11/07/2025 + 18/07/2025+23/07/2025</t>
  </si>
  <si>
    <t>INV 9216207597</t>
  </si>
  <si>
    <t>23/072025</t>
  </si>
  <si>
    <t>INV 25004886CDE028IV</t>
  </si>
  <si>
    <t>INV FRA-006478</t>
  </si>
  <si>
    <t>INV FRA-006473</t>
  </si>
  <si>
    <t>INV PSI029863</t>
  </si>
  <si>
    <t>INV F25-2207</t>
  </si>
  <si>
    <t>INV 90817362</t>
  </si>
  <si>
    <t>INV 4201701+INV 4205942</t>
  </si>
  <si>
    <t>21/07/2025 + 25/07/2025</t>
  </si>
  <si>
    <r>
      <t xml:space="preserve">web - </t>
    </r>
    <r>
      <rPr>
        <b/>
        <sz val="11"/>
        <rFont val="Calibri"/>
        <family val="2"/>
        <scheme val="minor"/>
      </rPr>
      <t>P00351_2025</t>
    </r>
  </si>
  <si>
    <t>P00351_2025</t>
  </si>
  <si>
    <r>
      <t xml:space="preserve">web - </t>
    </r>
    <r>
      <rPr>
        <b/>
        <sz val="11"/>
        <rFont val="Calibri"/>
        <family val="2"/>
        <scheme val="minor"/>
      </rPr>
      <t>P00352_2025</t>
    </r>
  </si>
  <si>
    <t>P00352_2025</t>
  </si>
  <si>
    <r>
      <t xml:space="preserve">CDG-0800024587-25JUL2025-251332445CL-V1 - </t>
    </r>
    <r>
      <rPr>
        <b/>
        <sz val="11"/>
        <rFont val="Calibri"/>
        <family val="2"/>
        <scheme val="minor"/>
      </rPr>
      <t>P00353_2025</t>
    </r>
  </si>
  <si>
    <t>P00353_2025</t>
  </si>
  <si>
    <t>Transport de Orgapharm vers SEQENS PCAS</t>
  </si>
  <si>
    <t>Didier S (par Aude G)</t>
  </si>
  <si>
    <t>P00343_2025</t>
  </si>
  <si>
    <r>
      <t xml:space="preserve">SOW-3729-V2 - </t>
    </r>
    <r>
      <rPr>
        <b/>
        <sz val="11"/>
        <rFont val="Calibri"/>
        <family val="2"/>
        <scheme val="minor"/>
      </rPr>
      <t>P000344_2025</t>
    </r>
  </si>
  <si>
    <t>P000344_2025</t>
  </si>
  <si>
    <t>Achivage 3 ans - 2026-2027-2028 - 01/01/2026 au 31/12/2028</t>
  </si>
  <si>
    <t>Achivage 3 ans - 2026 - 01/01/2026 au 31/12/2026</t>
  </si>
  <si>
    <t>Achivage 3 ans - 2027 - 01/01/2027 au 31/12/2027</t>
  </si>
  <si>
    <t>Achivage 3 ans - 2028 - 01/01/2028 au 31/12/2028</t>
  </si>
  <si>
    <t>OUT ?</t>
  </si>
  <si>
    <t>INV I-2023-1104 + INV I-2023-1108</t>
  </si>
  <si>
    <t>17/11/2023 + 01/01/2024</t>
  </si>
  <si>
    <t>Out ?</t>
  </si>
  <si>
    <t>INV EUSI266733</t>
  </si>
  <si>
    <t>INV 2305191</t>
  </si>
  <si>
    <t>INV 2024-000394</t>
  </si>
  <si>
    <t>INV 342527</t>
  </si>
  <si>
    <t>INV 90790139</t>
  </si>
  <si>
    <t>INV 90790293</t>
  </si>
  <si>
    <t>devis signé avec CAPEVAL pas ABIVAX</t>
  </si>
  <si>
    <t>Pathology peer review marmoset slides - 6 600 €</t>
  </si>
  <si>
    <t xml:space="preserve">INV 90655372 </t>
  </si>
  <si>
    <t>INV 10087551</t>
  </si>
  <si>
    <t>INV F25-2209</t>
  </si>
  <si>
    <t>03/07/2025+28/07/2025+28/07/2025</t>
  </si>
  <si>
    <t>INV OCFR-FTI-000544 + INV OCFR-FTC-000301+INV OCFR-FTI-000569</t>
  </si>
  <si>
    <t>INV 8053515066</t>
  </si>
  <si>
    <t>INV 8053513851</t>
  </si>
  <si>
    <t>INV 90181235</t>
  </si>
  <si>
    <t>INV 90181226</t>
  </si>
  <si>
    <t>35947-WO 009 - CO1</t>
  </si>
  <si>
    <t>RI907 - Renal Impairment Study - Monthly fees 2025 (5 mois x 12 262 €)</t>
  </si>
  <si>
    <t>RI907 - Renal Impairment Study - Monthly fees 2026 (2 mois x 6 054 €)</t>
  </si>
  <si>
    <t>RI907 - Renal Impairment Study - Monthly fees 2025 (9 mois x 18 335€)</t>
  </si>
  <si>
    <t>RI907 - Renal Impairment Study - Signature CO#1</t>
  </si>
  <si>
    <t>RI907 - Renal Impairment Study - Last Subject Last visit Cohort 1</t>
  </si>
  <si>
    <t>RI907 - Renal Impairment Study - Last Subject Last visit Cohort 2</t>
  </si>
  <si>
    <t>INV OCFR-FTI-000568</t>
  </si>
  <si>
    <r>
      <t xml:space="preserve">SRV_18231_A7+CO1 - KAB51990 - </t>
    </r>
    <r>
      <rPr>
        <b/>
        <sz val="11"/>
        <rFont val="Calibri"/>
        <family val="2"/>
        <scheme val="minor"/>
      </rPr>
      <t>P00054_2024</t>
    </r>
  </si>
  <si>
    <t>ABTECT PROGRAM 105 106 107 202 Safety surveillance and signal management - durée 13,5 mois + CO1</t>
  </si>
  <si>
    <t>P00054_2024 + PO a venir 2025</t>
  </si>
  <si>
    <r>
      <t xml:space="preserve">Web - </t>
    </r>
    <r>
      <rPr>
        <b/>
        <sz val="11"/>
        <rFont val="Calibri"/>
        <family val="2"/>
        <scheme val="minor"/>
      </rPr>
      <t>P00356_2025</t>
    </r>
  </si>
  <si>
    <t>P00356_2025</t>
  </si>
  <si>
    <t>INV 2038071 RI</t>
  </si>
  <si>
    <r>
      <t xml:space="preserve">Web - </t>
    </r>
    <r>
      <rPr>
        <b/>
        <sz val="11"/>
        <rFont val="Calibri"/>
        <family val="2"/>
        <scheme val="minor"/>
      </rPr>
      <t>P00360_2025</t>
    </r>
  </si>
  <si>
    <t>P00360_2025</t>
  </si>
  <si>
    <r>
      <t xml:space="preserve">250729FR01959425MP - </t>
    </r>
    <r>
      <rPr>
        <b/>
        <sz val="11"/>
        <rFont val="Calibri"/>
        <family val="2"/>
        <scheme val="minor"/>
      </rPr>
      <t>P00358_2025</t>
    </r>
  </si>
  <si>
    <t>P00358_2025</t>
  </si>
  <si>
    <t>CENTRAL LAB TOUJOURS D'ACTU ? 07/2025?</t>
  </si>
  <si>
    <t>out ?</t>
  </si>
  <si>
    <t>INV F2208-220334</t>
  </si>
  <si>
    <t>INV 2024/220</t>
  </si>
  <si>
    <t>OUT Si Sophie G Confirme</t>
  </si>
  <si>
    <t>INV UPC-2024-016</t>
  </si>
  <si>
    <t>OUT ? Demander TD si close</t>
  </si>
  <si>
    <t>Cloturé cf email du 06/01/2025 ds Suppliers files</t>
  </si>
  <si>
    <t>OUT ? Demander confirmation a JD</t>
  </si>
  <si>
    <t>INV 032309 + INV 032314 + INV 032340</t>
  </si>
  <si>
    <t>07/09/2023 + 26/10/2023 + 12/04/2024</t>
  </si>
  <si>
    <t>OUT ? Chercher les factures</t>
  </si>
  <si>
    <t>After sending TMF to the sponsor</t>
  </si>
  <si>
    <t>OUT ? Demander a Jo</t>
  </si>
  <si>
    <t>Out ? Demander a julien S</t>
  </si>
  <si>
    <t>Cécile A</t>
  </si>
  <si>
    <t>CRYOPORT</t>
  </si>
  <si>
    <r>
      <t xml:space="preserve">DV-ABI-0725-1640 - </t>
    </r>
    <r>
      <rPr>
        <b/>
        <sz val="11"/>
        <rFont val="Calibri"/>
        <family val="2"/>
        <scheme val="minor"/>
      </rPr>
      <t>P00366_2025</t>
    </r>
  </si>
  <si>
    <t>P00366_2025</t>
  </si>
  <si>
    <t>destruction of all study samples</t>
  </si>
  <si>
    <r>
      <t xml:space="preserve">DV-ABI-0725-1648 - </t>
    </r>
    <r>
      <rPr>
        <b/>
        <sz val="11"/>
        <rFont val="Calibri"/>
        <family val="2"/>
        <scheme val="minor"/>
      </rPr>
      <t>P00367_2025</t>
    </r>
  </si>
  <si>
    <t>P00367_2025</t>
  </si>
  <si>
    <r>
      <t xml:space="preserve">DV-ABI-0725-1644 - </t>
    </r>
    <r>
      <rPr>
        <b/>
        <sz val="11"/>
        <rFont val="Calibri"/>
        <family val="2"/>
        <scheme val="minor"/>
      </rPr>
      <t>P00363_2025</t>
    </r>
  </si>
  <si>
    <t>P00363_2025</t>
  </si>
  <si>
    <r>
      <t xml:space="preserve">DV-ABI-0725-1647 - </t>
    </r>
    <r>
      <rPr>
        <b/>
        <sz val="11"/>
        <rFont val="Calibri"/>
        <family val="2"/>
        <scheme val="minor"/>
      </rPr>
      <t>P00365_2025</t>
    </r>
  </si>
  <si>
    <t>P00365_2025</t>
  </si>
  <si>
    <r>
      <t xml:space="preserve">DV-ABI-0725-1643 - </t>
    </r>
    <r>
      <rPr>
        <b/>
        <sz val="11"/>
        <rFont val="Calibri"/>
        <family val="2"/>
        <scheme val="minor"/>
      </rPr>
      <t>P00362_2025</t>
    </r>
  </si>
  <si>
    <t>P00362_2025</t>
  </si>
  <si>
    <r>
      <t xml:space="preserve">DV-ABI-0725-1645 - </t>
    </r>
    <r>
      <rPr>
        <b/>
        <sz val="11"/>
        <rFont val="Calibri"/>
        <family val="2"/>
        <scheme val="minor"/>
      </rPr>
      <t>P00364_2025</t>
    </r>
  </si>
  <si>
    <t>P00364_2025</t>
  </si>
  <si>
    <r>
      <t xml:space="preserve">DV-ABI-0725-1641 - </t>
    </r>
    <r>
      <rPr>
        <b/>
        <sz val="11"/>
        <rFont val="Calibri"/>
        <family val="2"/>
        <scheme val="minor"/>
      </rPr>
      <t>P00361_2025</t>
    </r>
  </si>
  <si>
    <t>P00361_2025</t>
  </si>
  <si>
    <r>
      <t xml:space="preserve">DV-ABI-0725-1627 - </t>
    </r>
    <r>
      <rPr>
        <b/>
        <sz val="11"/>
        <rFont val="Calibri"/>
        <family val="2"/>
        <scheme val="minor"/>
      </rPr>
      <t>P00335_2025</t>
    </r>
  </si>
  <si>
    <t>P00335_2025</t>
  </si>
  <si>
    <t>P00336_2025</t>
  </si>
  <si>
    <r>
      <t xml:space="preserve">DV-ABI-0725-1626 - </t>
    </r>
    <r>
      <rPr>
        <b/>
        <sz val="11"/>
        <rFont val="Calibri"/>
        <family val="2"/>
        <scheme val="minor"/>
      </rPr>
      <t>P00334_2025</t>
    </r>
  </si>
  <si>
    <t>P00334_2025</t>
  </si>
  <si>
    <r>
      <t xml:space="preserve">DV-ABI-0725-1631 - </t>
    </r>
    <r>
      <rPr>
        <b/>
        <sz val="11"/>
        <rFont val="Calibri"/>
        <family val="2"/>
        <scheme val="minor"/>
      </rPr>
      <t>P00333_2025</t>
    </r>
  </si>
  <si>
    <t>P00333_2025</t>
  </si>
  <si>
    <r>
      <t xml:space="preserve">DV-ABI-0725-1629 - </t>
    </r>
    <r>
      <rPr>
        <b/>
        <sz val="11"/>
        <rFont val="Calibri"/>
        <family val="2"/>
        <scheme val="minor"/>
      </rPr>
      <t>P00331_2025</t>
    </r>
  </si>
  <si>
    <t>P00331_2025</t>
  </si>
  <si>
    <t>HIV001</t>
  </si>
  <si>
    <r>
      <t xml:space="preserve">DV-ABI-0725-1625 - </t>
    </r>
    <r>
      <rPr>
        <b/>
        <sz val="11"/>
        <rFont val="Calibri"/>
        <family val="2"/>
        <scheme val="minor"/>
      </rPr>
      <t>P00332_2025</t>
    </r>
  </si>
  <si>
    <t>P00332_2025</t>
  </si>
  <si>
    <r>
      <t xml:space="preserve">DV-ABI-0725-1628 - </t>
    </r>
    <r>
      <rPr>
        <b/>
        <sz val="11"/>
        <rFont val="Calibri"/>
        <family val="2"/>
        <scheme val="minor"/>
      </rPr>
      <t>P00336_2025</t>
    </r>
  </si>
  <si>
    <t>INV F020-SIN-0002788 + INV F020-SIN-0002789 + INV F020-SIN-0002830 + INV F020-SIN-0002866 + INV F020-SIN-0002831 + INV F020-SIN-0002951 + INV F020-SIN-0002964 + INV F020-SIN-0002965 + INV F020-SIN-0002978 + INV F020-SIN-0002942 + INV F020-SIN-0003004 + INV F020-SIN-0003031 + INV f020- SIN- 0003107+ INV F0202-SIN-0003104 + INv F020-SIN-0003156</t>
  </si>
  <si>
    <t>02/09/2024 + 02/09/2024 + 08/10/2024 + 13/11/2024 + 08/10/2024 + 27/01/2025 + 30/02/2025 + 03/02/2025 + 14/02/2025 + 16/01/2025 + 05/03/2025 + 08/04/2025+13/06/2025+11/06/2025  + 01/08/2025</t>
  </si>
  <si>
    <t>INV 940582415</t>
  </si>
  <si>
    <t>INV S25-314281</t>
  </si>
  <si>
    <t>Keija</t>
  </si>
  <si>
    <t>INV FAC-25-245</t>
  </si>
  <si>
    <t>INV OCFR-FTI-000570</t>
  </si>
  <si>
    <t>INV 2038876 RI</t>
  </si>
  <si>
    <t>INV 90178376 + INV 90179248 + INV 90181779</t>
  </si>
  <si>
    <t>03/05/2025 + 29/05/2025 + 01/08/2025</t>
  </si>
  <si>
    <t>INV 90181244 + INV 90181999</t>
  </si>
  <si>
    <t>22/07/2025 + 05/08/2025</t>
  </si>
  <si>
    <t>INV 90179584 + INV 90179745 + INV 90180552 + INV 90180397 + INV 90181241 + INV 90182000</t>
  </si>
  <si>
    <t>06/06/2025 + 11/06/2025 + 27/06/2025 + 26/06/2025 + 22/07/2025 + 05/08/2025</t>
  </si>
  <si>
    <t>INV ABI 20250331 + INV ABI 20250430 + INV ABI 20250630 + INV ABI 20250731</t>
  </si>
  <si>
    <t>31/03/2025 + 30/04/2025 + 30/06/2025+31/07/2025</t>
  </si>
  <si>
    <t>INV 12011326682</t>
  </si>
  <si>
    <t>INV 25100324</t>
  </si>
  <si>
    <t>INV 25100294 + INV 25100340</t>
  </si>
  <si>
    <t>18/07/2025 + 18/08/2025</t>
  </si>
  <si>
    <t>INV 25100020 + INV 25100040 + INV 25100114 + INV 25100287 + INV 25100350</t>
  </si>
  <si>
    <t>31/01/2025 + 10/02/2025 + 28/03/2025+15/07/2025+20/08/2025</t>
  </si>
  <si>
    <t>INV 25100117 + INV 25100221 + INV 25100286 + INV 25100348 + INV 25100349</t>
  </si>
  <si>
    <t>28/03/2025 + 17/06/2025+ 15/07/2025 + 20/08/2025 + 20/08/2025</t>
  </si>
  <si>
    <t>INV F25-2215</t>
  </si>
  <si>
    <t>INV 47049109+INV 47049744</t>
  </si>
  <si>
    <t>24/06/2025+19/08/2025</t>
  </si>
  <si>
    <t>INV 47048108 + INV 47049780</t>
  </si>
  <si>
    <t>08/04/2025+19/08/2025</t>
  </si>
  <si>
    <r>
      <t xml:space="preserve">OPP-353689 - CRL-31989756 - </t>
    </r>
    <r>
      <rPr>
        <b/>
        <sz val="11"/>
        <rFont val="Calibri"/>
        <family val="2"/>
        <scheme val="minor"/>
      </rPr>
      <t>P00369_2025</t>
    </r>
  </si>
  <si>
    <t>P00382_2025</t>
  </si>
  <si>
    <t>Transfer HPLC-MS Method Quantif ABX464 humain Plasma</t>
  </si>
  <si>
    <t>Validation HPLC-MS Method Quantif ABX464 humain Plasma</t>
  </si>
  <si>
    <t>YMUNIT</t>
  </si>
  <si>
    <r>
      <t xml:space="preserve">ABIVAX-202508-05 - </t>
    </r>
    <r>
      <rPr>
        <b/>
        <sz val="11"/>
        <rFont val="Calibri"/>
        <family val="2"/>
        <scheme val="minor"/>
      </rPr>
      <t>P00373_2025</t>
    </r>
  </si>
  <si>
    <t>P00373_2025</t>
  </si>
  <si>
    <t>Audit on site IRON MOUNTAIN FR</t>
  </si>
  <si>
    <r>
      <t xml:space="preserve">QTOC217747 - </t>
    </r>
    <r>
      <rPr>
        <b/>
        <sz val="11"/>
        <rFont val="Calibri"/>
        <family val="2"/>
        <scheme val="minor"/>
      </rPr>
      <t>P00375_2025</t>
    </r>
  </si>
  <si>
    <t>P00375_2025</t>
  </si>
  <si>
    <t>Maintenance OCEAView année 2025</t>
  </si>
  <si>
    <r>
      <t xml:space="preserve">QTOC217779 - </t>
    </r>
    <r>
      <rPr>
        <b/>
        <sz val="11"/>
        <rFont val="Calibri"/>
        <family val="2"/>
        <scheme val="minor"/>
      </rPr>
      <t>P00376_2025</t>
    </r>
  </si>
  <si>
    <t>P00376_2025</t>
  </si>
  <si>
    <t>Renouvellement licences OCEAlert &amp; OCEAView année 2025</t>
  </si>
  <si>
    <r>
      <t xml:space="preserve">MB-34-0728/1 - </t>
    </r>
    <r>
      <rPr>
        <b/>
        <sz val="11"/>
        <rFont val="Calibri"/>
        <family val="2"/>
        <scheme val="minor"/>
      </rPr>
      <t>P00381_2025</t>
    </r>
  </si>
  <si>
    <t>P00381_2025</t>
  </si>
  <si>
    <t>Maintenance équipement - année 2025</t>
  </si>
  <si>
    <r>
      <t xml:space="preserve">Q24000704599 - </t>
    </r>
    <r>
      <rPr>
        <b/>
        <sz val="11"/>
        <rFont val="Calibri"/>
        <family val="2"/>
        <scheme val="minor"/>
      </rPr>
      <t>P00388_2025</t>
    </r>
  </si>
  <si>
    <t>P00388_2025</t>
  </si>
  <si>
    <r>
      <t xml:space="preserve">RHEM-Adv-S1-2025-ABIVAX - </t>
    </r>
    <r>
      <rPr>
        <b/>
        <sz val="11"/>
        <rFont val="Calibri"/>
        <family val="2"/>
        <scheme val="minor"/>
      </rPr>
      <t>P00389_2025</t>
    </r>
  </si>
  <si>
    <t>P00389_2025</t>
  </si>
  <si>
    <t>Expertise analyse RHEM</t>
  </si>
  <si>
    <t>Mir124 CD202</t>
  </si>
  <si>
    <t>CREATIVE BIOLABS</t>
  </si>
  <si>
    <r>
      <t xml:space="preserve">CBLA080725-YL1C-DSS - </t>
    </r>
    <r>
      <rPr>
        <b/>
        <sz val="11"/>
        <rFont val="Calibri"/>
        <family val="2"/>
        <scheme val="minor"/>
      </rPr>
      <t>P00386_2025</t>
    </r>
  </si>
  <si>
    <t>P00386_2025</t>
  </si>
  <si>
    <t>In vivo efficacity evaluation in rats colitis model - 80% non refundable</t>
  </si>
  <si>
    <t>In vivo efficacity evaluation in rats colitis model - 20% on final report</t>
  </si>
  <si>
    <t>INV 90811657.</t>
  </si>
  <si>
    <t>PO clos voir DS Ouahiba</t>
  </si>
  <si>
    <t>INV 59002326</t>
  </si>
  <si>
    <t>INV 0090149925 + INV 0090149926 + INV 0090149927</t>
  </si>
  <si>
    <t>INV 0095881637</t>
  </si>
  <si>
    <r>
      <t xml:space="preserve">AR-2025-040 - </t>
    </r>
    <r>
      <rPr>
        <b/>
        <sz val="11"/>
        <rFont val="Calibri"/>
        <family val="2"/>
        <scheme val="minor"/>
      </rPr>
      <t>P00343_2025</t>
    </r>
  </si>
  <si>
    <t>INV 47616588</t>
  </si>
  <si>
    <t>ADME study - PTC - 15% upon signature - refund</t>
  </si>
  <si>
    <t>INV 8360007062</t>
  </si>
  <si>
    <t>INV 59002306</t>
  </si>
  <si>
    <t>INV 47044658 + INV 47049743</t>
  </si>
  <si>
    <t>16/09/2024 + 19/08/2025</t>
  </si>
  <si>
    <t>1H-NMR, 13C-NMR, and 2D-NMR analyses</t>
  </si>
  <si>
    <t>PK studies in mouse, rat and cynomol</t>
  </si>
  <si>
    <t>Lysosomal stability assay</t>
  </si>
  <si>
    <t>Caco-2 permeability</t>
  </si>
  <si>
    <t>UGT Inhibition</t>
  </si>
  <si>
    <t>Rabit PK</t>
  </si>
  <si>
    <t>INV 1190540</t>
  </si>
  <si>
    <t>INV 00010 2501994 RI</t>
  </si>
  <si>
    <t>INV 10094498 + INV 10094499</t>
  </si>
  <si>
    <t>14/02/2025 + 14/02/2025</t>
  </si>
  <si>
    <t xml:space="preserve">INV 10095774 + INV 10095798 + INV 10095799 </t>
  </si>
  <si>
    <t>16/04/2025 + 17/04/2025 + 17/04/2025</t>
  </si>
  <si>
    <t>INV 10098279</t>
  </si>
  <si>
    <r>
      <t xml:space="preserve">Abivax 08-12-25 - </t>
    </r>
    <r>
      <rPr>
        <b/>
        <sz val="11"/>
        <rFont val="Calibri"/>
        <family val="2"/>
        <scheme val="minor"/>
      </rPr>
      <t>P00377_2025</t>
    </r>
  </si>
  <si>
    <t>P00377_2025</t>
  </si>
  <si>
    <t>INV PSI030537</t>
  </si>
  <si>
    <t>INV 900131920</t>
  </si>
  <si>
    <t>Regulatory/NDA-enabling ADME studies</t>
  </si>
  <si>
    <t>PK studie in minipig</t>
  </si>
  <si>
    <t>PHARMARON UK LDT</t>
  </si>
  <si>
    <t>SC258068</t>
  </si>
  <si>
    <t>Transporter Subsrate Assessment</t>
  </si>
  <si>
    <t>INV CBLA080725-YL1C-DSS</t>
  </si>
  <si>
    <t>INV FRA- 006593</t>
  </si>
  <si>
    <t>INV FRA-006486</t>
  </si>
  <si>
    <t>29/02/2025</t>
  </si>
  <si>
    <t>INV FA25  0075</t>
  </si>
  <si>
    <t>INV 25-0138</t>
  </si>
  <si>
    <t>INOKURA - ADVANCE TECHNOLOGY CORP (ATC)</t>
  </si>
  <si>
    <t>INV UPC-2025-028</t>
  </si>
  <si>
    <t>INV 49905128 + INV 49906647</t>
  </si>
  <si>
    <t>24/01/2025 + 18/08/2025</t>
  </si>
  <si>
    <t>INV 90182466</t>
  </si>
  <si>
    <t>INV 90182538 + INV 90182723 + INV 90182953</t>
  </si>
  <si>
    <t>22/08/2025 + 27/08/2025 + 30/08/2025</t>
  </si>
  <si>
    <t>INV 90182951</t>
  </si>
  <si>
    <t>INV 90182161</t>
  </si>
  <si>
    <t>23.0 Formulation Development - Back to Back 4 Batches SEQENS API</t>
  </si>
  <si>
    <t>P00411_2025</t>
  </si>
  <si>
    <t>P00410_2025</t>
  </si>
  <si>
    <t>P00409_2025</t>
  </si>
  <si>
    <t>P00407_2025</t>
  </si>
  <si>
    <r>
      <t xml:space="preserve">MSA_25050_W7 - USL-46877 - </t>
    </r>
    <r>
      <rPr>
        <b/>
        <sz val="11"/>
        <rFont val="Calibri"/>
        <family val="2"/>
        <scheme val="minor"/>
      </rPr>
      <t>P00405_2025</t>
    </r>
  </si>
  <si>
    <t>P00405_2025</t>
  </si>
  <si>
    <r>
      <t xml:space="preserve">MSA_25050_W6 - USL-40094-R1 - </t>
    </r>
    <r>
      <rPr>
        <b/>
        <sz val="11"/>
        <rFont val="Calibri"/>
        <family val="2"/>
        <scheme val="minor"/>
      </rPr>
      <t>P00404_2025</t>
    </r>
  </si>
  <si>
    <t>P00404_2025</t>
  </si>
  <si>
    <t>P00402_2025</t>
  </si>
  <si>
    <r>
      <t xml:space="preserve">MSA_25050_W5 - PHM236981 - W5 - </t>
    </r>
    <r>
      <rPr>
        <b/>
        <sz val="11"/>
        <rFont val="Calibri"/>
        <family val="2"/>
        <scheme val="minor"/>
      </rPr>
      <t>P00402_2025</t>
    </r>
  </si>
  <si>
    <t>P00401_2025</t>
  </si>
  <si>
    <t>P00400_2025</t>
  </si>
  <si>
    <r>
      <t xml:space="preserve">2025-01 - </t>
    </r>
    <r>
      <rPr>
        <b/>
        <sz val="11"/>
        <rFont val="Calibri"/>
        <family val="2"/>
        <scheme val="minor"/>
      </rPr>
      <t>P00399_2025</t>
    </r>
  </si>
  <si>
    <t>P00399_2025</t>
  </si>
  <si>
    <t>UEG 2025 Symposium Support</t>
  </si>
  <si>
    <t>P00380_2025</t>
  </si>
  <si>
    <t>Dissolution test minitab - June 2025 - 8 dissolutions</t>
  </si>
  <si>
    <t>Dissolution test minitab - July 2025 - 6 dissolutions</t>
  </si>
  <si>
    <t>Dissolution test minitab - August 2025 - 2 dissolutions</t>
  </si>
  <si>
    <t>Dissolution test minitab - September 2025 - 2 dissolutions</t>
  </si>
  <si>
    <t>Dissolution test minitab - October 2025 - 4 dissolutions</t>
  </si>
  <si>
    <t>Dissolution test minitab - November 2025 - 2 dissolutions</t>
  </si>
  <si>
    <t>Dissolution test minitab - December 2025 - 2 dissolutions</t>
  </si>
  <si>
    <t>Dissolution test minitab - January 2026 - 2 dissolutions</t>
  </si>
  <si>
    <r>
      <t xml:space="preserve">Abivax 09-05-25 - </t>
    </r>
    <r>
      <rPr>
        <b/>
        <sz val="11"/>
        <rFont val="Calibri"/>
        <family val="2"/>
        <scheme val="minor"/>
      </rPr>
      <t>P00396_2025</t>
    </r>
  </si>
  <si>
    <t>P00396_2025</t>
  </si>
  <si>
    <r>
      <t xml:space="preserve">WO100#2025 - </t>
    </r>
    <r>
      <rPr>
        <b/>
        <sz val="11"/>
        <rFont val="Calibri"/>
        <family val="2"/>
        <scheme val="minor"/>
      </rPr>
      <t>P00378_2025</t>
    </r>
  </si>
  <si>
    <t>P00378_2025</t>
  </si>
  <si>
    <t>Residual nitrite control in cellulose</t>
  </si>
  <si>
    <r>
      <t xml:space="preserve">OPP-396677 - CRL-32069829 - </t>
    </r>
    <r>
      <rPr>
        <b/>
        <sz val="11"/>
        <rFont val="Calibri"/>
        <family val="2"/>
        <scheme val="minor"/>
      </rPr>
      <t>P00370_2025</t>
    </r>
  </si>
  <si>
    <t>P00370_2025</t>
  </si>
  <si>
    <t>QSAR studies on 8 structures</t>
  </si>
  <si>
    <r>
      <t xml:space="preserve">7104858-00 - </t>
    </r>
    <r>
      <rPr>
        <b/>
        <sz val="11"/>
        <rFont val="Calibri"/>
        <family val="2"/>
        <scheme val="minor"/>
      </rPr>
      <t>P00412_2025</t>
    </r>
  </si>
  <si>
    <t>P00412_2025</t>
  </si>
  <si>
    <r>
      <t xml:space="preserve">25100290 - </t>
    </r>
    <r>
      <rPr>
        <b/>
        <sz val="11"/>
        <rFont val="Calibri"/>
        <family val="2"/>
        <scheme val="minor"/>
      </rPr>
      <t>P00379_2025</t>
    </r>
  </si>
  <si>
    <t>P00379_2025</t>
  </si>
  <si>
    <t>Milling triams and PSD analysis</t>
  </si>
  <si>
    <t>Trang N</t>
  </si>
  <si>
    <t>IRON MOUTAIN</t>
  </si>
  <si>
    <r>
      <t xml:space="preserve">006Hr00001QCb8KIAT - </t>
    </r>
    <r>
      <rPr>
        <b/>
        <sz val="11"/>
        <rFont val="Calibri"/>
        <family val="2"/>
        <scheme val="minor"/>
      </rPr>
      <t>P00403_2025</t>
    </r>
  </si>
  <si>
    <t>P00403_2025</t>
  </si>
  <si>
    <t>Paper investigator Site File archiving China</t>
  </si>
  <si>
    <t>Refacturation matières consommables - Yellow &amp; Blue opaque hard gelatine</t>
  </si>
  <si>
    <r>
      <t xml:space="preserve">ABIVAX CAPSULES ORDER - </t>
    </r>
    <r>
      <rPr>
        <b/>
        <sz val="11"/>
        <rFont val="Calibri"/>
        <family val="2"/>
        <scheme val="minor"/>
      </rPr>
      <t>P00383_2025</t>
    </r>
  </si>
  <si>
    <t>P00383_2025</t>
  </si>
  <si>
    <r>
      <t xml:space="preserve">ABIVAX BLISTERING TOOLING - </t>
    </r>
    <r>
      <rPr>
        <b/>
        <sz val="11"/>
        <rFont val="Calibri"/>
        <family val="2"/>
        <scheme val="minor"/>
      </rPr>
      <t>P00387_2025</t>
    </r>
  </si>
  <si>
    <t>P00387_2025</t>
  </si>
  <si>
    <t>Refacturation matières consommables - ABIVAX Blistering Tooling</t>
  </si>
  <si>
    <t>TRINITY</t>
  </si>
  <si>
    <r>
      <t xml:space="preserve">SRV_25090_W5 - </t>
    </r>
    <r>
      <rPr>
        <b/>
        <sz val="11"/>
        <rFont val="Calibri"/>
        <family val="2"/>
        <scheme val="minor"/>
      </rPr>
      <t>P00368_2025</t>
    </r>
  </si>
  <si>
    <t>P00368_2025</t>
  </si>
  <si>
    <t>Quick HCP demand and Payor PMR</t>
  </si>
  <si>
    <t>INV 37447 + INV 37785</t>
  </si>
  <si>
    <t>11/08/2025 + 08/09/2025</t>
  </si>
  <si>
    <t>MAC</t>
  </si>
  <si>
    <t>Marcus</t>
  </si>
  <si>
    <r>
      <t xml:space="preserve">SRV_25090_W6 - </t>
    </r>
    <r>
      <rPr>
        <b/>
        <sz val="11"/>
        <rFont val="Calibri"/>
        <family val="2"/>
        <scheme val="minor"/>
      </rPr>
      <t>P00392_2025</t>
    </r>
  </si>
  <si>
    <t>P00392_2025</t>
  </si>
  <si>
    <t>Global P&amp;MA Strategy Refresh</t>
  </si>
  <si>
    <t>INV SIN006328</t>
  </si>
  <si>
    <t>INV SIN006327</t>
  </si>
  <si>
    <t>INV FACLI000205 + INV FACLI000138 + INV FACLI000354 + INV FACLI000408 + INV FACLI000720 + INV FACLI000824 + INV FACLI001090 + INV FACLI001306 + INV FACLI001554 + INV FACLI001665 + INV FACLI002002 + INV FACLI002372 + INV FACLI001739</t>
  </si>
  <si>
    <t>29/12/2023 + 31/01/2024 + 29/02/2024 + 29/03/2024 + 30/04/2024 + 31/05/2024 + 28/06/2024 + 31/07/2024 + 30/08/2024 + 30/09/2024 + 31/10/2024 + 29/11/2024 + 01/09/2025</t>
  </si>
  <si>
    <r>
      <t xml:space="preserve">DDR 2025 071 V2.0 - </t>
    </r>
    <r>
      <rPr>
        <b/>
        <sz val="11"/>
        <rFont val="Calibri"/>
        <family val="2"/>
        <scheme val="minor"/>
      </rPr>
      <t>P00397_2025</t>
    </r>
  </si>
  <si>
    <t>P00397_2025</t>
  </si>
  <si>
    <t>Mis Manufacturing (sous et sur granulation)</t>
  </si>
  <si>
    <r>
      <t xml:space="preserve">54 SA - </t>
    </r>
    <r>
      <rPr>
        <b/>
        <sz val="11"/>
        <rFont val="Calibri"/>
        <family val="2"/>
        <scheme val="minor"/>
      </rPr>
      <t>P00414_2025</t>
    </r>
  </si>
  <si>
    <t>P00414_2025</t>
  </si>
  <si>
    <t>PSD analysis &amp; Morphology</t>
  </si>
  <si>
    <r>
      <t xml:space="preserve">P2412021 - </t>
    </r>
    <r>
      <rPr>
        <b/>
        <sz val="11"/>
        <rFont val="Calibri"/>
        <family val="2"/>
        <scheme val="minor"/>
      </rPr>
      <t>P00415_2025</t>
    </r>
  </si>
  <si>
    <r>
      <t xml:space="preserve">P2508291 - </t>
    </r>
    <r>
      <rPr>
        <b/>
        <sz val="11"/>
        <rFont val="Calibri"/>
        <family val="2"/>
        <scheme val="minor"/>
      </rPr>
      <t>P00415_2025</t>
    </r>
  </si>
  <si>
    <t>P00415_2025</t>
  </si>
  <si>
    <t>Reanalysis 12 compounds HPLC</t>
  </si>
  <si>
    <t>P00012_2024 + P00417_2025</t>
  </si>
  <si>
    <r>
      <t xml:space="preserve">O-12856_ABX464-202_v3.0 - </t>
    </r>
    <r>
      <rPr>
        <b/>
        <sz val="11"/>
        <rFont val="Calibri"/>
        <family val="2"/>
        <scheme val="minor"/>
      </rPr>
      <t>P00012_2024 + P00417_2025 (CO1)</t>
    </r>
  </si>
  <si>
    <t>INV ABIV202512</t>
  </si>
  <si>
    <t>INV ABIV202514</t>
  </si>
  <si>
    <t>INV ABIV202517</t>
  </si>
  <si>
    <t>10/04/2025 + 26/06/2025 + 15/09/2025</t>
  </si>
  <si>
    <t>INV 2025_18 + INV 2025_66 + INV 2025_115</t>
  </si>
  <si>
    <t>INV 2025_17 + INV 2025_66 + INV 2025_115</t>
  </si>
  <si>
    <t>INV 2024_62 + INV 2024_125 + INV 2024_192 + INV 2025_17 + INV 2025_77 + INV_114</t>
  </si>
  <si>
    <t>14/06/2024 + 19/09/2024 + 11/12/2024 + 10/04/2025 + 26/06/2025 + 15/09/2025</t>
  </si>
  <si>
    <t>INV 2024_192 + INV 2025_17 + INV 2025_77 + INV_114</t>
  </si>
  <si>
    <t>INV 0090160642</t>
  </si>
  <si>
    <t>MSA_24185_WO3_ICVSC + CO1</t>
  </si>
  <si>
    <r>
      <t xml:space="preserve">Web - </t>
    </r>
    <r>
      <rPr>
        <b/>
        <sz val="11"/>
        <rFont val="Calibri"/>
        <family val="2"/>
        <scheme val="minor"/>
      </rPr>
      <t>P00419_2025</t>
    </r>
  </si>
  <si>
    <t>P00419_2025</t>
  </si>
  <si>
    <t>JACKSON LABORATORIES</t>
  </si>
  <si>
    <r>
      <t xml:space="preserve">Q189152 - </t>
    </r>
    <r>
      <rPr>
        <b/>
        <sz val="11"/>
        <rFont val="Calibri"/>
        <family val="2"/>
        <scheme val="minor"/>
      </rPr>
      <t>P00422_2025</t>
    </r>
  </si>
  <si>
    <t>P00422_2025</t>
  </si>
  <si>
    <t>Souris modifiées</t>
  </si>
  <si>
    <r>
      <t xml:space="preserve">1xEB180925-NC-ABV - </t>
    </r>
    <r>
      <rPr>
        <b/>
        <sz val="11"/>
        <rFont val="Calibri"/>
        <family val="2"/>
        <scheme val="minor"/>
      </rPr>
      <t>P00424_2025</t>
    </r>
  </si>
  <si>
    <t>P00424_2025</t>
  </si>
  <si>
    <r>
      <t xml:space="preserve">CLPX250917-NC-A - </t>
    </r>
    <r>
      <rPr>
        <b/>
        <sz val="11"/>
        <rFont val="Calibri"/>
        <family val="2"/>
        <scheme val="minor"/>
      </rPr>
      <t>P00423_2025</t>
    </r>
  </si>
  <si>
    <t>P00423_2025</t>
  </si>
  <si>
    <t>P00425_2025</t>
  </si>
  <si>
    <r>
      <t xml:space="preserve">QTOC217083 - </t>
    </r>
    <r>
      <rPr>
        <b/>
        <sz val="11"/>
        <rFont val="Calibri"/>
        <family val="2"/>
        <scheme val="minor"/>
      </rPr>
      <t>P00429_2025</t>
    </r>
  </si>
  <si>
    <t>P00429_2025</t>
  </si>
  <si>
    <t>Licence annuelle OCEAlert + OCEAView - 05/08/2025 au 04/08/2026</t>
  </si>
  <si>
    <r>
      <t xml:space="preserve">SRV_25090_W7 - </t>
    </r>
    <r>
      <rPr>
        <b/>
        <sz val="11"/>
        <rFont val="Calibri"/>
        <family val="2"/>
        <scheme val="minor"/>
      </rPr>
      <t>P00413_2025</t>
    </r>
  </si>
  <si>
    <t>P00413_2025</t>
  </si>
  <si>
    <t>Global HCP Demand Study</t>
  </si>
  <si>
    <r>
      <t xml:space="preserve">COS-5-A-CRKA-335410-R3 CO n°10 - </t>
    </r>
    <r>
      <rPr>
        <b/>
        <sz val="11"/>
        <rFont val="Calibri"/>
        <family val="2"/>
        <scheme val="minor"/>
      </rPr>
      <t>P00418_2025</t>
    </r>
  </si>
  <si>
    <t>P00418_2025</t>
  </si>
  <si>
    <t>Stability Study for the DS Demonstration</t>
  </si>
  <si>
    <r>
      <t xml:space="preserve">CoS-1 - A-CRKA-335410-R3 CO n°1 - </t>
    </r>
    <r>
      <rPr>
        <b/>
        <sz val="11"/>
        <rFont val="Calibri"/>
        <family val="2"/>
        <scheme val="minor"/>
      </rPr>
      <t>P00084_2024</t>
    </r>
  </si>
  <si>
    <r>
      <t xml:space="preserve">CoS-2 - A-CRKA-335410-R3 CO n°2 - </t>
    </r>
    <r>
      <rPr>
        <b/>
        <sz val="11"/>
        <rFont val="Calibri"/>
        <family val="2"/>
        <scheme val="minor"/>
      </rPr>
      <t>P00088_2024</t>
    </r>
  </si>
  <si>
    <r>
      <t xml:space="preserve">CoS-3 - A-CRKA-335410-R3 CO n°3 - </t>
    </r>
    <r>
      <rPr>
        <b/>
        <sz val="11"/>
        <rFont val="Calibri"/>
        <family val="2"/>
        <scheme val="minor"/>
      </rPr>
      <t>P00089_2024</t>
    </r>
  </si>
  <si>
    <t>18/12/2024+10/04/2025+10/04/2025</t>
  </si>
  <si>
    <t>INV OCFR-FTI-000625</t>
  </si>
  <si>
    <t>INV 90823675</t>
  </si>
  <si>
    <t>INV PSI030844</t>
  </si>
  <si>
    <t>INV 2044873 RI + INV 2044614</t>
  </si>
  <si>
    <t>17/09/2025 + 16/09/2025</t>
  </si>
  <si>
    <t>INV 47049127 + INV 47050220</t>
  </si>
  <si>
    <t>24/06/2025 + 16/09/2025</t>
  </si>
  <si>
    <t>INV 10000249</t>
  </si>
  <si>
    <t>INV 32446</t>
  </si>
  <si>
    <t>Meme devis que PO320_25 OK vu avec Adrien</t>
  </si>
  <si>
    <t>INV 47043982 + INV 47050219</t>
  </si>
  <si>
    <t>16/07/2024 + 16/09/2025</t>
  </si>
  <si>
    <t>INV 58007234</t>
  </si>
  <si>
    <r>
      <t xml:space="preserve">B 24 039 V1 - </t>
    </r>
    <r>
      <rPr>
        <b/>
        <sz val="11"/>
        <rFont val="Calibri"/>
        <family val="2"/>
        <scheme val="minor"/>
      </rPr>
      <t>P00067_2024</t>
    </r>
  </si>
  <si>
    <r>
      <t>03-07-2024 -</t>
    </r>
    <r>
      <rPr>
        <b/>
        <sz val="11"/>
        <rFont val="Calibri"/>
        <family val="2"/>
        <scheme val="minor"/>
      </rPr>
      <t xml:space="preserve"> P00139_2024</t>
    </r>
  </si>
  <si>
    <t>P00139_2024</t>
  </si>
  <si>
    <t>INV 9216210632</t>
  </si>
  <si>
    <t>INV FACT-20240712-00151 + INV FACT-20241002-00159</t>
  </si>
  <si>
    <t>12/07/2024 + 02/10/2024</t>
  </si>
  <si>
    <t>REvvITY</t>
  </si>
  <si>
    <t>EURO</t>
  </si>
  <si>
    <t>INV INVOC10200505</t>
  </si>
  <si>
    <t>2tude terminée</t>
  </si>
  <si>
    <t>MSA_25050_W5 - PHM236981 - W5A1</t>
  </si>
  <si>
    <t>PH23055A2_WO25</t>
  </si>
  <si>
    <t>PH23055A1_WO24</t>
  </si>
  <si>
    <t>Add work on the joint population PK model of obefazimob and ABX464-N-Gluc</t>
  </si>
  <si>
    <t>INV F25-2236</t>
  </si>
  <si>
    <t>PH23068A1_WO14A1</t>
  </si>
  <si>
    <t>Add PBBM and PBPK modeling activities on obefazimod</t>
  </si>
  <si>
    <r>
      <t xml:space="preserve">PH23075_WO16 - </t>
    </r>
    <r>
      <rPr>
        <b/>
        <sz val="11"/>
        <rFont val="Calibri"/>
        <family val="2"/>
        <scheme val="minor"/>
      </rPr>
      <t>P00456_2023</t>
    </r>
    <r>
      <rPr>
        <sz val="1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>Annulé</t>
    </r>
  </si>
  <si>
    <t>ABX464NGlu PKPD analyses on UC patients - At completion of MAP 5000</t>
  </si>
  <si>
    <t>ABX464NGlu PKPD analyses on UC patients - After Graphical exploration 8920</t>
  </si>
  <si>
    <t>ABX464NGlu PKPD analyses on UC patients - PKPD modeling of 1st PD endpoint 7480</t>
  </si>
  <si>
    <t>ABX464NGlu PKPD analyses on UC patients - PKPD modeling of 2nd PD endpoint 7480</t>
  </si>
  <si>
    <t>ABX464NGlu PKPD analyses on UC patients - PKPD modeling of 3rd PD endpoint 7480</t>
  </si>
  <si>
    <t>ABX464NGlu PKPD analyses on UC patients - PKPD modeling of 4th PD endpoint 7480</t>
  </si>
  <si>
    <t>ABX464NGlu PKPD analyses on UC patients - PKPD modeling of 5th PD endpoint 7480</t>
  </si>
  <si>
    <t>ABX464NGlu PKPD analyses on UC patients - PKPD modeling of 6th PD endpoint 7480</t>
  </si>
  <si>
    <t>Annulé par PH25014</t>
  </si>
  <si>
    <r>
      <t xml:space="preserve">PH2514_WO16 - Annule et remplace </t>
    </r>
    <r>
      <rPr>
        <b/>
        <sz val="11"/>
        <color rgb="FFFF0000"/>
        <rFont val="Calibri"/>
        <family val="2"/>
        <scheme val="minor"/>
      </rPr>
      <t>PH23075</t>
    </r>
  </si>
  <si>
    <t>ABX464NGlu PKPD analyses on UC patients - At completion of dapagliflozin and mefenamic acid report</t>
  </si>
  <si>
    <t>INV F25-2242</t>
  </si>
  <si>
    <t>INV 25002273 RI</t>
  </si>
  <si>
    <t>INV 25100399</t>
  </si>
  <si>
    <t>INV 10001638+ INV 10000078 + INV 10000286</t>
  </si>
  <si>
    <t>16/06/2025+24/07/2025+26/09/2025</t>
  </si>
  <si>
    <t>INV ABIV202518</t>
  </si>
  <si>
    <r>
      <t xml:space="preserve">OPP-400757 - 32078607 - </t>
    </r>
    <r>
      <rPr>
        <b/>
        <sz val="11"/>
        <rFont val="Calibri"/>
        <family val="2"/>
        <scheme val="minor"/>
      </rPr>
      <t>P00430_2025</t>
    </r>
  </si>
  <si>
    <t>P00430_2025</t>
  </si>
  <si>
    <t>Test item shipment France Hingrie USA UK et Chine preclistudy</t>
  </si>
  <si>
    <r>
      <t xml:space="preserve">Quote 8206806280 - </t>
    </r>
    <r>
      <rPr>
        <b/>
        <sz val="11"/>
        <rFont val="Calibri"/>
        <family val="2"/>
        <scheme val="minor"/>
      </rPr>
      <t>P00433_2025</t>
    </r>
  </si>
  <si>
    <t>P00433_2025</t>
  </si>
  <si>
    <r>
      <t xml:space="preserve">Q-536639 - </t>
    </r>
    <r>
      <rPr>
        <b/>
        <sz val="11"/>
        <rFont val="Calibri"/>
        <family val="2"/>
        <scheme val="minor"/>
      </rPr>
      <t>P00436_2025</t>
    </r>
  </si>
  <si>
    <t>P00436_2025</t>
  </si>
  <si>
    <r>
      <t xml:space="preserve">JLCO250902963 - </t>
    </r>
    <r>
      <rPr>
        <b/>
        <sz val="11"/>
        <rFont val="Calibri"/>
        <family val="2"/>
        <scheme val="minor"/>
      </rPr>
      <t>P00434_2025</t>
    </r>
  </si>
  <si>
    <t>P00434_2025</t>
  </si>
  <si>
    <r>
      <t xml:space="preserve">Web - </t>
    </r>
    <r>
      <rPr>
        <b/>
        <sz val="11"/>
        <rFont val="Calibri"/>
        <family val="2"/>
        <scheme val="minor"/>
      </rPr>
      <t>P00444_2025</t>
    </r>
  </si>
  <si>
    <t>P00444_2025</t>
  </si>
  <si>
    <t>OPUS REGULAROTY</t>
  </si>
  <si>
    <r>
      <t xml:space="preserve">CSL_23124_W4 - WO4 - </t>
    </r>
    <r>
      <rPr>
        <b/>
        <sz val="11"/>
        <rFont val="Calibri"/>
        <family val="2"/>
        <scheme val="minor"/>
      </rPr>
      <t>P00438_2025</t>
    </r>
  </si>
  <si>
    <t>P00438_2025</t>
  </si>
  <si>
    <t>Consulting Reg Affairs - Sue DUVALL - 09/2025 to 02/2026</t>
  </si>
  <si>
    <r>
      <t xml:space="preserve">WO103#2025 - </t>
    </r>
    <r>
      <rPr>
        <b/>
        <sz val="11"/>
        <rFont val="Calibri"/>
        <family val="2"/>
        <scheme val="minor"/>
      </rPr>
      <t>P00416_2025</t>
    </r>
  </si>
  <si>
    <t>P00416_2025</t>
  </si>
  <si>
    <t>ICH Stability studies and PSD - ICH STAB Lot 24013322BRO3 - T3M</t>
  </si>
  <si>
    <t>ICH Stability studies and PSD - Long term stability storage</t>
  </si>
  <si>
    <t>ICH Stability studies and PSD - ICH STAB Lot 24013322BRO3 - T6M</t>
  </si>
  <si>
    <t>ICH Stability studies and PSD - ICH STAB Lot 24013322BRO3 - T9M</t>
  </si>
  <si>
    <t>ICH Stability studies and PSD - ICH STAB Lot 24013322BRO3 - T12M</t>
  </si>
  <si>
    <t>ICH Stability studies and PSD - ICH STAB Lot 24013322BRO3 - T18M</t>
  </si>
  <si>
    <t>ICH Stability studies and PSD - ICH STAB Lot 24013322BRO3 - T24M</t>
  </si>
  <si>
    <t>ICH Stability studies and PSD - ICH STAB Lot 24013322BRO3 - T36M</t>
  </si>
  <si>
    <t>ICH Stability studies and PSD - ICH STAB Lot 24013322BRO3 - T48M</t>
  </si>
  <si>
    <t>ICH Stability studies and PSD - ICH STAB Lot 24013322BRO3 - T60M</t>
  </si>
  <si>
    <t>ICH Stability studies and PSD - ICH STAB Lot 24013322BRO4 - T3M</t>
  </si>
  <si>
    <t>ICH Stability studies and PSD - ICH STAB Lot 24013322BRO4 - T6M</t>
  </si>
  <si>
    <t>ICH Stability studies and PSD - ICH STAB Lot 24013322BRO4 - T9M</t>
  </si>
  <si>
    <t>ICH Stability studies and PSD - ICH STAB Lot 24013322BRO4 - T12M</t>
  </si>
  <si>
    <t>ICH Stability studies and PSD - ICH STAB Lot 24013322BRO4 - T18M</t>
  </si>
  <si>
    <t>ICH Stability studies and PSD - ICH STAB Lot 24013322BRO4 - T24M</t>
  </si>
  <si>
    <t>ICH Stability studies and PSD - ICH STAB Lot 24013322BRO4 - T36M</t>
  </si>
  <si>
    <t>ICH Stability studies and PSD - ICH STAB Lot 24013322BRO4 - T48M</t>
  </si>
  <si>
    <t>ICH Stability studies and PSD - ICH STAB Lot 24013322BRO4 - T60M</t>
  </si>
  <si>
    <t>ICH Stability studies and PSD - ICH STAB Lot 24013322BRO5 - T3M</t>
  </si>
  <si>
    <t>ICH Stability studies and PSD - ICH STAB Lot 24013322BRO5 - T6M</t>
  </si>
  <si>
    <t>ICH Stability studies and PSD - ICH STAB Lot 24013322BRO5 - T9M</t>
  </si>
  <si>
    <t>ICH Stability studies and PSD - ICH STAB Lot 24013322BRO5 - T12M</t>
  </si>
  <si>
    <t>ICH Stability studies and PSD - ICH STAB Lot 24013322BRO5 - T18M</t>
  </si>
  <si>
    <t>ICH Stability studies and PSD - ICH STAB Lot 24013322BRO5 - T24M</t>
  </si>
  <si>
    <t>ICH Stability studies and PSD - ICH STAB Lot 24013322BRO5 - T36M</t>
  </si>
  <si>
    <t>ICH Stability studies and PSD - ICH STAB Lot 24013322BRO5 - T48M</t>
  </si>
  <si>
    <t>ICH Stability studies and PSD - ICH STAB Lot 24013322BRO5 - T60M</t>
  </si>
  <si>
    <t>ICH Stability studies and PSD - ICH STAB Batch N001 - T3M</t>
  </si>
  <si>
    <t>ICH Stability studies and PSD - ICH STAB Batch N001 - T6M</t>
  </si>
  <si>
    <t>ICH Stability studies and PSD - ICH STAB Batch N001 - T9M</t>
  </si>
  <si>
    <t>ICH Stability studies and PSD - ICH STAB Batch N001 - T12M</t>
  </si>
  <si>
    <t>ICH Stability studies and PSD - ICH STAB Batch N001 - T18M</t>
  </si>
  <si>
    <t>ICH Stability studies and PSD - ICH STAB Batch N001 - T24M</t>
  </si>
  <si>
    <t>ICH Stability studies and PSD - ICH STAB Batch N001 - T36M</t>
  </si>
  <si>
    <t>ICH Stability studies and PSD - ICH STAB Batch N001 - T48M</t>
  </si>
  <si>
    <t>ICH Stability studies and PSD - ICH STAB Batch N001 - T60M</t>
  </si>
  <si>
    <t>ICH Stability studies and PSD - ICH STAB Batch N002 - T3M</t>
  </si>
  <si>
    <t>ICH Stability studies and PSD - ICH STAB Batch N002 - T6M</t>
  </si>
  <si>
    <t>ICH Stability studies and PSD - ICH STAB Batch N002 - T9M</t>
  </si>
  <si>
    <t>ICH Stability studies and PSD - ICH STAB Batch N002 - T12M</t>
  </si>
  <si>
    <t>ICH Stability studies and PSD - ICH STAB Batch N002 - T18M</t>
  </si>
  <si>
    <t>ICH Stability studies and PSD - ICH STAB Batch N002 - T24M</t>
  </si>
  <si>
    <t>ICH Stability studies and PSD - ICH STAB Batch N002 - T36M</t>
  </si>
  <si>
    <t>ICH Stability studies and PSD - ICH STAB Batch N002 - T48M</t>
  </si>
  <si>
    <t>ICH Stability studies and PSD - ICH STAB Batch N002 - T60M</t>
  </si>
  <si>
    <t>P-TRP-333562-R7 - TORO-ABX464 IR Capsules 25mg et 50mg Manuf - CoS 11</t>
  </si>
  <si>
    <t>P00437_2025</t>
  </si>
  <si>
    <t>41.0 - Analitycal Work</t>
  </si>
  <si>
    <t>42.0 - Registration - Cork Campaign</t>
  </si>
  <si>
    <r>
      <t xml:space="preserve">Web - </t>
    </r>
    <r>
      <rPr>
        <b/>
        <sz val="11"/>
        <rFont val="Calibri"/>
        <family val="2"/>
        <scheme val="minor"/>
      </rPr>
      <t>P00442_2025</t>
    </r>
  </si>
  <si>
    <t>P00442_2025</t>
  </si>
  <si>
    <r>
      <t xml:space="preserve">250925_092613_CDG_0800024587_VR_03 - </t>
    </r>
    <r>
      <rPr>
        <b/>
        <sz val="11"/>
        <rFont val="Calibri"/>
        <family val="2"/>
        <scheme val="minor"/>
      </rPr>
      <t>P00439_2025</t>
    </r>
  </si>
  <si>
    <t>P00439_2025</t>
  </si>
  <si>
    <t>Transport ABX464 Atlanchim vers CNRS</t>
  </si>
  <si>
    <r>
      <t xml:space="preserve">B 24 039 V1 - </t>
    </r>
    <r>
      <rPr>
        <b/>
        <sz val="11"/>
        <rFont val="Calibri"/>
        <family val="2"/>
        <scheme val="minor"/>
      </rPr>
      <t>P00440_2025</t>
    </r>
  </si>
  <si>
    <t>P00440_2025</t>
  </si>
  <si>
    <r>
      <t xml:space="preserve">P2509181 - </t>
    </r>
    <r>
      <rPr>
        <b/>
        <sz val="11"/>
        <rFont val="Calibri"/>
        <family val="2"/>
        <scheme val="minor"/>
      </rPr>
      <t>P00441_2025</t>
    </r>
  </si>
  <si>
    <t>P00441_2025</t>
  </si>
  <si>
    <t>Synthesis and reanalysis</t>
  </si>
  <si>
    <r>
      <t xml:space="preserve">7103992-00 - </t>
    </r>
    <r>
      <rPr>
        <b/>
        <sz val="11"/>
        <rFont val="Calibri"/>
        <family val="2"/>
        <scheme val="minor"/>
      </rPr>
      <t>P00435_2025</t>
    </r>
  </si>
  <si>
    <t>P00435_2025</t>
  </si>
  <si>
    <t>Maintenance Machines labo - 14/12/2025 au 13/12/2026</t>
  </si>
  <si>
    <t>Maintenance Machines labo - 14/12/2026 au 13/12/2027</t>
  </si>
  <si>
    <t>Production lot ABX464 6,25mg &amp; 12,5mg &amp; 25mg &amp; 50mg gélule - STAB Campagne 1 - 3 lots - T0M</t>
  </si>
  <si>
    <t>Production lot ABX464 6,25mg &amp; 12,5mg &amp; 25mg &amp; 50mg gélule - STAB Campagne 1 - 3 lots - T3M</t>
  </si>
  <si>
    <t>Production lot ABX464 6,25mg &amp; 12,5mg &amp; 25mg &amp; 50mg gélule - STAB Campagne 1 - 3 lots - T6M</t>
  </si>
  <si>
    <t>Production lot ABX464 6,25mg &amp; 12,5mg &amp; 25mg &amp; 50mg gélule - STAB Campagne 1 - 3 lots - T9M</t>
  </si>
  <si>
    <t>Production lot ABX464 6,25mg &amp; 12,5mg &amp; 25mg &amp; 50mg gélule - STAB Campagne 1 - 3 lots - T12M</t>
  </si>
  <si>
    <t>Production lot ABX464 6,25mg &amp; 12,5mg &amp; 25mg &amp; 50mg gélule - STAB Campagne 1 - 3 lots - T18M</t>
  </si>
  <si>
    <t>Production lot ABX464 6,25mg &amp; 12,5mg &amp; 25mg &amp; 50mg gélule - STAB Campagne 1 - 3 lots - T24M</t>
  </si>
  <si>
    <t>Production lot ABX464 6,25mg &amp; 12,5mg &amp; 25mg &amp; 50mg gélule - STAB Campagne 1 - 3 lots - T36M</t>
  </si>
  <si>
    <t>Production lot ABX464 6,25mg &amp; 12,5mg &amp; 25mg &amp; 50mg gélule - STAB Campagne 2 à 6 - 2 lots - T0M</t>
  </si>
  <si>
    <t>Production lot ABX464 6,25mg &amp; 12,5mg &amp; 25mg &amp; 50mg gélule - STAB Campagne 2 à 6 - 2 lots - T3M</t>
  </si>
  <si>
    <t>Production lot ABX464 6,25mg &amp; 12,5mg &amp; 25mg &amp; 50mg gélule - STAB Campagne 2 à 6 - 2 lots - T6M</t>
  </si>
  <si>
    <t>Production lot ABX464 6,25mg &amp; 12,5mg &amp; 25mg &amp; 50mg gélule - STAB Campagne 2 à 6 - 2 lots - T9M</t>
  </si>
  <si>
    <t>Production lot ABX464 6,25mg &amp; 12,5mg &amp; 25mg &amp; 50mg gélule - STAB Campagne 2 à 6 - 2 lots - T12M</t>
  </si>
  <si>
    <t>Production lot ABX464 6,25mg &amp; 12,5mg &amp; 25mg &amp; 50mg gélule - STAB Campagne 2 à 6 - 2 lots - T18M</t>
  </si>
  <si>
    <t>Production lot ABX464 6,25mg &amp; 12,5mg &amp; 25mg &amp; 50mg gélule - STAB Campagne 2 à 6 - 2 lots - T24M</t>
  </si>
  <si>
    <t>Production lot ABX464 6,25mg &amp; 12,5mg &amp; 25mg &amp; 50mg gélule - STAB Campagne 2 à 6 - 2 lots - T36M</t>
  </si>
  <si>
    <t>Production lot ABX464 6,25mg &amp; 12,5mg &amp; 25mg &amp; 50mg gélule - STAB Campagne 2 à 6 - 2 lots - T48M</t>
  </si>
  <si>
    <t>Erreur formule montant excel PO OK vua vec Adrien 09/2025</t>
  </si>
  <si>
    <t>MC MASTER UNIVERSITY</t>
  </si>
  <si>
    <r>
      <t xml:space="preserve">IBDQ24-057 A2 - </t>
    </r>
    <r>
      <rPr>
        <b/>
        <sz val="11"/>
        <rFont val="Calibri"/>
        <family val="2"/>
        <scheme val="minor"/>
      </rPr>
      <t>P00447_2025</t>
    </r>
  </si>
  <si>
    <t>P00447_2025</t>
  </si>
  <si>
    <t>CD202 - IBDQ Questionnaire License Urkraine</t>
  </si>
  <si>
    <r>
      <t xml:space="preserve">LIC_23203_A1 - </t>
    </r>
    <r>
      <rPr>
        <b/>
        <sz val="11"/>
        <rFont val="Calibri"/>
        <family val="2"/>
        <scheme val="minor"/>
      </rPr>
      <t>P00448_2025</t>
    </r>
  </si>
  <si>
    <t>P00448_2025</t>
  </si>
  <si>
    <r>
      <t xml:space="preserve">201/2025/ZEFI - </t>
    </r>
    <r>
      <rPr>
        <b/>
        <sz val="11"/>
        <rFont val="Calibri"/>
        <family val="2"/>
        <scheme val="minor"/>
      </rPr>
      <t>P00446_2025</t>
    </r>
  </si>
  <si>
    <t>P00446_2025</t>
  </si>
  <si>
    <t>Entretien cage - Bimestre 4 - 07/2025 + 08/2025</t>
  </si>
  <si>
    <r>
      <t xml:space="preserve">25100336 - </t>
    </r>
    <r>
      <rPr>
        <b/>
        <sz val="11"/>
        <rFont val="Calibri"/>
        <family val="2"/>
        <scheme val="minor"/>
      </rPr>
      <t>P00445_2025</t>
    </r>
  </si>
  <si>
    <t>P00445_2025</t>
  </si>
  <si>
    <t xml:space="preserve">Cancellation fee related to slot in WK41 </t>
  </si>
  <si>
    <t>INV 10001477 + INV 10001549 + INV 10001578 + INV 10001592 + INV 10001686 + INV 10000013 + INV 10000077 + INV 10000140 + INV 10000217 + INV 10000277  +INV 10000284 +INV 10000312</t>
  </si>
  <si>
    <t>27/05/2025 + 13/06/2025 + 17/06/2025+ 20/06/2025 + 27/06/2025 + 08/07/20255+24/07/2025+25/08/2025+04/09/2025+25/09/2025+26/09/2025+30/09/2025</t>
  </si>
  <si>
    <t>INV 10000743 + INV 10000884 + INV 10000900 + INV 10000895 + INV 10001076 + INV 10001228 + INV 10001357 + INV 10001376 + INV 10001513 + INV 10001510 + INV 10001615 + INV 10000121 + INV 10000356 + INV 10000527 + INV 10000798 + INV 10001132 + INV 10001279 + INV 10001281 + INV 10001390 + INV 10001832 + INV 10001942 + INV 10000352 + INV 10000524 + INV 10000682 + INV 10000820 + INV 10001001 + INV 10001326 + INV 10001652 + INV 10001861 + INV 10000065 + INV 10000294 +INV 10001166 + INV 10001377 + INV 10001378 + INV 10000080 + INV 10000176 + INV 10000302</t>
  </si>
  <si>
    <t>20/01/2022 + 22/02/2022 + 25/02/2022 + 25/02/2022 + 30/03/2022 + 28/04/2022 + 18/05/2022 + 24/05/2022 + 16/06/2022 + 16/06/2022 + 28/06/2022 + 29/07/2022 + 30/09/2022 + 28/10/2022 + 20/12/2022 + 28/02/2023 + 27/03/2023 + 27/03/2023 + 17/04/2023 + 23/06/2023 + 30/06/2023 + 29/09/2023 + 30/10/2023 + 30/11/2023 + 01/01/2024 + 31/01/2024 + 27/03/2024 + 28/05/2024 + 27/06/2024 + 22/07/2024 + 30/09/2024 + 25/03/2025 + 30/04/2025 + 30/04/2025 +25/07/2025+29/08/25+29/09/2025</t>
  </si>
  <si>
    <t>INV 10000303</t>
  </si>
  <si>
    <t>INV 10001426 + INV 10001663 + INV 10001876 + INV 10001923 + INV 10001940 + INV 10000051 + INV 10000353 + INV 10000746 + INV 10001803 + INV 10000291 + INV 10001165 + INV 10000301</t>
  </si>
  <si>
    <t>24/04/2023 + 31/05/2023 + 28/06/2023 + 30/06/2023 + 30/06/2023 + 20/07/2023 + 29/09/2023 + 01/01/2024 + 24/06/2024 + 30/09/2024+25/03/2025+29/09/2025</t>
  </si>
  <si>
    <t>INV 00010 25002275 RI</t>
  </si>
  <si>
    <t>INV 32447</t>
  </si>
  <si>
    <t>INV 032335 + INV 032338</t>
  </si>
  <si>
    <t>14/03/2024 + 11/03/2024</t>
  </si>
  <si>
    <t>INV 032321 + INV 032324 + INV 032332</t>
  </si>
  <si>
    <t>01/01/2024 + 10/01/2024 + 27/02/2024</t>
  </si>
  <si>
    <t>INV 032339</t>
  </si>
  <si>
    <t>INV 032341</t>
  </si>
  <si>
    <t>INV 032342</t>
  </si>
  <si>
    <t>INV 8053543881</t>
  </si>
  <si>
    <r>
      <t xml:space="preserve">OPP-392248 - CRL-644672 - </t>
    </r>
    <r>
      <rPr>
        <b/>
        <sz val="11"/>
        <rFont val="Calibri"/>
        <family val="2"/>
        <scheme val="minor"/>
      </rPr>
      <t>P00382_2025</t>
    </r>
  </si>
  <si>
    <t>INV 90184222</t>
  </si>
  <si>
    <t>INV 90184223</t>
  </si>
  <si>
    <t>INV 90179901 + INV 90181866 + INV 90182468 + INV 90184224 + INV 90184225</t>
  </si>
  <si>
    <t>17/06/2025 + 02/08/2025 + 21/08/2025 + 26/09/2025 + 26/09/2025</t>
  </si>
  <si>
    <t>INV 90184226</t>
  </si>
  <si>
    <t>INV 90184415</t>
  </si>
  <si>
    <t>INV ILO-002917</t>
  </si>
  <si>
    <t>SRV_25126</t>
  </si>
  <si>
    <t>MSL - Start-up</t>
  </si>
  <si>
    <t>MSL - 09/2025</t>
  </si>
  <si>
    <t>MSL - 10/2025</t>
  </si>
  <si>
    <t>MSL - 11/2025</t>
  </si>
  <si>
    <t>MSL - 12/2025</t>
  </si>
  <si>
    <t>MSL - 01/2026</t>
  </si>
  <si>
    <t>MSL - 02/2026</t>
  </si>
  <si>
    <t>MSL - 03/2026</t>
  </si>
  <si>
    <t>MSL - 04/2026</t>
  </si>
  <si>
    <t>MSL - 05/2026</t>
  </si>
  <si>
    <t>MSL - 06/2026</t>
  </si>
  <si>
    <t>MSL - 07/2026</t>
  </si>
  <si>
    <t>MSL - 08/2026</t>
  </si>
  <si>
    <t>MSL - 09/2026</t>
  </si>
  <si>
    <t>MSL - 10/2026</t>
  </si>
  <si>
    <t>MSL - 11/2026</t>
  </si>
  <si>
    <t>MSL - 12/2026</t>
  </si>
  <si>
    <t>INV 013031</t>
  </si>
  <si>
    <t>INV 013032</t>
  </si>
  <si>
    <t>INV 1032508225</t>
  </si>
  <si>
    <t>INV 25100410</t>
  </si>
  <si>
    <r>
      <t xml:space="preserve">Q-638445 - </t>
    </r>
    <r>
      <rPr>
        <b/>
        <sz val="11"/>
        <rFont val="Calibri"/>
        <family val="2"/>
        <scheme val="minor"/>
      </rPr>
      <t>P00454_2025</t>
    </r>
  </si>
  <si>
    <t>P00454_2025</t>
  </si>
  <si>
    <t>INV IV-09250809-ABI</t>
  </si>
  <si>
    <t>INV IV-09250808-ABI</t>
  </si>
  <si>
    <t>INV IV-09250807-ABI</t>
  </si>
  <si>
    <t>INV IV-09250806-ABI</t>
  </si>
  <si>
    <t>INV IV-09250805-ABI</t>
  </si>
  <si>
    <t>INV IV-09250804-ABI</t>
  </si>
  <si>
    <t>INV IV-09250803-ABI</t>
  </si>
  <si>
    <t>INV IV-09250802-ABI</t>
  </si>
  <si>
    <t>IV-0419836-ABI</t>
  </si>
  <si>
    <t>IV-01ABX19686-ABI</t>
  </si>
  <si>
    <t>PHOENIX LAB</t>
  </si>
  <si>
    <t>INV ABI-100325-01M</t>
  </si>
  <si>
    <t>MSA_24154_W1 + Amdt 1</t>
  </si>
  <si>
    <t>MSA_24154_W2 + Amdt 1</t>
  </si>
  <si>
    <r>
      <t xml:space="preserve">MSA_25148_W1 - </t>
    </r>
    <r>
      <rPr>
        <b/>
        <sz val="11"/>
        <rFont val="Calibri"/>
        <family val="2"/>
        <scheme val="minor"/>
      </rPr>
      <t>P00458_2025</t>
    </r>
  </si>
  <si>
    <t>P00458_2025</t>
  </si>
  <si>
    <r>
      <t xml:space="preserve">L25_4373A - </t>
    </r>
    <r>
      <rPr>
        <b/>
        <sz val="11"/>
        <rFont val="Calibri"/>
        <family val="2"/>
        <scheme val="minor"/>
      </rPr>
      <t>P00450_2025</t>
    </r>
  </si>
  <si>
    <t>P00450_2025</t>
  </si>
  <si>
    <t>Stabilité lots techniques pilulier 25mg &amp; 50mg - PTC estimés</t>
  </si>
  <si>
    <t>Couts estimés pas forcement 100% facturés</t>
  </si>
  <si>
    <r>
      <t xml:space="preserve">L25_4353B - </t>
    </r>
    <r>
      <rPr>
        <b/>
        <sz val="11"/>
        <rFont val="Calibri"/>
        <family val="2"/>
        <scheme val="minor"/>
      </rPr>
      <t>P00466_2025</t>
    </r>
  </si>
  <si>
    <t>P00466_2025</t>
  </si>
  <si>
    <t>Additionnal dissolutions sur 5 lots</t>
  </si>
  <si>
    <r>
      <t xml:space="preserve">L25_4407A - </t>
    </r>
    <r>
      <rPr>
        <b/>
        <sz val="11"/>
        <rFont val="Calibri"/>
        <family val="2"/>
        <scheme val="minor"/>
      </rPr>
      <t>P00451_2025</t>
    </r>
  </si>
  <si>
    <t>P00451_2025</t>
  </si>
  <si>
    <t>Envois d'échantillons</t>
  </si>
  <si>
    <t>PHC Europe BV</t>
  </si>
  <si>
    <r>
      <t xml:space="preserve">2541 - </t>
    </r>
    <r>
      <rPr>
        <b/>
        <sz val="11"/>
        <rFont val="Calibri"/>
        <family val="2"/>
        <scheme val="minor"/>
      </rPr>
      <t>P00464_2025</t>
    </r>
  </si>
  <si>
    <t>P00464_2025</t>
  </si>
  <si>
    <r>
      <t xml:space="preserve">8206812341 - </t>
    </r>
    <r>
      <rPr>
        <b/>
        <sz val="11"/>
        <rFont val="Calibri"/>
        <family val="2"/>
        <scheme val="minor"/>
      </rPr>
      <t>P00463_2025</t>
    </r>
  </si>
  <si>
    <t>P00463_2025</t>
  </si>
  <si>
    <r>
      <t xml:space="preserve">05/2025/MAGS - </t>
    </r>
    <r>
      <rPr>
        <b/>
        <sz val="11"/>
        <rFont val="Calibri"/>
        <family val="2"/>
        <scheme val="minor"/>
      </rPr>
      <t>P00462_2025</t>
    </r>
  </si>
  <si>
    <t>P00462_2025</t>
  </si>
  <si>
    <r>
      <t xml:space="preserve">MGC_CLONAGE-T3-2025 - </t>
    </r>
    <r>
      <rPr>
        <b/>
        <sz val="11"/>
        <rFont val="Calibri"/>
        <family val="2"/>
        <scheme val="minor"/>
      </rPr>
      <t>P00455_2025</t>
    </r>
  </si>
  <si>
    <t>P00455_2025</t>
  </si>
  <si>
    <t>ACOLAD</t>
  </si>
  <si>
    <r>
      <t xml:space="preserve">TF-SD_2509015 - </t>
    </r>
    <r>
      <rPr>
        <b/>
        <sz val="11"/>
        <rFont val="Calibri"/>
        <family val="2"/>
        <scheme val="minor"/>
      </rPr>
      <t>P00453_2025</t>
    </r>
  </si>
  <si>
    <t>P00453_2025</t>
  </si>
  <si>
    <t>CD202 - Apostille for Ukraine</t>
  </si>
  <si>
    <r>
      <t xml:space="preserve">MGC_GENOBI-T3-2025 - </t>
    </r>
    <r>
      <rPr>
        <b/>
        <sz val="11"/>
        <rFont val="Calibri"/>
        <family val="2"/>
        <scheme val="minor"/>
      </rPr>
      <t>P00452_2025</t>
    </r>
  </si>
  <si>
    <t>P00452_2025</t>
  </si>
  <si>
    <t>Génotypage MGC</t>
  </si>
  <si>
    <t>LABCORP DRUG DEV</t>
  </si>
  <si>
    <r>
      <t xml:space="preserve">847158 - </t>
    </r>
    <r>
      <rPr>
        <b/>
        <sz val="11"/>
        <rFont val="Calibri"/>
        <family val="2"/>
        <scheme val="minor"/>
      </rPr>
      <t>P00457_2025</t>
    </r>
  </si>
  <si>
    <t>P00457_2025</t>
  </si>
  <si>
    <t>Method Trasnfer Determination ABX464 + 2 Metabolites in Human Plasma</t>
  </si>
  <si>
    <t>Method Trasnfer Validation ABX464 + 2 Metabolites in Human Plasma</t>
  </si>
  <si>
    <t>Determination of ABX464 + 2 Metabolites in UC107</t>
  </si>
  <si>
    <r>
      <t xml:space="preserve">847380 - </t>
    </r>
    <r>
      <rPr>
        <b/>
        <sz val="11"/>
        <rFont val="Calibri"/>
        <family val="2"/>
        <scheme val="minor"/>
      </rPr>
      <t>P00457_2025</t>
    </r>
  </si>
  <si>
    <r>
      <t xml:space="preserve">847381 - </t>
    </r>
    <r>
      <rPr>
        <b/>
        <sz val="11"/>
        <rFont val="Calibri"/>
        <family val="2"/>
        <scheme val="minor"/>
      </rPr>
      <t>P00457_2025</t>
    </r>
  </si>
  <si>
    <r>
      <t xml:space="preserve">P2509221 - </t>
    </r>
    <r>
      <rPr>
        <b/>
        <sz val="11"/>
        <rFont val="Calibri"/>
        <family val="2"/>
        <scheme val="minor"/>
      </rPr>
      <t>P00456_2025</t>
    </r>
  </si>
  <si>
    <t>P00456_2025</t>
  </si>
  <si>
    <t>Synthèse des standards analytiques ABX464&amp;Nglu</t>
  </si>
  <si>
    <t>P00208_2021 + P00025_2023</t>
  </si>
  <si>
    <t>Chimiotheque - Project Management - 10 500 € / an pendant 5 ans - année 2024</t>
  </si>
  <si>
    <t>Chimiotheque - Project Management - 10 500 € / an pendant 5 ans - année 2025</t>
  </si>
  <si>
    <t>Chimiotheque - Project Management - 10 500 € / an pendant 5 ans - année 2026</t>
  </si>
  <si>
    <t>Chimiotheque - Project Management - 10 500 € / an pendant 5 ans - année 2027</t>
  </si>
  <si>
    <t>Chimiotheque - Web service Maintenance &amp; Support  - 2 800 € / an pendant 5 ans - année 2023</t>
  </si>
  <si>
    <t>Chimiotheque - Web service Maintenance &amp; Support  - 2 800 € / an pendant 5 ans - année 2024</t>
  </si>
  <si>
    <t>Chimiotheque - Web service Maintenance &amp; Support  - 2 800 € / an pendant 5 ans - année 2025</t>
  </si>
  <si>
    <t>Chimiotheque - Web service Maintenance &amp; Support  - 2 800 € / an pendant 5 ans - année 2026</t>
  </si>
  <si>
    <t>Chimiotheque - Web service Maintenance &amp; Support  - 2 800 € / an pendant 5 ans - année 2027</t>
  </si>
  <si>
    <t>Chimiotheque - Project Management - 10 500 € / an pendant 5 ans - année 2023 - mois 1</t>
  </si>
  <si>
    <t>Chimiotheque - Project Management - 10 500 € / an pendant 5 ans - année 2023 - mois 2</t>
  </si>
  <si>
    <t>Chimiotheque - Project Management - 10 500 € / an pendant 5 ans - année 2023 - mois 3</t>
  </si>
  <si>
    <t>Chimiotheque - Project Management - 10 500 € / an pendant 5 ans - année 2023 - mois 4</t>
  </si>
  <si>
    <t>Chimiotheque - Project Management - 10 500 € / an pendant 5 ans - année 2023 - mois 5</t>
  </si>
  <si>
    <t>Chimiotheque - Project Management - 10 500 € / an pendant 5 ans - année 2023 - mois 6</t>
  </si>
  <si>
    <t>Chimiotheque - Project Management - 10 500 € / an pendant 5 ans - année 2023 - mois 7</t>
  </si>
  <si>
    <t>Chimiotheque - Project Management - 10 500 € / an pendant 5 ans - année 2023 - mois 8</t>
  </si>
  <si>
    <t>Chimiotheque - Project Management - 10 500 € / an pendant 5 ans - année 2023 - mois 9</t>
  </si>
  <si>
    <t>Chimiotheque - Project Management - 10 500 € / an pendant 5 ans - année 2023 - mois 10</t>
  </si>
  <si>
    <t>Chimiotheque - Project Management - 10 500 € / an pendant 5 ans - année 2023 - mois 11</t>
  </si>
  <si>
    <t>Chimiotheque - Project Management - 10 500 € / an pendant 5 ans - année 2023 - mois 12</t>
  </si>
  <si>
    <t>EUR</t>
  </si>
  <si>
    <t>ABX464 BACKUP ID - 2023-2024</t>
  </si>
  <si>
    <t>INV SIN006555 - SCR000358</t>
  </si>
  <si>
    <t>30/09/2025 - 09/10/2025</t>
  </si>
  <si>
    <t>INV 46/2025</t>
  </si>
  <si>
    <t>EVT10794-EVT86333 - P00208_2021 + P00025_2023 (+CO)</t>
  </si>
  <si>
    <t>ABX464 BACKUP ID - 2025</t>
  </si>
  <si>
    <t>INV JLFC251000201</t>
  </si>
  <si>
    <t>INV ABIVAX.09 + INV ABIVAX.11 + INV ABIVAX.12 + INV ABIVAX,13</t>
  </si>
  <si>
    <t>01/10/2024+01/04/2025+01/07/2025+15/10/2025</t>
  </si>
  <si>
    <t>INV 364004</t>
  </si>
  <si>
    <t>INV 90826501</t>
  </si>
  <si>
    <t>INV INVOC1020647</t>
  </si>
  <si>
    <t>INV 9583033</t>
  </si>
  <si>
    <t>INV 10000371</t>
  </si>
  <si>
    <t>INV 25002376 RI</t>
  </si>
  <si>
    <t>INV 8053549296</t>
  </si>
  <si>
    <t>INV 10000361</t>
  </si>
  <si>
    <t>INV 2025-KI-0081</t>
  </si>
  <si>
    <t>INV 23002039 RI + INV 00010 30431 SO + INV 00010 24000918 RI + INV 24002950 RI + INV 25000081 RI + INV 25000202 RI + INV 25001502 RI + INV 15002375 RI</t>
  </si>
  <si>
    <t>19/09/2023 + 30/01/2024 (recu 02/2024) + 15/04/2024 + 19/12/2024 +15/01/2025 + 28/01/2025 + 18/06/2025 + 08/10/2025</t>
  </si>
  <si>
    <t>INV 90184717</t>
  </si>
  <si>
    <t>UC110</t>
  </si>
  <si>
    <t>Attention c'est UC110 pas UC101</t>
  </si>
  <si>
    <t>INV 59002380 + INV 59002392</t>
  </si>
  <si>
    <t>26/09/2025+03/10/2025</t>
  </si>
  <si>
    <t>INV 0090170472</t>
  </si>
  <si>
    <t>MSA_24185_WO4</t>
  </si>
  <si>
    <t xml:space="preserve">UC107 - data visualization services </t>
  </si>
  <si>
    <t>INV FRCI-00042360 + INV FRCI-00042773</t>
  </si>
  <si>
    <t>INV 28372</t>
  </si>
  <si>
    <t>INV 47047383 + INV 47050587</t>
  </si>
  <si>
    <t>12/02/2025 + 07/10/2025</t>
  </si>
  <si>
    <t>INV 47050586</t>
  </si>
  <si>
    <t>analysis &amp; efficacy Phase III data - At signature</t>
  </si>
  <si>
    <t>analysis &amp; efficacy Phase III data - At completion of MAP</t>
  </si>
  <si>
    <t>analysis &amp; efficacy Phase III data - At completion of graphical analysis</t>
  </si>
  <si>
    <t>analysis &amp; efficacy Phase III data - At completion of PK.PD</t>
  </si>
  <si>
    <t>analysis &amp; efficacy Phase III data - At completion of ER Efficacy</t>
  </si>
  <si>
    <t>analysis &amp; efficacy Phase III data - At sending draft report</t>
  </si>
  <si>
    <t>analysis &amp; efficacy Phase III data - At completion of report</t>
  </si>
  <si>
    <t>analysis &amp; efficacy Phase III data - At completion of ER Safety</t>
  </si>
  <si>
    <t>PH25063_WO26</t>
  </si>
  <si>
    <r>
      <t xml:space="preserve">250919FR01978097MP - </t>
    </r>
    <r>
      <rPr>
        <b/>
        <sz val="11"/>
        <rFont val="Calibri"/>
        <family val="2"/>
        <scheme val="minor"/>
      </rPr>
      <t>P00428_2025</t>
    </r>
  </si>
  <si>
    <t>INV 00010 25002409 RI</t>
  </si>
  <si>
    <t>INV 900132793</t>
  </si>
  <si>
    <t>INV INVOC1020749</t>
  </si>
  <si>
    <t>INV FA232539 + INV FA232995 + INV FA233558 + INV FA235349 + INV FACLI000293 + INC FACLI000487 + INV FACLI001184 + INV FACLI002964 + INV FACLI000410 + INV FACLI001057 + INV FACLI001736</t>
  </si>
  <si>
    <t>28/04/2023 + 31/05/2023 + 30/06/2023 (recu 07/2023) + 30/09/2023 + 29/12/2023 + 29/03/2024 + 28/06/2024 + 31/12/2024 + 24/03/2025 + 30/06/2025 + 30/09/2025</t>
  </si>
  <si>
    <t>INV F25-2258</t>
  </si>
  <si>
    <t>INV FRCI-00043000</t>
  </si>
  <si>
    <t>CH922</t>
  </si>
  <si>
    <r>
      <t xml:space="preserve">859735 - </t>
    </r>
    <r>
      <rPr>
        <b/>
        <sz val="11"/>
        <rFont val="Calibri"/>
        <family val="2"/>
        <scheme val="minor"/>
      </rPr>
      <t>P00474_2025</t>
    </r>
  </si>
  <si>
    <t>P00474_2025</t>
  </si>
  <si>
    <t>Determination of ABX464 + 2 Metabolites in CH922</t>
  </si>
  <si>
    <t>P-TRP-333562-R7 - TORO-ABX464 IR Capsules 25mg et 50mg Manuf - CoS 12</t>
  </si>
  <si>
    <t>P00484_2025</t>
  </si>
  <si>
    <t>44.0 - Microbiology</t>
  </si>
  <si>
    <r>
      <t>P00247_2025</t>
    </r>
    <r>
      <rPr>
        <b/>
        <sz val="11"/>
        <rFont val="Calibri"/>
        <family val="2"/>
        <scheme val="minor"/>
      </rPr>
      <t xml:space="preserve"> - P00484_2025</t>
    </r>
  </si>
  <si>
    <t>Annulé via PO00484_2025</t>
  </si>
  <si>
    <t>ERBC</t>
  </si>
  <si>
    <t>Histology marquage - 40% at Order</t>
  </si>
  <si>
    <r>
      <t xml:space="preserve">OFD25FR00300181 - </t>
    </r>
    <r>
      <rPr>
        <b/>
        <sz val="11"/>
        <rFont val="Calibri"/>
        <family val="2"/>
        <scheme val="minor"/>
      </rPr>
      <t>P00486_2025</t>
    </r>
  </si>
  <si>
    <t>P00486_2025</t>
  </si>
  <si>
    <t>Histology marquage - 40% at end of Histology phase</t>
  </si>
  <si>
    <t>Histology marquage - 20% at Draft report</t>
  </si>
  <si>
    <r>
      <t xml:space="preserve">P2510012 - </t>
    </r>
    <r>
      <rPr>
        <b/>
        <sz val="11"/>
        <rFont val="Calibri"/>
        <family val="2"/>
        <scheme val="minor"/>
      </rPr>
      <t>P00475_2025</t>
    </r>
  </si>
  <si>
    <t>P00475_2025</t>
  </si>
  <si>
    <r>
      <t xml:space="preserve">Web - </t>
    </r>
    <r>
      <rPr>
        <b/>
        <sz val="11"/>
        <rFont val="Calibri"/>
        <family val="2"/>
        <scheme val="minor"/>
      </rPr>
      <t>P00471_2025</t>
    </r>
  </si>
  <si>
    <t>P00471_2025</t>
  </si>
  <si>
    <t>P00470_2025</t>
  </si>
  <si>
    <t>RWE</t>
  </si>
  <si>
    <t>Jennifer F / David Z</t>
  </si>
  <si>
    <r>
      <t xml:space="preserve">MSA_18231_WO25_HEOR - </t>
    </r>
    <r>
      <rPr>
        <b/>
        <sz val="11"/>
        <rFont val="Calibri"/>
        <family val="2"/>
        <scheme val="minor"/>
      </rPr>
      <t>P00472_2025</t>
    </r>
  </si>
  <si>
    <t>P00472_2025</t>
  </si>
  <si>
    <t>PCS Consulting Services</t>
  </si>
  <si>
    <t>Laurence DDR / Nadege</t>
  </si>
  <si>
    <t>BIOCLINICA INC (US)</t>
  </si>
  <si>
    <r>
      <t xml:space="preserve">20008765 - SRV_25040 - </t>
    </r>
    <r>
      <rPr>
        <b/>
        <sz val="11"/>
        <rFont val="Calibri"/>
        <family val="2"/>
        <scheme val="minor"/>
      </rPr>
      <t>P00478_2025</t>
    </r>
  </si>
  <si>
    <t>P00478_2025</t>
  </si>
  <si>
    <t>Image repository (Pancreatic &amp; Cardio)</t>
  </si>
  <si>
    <r>
      <t xml:space="preserve">20008757 - SRV_25043 - </t>
    </r>
    <r>
      <rPr>
        <b/>
        <sz val="11"/>
        <rFont val="Calibri"/>
        <family val="2"/>
        <scheme val="minor"/>
      </rPr>
      <t>P00479_2025</t>
    </r>
  </si>
  <si>
    <t>P00479_2025</t>
  </si>
  <si>
    <r>
      <t xml:space="preserve">20008756 - SRV_25044 - </t>
    </r>
    <r>
      <rPr>
        <b/>
        <sz val="11"/>
        <rFont val="Calibri"/>
        <family val="2"/>
        <scheme val="minor"/>
      </rPr>
      <t>P00480_2025</t>
    </r>
  </si>
  <si>
    <t>P00480_2025</t>
  </si>
  <si>
    <t>INV 32450</t>
  </si>
  <si>
    <t>Projet terminé : voir email Fabio Cataldi du 21/10/2025</t>
  </si>
  <si>
    <t>INV 2025-KI-0056</t>
  </si>
  <si>
    <t>INV 2025-KI-0083</t>
  </si>
  <si>
    <t>INV 940585545 + INV 940585420 + INV 916000596</t>
  </si>
  <si>
    <t>30/09/2025 + 29/09/2025 + 15/10/2025</t>
  </si>
  <si>
    <t>INV 8053553144</t>
  </si>
  <si>
    <t>INV OCFR-FTI-000655</t>
  </si>
  <si>
    <t>INV OCFR-FTI-000656</t>
  </si>
  <si>
    <t>INV OCFR-FTI-000657</t>
  </si>
  <si>
    <t>INV SIN006713</t>
  </si>
  <si>
    <t>INV 90829287</t>
  </si>
  <si>
    <t>21/102025</t>
  </si>
  <si>
    <t>INV PSI031535</t>
  </si>
  <si>
    <t>INV 90830054</t>
  </si>
  <si>
    <t>INV 90829273</t>
  </si>
  <si>
    <t>CNRS - Entretien cage Bimestre 3 2025</t>
  </si>
  <si>
    <t>INV 8053545405 + INV 8053558230</t>
  </si>
  <si>
    <t>29/09/2025 + 21/10/2026</t>
  </si>
  <si>
    <t>INV 90184939</t>
  </si>
  <si>
    <r>
      <t xml:space="preserve">OPP-327750 - CRL-528678 - </t>
    </r>
    <r>
      <rPr>
        <b/>
        <sz val="11"/>
        <rFont val="Calibri"/>
        <family val="2"/>
        <scheme val="minor"/>
      </rPr>
      <t>P00300_2024</t>
    </r>
  </si>
  <si>
    <t>INV 59002405</t>
  </si>
  <si>
    <t>INV 32448 + INV 32454</t>
  </si>
  <si>
    <t>03/10/2025 + 03/10/2025</t>
  </si>
  <si>
    <r>
      <t xml:space="preserve">NB2025-420 V1 - </t>
    </r>
    <r>
      <rPr>
        <b/>
        <sz val="11"/>
        <rFont val="Calibri"/>
        <family val="2"/>
        <scheme val="minor"/>
      </rPr>
      <t>P00481_2025</t>
    </r>
  </si>
  <si>
    <t>P00481_2025</t>
  </si>
  <si>
    <t>Evaluation anti-fibrotic effect Obefazimod - 50% upon excution</t>
  </si>
  <si>
    <t>Evaluation anti-fibrotic effect Obefazimod - 50% upon final results</t>
  </si>
  <si>
    <r>
      <t xml:space="preserve">OPP-392248 - CRL-644672 - </t>
    </r>
    <r>
      <rPr>
        <b/>
        <sz val="11"/>
        <rFont val="Calibri"/>
        <family val="2"/>
        <scheme val="minor"/>
      </rPr>
      <t>P00497_2025</t>
    </r>
  </si>
  <si>
    <t>P00497_2025</t>
  </si>
  <si>
    <t>Transfer HPLC-MS Method Quantif ABX464 humain Plasma - add work</t>
  </si>
  <si>
    <r>
      <t>OPP-318628 - CRL-514205 -</t>
    </r>
    <r>
      <rPr>
        <b/>
        <sz val="11"/>
        <rFont val="Calibri"/>
        <family val="2"/>
        <scheme val="minor"/>
      </rPr>
      <t xml:space="preserve"> P00284_2023 + P00501_2025</t>
    </r>
  </si>
  <si>
    <t xml:space="preserve"> P00284_2023 + P00501_2025</t>
  </si>
  <si>
    <t>Phase II ERA Assessment + add work</t>
  </si>
  <si>
    <r>
      <t xml:space="preserve">WO96#2025 - </t>
    </r>
    <r>
      <rPr>
        <b/>
        <sz val="11"/>
        <rFont val="Calibri"/>
        <family val="2"/>
        <scheme val="minor"/>
      </rPr>
      <t>P00489_2025</t>
    </r>
  </si>
  <si>
    <t>P00489_2025</t>
  </si>
  <si>
    <t>Nitroso ABX464 impurty in DS &amp; DP - add cost</t>
  </si>
  <si>
    <r>
      <t xml:space="preserve">L24_3968F - </t>
    </r>
    <r>
      <rPr>
        <b/>
        <sz val="11"/>
        <rFont val="Calibri"/>
        <family val="2"/>
        <scheme val="minor"/>
      </rPr>
      <t>P00491_2025</t>
    </r>
  </si>
  <si>
    <t>P00491_2025</t>
  </si>
  <si>
    <t>ABX464 Lots d'enregistrement - 2.2.1 - Fabrication Campagne 1 / 2 lots 25mg 1 lot 50 mg</t>
  </si>
  <si>
    <t>ABX464 Lots d'enregistrement - 2.2.1 - Fabrication Campagne 2 / 1 lot 25mg 1 lot 50 mg</t>
  </si>
  <si>
    <t>ABX464 Lots d'enregistrement - 2.2.1 - Fabrication Campagne supplementaire -&gt; Seqens</t>
  </si>
  <si>
    <t>ABX464 Lots d'enregistrement - 2.2.1 - Fabrication Campagne 3 / 1 lot 25mg 1 lot 50 mg</t>
  </si>
  <si>
    <t>ABX464 Lots d'enregistrement - 2.2.1 - Fabrication Campagne 4 / 1 lot 25mg 1 lot 50 mg</t>
  </si>
  <si>
    <t>ABX464 Lots d'enregistrement - 2.2.1 - Fabrication Campagne 5 / 1 lot 25mg 1 lot 50 mg</t>
  </si>
  <si>
    <t>ABX464 Lots d'enregistrement - 2.2.1 - Fabrication Campagne 6 / 1 lot 25mg 1 lot 50 mg</t>
  </si>
  <si>
    <t>ABX464 Lots d'enregistrement - 2.2.1 - Fabrication Campagne 7 / 1 lot 25mg 1 lot 50 mg</t>
  </si>
  <si>
    <t>ABX464 Lots d'enregistrement - 2.2.1 - Fabrication Campagne 8 / 1 lot 25mg 1 lot 50 mg</t>
  </si>
  <si>
    <t>ABX464 Lots d'enregistrement - 2.2.1 - Fabrication Campagne 9 / 1 lot 25mg 1 lot 50 mg</t>
  </si>
  <si>
    <t>ABX464 Lots d'enregistrement - 2.2.1 - Fabrication Campagne 10 / 1 lot 25mg 1 lot 50 mg</t>
  </si>
  <si>
    <t>ABX464 Lots d'enregistrement - 2.2.1 - Fabrication Campagne 11 / 1 lot 25mg 1 lot 50 mg</t>
  </si>
  <si>
    <t>ABX464 Lots d'enregistrement - 2.2.2 - Conditionnement Piluliers Campagne 1 / 2 lots 25mg 1 lot 50 mg</t>
  </si>
  <si>
    <t>ABX464 Lots d'enregistrement - 2.2.2 - Conditionnement Piluliers Campagne 2 / 1 lot 25mg 1 lot 50 mg</t>
  </si>
  <si>
    <t>ABX464 Lots d'enregistrement - 2.2.2 - Conditionnement Piluliers Campagne supplementaire -&gt; Seqens</t>
  </si>
  <si>
    <t>ABX464 Lots d'enregistrement - 2.2.2 - Conditionnement Piluliers Campagne 3 / 1 lot 25mg 1 lot 50 mg</t>
  </si>
  <si>
    <t>ABX464 Lots d'enregistrement - 2.2.2 - Conditionnement Piluliers Campagne 4 / 1 lot 25mg 1 lot 50 mg</t>
  </si>
  <si>
    <t>ABX464 Lots d'enregistrement - 2.2.2 - Conditionnement Piluliers Campagne 5 / 1 lot 25mg 1 lot 50 mg</t>
  </si>
  <si>
    <t>ABX464 Lots d'enregistrement - 2.2.2 - Conditionnement Piluliers Campagne 6 / 1 lot 25mg 1 lot 50 mg</t>
  </si>
  <si>
    <t>ABX464 Lots d'enregistrement - 2.2.2 - Conditionnement Piluliers Campagne 7 / 1 lot 25mg 1 lot 50 mg</t>
  </si>
  <si>
    <t>ABX464 Lots d'enregistrement - 2.2.2 - Conditionnement Piluliers Campagne 8 / 1 lot 25mg 1 lot 50 mg</t>
  </si>
  <si>
    <t>ABX464 Lots d'enregistrement - 2.2.2 - Conditionnement Piluliers Campagne 9 / 1 lot 25mg 1 lot 50 mg</t>
  </si>
  <si>
    <t>ABX464 Lots d'enregistrement - 2.2.2 - Conditionnement Piluliers Campagne 10 / 1 lot 25mg 1 lot 50 mg</t>
  </si>
  <si>
    <t>ABX464 Lots d'enregistrement - 2.2.2 - Conditionnement Piluliers Campagne 11 / 1 lot 25mg 1 lot 50 mg</t>
  </si>
  <si>
    <t>ABX464 Lots d'enregistrement - 2.2.2 - Conditionnement blister  Campagne 1 / 2 lots 25mg 1 lot 50 mg</t>
  </si>
  <si>
    <t>ABX464 Lots d'enregistrement - 2.2.2 - Conditionnement blister  Campagne 2 / 1 lot 25mg 1 lot 50 mg</t>
  </si>
  <si>
    <t>ABX464 Lots d'enregistrement - 2.2.2 - Conditionnement blister  Campagne supplementaire -&gt; Seqens</t>
  </si>
  <si>
    <t>ABX464 Lots d'enregistrement - 2.2.2 - Conditionnement blister  Campagne 3 / 1 lot 25mg 1 lot 50 mg</t>
  </si>
  <si>
    <t>ABX464 Lots d'enregistrement - 2.2.2 - Conditionnement blister  Campagne 4 / 1 lot 25mg 1 lot 50 mg</t>
  </si>
  <si>
    <t>ABX464 Lots d'enregistrement - 2.2.2 - Conditionnement blister  Campagne 5 / 1 lot 25mg 1 lot 50 mg</t>
  </si>
  <si>
    <t>ABX464 Lots d'enregistrement - 2.2.2 - Conditionnement blister  Campagne 6 / 1 lot 25mg 1 lot 50 mg</t>
  </si>
  <si>
    <t>ABX464 Lots d'enregistrement - 2.2.2 - Conditionnement blister  Campagne 7 / 1 lot 25mg 1 lot 50 mg</t>
  </si>
  <si>
    <t>ABX464 Lots d'enregistrement - 2.2.2 - Conditionnement blister  Campagne 8 / 1 lot 25mg 1 lot 50 mg</t>
  </si>
  <si>
    <t>ABX464 Lots d'enregistrement - 2.2.2 - Conditionnement blister  Campagne 9 / 1 lot 25mg 1 lot 50 mg</t>
  </si>
  <si>
    <t>ABX464 Lots d'enregistrement - 2.2.2 - Conditionnement blister  Campagne 10 / 1 lot 25mg 1 lot 50 mg</t>
  </si>
  <si>
    <t>ABX464 Lots d'enregistrement - 2.2.2 - Conditionnement blister  Campagne 11 / 1 lot 25mg 1 lot 50 mg</t>
  </si>
  <si>
    <t>ABX464 Lots d'enregistrement -  STAB Campagne 1 / 3 lots 3 conditionnements T0</t>
  </si>
  <si>
    <t>ABX464 Lots d'enregistrement -  STAB Campagne 1 / 3 lots 3 conditionnements T3</t>
  </si>
  <si>
    <t>ABX464 Lots d'enregistrement -  STAB Campagne 1 / 3 lots 3 conditionnements T6</t>
  </si>
  <si>
    <t>ABX464 Lots d'enregistrement -  STAB Campagne 1 / 3 lots 3 conditionnements T9</t>
  </si>
  <si>
    <t>ABX464 Lots d'enregistrement -  STAB Campagne 1 / 3 lots 3 conditionnements T12</t>
  </si>
  <si>
    <t>ABX464 Lots d'enregistrement -  STAB Campagne 1 / 3 lots 3 conditionnements T18</t>
  </si>
  <si>
    <t>ABX464 Lots d'enregistrement -  STAB Campagne 1 / 3 lots 3 conditionnements T24</t>
  </si>
  <si>
    <t>ABX464 Lots d'enregistrement -  STAB Campagne 1 / 3 lots 3 conditionnements T36</t>
  </si>
  <si>
    <t>ABX464 Lots d'enregistrement -  STAB Campagne 1 / 3 lots 3 conditionnements T48</t>
  </si>
  <si>
    <t>ABX464 Lots d'enregistrement -  STAB Campagne 2 / 2 lots 3 conditionnements T0</t>
  </si>
  <si>
    <t>ABX464 Lots d'enregistrement -  STAB Campagne 2 / 2 lots 3 conditionnements T3</t>
  </si>
  <si>
    <t>ABX464 Lots d'enregistrement -  STAB Campagne 2 / 2 lots 3 conditionnements T6</t>
  </si>
  <si>
    <t>ABX464 Lots d'enregistrement -  STAB Campagne 2 / 2 lots 3 conditionnements T9</t>
  </si>
  <si>
    <t>ABX464 Lots d'enregistrement -  STAB Campagne 2 / 2 lots 3 conditionnements T12</t>
  </si>
  <si>
    <t>ABX464 Lots d'enregistrement -  STAB Campagne 2 / 2 lots 3 conditionnements T18</t>
  </si>
  <si>
    <t>ABX464 Lots d'enregistrement -  STAB Campagne 2 / 2 lots 3 conditionnements T24</t>
  </si>
  <si>
    <t>ABX464 Lots d'enregistrement -  STAB Campagne 2 / 2 lots 3 conditionnements T36</t>
  </si>
  <si>
    <t>ABX464 Lots d'enregistrement -  STAB Campagne 2 / 2 lots 3 conditionnements T48</t>
  </si>
  <si>
    <t>ABX464 Lots d'enregistrement -  STAB Campagne 3 / 2 lots 3 conditionnements T0</t>
  </si>
  <si>
    <t>ABX464 Lots d'enregistrement -  STAB Campagne 3 / 2 lots 3 conditionnements T3</t>
  </si>
  <si>
    <t>ABX464 Lots d'enregistrement -  STAB Campagne 3 / 2 lots 3 conditionnements T6</t>
  </si>
  <si>
    <t>ABX464 Lots d'enregistrement -  STAB Campagne 3 / 2 lots 3 conditionnements T9</t>
  </si>
  <si>
    <t>ABX464 Lots d'enregistrement -  STAB Campagne 3 / 2 lots 3 conditionnements T12</t>
  </si>
  <si>
    <t>ABX464 Lots d'enregistrement -  STAB Campagne 3 / 2 lots 3 conditionnements T18</t>
  </si>
  <si>
    <t>ABX464 Lots d'enregistrement -  STAB Campagne 3 / 2 lots 3 conditionnements T24</t>
  </si>
  <si>
    <t>ABX464 Lots d'enregistrement -  STAB Campagne 3 / 2 lots 3 conditionnements T36</t>
  </si>
  <si>
    <t>ABX464 Lots d'enregistrement -  STAB Campagne 3 / 2 lots 3 conditionnements T48</t>
  </si>
  <si>
    <t>ABX464 Lots d'enregistrement - STAB Campagne 4 / 2 lots 3 conditionnements T0</t>
  </si>
  <si>
    <t>ABX464 Lots d'enregistrement - STAB Campagne 4 / 2 lots 3 conditionnements T3</t>
  </si>
  <si>
    <t>ABX464 Lots d'enregistrement - STAB Campagne 4 / 2 lots 3 conditionnements T6</t>
  </si>
  <si>
    <t>ABX464 Lots d'enregistrement - STAB Campagne 4 / 2 lots 3 conditionnements T9</t>
  </si>
  <si>
    <t>ABX464 Lots d'enregistrement - STAB Campagne 4 / 2 lots 3 conditionnements T12</t>
  </si>
  <si>
    <t>ABX464 Lots d'enregistrement - STAB Campagne 4 / 2 lots 3 conditionnements T18</t>
  </si>
  <si>
    <t>ABX464 Lots d'enregistrement - STAB Campagne 4 / 2 lots 3 conditionnements T24</t>
  </si>
  <si>
    <t>ABX464 Lots d'enregistrement - STAB Campagne 4 / 2 lots 3 conditionnements T36</t>
  </si>
  <si>
    <t>ABX464 Lots d'enregistrement - STAB Campagne 4 / 2 lots 3 conditionnements T48</t>
  </si>
  <si>
    <t>ABX464 Lots d'enregistrement - STAB Campagne 5 / 2 lots 3 conditionnements T0</t>
  </si>
  <si>
    <t>ABX464 Lots d'enregistrement - STAB Campagne 5 / 2 lots 3 conditionnements T3</t>
  </si>
  <si>
    <t>ABX464 Lots d'enregistrement - STAB Campagne 5 / 2 lots 3 conditionnements T6</t>
  </si>
  <si>
    <t>ABX464 Lots d'enregistrement - STAB Campagne 5 / 2 lots 3 conditionnements T9</t>
  </si>
  <si>
    <t>ABX464 Lots d'enregistrement - STAB Campagne 5 / 2 lots 3 conditionnements T12</t>
  </si>
  <si>
    <t>ABX464 Lots d'enregistrement - STAB Campagne 5 / 2 lots 3 conditionnements T18</t>
  </si>
  <si>
    <t>ABX464 Lots d'enregistrement - STAB Campagne 5 / 2 lots 3 conditionnements T24</t>
  </si>
  <si>
    <t>ABX464 Lots d'enregistrement - STAB Campagne 5 / 2 lots 3 conditionnements T36</t>
  </si>
  <si>
    <t>ABX464 Lots d'enregistrement - STAB Campagne 5 / 2 lots 3 conditionnements T48</t>
  </si>
  <si>
    <t>ABX464 Lots d'enregistrement - STAB Campagne 6 / 2 lots 3 conditionnements T0</t>
  </si>
  <si>
    <t>ABX464 Lots d'enregistrement - STAB Campagne 6 / 2 lots 3 conditionnements T3</t>
  </si>
  <si>
    <t>ABX464 Lots d'enregistrement - STAB Campagne 6 / 2 lots 3 conditionnements T6</t>
  </si>
  <si>
    <t>ABX464 Lots d'enregistrement - STAB Campagne 6 / 2 lots 3 conditionnements T9</t>
  </si>
  <si>
    <t>ABX464 Lots d'enregistrement - STAB Campagne 6 / 2 lots 3 conditionnements T12</t>
  </si>
  <si>
    <t>ABX464 Lots d'enregistrement - STAB Campagne 6 / 2 lots 3 conditionnements T18</t>
  </si>
  <si>
    <t>ABX464 Lots d'enregistrement - STAB Campagne 6 / 2 lots 3 conditionnements T24</t>
  </si>
  <si>
    <t>ABX464 Lots d'enregistrement - STAB Campagne 6 / 2 lots 3 conditionnements T36</t>
  </si>
  <si>
    <t>ABX464 Lots d'enregistrement - STAB Campagne 6 / 2 lots 3 conditionnements T48</t>
  </si>
  <si>
    <t>ABX464 Lots d'enregistrement - STAB Campagne 7 / 2 lots 3 conditionnements T0</t>
  </si>
  <si>
    <t>ABX464 Lots d'enregistrement - STAB Campagne 7 / 2 lots 3 conditionnements T3</t>
  </si>
  <si>
    <t>ABX464 Lots d'enregistrement - STAB Campagne 7 / 2 lots 3 conditionnements T6</t>
  </si>
  <si>
    <t>ABX464 Lots d'enregistrement - STAB Campagne 7 / 2 lots 3 conditionnements T9</t>
  </si>
  <si>
    <t>ABX464 Lots d'enregistrement - STAB Campagne 7 / 2 lots 3 conditionnements T12</t>
  </si>
  <si>
    <t>ABX464 Lots d'enregistrement - STAB Campagne 7 / 2 lots 3 conditionnements T18</t>
  </si>
  <si>
    <t>ABX464 Lots d'enregistrement - STAB Campagne 7 / 2 lots 3 conditionnements T24</t>
  </si>
  <si>
    <t>ABX464 Lots d'enregistrement - STAB Campagne 7 / 2 lots 3 conditionnements T36</t>
  </si>
  <si>
    <t>ABX464 Lots d'enregistrement - STAB Campagne 7 / 2 lots 3 conditionnements T48</t>
  </si>
  <si>
    <t>ABX464 Lots d'enregistrement - STAB Campagne 8 / 2 lots 3 conditionnements T0</t>
  </si>
  <si>
    <t>ABX464 Lots d'enregistrement - STAB Campagne 8 / 2 lots 3 conditionnements T3</t>
  </si>
  <si>
    <t>ABX464 Lots d'enregistrement - STAB Campagne 8 / 2 lots 3 conditionnements T6</t>
  </si>
  <si>
    <t>ABX464 Lots d'enregistrement - STAB Campagne 8 / 2 lots 3 conditionnements T9</t>
  </si>
  <si>
    <t>ABX464 Lots d'enregistrement - STAB Campagne 8 / 2 lots 3 conditionnements T12</t>
  </si>
  <si>
    <t>ABX464 Lots d'enregistrement - STAB Campagne 8 / 2 lots 3 conditionnements T18</t>
  </si>
  <si>
    <t>ABX464 Lots d'enregistrement - STAB Campagne 8 / 2 lots 3 conditionnements T24</t>
  </si>
  <si>
    <t>ABX464 Lots d'enregistrement - STAB Campagne 8 / 2 lots 3 conditionnements T36</t>
  </si>
  <si>
    <t>ABX464 Lots d'enregistrement - STAB Campagne 8 / 2 lots 3 conditionnements T48</t>
  </si>
  <si>
    <t>ABX464 Lots d'enregistrement - STAB Campagne 9 / 2 lots 3 conditionnements T0</t>
  </si>
  <si>
    <t>ABX464 Lots d'enregistrement - STAB Campagne 9 / 2 lots 3 conditionnements T3</t>
  </si>
  <si>
    <t>ABX464 Lots d'enregistrement - STAB Campagne 9 / 2 lots 3 conditionnements T6</t>
  </si>
  <si>
    <t>ABX464 Lots d'enregistrement - STAB Campagne 9 / 2 lots 3 conditionnements T9</t>
  </si>
  <si>
    <t>ABX464 Lots d'enregistrement - STAB Campagne 9 / 2 lots 3 conditionnements T12</t>
  </si>
  <si>
    <t>ABX464 Lots d'enregistrement - STAB Campagne 9 / 2 lots 3 conditionnements T18</t>
  </si>
  <si>
    <t>ABX464 Lots d'enregistrement - STAB Campagne 9 / 2 lots 3 conditionnements T24</t>
  </si>
  <si>
    <t>ABX464 Lots d'enregistrement - STAB Campagne 9 / 2 lots 3 conditionnements T36</t>
  </si>
  <si>
    <t>ABX464 Lots d'enregistrement - STAB Campagne 9 / 2 lots 3 conditionnements T48</t>
  </si>
  <si>
    <t>ABX464 Lots d'enregistrement - STAB Campagne 10 / 2 lots 3 conditionnements T0</t>
  </si>
  <si>
    <t>ABX464 Lots d'enregistrement - STAB Campagne 10 / 2 lots 3 conditionnements T3</t>
  </si>
  <si>
    <t>ABX464 Lots d'enregistrement - STAB Campagne 10 / 2 lots 3 conditionnements T6</t>
  </si>
  <si>
    <t>ABX464 Lots d'enregistrement - STAB Campagne 10 / 2 lots 3 conditionnements T9</t>
  </si>
  <si>
    <t>ABX464 Lots d'enregistrement - STAB Campagne 10 / 2 lots 3 conditionnements T12</t>
  </si>
  <si>
    <t>ABX464 Lots d'enregistrement - STAB Campagne 10 / 2 lots 3 conditionnements T18</t>
  </si>
  <si>
    <t>ABX464 Lots d'enregistrement - STAB Campagne 10 / 2 lots 3 conditionnements T24</t>
  </si>
  <si>
    <t>ABX464 Lots d'enregistrement - STAB Campagne 10 / 2 lots 3 conditionnements T36</t>
  </si>
  <si>
    <t>ABX464 Lots d'enregistrement - STAB Campagne 10 / 2 lots 3 conditionnements T48</t>
  </si>
  <si>
    <t>ABX464 Lots d'enregistrement - STAB Campagne 11 / 2 lots 3 conditionnements T0</t>
  </si>
  <si>
    <t>ABX464 Lots d'enregistrement - STAB Campagne 11 / 2 lots 3 conditionnements T3</t>
  </si>
  <si>
    <t>ABX464 Lots d'enregistrement - STAB Campagne 11 / 2 lots 3 conditionnements T6</t>
  </si>
  <si>
    <t>ABX464 Lots d'enregistrement - STAB Campagne 11 / 2 lots 3 conditionnements T9</t>
  </si>
  <si>
    <t>ABX464 Lots d'enregistrement - STAB Campagne 11 / 2 lots 3 conditionnements T12</t>
  </si>
  <si>
    <t>ABX464 Lots d'enregistrement - STAB Campagne 11 / 2 lots 3 conditionnements T18</t>
  </si>
  <si>
    <t>ABX464 Lots d'enregistrement - STAB Campagne 11 / 2 lots 3 conditionnements T24</t>
  </si>
  <si>
    <t>ABX464 Lots d'enregistrement - STAB Campagne 11 / 2 lots 3 conditionnements T36</t>
  </si>
  <si>
    <t>ABX464 Lots d'enregistrement - STAB Campagne 11 / 2 lots 3 conditionnements T48</t>
  </si>
  <si>
    <t>ABX464 Lots d'enregistrement - STAB Campagne Supplé / 2 lots 3 conditionnements T0</t>
  </si>
  <si>
    <t>ABX464 Lots d'enregistrement - STAB Campagne Supplé / 2 lots 3 conditionnements T3</t>
  </si>
  <si>
    <t>ABX464 Lots d'enregistrement - STAB Campagne Supplé / 2 lots 3 conditionnements T6</t>
  </si>
  <si>
    <t>ABX464 Lots d'enregistrement - STAB Campagne Supplé / 2 lots 3 conditionnements T9</t>
  </si>
  <si>
    <t>ABX464 Lots d'enregistrement - STAB Campagne Supplé / 2 lots 3 conditionnements T12</t>
  </si>
  <si>
    <t>ABX464 Lots d'enregistrement - STAB Campagne Supplé / 2 lots 3 conditionnements T18</t>
  </si>
  <si>
    <t>ABX464 Lots d'enregistrement - STAB Campagne Supplé / 2 lots 3 conditionnements T24</t>
  </si>
  <si>
    <t>ABX464 Lots d'enregistrement - STAB Campagne Supplé / 2 lots 3 conditionnements T36</t>
  </si>
  <si>
    <t>ABX464 Lots d'enregistrement - STAB Campagne Supplé / 2 lots 3 conditionnements T48</t>
  </si>
  <si>
    <t>ABX464 Lots d'enregistrement - 2.4 - Management de projet (2 000 €/mois, pendant 8 mois)</t>
  </si>
  <si>
    <t>ABX464 Lots d'enregistrement - 2.4 - Envoi d'echantillon a Quotient  -  par envoi.</t>
  </si>
  <si>
    <r>
      <t>L24_3968E -</t>
    </r>
    <r>
      <rPr>
        <b/>
        <sz val="11"/>
        <rFont val="Calibri"/>
        <family val="2"/>
        <scheme val="minor"/>
      </rPr>
      <t xml:space="preserve"> P00443_2025</t>
    </r>
    <r>
      <rPr>
        <sz val="11"/>
        <rFont val="Calibri"/>
        <family val="2"/>
        <scheme val="minor"/>
      </rPr>
      <t xml:space="preserve"> - Remplacé par PO00491_2025</t>
    </r>
  </si>
  <si>
    <t>P00443_2025 - Remplacé par PO00491_2025</t>
  </si>
  <si>
    <t>INV 10001477</t>
  </si>
  <si>
    <t>INV 10001477 + INV 10001549</t>
  </si>
  <si>
    <t>27/05/2025 + 13/06/2025</t>
  </si>
  <si>
    <t>INV 10001592</t>
  </si>
  <si>
    <t>INV 10001592 + INV 10001686</t>
  </si>
  <si>
    <t>20/06/2025 + 26/06/2025</t>
  </si>
  <si>
    <t>INV 10001686</t>
  </si>
  <si>
    <t>INV 10001638 + INV 10000078</t>
  </si>
  <si>
    <t>25/06/2025 + 23/07/2025</t>
  </si>
  <si>
    <t>INV 10000077</t>
  </si>
  <si>
    <t>INV 10000140</t>
  </si>
  <si>
    <t>INV 10000286</t>
  </si>
  <si>
    <t>INV 10000312</t>
  </si>
  <si>
    <r>
      <t>L24_3968D -</t>
    </r>
    <r>
      <rPr>
        <b/>
        <sz val="11"/>
        <rFont val="Calibri"/>
        <family val="2"/>
        <scheme val="minor"/>
      </rPr>
      <t xml:space="preserve"> P00287_2025</t>
    </r>
    <r>
      <rPr>
        <sz val="11"/>
        <rFont val="Calibri"/>
        <family val="2"/>
        <scheme val="minor"/>
      </rPr>
      <t xml:space="preserve"> - Remplacé par PO00491_2025</t>
    </r>
  </si>
  <si>
    <r>
      <t xml:space="preserve">L24_3968C - </t>
    </r>
    <r>
      <rPr>
        <b/>
        <sz val="11"/>
        <rFont val="Calibri"/>
        <family val="2"/>
        <scheme val="minor"/>
      </rPr>
      <t>P00249_2025</t>
    </r>
    <r>
      <rPr>
        <sz val="11"/>
        <rFont val="Calibri"/>
        <family val="2"/>
        <scheme val="minor"/>
      </rPr>
      <t xml:space="preserve"> - Remplacé par PO00491_2025</t>
    </r>
  </si>
  <si>
    <t>P00249_2025 - Remplacé par PO00491_2025</t>
  </si>
  <si>
    <t>P00287_2025 - Remplacé par PO00491_2025</t>
  </si>
  <si>
    <t>INV 6682</t>
  </si>
  <si>
    <t>INV 10000471</t>
  </si>
  <si>
    <t>INV 10000284 + INV 10000471</t>
  </si>
  <si>
    <t>26/09/2025 + 30/10/2025</t>
  </si>
  <si>
    <t>INV 90185302</t>
  </si>
  <si>
    <t>INV 90185301</t>
  </si>
  <si>
    <t>INV 90185388</t>
  </si>
  <si>
    <t>23/08/2025 + 29/10/2025</t>
  </si>
  <si>
    <t>INV 25ABIVP2 (deposit) + INV-PA-12820</t>
  </si>
  <si>
    <t>INV IV-10250900-ABI</t>
  </si>
  <si>
    <t>INV IV-10250899-ABI</t>
  </si>
  <si>
    <t>INV IV-10250898-ABI</t>
  </si>
  <si>
    <t>INV IV-10250897-ABI</t>
  </si>
  <si>
    <t>INV 10001153  +INV 10001154 + INV 10000047 + INV 10000452</t>
  </si>
  <si>
    <t>24/03/2025 + 24/03/2025+17/07/2025+29/101/2025</t>
  </si>
  <si>
    <t>INV IV-10250901-ABI</t>
  </si>
  <si>
    <t>INV 00010 25002584 RI</t>
  </si>
  <si>
    <t>INV 37784 + INV 38084 + INV 38557</t>
  </si>
  <si>
    <t>08/09/2025 + 29/09/2025 +31/10/2025</t>
  </si>
  <si>
    <t>Robert Collins</t>
  </si>
  <si>
    <r>
      <t xml:space="preserve">A-CRKA-404127-R1_CO1 - </t>
    </r>
    <r>
      <rPr>
        <b/>
        <sz val="11"/>
        <rFont val="Calibri"/>
        <family val="2"/>
        <scheme val="minor"/>
      </rPr>
      <t>P00521_2025</t>
    </r>
  </si>
  <si>
    <t>P00521_2025</t>
  </si>
  <si>
    <t>Validation manuf process 4-TFMA - 50% at signature</t>
  </si>
  <si>
    <t>Validation manuf process 4-TFMA - 50% Upon completion</t>
  </si>
  <si>
    <r>
      <t xml:space="preserve">140078524 - </t>
    </r>
    <r>
      <rPr>
        <b/>
        <sz val="11"/>
        <rFont val="Calibri"/>
        <family val="2"/>
        <scheme val="minor"/>
      </rPr>
      <t>P00536_2025</t>
    </r>
  </si>
  <si>
    <t>P00536_2025</t>
  </si>
  <si>
    <r>
      <t xml:space="preserve">DV00003853 - </t>
    </r>
    <r>
      <rPr>
        <b/>
        <sz val="11"/>
        <rFont val="Calibri"/>
        <family val="2"/>
        <scheme val="minor"/>
      </rPr>
      <t>P00502_2025</t>
    </r>
  </si>
  <si>
    <t>P00502_2025</t>
  </si>
  <si>
    <r>
      <t xml:space="preserve">web - </t>
    </r>
    <r>
      <rPr>
        <b/>
        <sz val="11"/>
        <rFont val="Calibri"/>
        <family val="2"/>
        <scheme val="minor"/>
      </rPr>
      <t>P00527_2025</t>
    </r>
  </si>
  <si>
    <t>P00527_2025</t>
  </si>
  <si>
    <r>
      <t xml:space="preserve">web - </t>
    </r>
    <r>
      <rPr>
        <b/>
        <sz val="11"/>
        <rFont val="Calibri"/>
        <family val="2"/>
        <scheme val="minor"/>
      </rPr>
      <t>P00498_2025</t>
    </r>
  </si>
  <si>
    <t>P00498_2025</t>
  </si>
  <si>
    <r>
      <t xml:space="preserve">7111895-01 - </t>
    </r>
    <r>
      <rPr>
        <b/>
        <sz val="11"/>
        <rFont val="Calibri"/>
        <family val="2"/>
        <scheme val="minor"/>
      </rPr>
      <t>P00499_2025</t>
    </r>
  </si>
  <si>
    <t>P00499_2025</t>
  </si>
  <si>
    <r>
      <t xml:space="preserve">JLCO251002816 - </t>
    </r>
    <r>
      <rPr>
        <b/>
        <sz val="11"/>
        <rFont val="Calibri"/>
        <family val="2"/>
        <scheme val="minor"/>
      </rPr>
      <t>P00500_2025</t>
    </r>
  </si>
  <si>
    <t>P00500_2025</t>
  </si>
  <si>
    <r>
      <t xml:space="preserve">web - </t>
    </r>
    <r>
      <rPr>
        <b/>
        <sz val="11"/>
        <rFont val="Calibri"/>
        <family val="2"/>
        <scheme val="minor"/>
      </rPr>
      <t>P00503_2025</t>
    </r>
  </si>
  <si>
    <t>P00503_2025</t>
  </si>
  <si>
    <r>
      <t xml:space="preserve">web - </t>
    </r>
    <r>
      <rPr>
        <b/>
        <sz val="11"/>
        <rFont val="Calibri"/>
        <family val="2"/>
        <scheme val="minor"/>
      </rPr>
      <t>P00496_2025</t>
    </r>
  </si>
  <si>
    <t>P00496_2025</t>
  </si>
  <si>
    <r>
      <t xml:space="preserve">web - </t>
    </r>
    <r>
      <rPr>
        <b/>
        <sz val="11"/>
        <rFont val="Calibri"/>
        <family val="2"/>
        <scheme val="minor"/>
      </rPr>
      <t>P00513_2025</t>
    </r>
  </si>
  <si>
    <t>P00513_2025</t>
  </si>
  <si>
    <r>
      <t xml:space="preserve">web - </t>
    </r>
    <r>
      <rPr>
        <b/>
        <sz val="11"/>
        <rFont val="Calibri"/>
        <family val="2"/>
        <scheme val="minor"/>
      </rPr>
      <t>P00495_2025</t>
    </r>
  </si>
  <si>
    <t>P00495_2025</t>
  </si>
  <si>
    <r>
      <t xml:space="preserve">web - </t>
    </r>
    <r>
      <rPr>
        <b/>
        <sz val="11"/>
        <rFont val="Calibri"/>
        <family val="2"/>
        <scheme val="minor"/>
      </rPr>
      <t>P00492_2025</t>
    </r>
  </si>
  <si>
    <t>P00492_2025</t>
  </si>
  <si>
    <r>
      <t xml:space="preserve">Q24000704599 - </t>
    </r>
    <r>
      <rPr>
        <b/>
        <sz val="11"/>
        <rFont val="Calibri"/>
        <family val="2"/>
        <scheme val="minor"/>
      </rPr>
      <t>P00526_2025</t>
    </r>
  </si>
  <si>
    <t>P00526_2025</t>
  </si>
  <si>
    <r>
      <t xml:space="preserve">251103FR01994602MP - </t>
    </r>
    <r>
      <rPr>
        <b/>
        <sz val="11"/>
        <rFont val="Calibri"/>
        <family val="2"/>
        <scheme val="minor"/>
      </rPr>
      <t>P000525_2025</t>
    </r>
  </si>
  <si>
    <t>P000525_2025</t>
  </si>
  <si>
    <r>
      <t xml:space="preserve">JLCO251003549 - </t>
    </r>
    <r>
      <rPr>
        <b/>
        <sz val="11"/>
        <rFont val="Calibri"/>
        <family val="2"/>
        <scheme val="minor"/>
      </rPr>
      <t>P00523_2025</t>
    </r>
  </si>
  <si>
    <t>P00523_2025</t>
  </si>
  <si>
    <r>
      <t xml:space="preserve">web - </t>
    </r>
    <r>
      <rPr>
        <b/>
        <sz val="11"/>
        <rFont val="Calibri"/>
        <family val="2"/>
        <scheme val="minor"/>
      </rPr>
      <t>P00514_2025</t>
    </r>
  </si>
  <si>
    <t>P00514_2025</t>
  </si>
  <si>
    <r>
      <t xml:space="preserve">251029FR1992953MP - </t>
    </r>
    <r>
      <rPr>
        <b/>
        <sz val="11"/>
        <rFont val="Calibri"/>
        <family val="2"/>
        <scheme val="minor"/>
      </rPr>
      <t>P00515_2025</t>
    </r>
  </si>
  <si>
    <t>P00515_2025</t>
  </si>
  <si>
    <r>
      <t xml:space="preserve">SQ000036 - </t>
    </r>
    <r>
      <rPr>
        <b/>
        <sz val="11"/>
        <rFont val="Calibri"/>
        <family val="2"/>
        <scheme val="minor"/>
      </rPr>
      <t>P00506_2025</t>
    </r>
  </si>
  <si>
    <t>P00506_2025</t>
  </si>
  <si>
    <r>
      <t xml:space="preserve">16102025-98 - </t>
    </r>
    <r>
      <rPr>
        <b/>
        <sz val="11"/>
        <rFont val="Calibri"/>
        <family val="2"/>
        <scheme val="minor"/>
      </rPr>
      <t>P00494_2025</t>
    </r>
  </si>
  <si>
    <t>P00494_2025</t>
  </si>
  <si>
    <t>Fibrosis in vitro - Consommable Labo</t>
  </si>
  <si>
    <r>
      <t xml:space="preserve">USL-38250 - MSA_25050_W1 - </t>
    </r>
    <r>
      <rPr>
        <b/>
        <sz val="11"/>
        <rFont val="Calibri"/>
        <family val="2"/>
        <scheme val="minor"/>
      </rPr>
      <t>P00198_2025</t>
    </r>
  </si>
  <si>
    <r>
      <t xml:space="preserve">PH-ABVX-MC-2025-01B - MSA_25050_W2 - </t>
    </r>
    <r>
      <rPr>
        <b/>
        <sz val="11"/>
        <rFont val="Calibri"/>
        <family val="2"/>
        <scheme val="minor"/>
      </rPr>
      <t>P00224_2025</t>
    </r>
  </si>
  <si>
    <r>
      <t xml:space="preserve">PH-ABVX-MC-2025-02 - MSA_25050_W3 - </t>
    </r>
    <r>
      <rPr>
        <b/>
        <sz val="11"/>
        <rFont val="Calibri"/>
        <family val="2"/>
        <scheme val="minor"/>
      </rPr>
      <t>P00400_2025</t>
    </r>
  </si>
  <si>
    <r>
      <t xml:space="preserve">PH-ABVX-ADME-2025-01v2 -MSA_25050_W8 (ancien W9) - </t>
    </r>
    <r>
      <rPr>
        <b/>
        <sz val="11"/>
        <rFont val="Calibri"/>
        <family val="2"/>
        <scheme val="minor"/>
      </rPr>
      <t>P00407_2025</t>
    </r>
  </si>
  <si>
    <r>
      <t xml:space="preserve">PH-ABVX-ADME-2025-02v2 - MSA_25050_W9A1 - </t>
    </r>
    <r>
      <rPr>
        <b/>
        <sz val="11"/>
        <rFont val="Calibri"/>
        <family val="2"/>
        <scheme val="minor"/>
      </rPr>
      <t>P00409_2025</t>
    </r>
  </si>
  <si>
    <r>
      <t xml:space="preserve">PH-ABVX-ADME-2025-03 - MSA_25050_W10 - </t>
    </r>
    <r>
      <rPr>
        <b/>
        <sz val="11"/>
        <rFont val="Calibri"/>
        <family val="2"/>
        <scheme val="minor"/>
      </rPr>
      <t>P00410_2025</t>
    </r>
  </si>
  <si>
    <r>
      <t xml:space="preserve">PH-ABVX-MC-2025-03v2 - MSA_25050_W12 - </t>
    </r>
    <r>
      <rPr>
        <b/>
        <sz val="11"/>
        <rFont val="Calibri"/>
        <family val="2"/>
        <scheme val="minor"/>
      </rPr>
      <t>P00528_2025</t>
    </r>
  </si>
  <si>
    <t>P00528_2025</t>
  </si>
  <si>
    <t>Synthesis &amp; delivery 10g KZ2398 - 8 weeks</t>
  </si>
  <si>
    <r>
      <t xml:space="preserve">OPP-345994 SOW1 - CRL-560284 - </t>
    </r>
    <r>
      <rPr>
        <b/>
        <sz val="11"/>
        <rFont val="Calibri"/>
        <family val="2"/>
        <scheme val="minor"/>
      </rPr>
      <t>P00510_2025</t>
    </r>
  </si>
  <si>
    <t>Analysis quantifictaion ABX464 &amp; ABX464NGlu in human plasma - Add cost 8 reconciliation</t>
  </si>
  <si>
    <t>INV 364892</t>
  </si>
  <si>
    <t>INV 9382</t>
  </si>
  <si>
    <t>INV 8053562678 + INV 8053562246</t>
  </si>
  <si>
    <t>29/10/2025 + 28/10/2025</t>
  </si>
  <si>
    <t>INV 8053562677</t>
  </si>
  <si>
    <t>INV JLFC251003077</t>
  </si>
  <si>
    <t>INV 3000227749</t>
  </si>
  <si>
    <r>
      <t xml:space="preserve">WO102#2025 - </t>
    </r>
    <r>
      <rPr>
        <b/>
        <sz val="11"/>
        <rFont val="Calibri"/>
        <family val="2"/>
        <scheme val="minor"/>
      </rPr>
      <t>P00374_2025</t>
    </r>
  </si>
  <si>
    <t>P00374_2025</t>
  </si>
  <si>
    <t>Analysis/milling campaign for PSD - #1 Shipment &amp; returne</t>
  </si>
  <si>
    <t>Analysis/milling campaign for PSD - #2 Milling in Jetpharma</t>
  </si>
  <si>
    <t>Analysis/milling campaign for PSD - #4 QC-QA analysis</t>
  </si>
  <si>
    <t>Analysis/milling campaign for PSD - #3 QC analysis</t>
  </si>
  <si>
    <t>3x13 600 €</t>
  </si>
  <si>
    <t>2x 19 400 €</t>
  </si>
  <si>
    <r>
      <t xml:space="preserve">WO99#2025 - </t>
    </r>
    <r>
      <rPr>
        <b/>
        <sz val="11"/>
        <rFont val="Calibri"/>
        <family val="2"/>
        <scheme val="minor"/>
      </rPr>
      <t>P00371_2025</t>
    </r>
  </si>
  <si>
    <t>P00371_2025</t>
  </si>
  <si>
    <t>PSD analysis in validation batches stability study - Batch 1 - 50% signature</t>
  </si>
  <si>
    <t>PSD analysis in validation batches stability study - Batch 1 - 50% at T36M</t>
  </si>
  <si>
    <t>PSD analysis in validation batches stability study - Batch 2 - 50% signature</t>
  </si>
  <si>
    <t>PSD analysis in validation batches stability study - Batch 2 - 50% at T36M</t>
  </si>
  <si>
    <t>PSD analysis in validation batches stability study - Batch 3 - 50% signature</t>
  </si>
  <si>
    <t>PSD analysis in validation batches stability study - Batch 3 - 50% at T36M</t>
  </si>
  <si>
    <t>Standf by Saadia le 05/11/2025</t>
  </si>
  <si>
    <t>INV 00010 25002457 RI</t>
  </si>
  <si>
    <t>INV 00010 25002377 RI</t>
  </si>
  <si>
    <t>MSA_24057 - P00270_2024</t>
  </si>
  <si>
    <t>INV 2406SIN0000374 + INV 2407SIN0000489 + INV 2409SIN0000640 + INV 2408SIN0000580 + INV 2408SIN0000524 + INV 2409SIN0000653 + INV 2409SIN0000681 + INV 2410SIN0000782 + INV 2410SIN0000813 + INV 2411SIN0000917 + INV 2411SIN0000951 + INV 2412SIN0001042 + INV 2412SIN0001084</t>
  </si>
  <si>
    <t>30/06/2024 + 31/07/2024 + 01/09/2024 + 31/08/2024 + 30/08/2024 + 30/09/2024 + 30/09/2024 + 31/10/2024 + 31/10/2024 + 30/11/2024 + 30/11/2024 + 30/12/2024 + 31/12/2024</t>
  </si>
  <si>
    <t>Finalement c'est SA</t>
  </si>
  <si>
    <t>P00270_2024 + P00542_2025</t>
  </si>
  <si>
    <r>
      <t xml:space="preserve">MSA_24057 - </t>
    </r>
    <r>
      <rPr>
        <b/>
        <sz val="11"/>
        <rFont val="Calibri"/>
        <family val="2"/>
        <scheme val="minor"/>
      </rPr>
      <t>P00270_2024 + P00542_2025</t>
    </r>
  </si>
  <si>
    <t>INV 9160001638</t>
  </si>
  <si>
    <r>
      <t xml:space="preserve">web - </t>
    </r>
    <r>
      <rPr>
        <b/>
        <sz val="11"/>
        <rFont val="Calibri"/>
        <family val="2"/>
        <scheme val="minor"/>
      </rPr>
      <t>P00551_2025</t>
    </r>
  </si>
  <si>
    <t>P00551_2025</t>
  </si>
  <si>
    <r>
      <t xml:space="preserve">PLER - </t>
    </r>
    <r>
      <rPr>
        <b/>
        <sz val="11"/>
        <rFont val="Calibri"/>
        <family val="2"/>
        <scheme val="minor"/>
      </rPr>
      <t>P00538_2025</t>
    </r>
  </si>
  <si>
    <t>P00538_2025</t>
  </si>
  <si>
    <r>
      <t xml:space="preserve">PLER - </t>
    </r>
    <r>
      <rPr>
        <b/>
        <sz val="11"/>
        <rFont val="Calibri"/>
        <family val="2"/>
        <scheme val="minor"/>
      </rPr>
      <t>P00539_2025</t>
    </r>
  </si>
  <si>
    <t>P00539_2025</t>
  </si>
  <si>
    <r>
      <t xml:space="preserve">PLER - </t>
    </r>
    <r>
      <rPr>
        <b/>
        <sz val="11"/>
        <rFont val="Calibri"/>
        <family val="2"/>
        <scheme val="minor"/>
      </rPr>
      <t>P00540_2025</t>
    </r>
  </si>
  <si>
    <t>P00540_2025</t>
  </si>
  <si>
    <r>
      <t xml:space="preserve">Quote 202510-02 - </t>
    </r>
    <r>
      <rPr>
        <b/>
        <sz val="11"/>
        <rFont val="Calibri"/>
        <family val="2"/>
        <scheme val="minor"/>
      </rPr>
      <t>P00544_2025</t>
    </r>
  </si>
  <si>
    <t>P00544_2025</t>
  </si>
  <si>
    <t>Audit of MBVSI</t>
  </si>
  <si>
    <r>
      <t xml:space="preserve">Quote 202510-01 - </t>
    </r>
    <r>
      <rPr>
        <b/>
        <sz val="11"/>
        <rFont val="Calibri"/>
        <family val="2"/>
        <scheme val="minor"/>
      </rPr>
      <t>P00543_2025</t>
    </r>
  </si>
  <si>
    <t>P00543_2025</t>
  </si>
  <si>
    <t>Audit of IQVIA PV</t>
  </si>
  <si>
    <r>
      <t xml:space="preserve">OPP-254665 - CRL-403505 - </t>
    </r>
    <r>
      <rPr>
        <b/>
        <sz val="11"/>
        <rFont val="Calibri"/>
        <family val="2"/>
        <scheme val="minor"/>
      </rPr>
      <t>P00127_2022 + P00267_2025</t>
    </r>
    <r>
      <rPr>
        <sz val="11"/>
        <rFont val="Calibri"/>
        <family val="2"/>
        <scheme val="minor"/>
      </rPr>
      <t xml:space="preserve"> +</t>
    </r>
    <r>
      <rPr>
        <b/>
        <sz val="11"/>
        <rFont val="Calibri"/>
        <family val="2"/>
        <scheme val="minor"/>
      </rPr>
      <t xml:space="preserve"> P00533_2025</t>
    </r>
  </si>
  <si>
    <r>
      <t xml:space="preserve">OPP-254665 - CRL-403506 - </t>
    </r>
    <r>
      <rPr>
        <b/>
        <sz val="11"/>
        <rFont val="Calibri"/>
        <family val="2"/>
        <scheme val="minor"/>
      </rPr>
      <t>P00128_2022 + P00277_2025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P00534_2025</t>
    </r>
  </si>
  <si>
    <t>P00127_2022 + P00267_2025 + P00533_2025</t>
  </si>
  <si>
    <t>P00128_2022 + P00277_2025 + P00534_2025</t>
  </si>
  <si>
    <r>
      <t xml:space="preserve">web - </t>
    </r>
    <r>
      <rPr>
        <b/>
        <sz val="11"/>
        <rFont val="Calibri"/>
        <family val="2"/>
        <scheme val="minor"/>
      </rPr>
      <t>P00550_2025</t>
    </r>
  </si>
  <si>
    <t>P00550_2025</t>
  </si>
  <si>
    <t>INV 9060155834</t>
  </si>
  <si>
    <t>INV 013201</t>
  </si>
  <si>
    <t>INV 2517232</t>
  </si>
  <si>
    <t>INV JLFC251100720</t>
  </si>
  <si>
    <t>INV 8053567320</t>
  </si>
  <si>
    <t>INV 10099833 + INV 1009978 + INV 10099762</t>
  </si>
  <si>
    <t>10/11/2025 + 06/11/2025 + 05/11/2025</t>
  </si>
  <si>
    <t>INV ABIV202520</t>
  </si>
  <si>
    <t>1. Statistics and Statistical Programming Services - Upfront payment - 5% To be credited toward completion of Wave 1 cross checks for 10 studies in 2024.</t>
  </si>
  <si>
    <t>3. Statistics and Statistical Programming Services - Upon programming completion of legacy data to CDISC compliant SDTM.</t>
  </si>
  <si>
    <t>4. Statistics and Statistical Programming Services - Upon preparation of raw data for integration for 3 studies</t>
  </si>
  <si>
    <t>5. Statistics and Statistical Programming Services - Ongoing Project planning, tracking and Management. 5 550 USD * 11 month</t>
  </si>
  <si>
    <t>6. Statistics and Statistical Programming Services - Ongoing Project planning, tracking and Management. 9 750*20 month - Janv 2025 - Dec 2025</t>
  </si>
  <si>
    <t>6. Statistics and Statistical Programming Services - Ongoing Project planning, tracking and Management. 9 750*20 month - Janv 2026 - Aug 2026</t>
  </si>
  <si>
    <t>9. Statistics and Statistical Programming Services - ISS Dry Run 2</t>
  </si>
  <si>
    <t>10. Statistics and Statistical Programming Services - ISS SAP Finalization</t>
  </si>
  <si>
    <t>11. Statistics and Statistical Programming Services - ISS Final Run</t>
  </si>
  <si>
    <t>12. Statistics and Statistical Programming Services - ISE - Development of ISE SAP text and</t>
  </si>
  <si>
    <t>13. Statistics and Statistical Programming Services - ISE Dry Run 1 100 000 USD*3 month</t>
  </si>
  <si>
    <t>14. Statistics and Statistical Programming Services - ISE Dry Run 2</t>
  </si>
  <si>
    <t>15. Statistics and Statistical Programming Services - ISE SAP Finalization</t>
  </si>
  <si>
    <t>16. Statistics and Statistical Programming Services - ISE Final Run</t>
  </si>
  <si>
    <t>17. Statistics and Statistical Programming Services - BIMO Dry Run Complete</t>
  </si>
  <si>
    <t>18. Statistics and Statistical Programming Services - Everest Support of Submission Complete (ISS, ISE, BIMO Final Run, Packaging and Production Run)</t>
  </si>
  <si>
    <t>MSA_23179_WO2_A2 - Obefazimod NDA</t>
  </si>
  <si>
    <t>INV 365098</t>
  </si>
  <si>
    <t>INV 10000490</t>
  </si>
  <si>
    <t>INV 840219728</t>
  </si>
  <si>
    <t>INV 1032509789 +INV 103210190</t>
  </si>
  <si>
    <t>06/11/2025 + 06/11/2025</t>
  </si>
  <si>
    <t>INV 0010 25002595 RI</t>
  </si>
  <si>
    <t>INV 006705</t>
  </si>
  <si>
    <t>INV 8053570013</t>
  </si>
  <si>
    <t>INV 0090180781</t>
  </si>
  <si>
    <t>INV 94241966</t>
  </si>
  <si>
    <t>31/08/2025 + 18/11/2025</t>
  </si>
  <si>
    <t>INV 900133336</t>
  </si>
  <si>
    <t>INV 365402</t>
  </si>
  <si>
    <t>INV INC-407008</t>
  </si>
  <si>
    <t>David Z</t>
  </si>
  <si>
    <t>IQVIA Japon</t>
  </si>
  <si>
    <t>Regulatory Support ABX464 - Upfront PTC</t>
  </si>
  <si>
    <t>Regulatory Support ABX464 - Preparing and conducting PMDA</t>
  </si>
  <si>
    <t>Regulatory Support ABX464 - Review of PMDA Planning ODD</t>
  </si>
  <si>
    <t>Regulatory Support ABX464 - Preparing PMDA consultation</t>
  </si>
  <si>
    <t>Regulatory Support ABX464 -  Handling queries Preparing ODD</t>
  </si>
  <si>
    <t>Regulatory Support ABX464 - Finalizing ODD</t>
  </si>
  <si>
    <t>Regulatory Support ABX464 - Review of PMDA Translating ODD</t>
  </si>
  <si>
    <t>Regulatory Support ABX464 - Meeting with MHLW</t>
  </si>
  <si>
    <t>Regulatory Support ABX464 - Submitting ODD</t>
  </si>
  <si>
    <t>Regulatory Support ABX464 - One-month postsubmission</t>
  </si>
  <si>
    <t>Regulatory Support ABX464 - Two-month post submission</t>
  </si>
  <si>
    <t>Regulatory Support ABX464 - Three-months post-submission</t>
  </si>
  <si>
    <t>Regulatory Support ABX464 - Received ODD letter &amp; Received JAN certification</t>
  </si>
  <si>
    <t>Regulatory Support ABX464 - refund advance At completion of Services</t>
  </si>
  <si>
    <t>Regulatory Support ABX464 - Advance Upon execution</t>
  </si>
  <si>
    <t>JPY</t>
  </si>
  <si>
    <t>INV QJP-073972</t>
  </si>
  <si>
    <t>INV QJP-074094</t>
  </si>
  <si>
    <t>INV QJP-074095</t>
  </si>
  <si>
    <t>Regulatory Support ABX464 - At completion of Services</t>
  </si>
  <si>
    <t>INV QJP-073973</t>
  </si>
  <si>
    <t>Regulatory Support ABX464 - Planning JAN application &amp; Plannign PMDA</t>
  </si>
  <si>
    <t>Regulatory Support ABX464 - Preparing JAN application &amp; Conducting PMDA</t>
  </si>
  <si>
    <t>Regulatory Support ABX464 - Submitting JAN application &amp; Preparing PMDA</t>
  </si>
  <si>
    <t>Regulatory Support ABX464 - One-month post-submission update &amp; Handling queries</t>
  </si>
  <si>
    <t>Regulatory/NDA-enabling ADME studies - Amdt1</t>
  </si>
  <si>
    <r>
      <t xml:space="preserve">MSA_25050_W6A1 - USL-40094-R1 - </t>
    </r>
    <r>
      <rPr>
        <b/>
        <sz val="11"/>
        <rFont val="Calibri"/>
        <family val="2"/>
        <scheme val="minor"/>
      </rPr>
      <t>P00552_2025</t>
    </r>
  </si>
  <si>
    <t>P00552_2025</t>
  </si>
  <si>
    <r>
      <t xml:space="preserve">Devis 13023 ALL Amdt </t>
    </r>
    <r>
      <rPr>
        <b/>
        <sz val="11"/>
        <rFont val="Calibri"/>
        <family val="2"/>
        <scheme val="minor"/>
      </rPr>
      <t>ALL PO</t>
    </r>
  </si>
  <si>
    <t>UC107 - ABX464 - Centralisation PO 2025</t>
  </si>
  <si>
    <t>P-TRP-333562-R7 - TORO-ABX464 IR Capsules 25mg et 50mg Manuf - CoS 13</t>
  </si>
  <si>
    <t>P00559_2025</t>
  </si>
  <si>
    <t>45.0 - Analytical Work</t>
  </si>
  <si>
    <t>Marianne</t>
  </si>
  <si>
    <r>
      <t xml:space="preserve">OFD25FR00300182 - </t>
    </r>
    <r>
      <rPr>
        <b/>
        <sz val="11"/>
        <rFont val="Calibri"/>
        <family val="2"/>
        <scheme val="minor"/>
      </rPr>
      <t>P00561_2025</t>
    </r>
  </si>
  <si>
    <t>P00561_2025</t>
  </si>
  <si>
    <t>Marquage de fibrose with option</t>
  </si>
  <si>
    <t>Noelie</t>
  </si>
  <si>
    <r>
      <t xml:space="preserve">216/2025/ZEFI - </t>
    </r>
    <r>
      <rPr>
        <b/>
        <sz val="11"/>
        <rFont val="Calibri"/>
        <family val="2"/>
        <scheme val="minor"/>
      </rPr>
      <t>P00555_2025</t>
    </r>
  </si>
  <si>
    <t>P00555_2025</t>
  </si>
  <si>
    <t>Entretien cage - Bimestre 5 - 09/2025 + 10/2025</t>
  </si>
  <si>
    <t>INV 90832691</t>
  </si>
  <si>
    <t>Regulatory Support ABX464 - PTC</t>
  </si>
  <si>
    <r>
      <t xml:space="preserve">RAB04074 - </t>
    </r>
    <r>
      <rPr>
        <b/>
        <sz val="11"/>
        <rFont val="Calibri"/>
        <family val="2"/>
        <scheme val="minor"/>
      </rPr>
      <t>P00571_2025</t>
    </r>
  </si>
  <si>
    <r>
      <t>RAB04074 -</t>
    </r>
    <r>
      <rPr>
        <b/>
        <sz val="11"/>
        <rFont val="Calibri"/>
        <family val="2"/>
        <scheme val="minor"/>
      </rPr>
      <t xml:space="preserve"> P00571_2025</t>
    </r>
  </si>
  <si>
    <t>P00571_2025</t>
  </si>
  <si>
    <t>SRV_25126_CO1</t>
  </si>
  <si>
    <t>MSL - Start-up CO#1</t>
  </si>
  <si>
    <r>
      <t xml:space="preserve">web - </t>
    </r>
    <r>
      <rPr>
        <b/>
        <sz val="11"/>
        <rFont val="Calibri"/>
        <family val="2"/>
        <scheme val="minor"/>
      </rPr>
      <t>P00568_2025</t>
    </r>
  </si>
  <si>
    <t>P00568_2025</t>
  </si>
  <si>
    <r>
      <t xml:space="preserve">25100393 - </t>
    </r>
    <r>
      <rPr>
        <b/>
        <sz val="11"/>
        <rFont val="Calibri"/>
        <family val="2"/>
        <scheme val="minor"/>
      </rPr>
      <t>P00582_2025</t>
    </r>
  </si>
  <si>
    <t>P00582_2025</t>
  </si>
  <si>
    <t>Storage 11/2025 &amp; 12/2025</t>
  </si>
  <si>
    <t>USP</t>
  </si>
  <si>
    <r>
      <t xml:space="preserve">Q1725872 - </t>
    </r>
    <r>
      <rPr>
        <b/>
        <sz val="11"/>
        <rFont val="Calibri"/>
        <family val="2"/>
        <scheme val="minor"/>
      </rPr>
      <t>P00541_2025</t>
    </r>
  </si>
  <si>
    <t>P00541_2025</t>
  </si>
  <si>
    <t>USP-NF Online - 20 users - 25/11/2025 au 24/11/2026</t>
  </si>
  <si>
    <r>
      <t xml:space="preserve">10058386 - </t>
    </r>
    <r>
      <rPr>
        <b/>
        <sz val="11"/>
        <rFont val="Calibri"/>
        <family val="2"/>
        <scheme val="minor"/>
      </rPr>
      <t>P00577_2025</t>
    </r>
  </si>
  <si>
    <t>P00577_2025</t>
  </si>
  <si>
    <t>Online EP access renewal - date de paiement + 365 jours</t>
  </si>
  <si>
    <t>Andy Cullen</t>
  </si>
  <si>
    <r>
      <t xml:space="preserve">L25_4437A - </t>
    </r>
    <r>
      <rPr>
        <b/>
        <sz val="11"/>
        <rFont val="Calibri"/>
        <family val="2"/>
        <scheme val="minor"/>
      </rPr>
      <t>P00567_2025</t>
    </r>
  </si>
  <si>
    <t>P00567_2025</t>
  </si>
  <si>
    <t>Clinical batches 12,5 mg - 11/2025</t>
  </si>
  <si>
    <r>
      <t xml:space="preserve">MSA_25148_W1A1 - </t>
    </r>
    <r>
      <rPr>
        <b/>
        <sz val="11"/>
        <rFont val="Calibri"/>
        <family val="2"/>
        <scheme val="minor"/>
      </rPr>
      <t>P00578_2025</t>
    </r>
  </si>
  <si>
    <t>P00578_2025</t>
  </si>
  <si>
    <t>CRO for fibrosis study - A1WO1 - At signature</t>
  </si>
  <si>
    <t>CRO for fibrosis study - A1WO1 - End of activities</t>
  </si>
  <si>
    <t>CRO for fibrosis study - A1WO1 - Final report</t>
  </si>
  <si>
    <t>INV 0106/26 + INV 0105/26 + INV 0114/26 +INV 0169/26 +INV 0276/26</t>
  </si>
  <si>
    <t>10/09/2025 + 10/09/2025 + 11/09/2025 + 30/09/2025 +20/11/2025</t>
  </si>
  <si>
    <t>INV 0023/26 +INV 0024/26 + INV 0091/26+ INV 0103/26 + INV 0127/26 + INV 0275/26</t>
  </si>
  <si>
    <t>21/07/2025  +21/07/2025+29/08/2025+10/09/2025+17/09/2025 + 20/11/2025</t>
  </si>
  <si>
    <t>INV 0222/22 + INV 0506/22 + INV 0627/22 + INV 0624/22 + INV 0690/22 + INV 0720/22 + INV 0716/22 + INV 0767/22 + INV 0065/23 + INV 0253/23 + INV 0237/23 + INV 0504/23 + INV 0500/23 + INV 0911/23 + INV 0933/23 + INV 0335/25 + INV 0336/25 + INV 0242/26 + INV 0277/26</t>
  </si>
  <si>
    <t>27/10/2021 + 23/02/2022 + 30/03/2022 + 30/03/2022 + 25/04/2022 + 29/04/2022 + 29/04/2022 + 30/05/2022 + 25/08/2022 + 28/10/2022 + 26/10/2022 + 31/01/2023 + 31/01/2023 + 28/06/2023 + 30/06/2023 + 16/12/2024 + 16/12/2024+31/10/2025+20/11/2025</t>
  </si>
  <si>
    <t>INV 8053575936</t>
  </si>
  <si>
    <t>INV 59002449</t>
  </si>
  <si>
    <t>INV 59001313 + INV 59001395 + INV 59900015 + INV 59900015 + INV 59001725 + INV 59001652 + INV 59001839 + INV 59001900 + INV 59001924 + INV 59001979 + INV 59002021 + INV 59002065 + INV 59002118 + INV 59002153 + INV 59002183 + inv 59002225 + INV 59002227 +INV 59002258 + INV 59002302 + INV 59002366 + INV 59002403 + INV 59002446 + INV 59002447</t>
  </si>
  <si>
    <t>24/08/2023 + 13/10/2023 + 11/10/2023 + 13/10/2023 + 26/06/2024 + 16/04/2024 + 25/09/2024 + 25/10/2024 + 21/11/2024 + 20/12/2024 + 27/01/2025 + 24/02/2025 + 28/03/2025 + 23/04/2025 + 21/05/2025 + 27/06/2025 + 26/06/2025+24/07/2025 + 21/08/2025 + 26/09/2025 + 23/10/2025 + 20/11/2025 + 20/11/2025</t>
  </si>
  <si>
    <t>INV 59002450</t>
  </si>
  <si>
    <t>INV EUSI373613</t>
  </si>
  <si>
    <t>20/11/202(</t>
  </si>
  <si>
    <t>INV EUSI370354 + INV EUSI373294</t>
  </si>
  <si>
    <t>07/11/2025 + 20/11/2025</t>
  </si>
  <si>
    <t>INV  013275</t>
  </si>
  <si>
    <t>INV 59001314 + INV 59001396 + INV 59900016 + INV 59001636 + INV 59001726 + INV 59001791 + INV 59001844 +INV 59001840 + INV 59001888 + INV 59001925 + INV 59001980 + INV 59002022 + INV 59002066 + INV 59002119 + INV 59002154 + inv 59002228 + INV 59002229+INV 59002259 + INV 59002305 + INV 59002404 + INV 59002448</t>
  </si>
  <si>
    <t>24/08/2023 + 13/10/2023 + 13/10/2023 + 27/03/2024 + 26/06/2024 + 22/08/2024 + 27/09/2024 +25/09/2024 + 25/10/2024 + 21/11/2024 + 20/12/2024 + 27/01/2025 + 21/02/2025 + 28/03/2025+ 24/04/25 + 26/06/2025 + 26/06/2025+24/07/2025 + 21/08/2025 + 23/10/2025 + 20/11/2025</t>
  </si>
  <si>
    <r>
      <t xml:space="preserve">ABIVAX_A_CRO_2025-167 - </t>
    </r>
    <r>
      <rPr>
        <b/>
        <sz val="11"/>
        <rFont val="Calibri"/>
        <family val="2"/>
        <scheme val="minor"/>
      </rPr>
      <t>P00585_2025</t>
    </r>
  </si>
  <si>
    <t>P00585_2025</t>
  </si>
  <si>
    <t>On-site audit of Phinc FR</t>
  </si>
  <si>
    <t>INV OCFR-FTI-000685</t>
  </si>
  <si>
    <t>SIMULATION PLUS</t>
  </si>
  <si>
    <t>Regulatory &amp; Strategy CMC support</t>
  </si>
  <si>
    <t>P00217_2025</t>
  </si>
  <si>
    <t>P00299_2025</t>
  </si>
  <si>
    <t>P00385_2025</t>
  </si>
  <si>
    <t>Regulatory &amp; Strategy CMC support PBPK - Task 1</t>
  </si>
  <si>
    <t>Regulatory &amp; Strategy CMC support PBPK - at PO signature</t>
  </si>
  <si>
    <t>Regulatory &amp; Strategy CMC support PBPK - Task 2</t>
  </si>
  <si>
    <t>Regulatory &amp; Strategy CMC support PBPK - Task 3</t>
  </si>
  <si>
    <t>Regulatory &amp; Strategy CMC support PBPK - Task 4</t>
  </si>
  <si>
    <t>Regulatory &amp; Strategy CMC support PBPK - Task 5</t>
  </si>
  <si>
    <t>Regulatory &amp; Strategy CMC support PBPK - Task 6</t>
  </si>
  <si>
    <t>Regulatory &amp; Strategy CMC support PBPK - Task 7</t>
  </si>
  <si>
    <t>Regulatory &amp; Strategy CMC support PBPK - Task 8</t>
  </si>
  <si>
    <t>Regulatory &amp; Strategy CMC support PBPK - Task 9</t>
  </si>
  <si>
    <t>Regulatory &amp; Strategy CMC support PBPK - Task 10</t>
  </si>
  <si>
    <t>Regulatory &amp; Strategy CMC support PBPK - Task 11</t>
  </si>
  <si>
    <t>Regulatory &amp; Strategy CMC support PBPK - Task 12</t>
  </si>
  <si>
    <t>P00465_2025</t>
  </si>
  <si>
    <t>P00570_2025</t>
  </si>
  <si>
    <t>CSL_25037 - 44660922 - P00217_2025</t>
  </si>
  <si>
    <t>INV FTI103028 + INV FTI103170</t>
  </si>
  <si>
    <t>11/06/2025 + 25/08/2025</t>
  </si>
  <si>
    <t>INV FTI03169 + INV FTI103235</t>
  </si>
  <si>
    <t>25/08/2025 + 18/09/2025</t>
  </si>
  <si>
    <t>INV FTI103438</t>
  </si>
  <si>
    <t>INV FTI103236</t>
  </si>
  <si>
    <t>INV 90736861</t>
  </si>
  <si>
    <t>INV 49/2025</t>
  </si>
  <si>
    <t>Effect of ABX464 on fibrosis in TNBS - At signature</t>
  </si>
  <si>
    <t>Effect of ABX464 on fibrosis in TNBS - End of activities</t>
  </si>
  <si>
    <t>Effect of ABX464 on fibrosis in TNBS - Final report</t>
  </si>
  <si>
    <t>INV 01553289</t>
  </si>
  <si>
    <t xml:space="preserve"> INV THV-305471 - to be refund</t>
  </si>
  <si>
    <t>DRUG SAFETY AND PHARMACOVIGILANCE - PTC to be refund</t>
  </si>
  <si>
    <t>INV 10000585</t>
  </si>
  <si>
    <t>INV 365504</t>
  </si>
  <si>
    <t>INV 9160001471 + INV 9160002135 + INV 9160001697 + INV 9160002850</t>
  </si>
  <si>
    <t>30/10/2025+ 11/11/2025 + 03/11/2025 + 21/11/2025</t>
  </si>
  <si>
    <t>INV 25100170 + INV 25100178 + INV 25100205 + INV 25100230  +INV 25100346 + INV 25100295 + INV 25100401 + INV 25100471 + INV 25100497</t>
  </si>
  <si>
    <t>30/04/2025 + 08/05/2025 + 02/06/2025 + 24/06/2025+ 20/08/2025 + 18/07/2025 + 25/09/2025 + 05/11/2025 + 26/11/2025</t>
  </si>
  <si>
    <t>INV F25-2278</t>
  </si>
  <si>
    <r>
      <t xml:space="preserve">web - </t>
    </r>
    <r>
      <rPr>
        <b/>
        <sz val="11"/>
        <rFont val="Calibri"/>
        <family val="2"/>
        <scheme val="minor"/>
      </rPr>
      <t>P00586_2025</t>
    </r>
  </si>
  <si>
    <r>
      <t xml:space="preserve">CSL_25037_CO1 - 44660922 - </t>
    </r>
    <r>
      <rPr>
        <b/>
        <sz val="11"/>
        <rFont val="Calibri"/>
        <family val="2"/>
        <scheme val="minor"/>
      </rPr>
      <t>P00299_2025</t>
    </r>
  </si>
  <si>
    <r>
      <t>CSL_25037_CO2 - 44875186 -</t>
    </r>
    <r>
      <rPr>
        <b/>
        <sz val="11"/>
        <rFont val="Calibri"/>
        <family val="2"/>
        <scheme val="minor"/>
      </rPr>
      <t xml:space="preserve"> P00385_2025</t>
    </r>
  </si>
  <si>
    <r>
      <t xml:space="preserve">CSL_25037_CO2 - 44875186 - </t>
    </r>
    <r>
      <rPr>
        <b/>
        <sz val="11"/>
        <rFont val="Calibri"/>
        <family val="2"/>
        <scheme val="minor"/>
      </rPr>
      <t>P00385_2025</t>
    </r>
  </si>
  <si>
    <r>
      <t xml:space="preserve">CSL_25037_CO3 - 44660922 - </t>
    </r>
    <r>
      <rPr>
        <b/>
        <sz val="11"/>
        <rFont val="Calibri"/>
        <family val="2"/>
        <scheme val="minor"/>
      </rPr>
      <t>P00465_2025</t>
    </r>
  </si>
  <si>
    <r>
      <t>CSL_25037_CO4 - 44660922 -</t>
    </r>
    <r>
      <rPr>
        <b/>
        <sz val="11"/>
        <rFont val="Calibri"/>
        <family val="2"/>
        <scheme val="minor"/>
      </rPr>
      <t xml:space="preserve"> P00570_2025</t>
    </r>
  </si>
  <si>
    <t>P00586_2025</t>
  </si>
  <si>
    <r>
      <t xml:space="preserve">JLCO251103057 - </t>
    </r>
    <r>
      <rPr>
        <b/>
        <sz val="11"/>
        <rFont val="Calibri"/>
        <family val="2"/>
        <scheme val="minor"/>
      </rPr>
      <t>P00588_2025</t>
    </r>
  </si>
  <si>
    <t>P00588_2025</t>
  </si>
  <si>
    <t>QUICKSTAT</t>
  </si>
  <si>
    <r>
      <t xml:space="preserve">KN2252 - </t>
    </r>
    <r>
      <rPr>
        <b/>
        <sz val="11"/>
        <rFont val="Calibri"/>
        <family val="2"/>
        <scheme val="minor"/>
      </rPr>
      <t>P00592_2025</t>
    </r>
  </si>
  <si>
    <t>P00592_2025</t>
  </si>
  <si>
    <t>Transport Canada to UK</t>
  </si>
  <si>
    <r>
      <t xml:space="preserve">KN2253 - </t>
    </r>
    <r>
      <rPr>
        <b/>
        <sz val="11"/>
        <rFont val="Calibri"/>
        <family val="2"/>
        <scheme val="minor"/>
      </rPr>
      <t>P00593_2025</t>
    </r>
  </si>
  <si>
    <t>P00593_2025</t>
  </si>
  <si>
    <t>Transport France to UK</t>
  </si>
  <si>
    <r>
      <t xml:space="preserve">web - </t>
    </r>
    <r>
      <rPr>
        <b/>
        <sz val="11"/>
        <rFont val="Calibri"/>
        <family val="2"/>
        <scheme val="minor"/>
      </rPr>
      <t>P00594_2025</t>
    </r>
  </si>
  <si>
    <t>P00594_2025</t>
  </si>
  <si>
    <r>
      <t xml:space="preserve">Devis 11751 - </t>
    </r>
    <r>
      <rPr>
        <b/>
        <sz val="11"/>
        <rFont val="Calibri"/>
        <family val="2"/>
        <scheme val="minor"/>
      </rPr>
      <t>ALL PO</t>
    </r>
  </si>
  <si>
    <t>INV 25ABIVP3 (deposit) + INV-PA-12821 + INV-PA-12841 (PTC) + INV -PA-12926</t>
  </si>
  <si>
    <t>23/08/2025 + 29/10/2025 + 31/10/2025 + 28/11/2025</t>
  </si>
  <si>
    <t>INV 10000596</t>
  </si>
  <si>
    <t>(INV PJ20230301 + INV PJ20230720 + INV PJ20231324 + INV PJ20231056 + INV PJ20231486 + INV PJ20231757 + INV PJ20232038 + INV PJ20232377 + INV PJ20232639) + INV PJ20233070 + INV PJ20240118 + INV PJ20240389 + INV PJ20240664 + INV PJ20240935 + INV PJ20241065 + INV PJ20241408 + INV PJ20241653 + INV PJ20241962 + INV PJ20242197 + INV PJ20242642 + INV PJ20242881 + INV PJ20243264</t>
  </si>
  <si>
    <t>(28/02/2023 + 31/03/2023 + 30/06/2023 + 30/06/2023 + 31/07/2023 + 31/08/2023 + 30/09/2023 + 31/10/2023 + 30/11/2023)  + 22/12/2023 + 31/01/2024+ 29/02/2024 + 31/03/2024 + 30/04/2025 + 31/05/2024 + 30/06/2024 + 31/07/2024 + 31/08/2024 + 27/09/2024 + 31/10/2024 + 27/11/2024 + 20/12/2024</t>
  </si>
  <si>
    <t>INV PJ20250212 + INV PJ20250541 +  INV  PJ20250728 +  INV  PJ20250933 +  INV  PJ20251187 +  INV  PJ20251457 +  INV  PJ20251806 +  INV  PJ20252017 +  INV  PJ20252231 + INV PJ20252564 + INV PJ20252851</t>
  </si>
  <si>
    <t>31/01/2025 + 18/03/2025 + 31/03/2025 + 30/04/2025 + 31/05/2025 + 30/06/2025 + 31/07/2025 + 31/08/2025 + 30/09/2025 + 30/10/2025 + 30/11/2025</t>
  </si>
  <si>
    <t>INV ABI202521</t>
  </si>
  <si>
    <t>INV ABIV202521</t>
  </si>
  <si>
    <t>INV ABIV202408 + INV ABIV202409 + INV ABIV202411 + INV ABIV202501 + INV ABIV202520 + INV ABIV202521</t>
  </si>
  <si>
    <t>30/06/2024 + 31/07/2024 + 09/09/2024 + 06/02/2025 + 04/11/2025 + 28/11/2025</t>
  </si>
  <si>
    <t>INV 2025-KI-0061</t>
  </si>
  <si>
    <t>INV 10000518 + INV 10000596</t>
  </si>
  <si>
    <t>05/11/2025 + 27/11/2025</t>
  </si>
  <si>
    <t>laisser ouvert</t>
  </si>
  <si>
    <t>INV FR-006951</t>
  </si>
  <si>
    <t>INV OCFR-FTI-000686 + INVV OCFR-FTI-000699</t>
  </si>
  <si>
    <t>28/11/2025 + 04/12/2025</t>
  </si>
  <si>
    <t>INV 00010 25002812 RI</t>
  </si>
  <si>
    <t>INV 2511727</t>
  </si>
  <si>
    <t>P00448_2023 + P00297_2024</t>
  </si>
  <si>
    <r>
      <t xml:space="preserve">Q2300304_V3&amp;V4 - </t>
    </r>
    <r>
      <rPr>
        <b/>
        <sz val="11"/>
        <rFont val="Calibri"/>
        <family val="2"/>
        <scheme val="minor"/>
      </rPr>
      <t>P00448_2023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P00297_2024</t>
    </r>
  </si>
  <si>
    <t>INV F25000106 + INV F25000262 + INV F25000377+INV F25000508+ INV F25000600 + INV F25001211 + INV F25001212</t>
  </si>
  <si>
    <t>31/01/2025+28/02/2025+31/03/2025+30/04/2025+31/05/2025 + 28/11/2025 + 28/11/2025</t>
  </si>
  <si>
    <t>INV F25000105+ INV F25000261 + INV F25000376 + INV 25000507 + INV F25000599 + Inv F25001210 + INV F25001209</t>
  </si>
  <si>
    <t>28/02/2025+31/12/2025+31/03/2025+30/04/2025+30/05/2025 + 27/11/2025 + 27/11/2025</t>
  </si>
  <si>
    <t>reste il des choses a attendre? Email a Julien S le 04/12/25 - réponse : A clôturer</t>
  </si>
  <si>
    <t>INV JLFC251200609</t>
  </si>
  <si>
    <r>
      <t xml:space="preserve">WO101#2025 - </t>
    </r>
    <r>
      <rPr>
        <b/>
        <sz val="11"/>
        <rFont val="Calibri"/>
        <family val="2"/>
        <scheme val="minor"/>
      </rPr>
      <t>P00372_2025</t>
    </r>
  </si>
  <si>
    <t>P00372_2025</t>
  </si>
  <si>
    <t>Regulatory support for CTD writing</t>
  </si>
  <si>
    <t>INV 00010 25002821 RI</t>
  </si>
  <si>
    <t>INV 4072475332</t>
  </si>
  <si>
    <t>ABX911 - Statistics &amp; Stat programming &amp; PK analysis</t>
  </si>
  <si>
    <t>ABX911 - Statistics &amp; Stat programming &amp; PK analysis - Upfront</t>
  </si>
  <si>
    <t>INV 0090191011 + INV 0090191012 + INV 0090191010</t>
  </si>
  <si>
    <t>30/11/2025 + 30/11/2025 + 30/11/2025</t>
  </si>
  <si>
    <t>14/01/2025+ 01/03/2025 + 01/12/2025</t>
  </si>
  <si>
    <t>INV PS-INV103044 + INV PS-INV103209 + INV PS-INV103921</t>
  </si>
  <si>
    <t>INV 013330</t>
  </si>
  <si>
    <r>
      <t xml:space="preserve">ENG-809936 - </t>
    </r>
    <r>
      <rPr>
        <b/>
        <sz val="11"/>
        <rFont val="Calibri"/>
        <family val="2"/>
        <scheme val="minor"/>
      </rPr>
      <t>P00607_2025</t>
    </r>
  </si>
  <si>
    <t>P00607_2025</t>
  </si>
  <si>
    <t>RIM EU MS 10h Jan-Jun 2026 renewal</t>
  </si>
  <si>
    <t>David Z - NOT Mary</t>
  </si>
  <si>
    <t>INV 00010 25002851 RI</t>
  </si>
  <si>
    <t>INV OCFR-FTI-000700</t>
  </si>
  <si>
    <t>INV ABIV202301 + INV ABIV202401 + INV ABIV202404 + INV ABIV202406 + INV ABIV202410 + INV ABIV202413 + INV BAIV202415 + INV ABIV202417 + INV ABIV202419 + INV ABIV202502  + INV ABIV202503 + INV ABIV202507 + INV ABIV202509 + INV ABIV202511 + INV ABIV202513 + INV ABIV202515 + INV ABIV202516 + INV ABI202519R + INV ABIV202522</t>
  </si>
  <si>
    <t>31/12/2023 + 01/02/2024 + 03/04/2024 + 02/05/2024 + 09/09/2024 + 04/10/2024 + 08/11/2024 + 06/12/2024 + 02/01/2025 + 31/01/2025 + 05/03/2025 + 31/03/2025 + 01/05/2025 + 02/06/2025+ 02/07/2025+ 01/08/2025 + 02/09/2025 + 12/11/2025 + 01/12/2025</t>
  </si>
  <si>
    <t>INV 50/2025</t>
  </si>
  <si>
    <t>INV S25-444281</t>
  </si>
  <si>
    <t>SRV_21096_A4</t>
  </si>
  <si>
    <t>8. Upon execution CO4</t>
  </si>
  <si>
    <t>9. On Data Base Lock</t>
  </si>
  <si>
    <t>10. On Statistical Output Delivered (TLFs)</t>
  </si>
  <si>
    <t>11. On final draft Clinical Study Report</t>
  </si>
  <si>
    <t>12. On End of Services</t>
  </si>
  <si>
    <t>SRV_21096 + SRV_21096_A1 + A2 + A3 + A4</t>
  </si>
  <si>
    <t>Project Management Costs, 16 equal part - Fevrier 2026</t>
  </si>
  <si>
    <t>Project Management Costs, 16 equal part - Mai 2026</t>
  </si>
  <si>
    <t>Project Management Costs, 16 equal part - Aout 2026</t>
  </si>
  <si>
    <t>Project Management Costs, 16 equal part - Novembre 2026</t>
  </si>
  <si>
    <t>Project Management Costs, 16 equal part - Fevrier 2027</t>
  </si>
  <si>
    <t>Project Management Costs, 16 equal part - Mai 2027</t>
  </si>
  <si>
    <t>Project Management Costs, 16 equal part - Aout 2027</t>
  </si>
  <si>
    <t>Project Management Costs, 16 equal part - Novembre 2027</t>
  </si>
  <si>
    <t>INV S25-493281</t>
  </si>
  <si>
    <t>INV 7003805</t>
  </si>
  <si>
    <t>INV 20240402814 + INV 20240502840 + INV 20240602872 + INV 20240702904 + INV 20241002988 - INV 20241203072 + INV 20250303179 + INV 20250303179 + INV 20250603278 + INV 20250903389</t>
  </si>
  <si>
    <t>30/04/2024 + 31/05/2024 + 31/06/2024 + 31/07/2024 + 31/10/2024 + 26/12/2024 + 31/03/2025+31/03/2025 + 30/06/2025 + 30/09/2025</t>
  </si>
  <si>
    <t>INV PINV-17280 + INV CINV-15242</t>
  </si>
  <si>
    <t>30/10/2025 + 30/11/2025</t>
  </si>
  <si>
    <t>INV 2025-KI-0099</t>
  </si>
  <si>
    <t>INV FRA -007016</t>
  </si>
  <si>
    <t>INV 20231208Abivax</t>
  </si>
  <si>
    <t>INV 25100497 + INV 25100512</t>
  </si>
  <si>
    <t>26/11/2025 + 10/12/2025</t>
  </si>
  <si>
    <t>INV SI16000003449 + INV SI16000003524</t>
  </si>
  <si>
    <t>INV 10000596 + INV 10000660</t>
  </si>
  <si>
    <t>27/11/2025+09/12/2025</t>
  </si>
  <si>
    <t>INV 10000660</t>
  </si>
  <si>
    <r>
      <t xml:space="preserve">140079304 - </t>
    </r>
    <r>
      <rPr>
        <b/>
        <sz val="11"/>
        <rFont val="Calibri"/>
        <family val="2"/>
        <scheme val="minor"/>
      </rPr>
      <t>P00630_2025</t>
    </r>
  </si>
  <si>
    <t>P00630_2025</t>
  </si>
  <si>
    <r>
      <t xml:space="preserve">4120780-00 - </t>
    </r>
    <r>
      <rPr>
        <b/>
        <sz val="11"/>
        <rFont val="Calibri"/>
        <family val="2"/>
        <scheme val="minor"/>
      </rPr>
      <t>P00626_2025</t>
    </r>
  </si>
  <si>
    <t>P00626_2025</t>
  </si>
  <si>
    <r>
      <t xml:space="preserve">web - </t>
    </r>
    <r>
      <rPr>
        <b/>
        <sz val="11"/>
        <rFont val="Calibri"/>
        <family val="2"/>
        <scheme val="minor"/>
      </rPr>
      <t>P00624_2025</t>
    </r>
  </si>
  <si>
    <t>P00624_2025</t>
  </si>
  <si>
    <t>Devis 14597 - ALL PO</t>
  </si>
  <si>
    <t>CH922 - Primary &amp; Secondary packaging</t>
  </si>
  <si>
    <t>RB911</t>
  </si>
  <si>
    <r>
      <t xml:space="preserve">OPP-401437 - CRL-32080008 - </t>
    </r>
    <r>
      <rPr>
        <b/>
        <sz val="11"/>
        <rFont val="Calibri"/>
        <family val="2"/>
        <scheme val="minor"/>
      </rPr>
      <t>P00601_2025</t>
    </r>
  </si>
  <si>
    <t>P00601_2025</t>
  </si>
  <si>
    <t>RB911 - Quantification in Human Plasma</t>
  </si>
  <si>
    <r>
      <t xml:space="preserve">OPP-358985 - CRL-31999217 CRL-583291 - </t>
    </r>
    <r>
      <rPr>
        <b/>
        <sz val="11"/>
        <rFont val="Calibri"/>
        <family val="2"/>
        <scheme val="minor"/>
      </rPr>
      <t>P00020_2025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P00530_2025 + P00625_2025</t>
    </r>
  </si>
  <si>
    <t>P00020_2025 + P00530_2025 + P00625_2025</t>
  </si>
  <si>
    <t>P00470_2023 + P00615_2025</t>
  </si>
  <si>
    <r>
      <t xml:space="preserve">66249 V3 - </t>
    </r>
    <r>
      <rPr>
        <b/>
        <sz val="11"/>
        <rFont val="Calibri"/>
        <family val="2"/>
        <scheme val="minor"/>
      </rPr>
      <t>P00470_2023</t>
    </r>
    <r>
      <rPr>
        <sz val="11"/>
        <rFont val="Calibri"/>
        <family val="2"/>
        <scheme val="minor"/>
      </rPr>
      <t xml:space="preserve"> +</t>
    </r>
    <r>
      <rPr>
        <b/>
        <sz val="11"/>
        <rFont val="Calibri"/>
        <family val="2"/>
        <scheme val="minor"/>
      </rPr>
      <t xml:space="preserve"> 0326C1336C - P00615_2025</t>
    </r>
  </si>
  <si>
    <r>
      <t xml:space="preserve">25100426 - </t>
    </r>
    <r>
      <rPr>
        <b/>
        <sz val="11"/>
        <rFont val="Calibri"/>
        <family val="2"/>
        <scheme val="minor"/>
      </rPr>
      <t>P00596_2025</t>
    </r>
  </si>
  <si>
    <t>P00596_2025</t>
  </si>
  <si>
    <t>CD202 - Questionnaire Serbie et Israel</t>
  </si>
  <si>
    <r>
      <t xml:space="preserve">LIC_23203_A2 - </t>
    </r>
    <r>
      <rPr>
        <b/>
        <sz val="11"/>
        <rFont val="Calibri"/>
        <family val="2"/>
        <scheme val="minor"/>
      </rPr>
      <t>P00620_2025</t>
    </r>
  </si>
  <si>
    <t>P00620_2025</t>
  </si>
  <si>
    <r>
      <t xml:space="preserve">NBP2025-551 - </t>
    </r>
    <r>
      <rPr>
        <b/>
        <sz val="11"/>
        <rFont val="Calibri"/>
        <family val="2"/>
        <scheme val="minor"/>
      </rPr>
      <t>P00616_2025</t>
    </r>
  </si>
  <si>
    <t>P00616_2025</t>
  </si>
  <si>
    <t>TNBS-study</t>
  </si>
  <si>
    <r>
      <t xml:space="preserve">DV-ABI-1025-1866 - </t>
    </r>
    <r>
      <rPr>
        <b/>
        <sz val="11"/>
        <rFont val="Calibri"/>
        <family val="2"/>
        <scheme val="minor"/>
      </rPr>
      <t>P00612_2025</t>
    </r>
  </si>
  <si>
    <t>P00612_2025</t>
  </si>
  <si>
    <t>Cécile A / Julien</t>
  </si>
  <si>
    <r>
      <t xml:space="preserve">DV-ABI-1125-1890 - </t>
    </r>
    <r>
      <rPr>
        <b/>
        <sz val="11"/>
        <rFont val="Calibri"/>
        <family val="2"/>
        <scheme val="minor"/>
      </rPr>
      <t>P00613_2025</t>
    </r>
  </si>
  <si>
    <t>P00613_2025</t>
  </si>
  <si>
    <t>ABTECT - UC105 - gestion transport et conservation</t>
  </si>
  <si>
    <t>ABTECT - UC106 - gestion transport et conservation</t>
  </si>
  <si>
    <r>
      <t>CSL_25037_CO5 - 44875186 -</t>
    </r>
    <r>
      <rPr>
        <b/>
        <sz val="11"/>
        <rFont val="Calibri"/>
        <family val="2"/>
        <scheme val="minor"/>
      </rPr>
      <t xml:space="preserve"> P00603_2025</t>
    </r>
  </si>
  <si>
    <t>P00603_2025</t>
  </si>
  <si>
    <r>
      <t xml:space="preserve">QSC302430_CO4 - </t>
    </r>
    <r>
      <rPr>
        <b/>
        <sz val="11"/>
        <rFont val="Calibri"/>
        <family val="2"/>
        <scheme val="minor"/>
      </rPr>
      <t>P00599_2025</t>
    </r>
  </si>
  <si>
    <r>
      <t xml:space="preserve">QSC302430_CO2 - </t>
    </r>
    <r>
      <rPr>
        <b/>
        <sz val="11"/>
        <rFont val="Calibri"/>
        <family val="2"/>
        <scheme val="minor"/>
      </rPr>
      <t>P00099_2025</t>
    </r>
    <r>
      <rPr>
        <sz val="11"/>
        <rFont val="Calibri"/>
        <family val="2"/>
        <scheme val="minor"/>
      </rPr>
      <t xml:space="preserve"> suite du PO00491_2024 - Annulée</t>
    </r>
  </si>
  <si>
    <t>Annulée via PO00599_2025</t>
  </si>
  <si>
    <t>P00099_2025 - P00599_2025</t>
  </si>
  <si>
    <t>P00599_2025</t>
  </si>
  <si>
    <r>
      <t xml:space="preserve">WO_ABX17468 - </t>
    </r>
    <r>
      <rPr>
        <b/>
        <sz val="11"/>
        <rFont val="Calibri"/>
        <family val="2"/>
        <scheme val="minor"/>
      </rPr>
      <t>P00575_2025</t>
    </r>
  </si>
  <si>
    <t>P00575_2025</t>
  </si>
  <si>
    <t>MiR124 on mouse colon sample - at signature (2025)</t>
  </si>
  <si>
    <t>MiR124 on mouse colon sample - Monthly</t>
  </si>
  <si>
    <r>
      <t xml:space="preserve">OPP-403570 - CRL-32084332 - </t>
    </r>
    <r>
      <rPr>
        <b/>
        <sz val="11"/>
        <rFont val="Calibri"/>
        <family val="2"/>
        <scheme val="minor"/>
      </rPr>
      <t>P00589_2025</t>
    </r>
  </si>
  <si>
    <t>P00589_2025</t>
  </si>
  <si>
    <t>Cross-Validation study - 50% Study initiation</t>
  </si>
  <si>
    <t>Cross-Validation study - 50% Draft Report</t>
  </si>
  <si>
    <t>Sunil / Robert</t>
  </si>
  <si>
    <r>
      <t xml:space="preserve">A-LFCAA-40787-R0 - </t>
    </r>
    <r>
      <rPr>
        <b/>
        <sz val="11"/>
        <rFont val="Calibri"/>
        <family val="2"/>
        <scheme val="minor"/>
      </rPr>
      <t>P00609_2025</t>
    </r>
  </si>
  <si>
    <t>P00609_2025</t>
  </si>
  <si>
    <t xml:space="preserve">Dev and validation campaign - Phase 2 - 50% upon commencement Phase 2 </t>
  </si>
  <si>
    <t>Dev and validation campaign - Phase 2 - 50% upon compeltion of manuf demo</t>
  </si>
  <si>
    <t>Dev and validation campaign - Phase 3 - module 3&amp;4 - 50% Upon commencement Phase 3</t>
  </si>
  <si>
    <t>Dev and validation campaign - Phase 3 - module 3&amp;4 - 50% Upon complztion of validation</t>
  </si>
  <si>
    <t>Dev and validation campaign - Phase 3 - module 5 - 100% raiw materials</t>
  </si>
  <si>
    <t>Dev and validation campaign - Phase 3 - module 5 - 40% Upon commencement of Manuf</t>
  </si>
  <si>
    <t>Dev and validation campaign - Phase 3 - module 5 - 40% Upon completion of Manuf</t>
  </si>
  <si>
    <t>Dev and validation campaign - Phase 3 - module 5 - 20% Final invoice</t>
  </si>
  <si>
    <r>
      <t xml:space="preserve">B082502 - </t>
    </r>
    <r>
      <rPr>
        <b/>
        <sz val="11"/>
        <rFont val="Calibri"/>
        <family val="2"/>
        <scheme val="minor"/>
      </rPr>
      <t>P00600_2025</t>
    </r>
  </si>
  <si>
    <t>P00600_2025</t>
  </si>
  <si>
    <t>28/02/2023 + 31/03/2023 + 30/06/2023 (recu en 07/2023) + 31/07/2023 + 26/09/2023 + 01/01/2024 + 01/01/2024 + 01/01/2024 + 29/02/2024 + 29/02/2024 + 29/03/2024 + 30/04/2024 + 28/06/2024 + 31/07/2024 + 30/08/2024 + 30/09/2024 + 31/10/2024 + 30/11/2024 + 31/12/2024 +31/01/2025+28/02/2025+31/05/2024+31/03/2025+31/03/2025+29/04/2025+31/05/2025 + 30/06/2025 + 31/07/2025 + 29/08/2025 + 30/09/2025 + 31/10/2025 + 28/11/2025</t>
  </si>
  <si>
    <t>INV 20230202430 + INV 20230302451 + INV 20230602533 + INV 20230702570 + INV 20230902622 + INV 20231102670 + INV 20231002645 + INV 20231202705 + INV 20240102733 + INV 20240202765 + INV 20240302787 + INV 20240402813 + INV 20240602901 + INV 20240702902 + INV 20240802940 + INV 20240902967 + INV 20241002986 + INV 20241103025 + INV 2024123074 + INV 20250103123 + INV 20250203151 + INV 20240502839 + INV 20250303178+INV 20250303178 + INV 20250303210 + INV 2025053272 + INV 20250603277 + INV 20250703312 + INV 20250803346 + INV 20250903385 + INV 20251003422 + INV 20251103449</t>
  </si>
  <si>
    <t>UC107 - Cytokines</t>
  </si>
  <si>
    <r>
      <t xml:space="preserve">D_98_220512_MR_1015-4 - </t>
    </r>
    <r>
      <rPr>
        <b/>
        <sz val="11"/>
        <rFont val="Calibri"/>
        <family val="2"/>
        <scheme val="minor"/>
      </rPr>
      <t>P00045_2023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+ P00451_2023 + P00262_2024 + P00264_2025 + P00608_2025</t>
    </r>
  </si>
  <si>
    <t>P00045_2023 + P00451_2023 + P00262_2024 + P00264_2025 + P00608_2025</t>
  </si>
  <si>
    <r>
      <t xml:space="preserve">MSA_23179_WO3 - Obefazimod NDA - </t>
    </r>
    <r>
      <rPr>
        <b/>
        <sz val="11"/>
        <rFont val="Calibri"/>
        <family val="2"/>
        <scheme val="minor"/>
      </rPr>
      <t>P00623_2025</t>
    </r>
  </si>
  <si>
    <t>P00623_2025</t>
  </si>
  <si>
    <r>
      <t xml:space="preserve">PH-ABVX-PK-2025-02 - MSA_25050_W11 + </t>
    </r>
    <r>
      <rPr>
        <b/>
        <sz val="11"/>
        <color rgb="FFFF0000"/>
        <rFont val="Calibri"/>
        <family val="2"/>
        <scheme val="minor"/>
      </rPr>
      <t>A1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P00411_2025</t>
    </r>
  </si>
  <si>
    <r>
      <t xml:space="preserve">PH-ABVX-PK-2025-01v7 - MSA_25050_W4 + </t>
    </r>
    <r>
      <rPr>
        <b/>
        <sz val="11"/>
        <color rgb="FFFF0000"/>
        <rFont val="Calibri"/>
        <family val="2"/>
        <scheme val="minor"/>
      </rPr>
      <t>A1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P00401_2025</t>
    </r>
  </si>
  <si>
    <r>
      <t xml:space="preserve">QSC302430_SOW3 - </t>
    </r>
    <r>
      <rPr>
        <b/>
        <sz val="11"/>
        <rFont val="Calibri"/>
        <family val="2"/>
        <scheme val="minor"/>
      </rPr>
      <t>P00637_2025</t>
    </r>
  </si>
  <si>
    <t>P00637_2025</t>
  </si>
  <si>
    <t>RBA study with Pediatric Formulations - Signature WO</t>
  </si>
  <si>
    <t>RBA study with Pediatric Formulations - MHRA Submission</t>
  </si>
  <si>
    <t>RBA study with Pediatric Formulations - FSFD Part 1</t>
  </si>
  <si>
    <t>RBA study with Pediatric Formulations - FSFD Part 2</t>
  </si>
  <si>
    <t>RBA study with Pediatric Formulations - LSLV</t>
  </si>
  <si>
    <t>RBA study with Pediatric Formulations - Database Lock</t>
  </si>
  <si>
    <t>RBA study with Pediatric Formulations - Final CSR*</t>
  </si>
  <si>
    <t>RBA study with Pediatric Formulations - PTC</t>
  </si>
  <si>
    <r>
      <t xml:space="preserve">IBDQ24-057A3 - </t>
    </r>
    <r>
      <rPr>
        <b/>
        <sz val="11"/>
        <rFont val="Calibri"/>
        <family val="2"/>
        <scheme val="minor"/>
      </rPr>
      <t>P00635_2025</t>
    </r>
  </si>
  <si>
    <t>P00635_2025</t>
  </si>
  <si>
    <t>IBDQ Questionnaire License Serbie et Israel</t>
  </si>
  <si>
    <t>Devis 14605 - ALL PO</t>
  </si>
  <si>
    <t>RB911 - Primary &amp; Secondary packaging</t>
  </si>
  <si>
    <r>
      <t xml:space="preserve">Project n° 25AWX - </t>
    </r>
    <r>
      <rPr>
        <b/>
        <sz val="11"/>
        <rFont val="Calibri"/>
        <family val="2"/>
        <scheme val="minor"/>
      </rPr>
      <t>P00628_2025</t>
    </r>
  </si>
  <si>
    <t>P00628_2025</t>
  </si>
  <si>
    <t>Method Transfer and Quantif PK analysis - 25AWX02 - 60%</t>
  </si>
  <si>
    <t>Method Transfer and Quantif PK analysis - 25AWX02 - 40%</t>
  </si>
  <si>
    <t>Method Transfer and Quantif PK analysis - 25AWX03 - 60%</t>
  </si>
  <si>
    <t>Method Transfer and Quantif PK analysis - 25AWX03 - 40%</t>
  </si>
  <si>
    <t>Method Transfer and Quantif PK analysis - 25AWX04 - 60%</t>
  </si>
  <si>
    <t>Method Transfer and Quantif PK analysis - 25AWX04 - 40%</t>
  </si>
  <si>
    <t>Method Transfer and Quantif PK analysis - 25AWX01_V5 - 50%</t>
  </si>
  <si>
    <t>Nadege</t>
  </si>
  <si>
    <r>
      <t xml:space="preserve">OPP-400959 - CRL-32079104 - </t>
    </r>
    <r>
      <rPr>
        <b/>
        <sz val="11"/>
        <rFont val="Calibri"/>
        <family val="2"/>
        <scheme val="minor"/>
      </rPr>
      <t>P00635_2025</t>
    </r>
  </si>
  <si>
    <t>Dev HPLC MS Quantif in rat plasma - 50% Study initiation</t>
  </si>
  <si>
    <t>Dev HPLC MS Quantif in rat plasma - 50% Study completion</t>
  </si>
  <si>
    <r>
      <t xml:space="preserve">OPP-400959 - CRL-32079105 - </t>
    </r>
    <r>
      <rPr>
        <b/>
        <sz val="11"/>
        <rFont val="Calibri"/>
        <family val="2"/>
        <scheme val="minor"/>
      </rPr>
      <t>P00635_2025</t>
    </r>
  </si>
  <si>
    <t>Validation HPLC MS qauntif in rat plasma - 50 Study initiation</t>
  </si>
  <si>
    <t>Validation HPLC MS qauntif in rat plasma - 50 Study completion</t>
  </si>
  <si>
    <r>
      <t xml:space="preserve">OPP-400959 - CRL-32079098 - </t>
    </r>
    <r>
      <rPr>
        <b/>
        <sz val="11"/>
        <rFont val="Calibri"/>
        <family val="2"/>
        <scheme val="minor"/>
      </rPr>
      <t>P00634_2025</t>
    </r>
  </si>
  <si>
    <t>P00634_2025</t>
  </si>
  <si>
    <r>
      <t xml:space="preserve">OPP-400959 - CRL-32079095 - </t>
    </r>
    <r>
      <rPr>
        <b/>
        <sz val="11"/>
        <rFont val="Calibri"/>
        <family val="2"/>
        <scheme val="minor"/>
      </rPr>
      <t>P00634_2025</t>
    </r>
  </si>
  <si>
    <r>
      <t xml:space="preserve">OPP-400959 - CRL-32081040 - </t>
    </r>
    <r>
      <rPr>
        <b/>
        <sz val="11"/>
        <rFont val="Calibri"/>
        <family val="2"/>
        <scheme val="minor"/>
      </rPr>
      <t>P00634_2025</t>
    </r>
  </si>
  <si>
    <t>Dev UPLC UV method 1 - 50% Study initiation</t>
  </si>
  <si>
    <t>Dev UPLC UV method 1 - 50% Study completion</t>
  </si>
  <si>
    <t>Dev UPLC UV method 1 - 50% draft report</t>
  </si>
  <si>
    <t>Dev UPLC UV method 2 - 50% Study initiation</t>
  </si>
  <si>
    <t>Dev UPLC UV method 2 - 50% Study completion</t>
  </si>
  <si>
    <r>
      <t xml:space="preserve">OPP-400959 - CRL-32081039 - </t>
    </r>
    <r>
      <rPr>
        <b/>
        <sz val="11"/>
        <rFont val="Calibri"/>
        <family val="2"/>
        <scheme val="minor"/>
      </rPr>
      <t>P00634_2025</t>
    </r>
  </si>
  <si>
    <t>Dev UPLC UV method 2 - 50% draft report</t>
  </si>
  <si>
    <r>
      <t xml:space="preserve">OPP-400959 - CRL-32079096 - </t>
    </r>
    <r>
      <rPr>
        <b/>
        <sz val="11"/>
        <rFont val="Calibri"/>
        <family val="2"/>
        <scheme val="minor"/>
      </rPr>
      <t>P00634_2025</t>
    </r>
  </si>
  <si>
    <t>Bacterial Reverse Mutation Method 1 - 75% Study initiation</t>
  </si>
  <si>
    <t>Bacterial Reverse Mutation Method 1 - 25% Draft Report</t>
  </si>
  <si>
    <r>
      <t xml:space="preserve">OPP-400959 - CRL-32079100 - </t>
    </r>
    <r>
      <rPr>
        <b/>
        <sz val="11"/>
        <rFont val="Calibri"/>
        <family val="2"/>
        <scheme val="minor"/>
      </rPr>
      <t>P00634_2025</t>
    </r>
  </si>
  <si>
    <t>Bacterial Reverse Mutation Method 2 - 75% Study initiation</t>
  </si>
  <si>
    <t>Bacterial Reverse Mutation Method 2 - 25% Draft Report</t>
  </si>
  <si>
    <r>
      <t xml:space="preserve">OPP-400959 - CRL-32079097 - </t>
    </r>
    <r>
      <rPr>
        <b/>
        <sz val="11"/>
        <rFont val="Calibri"/>
        <family val="2"/>
        <scheme val="minor"/>
      </rPr>
      <t>P00634_2025</t>
    </r>
  </si>
  <si>
    <t>In Vitro Mammalian Cell Method 1 - 75% Study initiation</t>
  </si>
  <si>
    <t>In Vitro Mammalian Cell Method 1 - 75% Draft report</t>
  </si>
  <si>
    <r>
      <t xml:space="preserve">OPP-400959 - CRL-32079101 - </t>
    </r>
    <r>
      <rPr>
        <b/>
        <sz val="11"/>
        <rFont val="Calibri"/>
        <family val="2"/>
        <scheme val="minor"/>
      </rPr>
      <t>P00634_2025</t>
    </r>
  </si>
  <si>
    <t>In Vitro Mammalian Cell Method 2 - 75% Study initiation</t>
  </si>
  <si>
    <t>In Vitro Mammalian Cell Method 2 - 75% Draft report</t>
  </si>
  <si>
    <r>
      <t>OPP-400959 - CRL-32079103 -</t>
    </r>
    <r>
      <rPr>
        <b/>
        <sz val="11"/>
        <rFont val="Calibri"/>
        <family val="2"/>
        <scheme val="minor"/>
      </rPr>
      <t xml:space="preserve"> P00638_2025</t>
    </r>
  </si>
  <si>
    <t xml:space="preserve"> P00638_2025</t>
  </si>
  <si>
    <t>Oral gavage Embryo-Featal in rat - 30% on signature or arrival of annimals</t>
  </si>
  <si>
    <t>Oral gavage Embryo-Featal in rat - 30% Study initiation</t>
  </si>
  <si>
    <t>Oral gavage Embryo-Featal in rat - 30% Completion In-Life</t>
  </si>
  <si>
    <t>Oral gavage Embryo-Featal in rat - 10% Draft Report</t>
  </si>
  <si>
    <t>INV 2062306 RI</t>
  </si>
  <si>
    <t>INV CBLA080725-YL1C-DSS-2</t>
  </si>
  <si>
    <t>INV FTI103528</t>
  </si>
  <si>
    <t>INV FACLI002391</t>
  </si>
  <si>
    <t>RA301 - Distribution</t>
  </si>
  <si>
    <t>INV 90787388</t>
  </si>
  <si>
    <t>INV 2939805091</t>
  </si>
  <si>
    <t>FRS010412FACLI000028</t>
  </si>
  <si>
    <t>INV ALS202512000166</t>
  </si>
  <si>
    <t>26/06/2025 + 15/09/2025 + 18/12/2025</t>
  </si>
  <si>
    <t>INV 2025_18 + INV 2025_77 + INV_115 + INV 2025_171</t>
  </si>
  <si>
    <t>10/04/2025 + 26/06/2025 + 15/09/2025 + 18/12/2025</t>
  </si>
  <si>
    <t>INV OCFR-PIN-000240 + INV OCFR-PIN-000279 + INV OCFR-PIN-000301 + INV OCFR-PIN-000300 + INV OCFR-PIN-000331 + INV OCFR-PCN-000281 + INV OCFR-PIN-000357 + INV OCFR-PIN-000408 + INV OCFR-PIN-000413 + INV OCFR-PIN-000432 + INV OCFR-PIN-000445</t>
  </si>
  <si>
    <t>30/01/2025 + 27/03/2025 + 30/04/2025 + 30/04/2025 + 30/06/2025 + 16/07/2025 + 30/07/2025 + 20/10/2025 + 30/10/2025 + 27/11/2025 + 18/12/2025</t>
  </si>
  <si>
    <t>INV 710016555</t>
  </si>
  <si>
    <t>INV 10000518 + INV 10000699</t>
  </si>
  <si>
    <t>05/11/2025 + 19/12/2025</t>
  </si>
  <si>
    <t>INV 10000699</t>
  </si>
  <si>
    <t>INV 10000596 + INV 10000699</t>
  </si>
  <si>
    <t>27/11/2025 + 19/12/2025</t>
  </si>
  <si>
    <t>INV 10001578 + INV 10000013 + INV 10000217 + INV 10000438 + INV 1000596 + INV 10000699</t>
  </si>
  <si>
    <t>17/06/2025 + 08/07/2025 + 04/09/2025 + 27/10/2025 + 27/11/2025 + 19/12/2025</t>
  </si>
  <si>
    <t>INV SIN007294</t>
  </si>
  <si>
    <t>INV ABX001 + INV ABX005 + INV ABX009 + INV ABX013 + INV ABX017 + INV ABX021 + INV ABX025 + ABX033 +ABX029 + Inv ABX037 + INV ABX040 - CM-ABX040 + INV ABX044 + INV ABX047 + INV ABX051</t>
  </si>
  <si>
    <t>INV ABX002 + INV ABX006 + INV ABX010 + INV ABX014 + INV ABX018 + ABX022 + ABX026 + ABX034 +ABX030 + INV ABX038 + INV ABX041 - CM-ABX041 + INV ABX045 + INV ABX048 + INV ABX052</t>
  </si>
  <si>
    <t>16/01/2025 + 16/01/2025 + 16/01/2025 + 16/01/2025 + 09/04/2025 + 09/04/2025 + 09/04/2025 + 19/06/2025 + 30/05+2025 + 17/07/2025 + 22/08/2025 + 22/09/2025 + 24/09/2025 + 14/11/2025 + 08/12/2025</t>
  </si>
  <si>
    <t>16/01/2025 + 16/01/2025 + 16/01/2025 + 16/01/2025 + 09/04/2025 + 09/04/2025 + 09/04/2025 + 19/06/2025 + 30/05/2025 + 17/07/2025 + 22/08/2025 + 22/09/2025 + 22/09/2025 + 14/11/2025 + 08/12/2025</t>
  </si>
  <si>
    <t>INV ABX003 + INV ABX007 + INV ABX011 + INV ABX015 + INV ABX019 + INV ABX023 + INV ABX027 +INV ABX035 +INV ABX031 - CM-ABX031 - CM-ABX035 + INV ABX039 + INV ABX042 + INV ABX046 + INV ABX049 + INV ABX053</t>
  </si>
  <si>
    <t>16/01/2025 + 16/01/2025 + 16/01/2025 + 16/01/2025 + 09/04/2025 + 09/04/2025 + 09/04/2025 + 19/06/2025 + 30/05/2025 + 23/07/2025 + 23/07/2025 + 17/07/2025 + 22/08/2025 + 24/09/2025 + 14/11/2025 + 08/12/2025</t>
  </si>
  <si>
    <t>INV ABX004 + INV ABX008 + INV ABX012 + INV ABX016 + INV ABX020 + INV ABX024 + INV ABX028 + INVABX032 + INV ABX036 - CM-ABX032 - CM-ABX036 + INV ABX036V2 + INV ABX050 + INV ABX054</t>
  </si>
  <si>
    <t>16/01/2025 + 16/01/2025 + 16/01/2025 + 16/01/2025 + 09/04/2025 + 09/04/2025 + 09/04/2025+30/05/2025 + 23/07/2025 + 23/07/2025 + 23/07/2025 + 14/11/2025 + 08/12/2025</t>
  </si>
  <si>
    <t>INV 25100519</t>
  </si>
  <si>
    <t>INV 25100430  +INV 25100431 + INV 25100482 +INV 25100480 + INV 25100511 +INV 25100520</t>
  </si>
  <si>
    <t>14/10/2025+17/11/2025 + 11/12/2025 + 10/12/2025 +15/12/2025</t>
  </si>
  <si>
    <t>INV 8053570741 + INV 8053588060</t>
  </si>
  <si>
    <t>12/11/2025+08/12/2025</t>
  </si>
  <si>
    <t>INV 8053588061 + INV 8053584316</t>
  </si>
  <si>
    <t>08/12/2025+02/12/2025</t>
  </si>
  <si>
    <t>INV 1032511890+INV 1032511888+INV 1032511885 + INV 10325118861</t>
  </si>
  <si>
    <t>15/12/2025+15/12/2025+15/12/2025+15/12/2025</t>
  </si>
  <si>
    <t>INV 0369/25 + INV 0381/25 + INV 0594/25 + INV 0729/25 + INV 0033/26 + INV 0225/26 + INV 0368/26</t>
  </si>
  <si>
    <t>20/12/2024 + 30/12/2024 + 31/03/2025 + 28/05/2025 + 25/07/2025 + 24/10/2025 + 19/12/2025</t>
  </si>
  <si>
    <t>INV 10000599 + INV 10000661 + INV 1000700</t>
  </si>
  <si>
    <t>27/11/2025  +09/12/2025+19/12/2025</t>
  </si>
  <si>
    <t>INV RA2025153+INV RA2025214</t>
  </si>
  <si>
    <t>INV 25100232 + INV 25100247 + INV 25100288 + INV 25100310 + INV 25100347 + INV 25100394 + INV 25100403+ INV 25100527 + INV 25100526</t>
  </si>
  <si>
    <t>25/06/2025+30/06/2025+15/07/2025+25/07/2025 + 20/08/2025 + 23/09/2025 + 26/09/2025+18/12/2025+18/12/2025</t>
  </si>
  <si>
    <t>INV F25-2246 + INV F25-2266 + INV F25-2287 + +INV F25-2295</t>
  </si>
  <si>
    <t>24/09/2025 + 05/11/2025 + 10/12/2025+18/12/2025</t>
  </si>
  <si>
    <t>INV F25-2294</t>
  </si>
  <si>
    <t>INV 840222378</t>
  </si>
  <si>
    <t>INV I005-105897 + INV I005-106751</t>
  </si>
  <si>
    <t>15/10/2025 + 22/12/2025</t>
  </si>
  <si>
    <t>INV 28371 + INV 29570</t>
  </si>
  <si>
    <t>07/10/2025 + 23/12/2025</t>
  </si>
  <si>
    <t>INV 900134035</t>
  </si>
  <si>
    <t>INV  1204771</t>
  </si>
  <si>
    <t>INV 1204767</t>
  </si>
  <si>
    <t>INV 00010 25003077 RI</t>
  </si>
  <si>
    <t>INV 59002485</t>
  </si>
  <si>
    <t>INV 58010563</t>
  </si>
  <si>
    <t>Colturé par Phoung</t>
  </si>
  <si>
    <t>INV F020-SIN-0002748 + INV F020-SIN-0002850 + INV F020-SIN-0002891 + INV F020-SIN-0002950 + INV F020-SIN-0002947 + INV F020-SIN-0002979 + INV F020-SIN-0002988 + INV F020-SIN-0003035 + INC F020-SIN-0003059 + INV F020-SIN-0003063 + INV F020-SIN-0003182 + INV F020-SIN-0003207 + INV F020-SIN-0003232 + INV F020-SIN-0003258 + INV F020-SIN-0003275</t>
  </si>
  <si>
    <t>24/07/2024 + 28/10/2024 + 02/12/2024+27/01/2025+20/01/2025+14/02/2025 + 26/02/2025 + 08/04/2025 + 28/04/2025 + 29/04/2025 + 03/09/2025 + 06/10/2025 + 05/11/2025 + 04/12/2025 + 24/102/2025</t>
  </si>
  <si>
    <t>INV IV-12251050-ABI</t>
  </si>
  <si>
    <t>INV IV-12251051-ABI</t>
  </si>
  <si>
    <t>INV 006862</t>
  </si>
  <si>
    <t>INV SIN007394</t>
  </si>
  <si>
    <t>CO4 - Formulation development ABX464 pediatric form - Upon singnature CO4</t>
  </si>
  <si>
    <t>INV 90179168 + INV 90188024</t>
  </si>
  <si>
    <t>28/05/2025 + 31/12/2025</t>
  </si>
  <si>
    <t>INV 90185711 + INV 90188035 + INV 90188036 + INV 90187849</t>
  </si>
  <si>
    <t>01/11/2025 + 31/12/2025 + 31/12/2025 + 23/12/2025</t>
  </si>
  <si>
    <t>INV 90186804 + INV 90188035 + INV 90187893</t>
  </si>
  <si>
    <t>29/11/2025 + 31/12/2025 + 24/12/2025</t>
  </si>
  <si>
    <t>INV 90187892</t>
  </si>
  <si>
    <t>Coquille dans devis, voir email de Megha du 25/04/2025 pour Sunil</t>
  </si>
  <si>
    <t>INV PJ20253212</t>
  </si>
  <si>
    <t>INV F25001213 + INV F25001214 + INV F25001236</t>
  </si>
  <si>
    <t>28/11/2025 + 28/11/2025 + 23/12/2025</t>
  </si>
  <si>
    <t>INV 32444 + INV 32455 + INV 32472</t>
  </si>
  <si>
    <t>15/09/2025 + 27/10/2025+15/12/2025</t>
  </si>
  <si>
    <t>MSA_23179_WO2_A3 - Obefazimod NDA</t>
  </si>
  <si>
    <t>2. Statistics and Statistical Programming Services - 6,5% - Fee of $8,880 per study - Total 28 studies (10 alrready inclued into the uprfont payment) - 27 * 8800 USD</t>
  </si>
  <si>
    <t>7. Medical Coding for ABX464-005</t>
  </si>
  <si>
    <t>8. Upon programming completion CDISC - 58 245$ / 4 études</t>
  </si>
  <si>
    <t>9. Statistics and Statistical Programming Services - ISS - Development of ISS SAP text and mocks</t>
  </si>
  <si>
    <t>10. Statistics and Statistical Programming Services - ISS Dry Run 1 - 86 901,75 USD*7 month / 7</t>
  </si>
  <si>
    <t>11. Updates ISS for FDA WR</t>
  </si>
  <si>
    <t>13. Statistics and Statistical Programming Services - ISE Dry Run 1 100 000 USD*3 month + 1 month at 109 115,56</t>
  </si>
  <si>
    <t>INV ABIV202523</t>
  </si>
  <si>
    <r>
      <t xml:space="preserve">QSC302430_SOW2_CO3 - </t>
    </r>
    <r>
      <rPr>
        <b/>
        <sz val="11"/>
        <rFont val="Calibri"/>
        <family val="2"/>
        <scheme val="minor"/>
      </rPr>
      <t>P00380_2025</t>
    </r>
  </si>
  <si>
    <r>
      <t>QSC302430_SOW2_CO4 -</t>
    </r>
    <r>
      <rPr>
        <b/>
        <sz val="11"/>
        <rFont val="Calibri"/>
        <family val="2"/>
        <scheme val="minor"/>
      </rPr>
      <t xml:space="preserve"> P00641_2025</t>
    </r>
  </si>
  <si>
    <t>P00641_2025</t>
  </si>
  <si>
    <t>Amdt 2 -  Formulation development ABX464 pediatric form - Upon signature CO4</t>
  </si>
  <si>
    <t>INV SIN007396</t>
  </si>
  <si>
    <t xml:space="preserve">INV 1032512092+ INV1032512034 </t>
  </si>
  <si>
    <t>17/12/2025 +16/12/2025</t>
  </si>
  <si>
    <t>INV 1205481</t>
  </si>
  <si>
    <t>INV 1205490</t>
  </si>
  <si>
    <t>INV 1032401342</t>
  </si>
  <si>
    <t>INV 1032403129</t>
  </si>
  <si>
    <t>INV 1032403678</t>
  </si>
  <si>
    <t>INV 1032405018</t>
  </si>
  <si>
    <t>²</t>
  </si>
  <si>
    <t>GA</t>
  </si>
  <si>
    <t>Emilie L</t>
  </si>
  <si>
    <r>
      <t xml:space="preserve">251112FR01999099KM - </t>
    </r>
    <r>
      <rPr>
        <b/>
        <sz val="11"/>
        <rFont val="Calibri"/>
        <family val="2"/>
        <scheme val="minor"/>
      </rPr>
      <t>P00639_2025</t>
    </r>
  </si>
  <si>
    <t>P00639_2025</t>
  </si>
  <si>
    <t>Formation QIAcuity Montpellier</t>
  </si>
  <si>
    <r>
      <t xml:space="preserve">WO104#2025 - </t>
    </r>
    <r>
      <rPr>
        <b/>
        <sz val="11"/>
        <rFont val="Calibri"/>
        <family val="2"/>
        <scheme val="minor"/>
      </rPr>
      <t>P00643_2025</t>
    </r>
  </si>
  <si>
    <t>P00643_2025</t>
  </si>
  <si>
    <t>Additionnal work batch control shipment UK</t>
  </si>
  <si>
    <t>Camille SOUS Aude G</t>
  </si>
  <si>
    <r>
      <t xml:space="preserve">20612644 - </t>
    </r>
    <r>
      <rPr>
        <b/>
        <sz val="11"/>
        <rFont val="Calibri"/>
        <family val="2"/>
        <scheme val="minor"/>
      </rPr>
      <t>P00642_2025</t>
    </r>
  </si>
  <si>
    <t>P00642_2025</t>
  </si>
  <si>
    <r>
      <t xml:space="preserve">OCS/L/25/4443 - </t>
    </r>
    <r>
      <rPr>
        <b/>
        <sz val="11"/>
        <rFont val="Calibri"/>
        <family val="2"/>
        <scheme val="minor"/>
      </rPr>
      <t>P00640_2025</t>
    </r>
  </si>
  <si>
    <t>P00640_2025</t>
  </si>
  <si>
    <t>UC105 - translational data post hoc analyses</t>
  </si>
  <si>
    <t>PH-ABVX-MC-2025-04v2 - MSA_25050_W12_A1</t>
  </si>
  <si>
    <t>Synthesis &amp; delivery  ajout 5g</t>
  </si>
  <si>
    <t>PH-ABVX-ADME-2025-04 - MSA_25050_W13</t>
  </si>
  <si>
    <t>CYP induction study</t>
  </si>
  <si>
    <t>PH-ABVX-ADME-2025-08 - MSA_25050_W16</t>
  </si>
  <si>
    <t>PH-ABVX-ADME-2025-07 - MSA_25050_W17</t>
  </si>
  <si>
    <t>PK MetID</t>
  </si>
  <si>
    <t>INV 1205471</t>
  </si>
  <si>
    <t>INV 10000730</t>
  </si>
  <si>
    <t>INV 53275237</t>
  </si>
  <si>
    <t xml:space="preserve">INV 2025_77 + INV_114 + INV_173 </t>
  </si>
  <si>
    <t>SRV_21002_CO12</t>
  </si>
  <si>
    <t>Clôturé par Ouahiba le 08/01/26</t>
  </si>
  <si>
    <t>INV 3/2026</t>
  </si>
  <si>
    <t>INV 00010 26000009 RI</t>
  </si>
  <si>
    <t>INV F25-2310</t>
  </si>
  <si>
    <t>Phuong Tran</t>
  </si>
  <si>
    <t>PELOTON ADVANTAGE</t>
  </si>
  <si>
    <t>ECCO 2026 Product Theater Support - 50% Upon completion workshop</t>
  </si>
  <si>
    <t>ECCO 2026 Product Theater Support - 50% Upon approval SOW</t>
  </si>
  <si>
    <r>
      <t xml:space="preserve">MSA824202_W3 - </t>
    </r>
    <r>
      <rPr>
        <b/>
        <sz val="11"/>
        <rFont val="Calibri"/>
        <family val="2"/>
        <scheme val="minor"/>
      </rPr>
      <t>P00015_2026</t>
    </r>
  </si>
  <si>
    <t>P00015_2026</t>
  </si>
  <si>
    <r>
      <t xml:space="preserve">MSA824202_W4 - </t>
    </r>
    <r>
      <rPr>
        <b/>
        <sz val="11"/>
        <rFont val="Calibri"/>
        <family val="2"/>
        <scheme val="minor"/>
      </rPr>
      <t>P00014_2026</t>
    </r>
  </si>
  <si>
    <t>P00014_2026</t>
  </si>
  <si>
    <t>NEJM Manuscript dev - Submission &amp; resubmission - 50% upon signature WO</t>
  </si>
  <si>
    <t>NEJM Manuscript dev - Submission &amp; resubmission - 50% upon completion of workshop</t>
  </si>
  <si>
    <t>Noelie Campos</t>
  </si>
  <si>
    <r>
      <t xml:space="preserve">07/2025/MAGS - </t>
    </r>
    <r>
      <rPr>
        <b/>
        <sz val="11"/>
        <rFont val="Calibri"/>
        <family val="2"/>
        <scheme val="minor"/>
      </rPr>
      <t>P00016_2026</t>
    </r>
  </si>
  <si>
    <t>P00016_2026</t>
  </si>
  <si>
    <r>
      <t xml:space="preserve">OPP-410478 - CRL-32100471 - </t>
    </r>
    <r>
      <rPr>
        <b/>
        <sz val="11"/>
        <rFont val="Calibri"/>
        <family val="2"/>
        <scheme val="minor"/>
      </rPr>
      <t>P00011_2026</t>
    </r>
  </si>
  <si>
    <t>P00011_2026</t>
  </si>
  <si>
    <t>UC107 - Shipment 60mg to Labcorp China</t>
  </si>
  <si>
    <t>P00013_2026</t>
  </si>
  <si>
    <t>In vitro Eval ABX464-6-OH - 50% upon signature</t>
  </si>
  <si>
    <t>In vitro Eval ABX464-6-OH - 50% upon submission data</t>
  </si>
  <si>
    <r>
      <t xml:space="preserve">MSA_25148_W3 - </t>
    </r>
    <r>
      <rPr>
        <b/>
        <sz val="11"/>
        <rFont val="Calibri"/>
        <family val="2"/>
        <scheme val="minor"/>
      </rPr>
      <t>P00012_2026</t>
    </r>
  </si>
  <si>
    <t>P00012_2026</t>
  </si>
  <si>
    <t>ABX464 Combinaison - 50% at signature</t>
  </si>
  <si>
    <t>ABX464 Combinaison - 30% End of Activities</t>
  </si>
  <si>
    <t>ABX464 Combinaison - 20% Final Report</t>
  </si>
  <si>
    <r>
      <t xml:space="preserve">20614085 - </t>
    </r>
    <r>
      <rPr>
        <b/>
        <sz val="11"/>
        <rFont val="Calibri"/>
        <family val="2"/>
        <scheme val="minor"/>
      </rPr>
      <t>P00009_2026</t>
    </r>
  </si>
  <si>
    <t>P00009_2026</t>
  </si>
  <si>
    <r>
      <t xml:space="preserve">06/2025/MAGS - </t>
    </r>
    <r>
      <rPr>
        <b/>
        <sz val="11"/>
        <rFont val="Calibri"/>
        <family val="2"/>
        <scheme val="minor"/>
      </rPr>
      <t>P00008_2026</t>
    </r>
  </si>
  <si>
    <t>P00008_2026</t>
  </si>
  <si>
    <r>
      <t xml:space="preserve">D6127770 - </t>
    </r>
    <r>
      <rPr>
        <b/>
        <sz val="11"/>
        <rFont val="Calibri"/>
        <family val="2"/>
        <scheme val="minor"/>
      </rPr>
      <t>P00006_2026</t>
    </r>
  </si>
  <si>
    <t>P00006_2026</t>
  </si>
  <si>
    <t>Audrey Moisan / Aude G</t>
  </si>
  <si>
    <r>
      <t xml:space="preserve">KN2252 - </t>
    </r>
    <r>
      <rPr>
        <b/>
        <sz val="11"/>
        <rFont val="Calibri"/>
        <family val="2"/>
        <scheme val="minor"/>
      </rPr>
      <t>P00003_2026</t>
    </r>
  </si>
  <si>
    <t>P00003_2026</t>
  </si>
  <si>
    <r>
      <t>DE-55748 -</t>
    </r>
    <r>
      <rPr>
        <b/>
        <sz val="11"/>
        <rFont val="Calibri"/>
        <family val="2"/>
        <scheme val="minor"/>
      </rPr>
      <t xml:space="preserve"> P00001_2026</t>
    </r>
  </si>
  <si>
    <t>P00001_2026</t>
  </si>
  <si>
    <t>Magasin CNRS - Regul 09/2025 &amp; 10/2025</t>
  </si>
  <si>
    <t>ABX464 oral gavage Embryo - Shipment 15g</t>
  </si>
  <si>
    <t>Audrey Vautrin</t>
  </si>
  <si>
    <r>
      <t xml:space="preserve">web - </t>
    </r>
    <r>
      <rPr>
        <b/>
        <sz val="11"/>
        <rFont val="Calibri"/>
        <family val="2"/>
        <scheme val="minor"/>
      </rPr>
      <t>P00025_2026</t>
    </r>
  </si>
  <si>
    <t>P00025_2026</t>
  </si>
  <si>
    <r>
      <t xml:space="preserve">web - </t>
    </r>
    <r>
      <rPr>
        <b/>
        <sz val="11"/>
        <rFont val="Calibri"/>
        <family val="2"/>
        <scheme val="minor"/>
      </rPr>
      <t>P00024_2026</t>
    </r>
  </si>
  <si>
    <t>P00024_2026</t>
  </si>
  <si>
    <t>Audreu Moisan / Aude G</t>
  </si>
  <si>
    <r>
      <t xml:space="preserve">FACS - </t>
    </r>
    <r>
      <rPr>
        <b/>
        <sz val="11"/>
        <rFont val="Calibri"/>
        <family val="2"/>
        <scheme val="minor"/>
      </rPr>
      <t>P00022_2026</t>
    </r>
  </si>
  <si>
    <t>P00022_2026</t>
  </si>
  <si>
    <r>
      <t xml:space="preserve">DDR 2026 018 V1 - </t>
    </r>
    <r>
      <rPr>
        <b/>
        <sz val="11"/>
        <rFont val="Calibri"/>
        <family val="2"/>
        <scheme val="minor"/>
      </rPr>
      <t>P00021_2026</t>
    </r>
  </si>
  <si>
    <t>P00021_2026</t>
  </si>
  <si>
    <t>Dissolution method optimization (No option)</t>
  </si>
  <si>
    <r>
      <t xml:space="preserve">DDR 2024 028 V1 - </t>
    </r>
    <r>
      <rPr>
        <b/>
        <sz val="11"/>
        <rFont val="Calibri"/>
        <family val="2"/>
        <scheme val="minor"/>
      </rPr>
      <t>P00020_2026</t>
    </r>
  </si>
  <si>
    <t>P00020_2026</t>
  </si>
  <si>
    <t>Dissolution surfactant tests - 30% at order</t>
  </si>
  <si>
    <t>Dissolution surfactant tests - 70% at draft report</t>
  </si>
  <si>
    <t>Dissolution surfactant tests - +15% QC consumable costs</t>
  </si>
  <si>
    <r>
      <t xml:space="preserve">230/2025/ZEFI - </t>
    </r>
    <r>
      <rPr>
        <b/>
        <sz val="11"/>
        <rFont val="Calibri"/>
        <family val="2"/>
        <scheme val="minor"/>
      </rPr>
      <t>P00019_2026</t>
    </r>
  </si>
  <si>
    <t>P00019_2026</t>
  </si>
  <si>
    <t>Entretien cage - Bimestre 6 - 11/2025 + 12/2025</t>
  </si>
  <si>
    <t>CERTARA</t>
  </si>
  <si>
    <r>
      <t xml:space="preserve">SRV_23206_A2 - </t>
    </r>
    <r>
      <rPr>
        <b/>
        <sz val="11"/>
        <rFont val="Calibri"/>
        <family val="2"/>
        <scheme val="minor"/>
      </rPr>
      <t>P00010_2026</t>
    </r>
  </si>
  <si>
    <t>P00010_2026</t>
  </si>
  <si>
    <t>Drug interaction database Licenses</t>
  </si>
  <si>
    <t>INV 47038922 + INV 47042420 + INV 47043758 + INV 47041904 + INV 47044885 + INV 47046812 + INV 47048090 + INV 47050631 + INV 47052019</t>
  </si>
  <si>
    <t>11/10/2023 + 04/04/2024 + 03/07/2024 + 05/03/2024 + 03/10/2024 + 15/01/2025+03/05/2025+09/10/2025 + 09/01/2026</t>
  </si>
  <si>
    <t>INV 367094</t>
  </si>
  <si>
    <t>INV ABIV202525</t>
  </si>
  <si>
    <t>PH23068A2_WO14A2</t>
  </si>
  <si>
    <t>Additionnal PBPK modeling activities ABX464</t>
  </si>
  <si>
    <t>IN V F25-2312 + INV F25-2313</t>
  </si>
  <si>
    <t>01/01/2026 + 01/01/2026</t>
  </si>
  <si>
    <t>INV 710016439</t>
  </si>
  <si>
    <t>INV 53276084</t>
  </si>
  <si>
    <t>12/01/20266</t>
  </si>
  <si>
    <t>Consommable Labo - 01/2026</t>
  </si>
  <si>
    <t>Consommable Labo - 02/2026</t>
  </si>
  <si>
    <t>Consommable Labo - 03/2026</t>
  </si>
  <si>
    <t>INV 0090202951 + INV 0090202952</t>
  </si>
  <si>
    <t>INV 9160005483</t>
  </si>
  <si>
    <t>INV 2064711 RI + 2065174 RI</t>
  </si>
  <si>
    <t>07/01/2026 + 07/01/2026</t>
  </si>
  <si>
    <t>INV 455660 + INV 458856 + INV 463249 + INV 466388 + INV 478123 + INV 481690 + INV 480569 + INV 485017 + INV 491188 + INV 495599 + INV 501154  +INV 505528 + INV 511275 + INV 515241 + INV 520422 + INV 525353 + INV 529995 + INV 535156 + INV 540766 + INV 544372 + INV 550227</t>
  </si>
  <si>
    <t>13/05/2024 + 06/06/2024 + 05/07/2024 + 05/08/2024 + 07/10/2024 + 05/11/2024 + 05/11/2024 + 05/12/2024 + 07/01/2025 + 07/02/20250+07/03/2025+04/04/2025+06/05/2025+05/06/2025+04/07/2025+06/08/2025 + 04/09/2025+07/10/2025+04/10/2025+04/11/2025+07/01/2026</t>
  </si>
  <si>
    <t>INV FRA-002022 + INV FRA-002045 + INV FRA-002090  + INV FRA-002118 + INV FRA-002151 + INV FRA-002187 + INV FRA-002212 + INV FRA-002249 + INV FRA-002313 + INV FRA-002376 + INV FRA-002417 + INV FRA-002467 + INV FRA-002527 + INV FRA-002577 + INV FRA-002623 + INV FRA-002659 + INV FRA-002705 + INV FRA-002763 + iNV FRA-002808 + INV FRA-002891 + INV FRA-002971 + INV FRA-003033 + INV FRA-003126 + INV FRA-003135 + INV FRA-003186 + INV FRA-003248 + INV FRA-003309 - CR FRA-003134 + INV FRA-003373 + INV FRA-003458 + INV FRA-003533 + INV FRA-003653 + INV FRA-003727 + INV FRA-003813 + INV FRA-003862 + INV FRA-003961 + INV FRA-004048 + INV FRA-004116 + INV FRA-004171 + INV FRA-004224 + INV FRA-004308 + INV FRA-004408 + INV FRA-004476 + INV FRA-004557 + INV FRA-004639 + INV FRA-004746 + INv FRA-004845 + INV FRA-004884 + INV FRA-005164 + INV FRA-005236 - INV FRA-005325 + INV FRA-005388 + INV FRA-005444 + INV FRA-05590 + INV FRA-005662 + INV FRA-005740 + INV FRA-005824 + INV FRA-005898 + INV FRA-006319 + INV FRA - 006564 + INV FRA-007117</t>
  </si>
  <si>
    <t>15/04/2020 + 14/05/2020 + 10/06/2020 + 13/07/2020 + 11/08/2020 + 11/09/2020 + 13/10/2020 + 11/11/2020 + 11/12/2020 + 14/01/2021 + 11/02/2021 + 11/03/2021 + 08/04/2021 + 12/05/2021 + 10/06/2021 + 14/07/2021 + 12/08/2021 + 14/09/2021 + 14/10/2021 + 19/11/2021 + 15/12/2021 + 14/01/2022 + 21/02/2022 + 24/02/2022 + 22/03/2022 + 13/04/2022 + 16/05/2022 + 24/02/2022 (saisie 05/2022) + 13/06/2022 + 14/07/2022 + 11/08/2022 + 16/09/2022 + 13/10/2022 + 15/11/2022 + 09/12/2022 + 13/01/2023 + 15/02/2023 + 14/03/2023 + 12/04/2023 + 10/05/2023 + 13/06/2023 + 14/07/2023 + 11/08/2023 + 13/09/2023 + 12/10/2023 + 10/11/2023 + 15/12/2023 + 08/01/2024 + 12/04/2024 + 13/05/2024 + 18/06/2024 + 12/07/2024 + 14/08/2024 + 11/10/2024 + 14/11/2024 + 09/12/2024 + 10/01/2025 + 12/02/2025 + 12/06/2025+13/08/2025 + 09/01/2026</t>
  </si>
  <si>
    <t>INV FRA-001819 + INV FRA-001850 + INV FRA-001930 + INV FRA-001964 + INV FRA-0020221 + INV FRA-002043 + INV FRA-002125 + INV FRA-002151 + INV FRA-002188 + INV FRA-002213 + INV FRA-002088 + INV FRA-002250 + INV FRA-002312 + INV FRA-002375 + INV FRA-002420 + INV FRA-002468 + INV FRA-002528 + INV FRA-002576 + INV FRA-002624 + INV FRA-002658 + INV FRA-002703 + INV FRA-002765 + INV FRA-002807 + INV FRA-002884 + INV FRA-002970 + INV FRA-003034 + INV FRA-003030 + INV FRA-003125 + INV FRA-003137 + INV FRA-003185 + INV FRA-003250 + INV FRA-003310 + INV FRA-003375 + INV FRA-003456 + INV FRA-003532 + INV FRA-003652 + INV FRA-003812 + INV FRA-003864 + INV FRA-003964 + INV FRA-004045 + INV FRA-004113 + INV FRA-004170 + INV FRA-004222 + INV FRA-004278 + INV FRA-004307 + INV FRA-004406 + INV FRA-004441 + INV FRA-004475 + INV FRA-004556 + INV FRA-004637 + INV FRA-004748 + INv FRA-004847 + INV FRA-004886 - INV FRA-004977 + INV FRA-004993 + INV FRA-005163 + INV FRA-005321 + INV FRA-005387 + INV FRA-005661 + INC FRA-005741+ INV FR-005823 + INV FRA-005897 + INV FRA-006045 + INV FRA-006640 + INV FRA-007115</t>
  </si>
  <si>
    <t>09/12/2019 + 09/01/2020 + 10/02/2020 + 10/03/2020 + 15/04/2020 + 14/05/2020 + 20/07/2020 + 11/08/2020 + 11/09/2020 + 13/10/2020 + 10/06/2020 + 11/11/2020 + 11/12/2020 + 14/01/2021 + 11/02/2021 + 11/03/2021 + 09/04/2021 + 12/05/2021 + 10/06/2021 + 14/07/2021 + 12/08/2021 + 14/09/2021 + 14/10/2021 + 18/11/2021 + 15/12/2021 + 14/01/2022 + 14/01/2022 + 21/02/2022 + 02/03/2022 + 22/03/2022 + 13/04/2022 + 16/05/2022 + 13/06/2022 + 14/07/2022 + 11/08/2022 + 16/09/2022 + 15/11/2022 + 09/12/2022 + 13/01/2023 + 15/02/2023 + 14/03/2023 + 12/04/2023 + 10/05/2023 + 01/06/2023 + 13/06/2023 + 14/07/2023 + 27/07/2023 + 11/08/2023 + 13/09/2023 + 12/10/2023 + 10/11/2023 + 01/01/2024 + 08/01/2024 - 09/02/2024 + 13/02/2024 + 12/04/2024 + 18/06/2024 + 12/07/2024 + 14/11/2024 + 09/12/2024 + 10/01/2025+12/02/2025+14/03/2025+10/09/2025+ 09/01/2026</t>
  </si>
  <si>
    <t>INV FV26REC00152</t>
  </si>
  <si>
    <t>INV I005-106858</t>
  </si>
  <si>
    <t>INV I005-106857</t>
  </si>
  <si>
    <t>INV 5/2026</t>
  </si>
  <si>
    <t>INV 6/2026</t>
  </si>
  <si>
    <t>INV F6022512-00456</t>
  </si>
  <si>
    <t>EFOR - SOLADIS</t>
  </si>
  <si>
    <t>Statistitien confirmé - année 2025 / 2026</t>
  </si>
  <si>
    <r>
      <t xml:space="preserve">OPP-411212 - CRL-32101636 - </t>
    </r>
    <r>
      <rPr>
        <b/>
        <sz val="11"/>
        <rFont val="Calibri"/>
        <family val="2"/>
        <scheme val="minor"/>
      </rPr>
      <t>P00030_2026</t>
    </r>
  </si>
  <si>
    <t>P00030_2026</t>
  </si>
  <si>
    <t>Shipment ABX464 from CRL to ERBC</t>
  </si>
  <si>
    <t>GENSCRIPT</t>
  </si>
  <si>
    <t>P00031_2026</t>
  </si>
  <si>
    <r>
      <t xml:space="preserve">U1124WMYG0 - </t>
    </r>
    <r>
      <rPr>
        <b/>
        <sz val="11"/>
        <rFont val="Calibri"/>
        <family val="2"/>
        <scheme val="minor"/>
      </rPr>
      <t>P00031_2026</t>
    </r>
  </si>
  <si>
    <r>
      <t xml:space="preserve">D6136821 - </t>
    </r>
    <r>
      <rPr>
        <b/>
        <sz val="11"/>
        <rFont val="Calibri"/>
        <family val="2"/>
        <scheme val="minor"/>
      </rPr>
      <t>P00034_2026</t>
    </r>
  </si>
  <si>
    <t>P00034_2026</t>
  </si>
  <si>
    <r>
      <t xml:space="preserve">P2601091 - </t>
    </r>
    <r>
      <rPr>
        <b/>
        <sz val="11"/>
        <rFont val="Calibri"/>
        <family val="2"/>
        <scheme val="minor"/>
      </rPr>
      <t>P00040_2026</t>
    </r>
  </si>
  <si>
    <t>P00040_2026</t>
  </si>
  <si>
    <r>
      <rPr>
        <sz val="11"/>
        <rFont val="Calibri"/>
        <family val="2"/>
        <scheme val="minor"/>
      </rPr>
      <t xml:space="preserve">SC258161_CO1 </t>
    </r>
    <r>
      <rPr>
        <strike/>
        <sz val="11"/>
        <rFont val="Calibri"/>
        <family val="2"/>
        <scheme val="minor"/>
      </rPr>
      <t xml:space="preserve">SC258161 - </t>
    </r>
    <r>
      <rPr>
        <b/>
        <strike/>
        <sz val="11"/>
        <rFont val="Calibri"/>
        <family val="2"/>
        <scheme val="minor"/>
      </rPr>
      <t>P00013_2026</t>
    </r>
  </si>
  <si>
    <t>INV 9160005573</t>
  </si>
  <si>
    <t>INV 32475</t>
  </si>
  <si>
    <t>INV FA550551 + INV FA23957 + INV FA235450 + INV FACLI000221 + INV FACLI000441 + INV FACLI001249 + INV FACLI001947 + INV FACLI001315 + INV FACLI001764 + INV FACLI002437 + INV FACLI002652 + INV FACLI002653 + INV FACLI002654</t>
  </si>
  <si>
    <t>28/02/2022 + 31/07/2023 + 30/09/2023 + 29/02/2024 + 29/03/2024 + 30/07/2024 + 30/09/2024 + 01/07/2025 + 01/09/2025 + 28/11/2025 + 01/01/2026 + 01/01/2026 + 01/01/2026</t>
  </si>
  <si>
    <t>INV FR-007160</t>
  </si>
  <si>
    <t>INV FRA-003544 + INV FRA-003636 + INV FRA-003687 + INV FRA-003701 + INV FRA-003771 + INV FRA-003790 + INV FRA-003860 + INV FRA-003838 + INV FRA-003970 + INV FRA-004047 + INV FRA-004132 + INV FRA-004193 + INV FRA-004256 + INV FRA-004331 + INV FRA-004421 + INV FRA-004491 + INV FRA-004587 + INV FRA-004645 + INV FRA-004645 + INV FRA-004761 + INV FRA-004830 + INV FRA-004908 + INV FRA-005007 + INV FRA-005142 + INV FRA-005070 + INV FRA-005233 + INV FRA-005310 + INV FRA-005380 + INV FRA-005440 + INV FRA-005518 + INV FRA-005581 + INV FRA-005658 + INV FRA-005763 + INV FRA005835 +INV FRA-005910 + INVFRA-006033 + INV FRA-006121 + INV FRA-006212 + INV FRA-006330 +INV FRA-006456 + INV FRA-006572 + INV FRA-006659 + INV FRA-006762 + INV FRA-006903+INV FRA-007050 +INV FRA-007166</t>
  </si>
  <si>
    <t>16/08/2022 + 13/09/2022 + 06/10/2022 + 10/10/2022 + 04/11/2022 + 09/11/2022 + 09/12/2022 + 06/12/2022 + 16/01/2023 + 15/02/2023 + 14/03/2023 + 14/04/2023 + 15/05/2023 + 15/06/2023 + 17/07/2023 + 14/08/2023 + 18/09/2023 + 12/10/2023 + 12/10/2023 + 13/11/2023 + 13/12/2023 + 12/01/2024 + 15/02/2024 + 11/04/2024 + 13/03/2024 + 13/05/2024 + 13/06/2024 + 12/07/2024 + 14/08/2024 + 13/09/2024 + 11/10/2024 + 13/11/2024 + 13/12/2024 + 14/01/2025+13/02/2025+13/03/2025 + 11/04/2025+13/05/2025 + 12/06/2025 + 15/07/2025 + 13/08/2025+12/09/2025 + 13/10/2025 + 13/11/2025 +11/12/2025+15/01/2026</t>
  </si>
  <si>
    <t>INV 0433/26</t>
  </si>
  <si>
    <t>INV 006197552</t>
  </si>
  <si>
    <t>PJ20260018</t>
  </si>
  <si>
    <t>INV 90839445</t>
  </si>
  <si>
    <t>INV 900134247</t>
  </si>
  <si>
    <t>INV OCFR-FTI-000840</t>
  </si>
  <si>
    <t xml:space="preserve"> INV 2501SIN0000013 + INV SVGB2-2501SIN0000042 + INV SVGB2-2501SIN0000120 + INV SVGB2-2503SIN0000173 + INV SVGB2-2503SIN0000187 + INV SVGB2-2503SIN0000111 + INV 2504SIN0000259 + INV 2505SIN0000320 + INV 2505SIN0000339+ INV 2506SIN0000386 + INV 2506SIN0000412 + INV 2507SIN000467 +INV 2507SIN000487 + INV SVGB2-2508SIN0000546 + INV SVGB2-2509SIN0000624 + INV SVGB2-2510SIN0000681 + INV SVGB2-2510SIN0000697 + INV SVGB2-25SIN0000768 + INV SVGB2-2511SIN0000795 + INV SVGB2-2512SIN0000870</t>
  </si>
  <si>
    <t xml:space="preserve"> 30/01/2025 + 31/01/2025+28/02/2025 + 31/03/2025 + 31/03/2025 + 30/04/2025 + 31/05/2025 + 31/05/2025+30/06/2025+30/06/2025+31/07/2025+31/07/2025 + 31/08/2025 + 30/09/2025 + 30/10/2025 + 31/10/2025 + 26/11/2025 + 30/11/2025 + 31/12/2025 (recu 2026)</t>
  </si>
  <si>
    <t>INV SIN 007593</t>
  </si>
  <si>
    <t>INV 59002516</t>
  </si>
  <si>
    <t>INV INVCUSA66619</t>
  </si>
  <si>
    <t>INV 2065830 RI +INV 2065700 RI + INV 2065981 RI</t>
  </si>
  <si>
    <t>16/01/2026+15/01/2026+19/01/2026</t>
  </si>
  <si>
    <r>
      <t xml:space="preserve">295300 - MSA_25175_W1 - </t>
    </r>
    <r>
      <rPr>
        <b/>
        <sz val="11"/>
        <rFont val="Calibri"/>
        <family val="2"/>
        <scheme val="minor"/>
      </rPr>
      <t>P00028_2026</t>
    </r>
  </si>
  <si>
    <t>P00028_2026</t>
  </si>
  <si>
    <t>CH922 - PK Chinese population - PTC</t>
  </si>
  <si>
    <t>CH922 - PK Chinese population - Invesigators Fees</t>
  </si>
  <si>
    <t>CH922 - PK Chinese population - Invesigators Fees - Advance</t>
  </si>
  <si>
    <r>
      <t xml:space="preserve">CH922 - PK Chinese population - PTC - Deposit </t>
    </r>
    <r>
      <rPr>
        <i/>
        <sz val="10"/>
        <rFont val="Calibri"/>
        <family val="2"/>
        <scheme val="minor"/>
      </rPr>
      <t>(will be reconciled vs final invoice)</t>
    </r>
  </si>
  <si>
    <r>
      <t xml:space="preserve">CH922 - PK Chinese population - Invesigators Fees - Deposit </t>
    </r>
    <r>
      <rPr>
        <i/>
        <sz val="10"/>
        <rFont val="Calibri"/>
        <family val="2"/>
        <scheme val="minor"/>
      </rPr>
      <t>(will be reconciled vs final invoice)</t>
    </r>
  </si>
  <si>
    <t>CH922 - PK Chinese population - 20% Upon execution WO</t>
  </si>
  <si>
    <t>CH922 - PK Chinese population - 15% EC Submission</t>
  </si>
  <si>
    <t>CH922 - PK Chinese population -  10% Site initiation</t>
  </si>
  <si>
    <t>CH922 - PK Chinese population - 10% 1st subject Screened</t>
  </si>
  <si>
    <t>CH922 - PK Chinese population - 10% 1st Subject dosed</t>
  </si>
  <si>
    <t>CH922 - PK Chinese population - 9% Completion 100% enrollment</t>
  </si>
  <si>
    <t>CH922 - PK Chinese population - 8% Last subject Last visit</t>
  </si>
  <si>
    <t>CH922 - PK Chinese population - 8% Datbase Lock</t>
  </si>
  <si>
    <t>CH922 - PK Chinese population - 5% Clinical Study Report</t>
  </si>
  <si>
    <t>CH922 - PK Chinese population - 5% TMF delivery</t>
  </si>
  <si>
    <t>INV 12011342284</t>
  </si>
  <si>
    <t>INV 12011342283</t>
  </si>
  <si>
    <t>INV 12011352282</t>
  </si>
  <si>
    <t>INV 12011342281</t>
  </si>
  <si>
    <t>RIVERARK</t>
  </si>
  <si>
    <r>
      <t xml:space="preserve">MSA_23084 - </t>
    </r>
    <r>
      <rPr>
        <b/>
        <sz val="11"/>
        <rFont val="Calibri"/>
        <family val="2"/>
        <scheme val="minor"/>
      </rPr>
      <t>P00038_2026</t>
    </r>
  </si>
  <si>
    <t>P00038_2026</t>
  </si>
  <si>
    <t>Audit of MYONEX</t>
  </si>
  <si>
    <r>
      <t xml:space="preserve">web - </t>
    </r>
    <r>
      <rPr>
        <b/>
        <sz val="11"/>
        <rFont val="Calibri"/>
        <family val="2"/>
        <scheme val="minor"/>
      </rPr>
      <t>P00041_2026</t>
    </r>
  </si>
  <si>
    <t>P00041_2026</t>
  </si>
  <si>
    <r>
      <t xml:space="preserve">7123141-00 - </t>
    </r>
    <r>
      <rPr>
        <b/>
        <sz val="11"/>
        <rFont val="Calibri"/>
        <family val="2"/>
        <scheme val="minor"/>
      </rPr>
      <t>P00044_2026</t>
    </r>
  </si>
  <si>
    <t>P00044_2026</t>
  </si>
  <si>
    <r>
      <t xml:space="preserve">80908 - </t>
    </r>
    <r>
      <rPr>
        <b/>
        <sz val="11"/>
        <rFont val="Calibri"/>
        <family val="2"/>
        <scheme val="minor"/>
      </rPr>
      <t>P00045_2026</t>
    </r>
  </si>
  <si>
    <t>P00045_2026</t>
  </si>
  <si>
    <t>Archiving until 2028</t>
  </si>
  <si>
    <r>
      <t xml:space="preserve">web - </t>
    </r>
    <r>
      <rPr>
        <b/>
        <sz val="11"/>
        <rFont val="Calibri"/>
        <family val="2"/>
        <scheme val="minor"/>
      </rPr>
      <t>P00046_2026</t>
    </r>
  </si>
  <si>
    <t>P00046_2026</t>
  </si>
  <si>
    <r>
      <t xml:space="preserve">TF-SD 2601005 - </t>
    </r>
    <r>
      <rPr>
        <b/>
        <sz val="11"/>
        <rFont val="Calibri"/>
        <family val="2"/>
        <scheme val="minor"/>
      </rPr>
      <t>P00047_2026</t>
    </r>
  </si>
  <si>
    <t>P00047_2026</t>
  </si>
  <si>
    <t>CH922 - Apostille 2 doc</t>
  </si>
  <si>
    <r>
      <t xml:space="preserve">OFD26FR00300006 - </t>
    </r>
    <r>
      <rPr>
        <b/>
        <sz val="11"/>
        <rFont val="Calibri"/>
        <family val="2"/>
        <scheme val="minor"/>
      </rPr>
      <t>P00051_2026</t>
    </r>
  </si>
  <si>
    <t>P00051_2026</t>
  </si>
  <si>
    <t>PAREXEL EUR</t>
  </si>
  <si>
    <t>INV-PA-13089</t>
  </si>
  <si>
    <t>INV 4708436 + INV 47052197</t>
  </si>
  <si>
    <t>29/04/2025 + 20/01/2026</t>
  </si>
  <si>
    <t>INV 1032600493</t>
  </si>
  <si>
    <t>INV 8053603946 + INV 8053603947</t>
  </si>
  <si>
    <t>19/01/2026 + 18/02/2026</t>
  </si>
  <si>
    <t>INV OGPVTE250142 + INV OGPVTE260006</t>
  </si>
  <si>
    <t>20/06/2025 + 21/01/2026</t>
  </si>
  <si>
    <r>
      <t xml:space="preserve">25100437 - </t>
    </r>
    <r>
      <rPr>
        <b/>
        <sz val="11"/>
        <rFont val="Calibri"/>
        <family val="2"/>
        <scheme val="minor"/>
      </rPr>
      <t>P00055_2026</t>
    </r>
  </si>
  <si>
    <t>P00055_2026</t>
  </si>
  <si>
    <r>
      <t xml:space="preserve">WO61#2024 A2 - </t>
    </r>
    <r>
      <rPr>
        <b/>
        <sz val="11"/>
        <rFont val="Calibri"/>
        <family val="2"/>
        <scheme val="minor"/>
      </rPr>
      <t>P00056_2026</t>
    </r>
  </si>
  <si>
    <t>P00056_2026</t>
  </si>
  <si>
    <t>PCV Storage fee ABX464 2025 +7 months storage ABX464</t>
  </si>
  <si>
    <t>Upon completion of services 50%</t>
  </si>
  <si>
    <t>Trang / LLDR</t>
  </si>
  <si>
    <r>
      <t xml:space="preserve">260121FR02028026MP - </t>
    </r>
    <r>
      <rPr>
        <b/>
        <sz val="11"/>
        <rFont val="Calibri"/>
        <family val="2"/>
        <scheme val="minor"/>
      </rPr>
      <t>P00058_2026</t>
    </r>
  </si>
  <si>
    <t>P00058_2026</t>
  </si>
  <si>
    <t>INV 59001921 + INV 59001978 + INV 59002005 + INV 59002126 + INV 59002260 + INV 59002452 + INV 59002466 + INV 59002536</t>
  </si>
  <si>
    <t>19/11/2024 + 20/12/2024 + 22/01/2025 + 31/03/2025+ 24/07/2025 + 20/11/2025 + 10/12/2025 + 23/01/2026</t>
  </si>
  <si>
    <t>INV 59002532</t>
  </si>
  <si>
    <t>INV 90841233</t>
  </si>
  <si>
    <r>
      <t xml:space="preserve">Q25000890167 - </t>
    </r>
    <r>
      <rPr>
        <b/>
        <sz val="11"/>
        <rFont val="Calibri"/>
        <family val="2"/>
        <scheme val="minor"/>
      </rPr>
      <t>P00067_2026</t>
    </r>
  </si>
  <si>
    <t>P00067_2026</t>
  </si>
  <si>
    <r>
      <t xml:space="preserve">2021_02_31_1 - </t>
    </r>
    <r>
      <rPr>
        <b/>
        <sz val="11"/>
        <rFont val="Calibri"/>
        <family val="2"/>
        <scheme val="minor"/>
      </rPr>
      <t>P00059_2026</t>
    </r>
  </si>
  <si>
    <t>P00059_2026</t>
  </si>
  <si>
    <t>Audit requalification KCAS FR</t>
  </si>
  <si>
    <t>ORLANDO HEALTH</t>
  </si>
  <si>
    <t>P00064_2026</t>
  </si>
  <si>
    <t>NYU School of Medecine</t>
  </si>
  <si>
    <t>P00062_2026</t>
  </si>
  <si>
    <t>P00057_2026</t>
  </si>
  <si>
    <r>
      <t xml:space="preserve">WO61#2025 A3 - </t>
    </r>
    <r>
      <rPr>
        <b/>
        <sz val="11"/>
        <rFont val="Calibri"/>
        <family val="2"/>
        <scheme val="minor"/>
      </rPr>
      <t>P00057_2026</t>
    </r>
  </si>
  <si>
    <t>PCV Storage fee ABX464 2025 (12 months)</t>
  </si>
  <si>
    <t>Big Gut Seminar Inflammatory - 27/03/2026</t>
  </si>
  <si>
    <t>Florida Inflammatory Congress 18/04/2026</t>
  </si>
  <si>
    <t>INV NYU_IBD_2026_01</t>
  </si>
  <si>
    <t>INV ORLAND_IBD_2026_01</t>
  </si>
  <si>
    <t>INV 9160006097 + INV 9160006220</t>
  </si>
  <si>
    <t>27/01/2026 + 28/01/2026</t>
  </si>
  <si>
    <t>taux (pas a jour)</t>
  </si>
  <si>
    <t>INV AS10000583</t>
  </si>
  <si>
    <t>INV SIN007628</t>
  </si>
  <si>
    <t>INV 10000699 + INV 10000801</t>
  </si>
  <si>
    <t>19/12/2025 + 26/01/2026</t>
  </si>
  <si>
    <t>INV 10000801</t>
  </si>
  <si>
    <t>INV 00010 26000209 RI</t>
  </si>
  <si>
    <t>INV 10 26000207 RI</t>
  </si>
  <si>
    <r>
      <t>21/09/2022 + 21/09/2022 + 21/09/2022 + 21/09/2022 + 21/09/2022 + 21/09/2022 + 21/09/2022 + 31/10/2022 + 30/11/2022 + 31/12/2022 + 31/01/2023 + 28/02/2023 + 31/03/2023 + 30/04/2023 + 31/05/2023 + 30/06/2023 + 31/07/2023 + 01/09/2023 + 30/09/2023 + 30/09/</t>
    </r>
    <r>
      <rPr>
        <b/>
        <sz val="11"/>
        <rFont val="Calibri"/>
        <family val="2"/>
        <scheme val="minor"/>
      </rPr>
      <t>2022</t>
    </r>
    <r>
      <rPr>
        <sz val="11"/>
        <rFont val="Calibri"/>
        <family val="2"/>
        <scheme val="minor"/>
      </rPr>
      <t xml:space="preserve"> (reçu 11/2023) + 30/11/2023 + 01/01/2024 + 31/01/2024 + 29/02/2024 + 30/04/2024 + 31/05/2024 + 30/06/2024 + 31/07/2024 + 31/08/2024 + 30/09/2024 + 31/10/2024 + 30/11/2024 + 31/12/2024 + 31/01/2025 + 28/02/2025 + 31/03/2025+30/04/2025 + 30/04/2025 + 31/05/2025 + 30/06/2025 + 31/07/2025 + 31/08/2025 + 30/09/2025+31/10/2025+30/11/2025 + 01/01/2026 + 31/01/2026</t>
    </r>
  </si>
  <si>
    <t>INV 12011343850</t>
  </si>
  <si>
    <t>INV 12011318775 + INV 12011321182 + INV12011325680 + INV 12011331198 + I NV 12011334719 + INV 12011337933 + INV 12011343983</t>
  </si>
  <si>
    <t>27/05/2025 + 25/06/2025 + 30/07/2025 + 26/09/2025 + 31/10/2025 + 30/11/2025 + 31/01/2026</t>
  </si>
  <si>
    <t>INV S26-036281</t>
  </si>
  <si>
    <t>INV 10000211 +INV 10000299 + INV 10000638</t>
  </si>
  <si>
    <t>30/09/2025 + 28/10/2025 + 30/01/2026</t>
  </si>
  <si>
    <t>INV 10001228+INV10000073+INV 10000212 + INV 10000298 + INV 10000637</t>
  </si>
  <si>
    <t>28/05/2025+30/07/2025+30/09/2025+28/10/2025 + 30/01/2026</t>
  </si>
  <si>
    <t>Regulatory &amp; Strategy CMC support PBPK - At signatur PO</t>
  </si>
  <si>
    <t>Regulatory &amp; Strategy CMC support PBPK - Completion Task 1</t>
  </si>
  <si>
    <t>Regulatory &amp; Strategy CMC support PBPK - Completion Task 2</t>
  </si>
  <si>
    <t>Regulatory &amp; Strategy CMC support PBPK - Completion Task 3</t>
  </si>
  <si>
    <t>INV FTI103663-64</t>
  </si>
  <si>
    <t>INV 90182954 + INV 90189040 + INV 90189163</t>
  </si>
  <si>
    <t>30/08/2025 + 31/01/2026 + 31/01/2026</t>
  </si>
  <si>
    <t>INV 90181866 + INV 90185599 + INV 90189163</t>
  </si>
  <si>
    <t>02/08/2025 + 31/10/2025 + 31/01/2026</t>
  </si>
  <si>
    <t>INV 20250435 + INV 20252051+INV 20252330+INV20252658 + INV 20253366 + INV 20260252</t>
  </si>
  <si>
    <t>24/02/2025 + 27/06/2025 + 24/07/2025+22/08/2025+30/09/2025+31/01/2026</t>
  </si>
  <si>
    <t>INV ABIV202601</t>
  </si>
  <si>
    <t>INV ALS202601000299</t>
  </si>
  <si>
    <t>INV OCFR-FTO-000861</t>
  </si>
  <si>
    <t>INV 1210280</t>
  </si>
  <si>
    <t>PH-ABVX-ADME-2025-05v2 - MSA_25050_W15</t>
  </si>
  <si>
    <t>ADME regulatory assay</t>
  </si>
  <si>
    <t>INV 1210285</t>
  </si>
  <si>
    <t>INV 38090 + INV 39033 + INV 40185</t>
  </si>
  <si>
    <t>29/09/2025 + 25/11/2025 + 06/02/2026</t>
  </si>
  <si>
    <t>INV 2024-0005 + (INV 2024-0008 - AV 2024-9001) + INV 900125262 + INV 900129859 + (INV 900130615 - CR 910004962) + INV 900130832 + INV 900132301 + INV 900132300 + INV 900134264 + INV 900134677</t>
  </si>
  <si>
    <t>26/03/2024 + 16/05/2024 + 26/06/2024 + 17/07/2024 + 14/04/2025 + 30/05/2025 - 10/06/2025 + 12/06/2025+10/09/2025+19/09/2025 + 13/01/2026 + 06/02/2026</t>
  </si>
  <si>
    <t>INV BCI-0112218 + INV BCI-0113401 + INV BCI-0116130 +BCI-0117458</t>
  </si>
  <si>
    <t>21/10/2025 + 31/10/2025+31/12/2025+31/01/2026</t>
  </si>
  <si>
    <r>
      <t xml:space="preserve">Q192137 - </t>
    </r>
    <r>
      <rPr>
        <b/>
        <sz val="11"/>
        <rFont val="Calibri"/>
        <family val="2"/>
        <scheme val="minor"/>
      </rPr>
      <t>P00054_2026</t>
    </r>
  </si>
  <si>
    <t>P00054_2026</t>
  </si>
  <si>
    <t>JACKSON LABS</t>
  </si>
  <si>
    <t>ABX464 Phase I Custom breeding</t>
  </si>
  <si>
    <r>
      <t xml:space="preserve">SRV_25090_W8 - </t>
    </r>
    <r>
      <rPr>
        <b/>
        <sz val="11"/>
        <rFont val="Calibri"/>
        <family val="2"/>
        <scheme val="minor"/>
      </rPr>
      <t>P00069_2026</t>
    </r>
  </si>
  <si>
    <t>P00069_2026</t>
  </si>
  <si>
    <t>Quick HCP demand Study GI extension - Kick-off</t>
  </si>
  <si>
    <t>Quick HCP demand Study GI extension - Project completion</t>
  </si>
  <si>
    <r>
      <t xml:space="preserve">CBA/251210/1 - </t>
    </r>
    <r>
      <rPr>
        <b/>
        <sz val="11"/>
        <rFont val="Calibri"/>
        <family val="2"/>
        <scheme val="minor"/>
      </rPr>
      <t>P00074_2026</t>
    </r>
  </si>
  <si>
    <t>P00074_2026</t>
  </si>
  <si>
    <t>Storage costs 07/2025 to 12/2025</t>
  </si>
  <si>
    <t>P00075_2026</t>
  </si>
  <si>
    <t>Milling validation campaign 2026 - Shipment to Jetpharma</t>
  </si>
  <si>
    <t>Milling validation campaign 2026 - Jetpharma</t>
  </si>
  <si>
    <t>Milling validation campaign 2026 - set of analysis</t>
  </si>
  <si>
    <r>
      <t xml:space="preserve">Abivax 02-02-26 - </t>
    </r>
    <r>
      <rPr>
        <b/>
        <sz val="11"/>
        <rFont val="Calibri"/>
        <family val="2"/>
        <scheme val="minor"/>
      </rPr>
      <t>P00071_2026</t>
    </r>
  </si>
  <si>
    <t>P00071_2026</t>
  </si>
  <si>
    <r>
      <t xml:space="preserve">web - </t>
    </r>
    <r>
      <rPr>
        <b/>
        <sz val="11"/>
        <rFont val="Calibri"/>
        <family val="2"/>
        <scheme val="minor"/>
      </rPr>
      <t>P00081_2026</t>
    </r>
  </si>
  <si>
    <t>P00081_2026</t>
  </si>
  <si>
    <r>
      <t xml:space="preserve">MSA_25148_W4 - </t>
    </r>
    <r>
      <rPr>
        <b/>
        <sz val="11"/>
        <rFont val="Calibri"/>
        <family val="2"/>
        <scheme val="minor"/>
      </rPr>
      <t>P00082_2026</t>
    </r>
  </si>
  <si>
    <t>P00082_2026</t>
  </si>
  <si>
    <t>Evaluation Efficacy ABX464 combined Acute TNBS Mouse - At signature</t>
  </si>
  <si>
    <t>Evaluation Efficacy ABX464 combined Acute TNBS Mouse - End of activites</t>
  </si>
  <si>
    <t>Evaluation Efficacy ABX464 combined Acute TNBS Mouse - Delivery Final report</t>
  </si>
  <si>
    <t>Evaluation Efficacy ABX464 combined Acute TNBS Mouse - Optionnal costs</t>
  </si>
  <si>
    <r>
      <t xml:space="preserve">COS-5-A-CRKA-335410-R3 - </t>
    </r>
    <r>
      <rPr>
        <b/>
        <sz val="11"/>
        <rFont val="Calibri"/>
        <family val="2"/>
        <scheme val="minor"/>
      </rPr>
      <t>P00070_2026</t>
    </r>
  </si>
  <si>
    <t>P00070_2026</t>
  </si>
  <si>
    <t>Project ABBIE - Q1-Q3 2025 PTC</t>
  </si>
  <si>
    <t>P00079_2026</t>
  </si>
  <si>
    <r>
      <t xml:space="preserve">QSC302430_SOW2_CO5 - </t>
    </r>
    <r>
      <rPr>
        <b/>
        <sz val="11"/>
        <rFont val="Calibri"/>
        <family val="2"/>
        <scheme val="minor"/>
      </rPr>
      <t>P00079_2026</t>
    </r>
  </si>
  <si>
    <t>Amdt 2 - Formulation development ABX464 pediatric form - Upon initiation 2nd bluk CTM</t>
  </si>
  <si>
    <t>Dissolution test Minitablet Pediatric form</t>
  </si>
  <si>
    <r>
      <t xml:space="preserve">WO105#2026 - </t>
    </r>
    <r>
      <rPr>
        <b/>
        <sz val="11"/>
        <rFont val="Calibri"/>
        <family val="2"/>
        <scheme val="minor"/>
      </rPr>
      <t>P00075_2026</t>
    </r>
  </si>
  <si>
    <r>
      <t xml:space="preserve">WO104#2026 - </t>
    </r>
    <r>
      <rPr>
        <b/>
        <sz val="11"/>
        <rFont val="Calibri"/>
        <family val="2"/>
        <scheme val="minor"/>
      </rPr>
      <t>Pas de PO</t>
    </r>
  </si>
  <si>
    <t>Analysis of Batch 25009559 150 kg from Jetpharma</t>
  </si>
  <si>
    <t>INV 009021311 + INV 009021312 + INV 009021313</t>
  </si>
  <si>
    <t>31/01/2026 + 31/01/2026 + 31/01/2026</t>
  </si>
  <si>
    <t>INV 00010 26000265 RI</t>
  </si>
  <si>
    <t>INV 013669</t>
  </si>
  <si>
    <t>INV 013670</t>
  </si>
  <si>
    <r>
      <t xml:space="preserve">WO107#2026 - </t>
    </r>
    <r>
      <rPr>
        <b/>
        <sz val="11"/>
        <rFont val="Calibri"/>
        <family val="2"/>
        <scheme val="minor"/>
      </rPr>
      <t>P00094_2026</t>
    </r>
  </si>
  <si>
    <t>P00094_2026</t>
  </si>
  <si>
    <t>ABX464 polymorph study</t>
  </si>
  <si>
    <r>
      <t xml:space="preserve">WO108#2026 - </t>
    </r>
    <r>
      <rPr>
        <b/>
        <sz val="11"/>
        <rFont val="Calibri"/>
        <family val="2"/>
        <scheme val="minor"/>
      </rPr>
      <t>P00092_2026</t>
    </r>
  </si>
  <si>
    <t>P00092_2026</t>
  </si>
  <si>
    <t>Validation ABX464 assay method HPLC/UV</t>
  </si>
  <si>
    <r>
      <t xml:space="preserve">WO110#2026 - </t>
    </r>
    <r>
      <rPr>
        <b/>
        <sz val="11"/>
        <rFont val="Calibri"/>
        <family val="2"/>
        <scheme val="minor"/>
      </rPr>
      <t>P00093_2026</t>
    </r>
  </si>
  <si>
    <t>P00093_2026</t>
  </si>
  <si>
    <t>Nitrosp-ABX464 analysis in Drug Product batches</t>
  </si>
  <si>
    <r>
      <t xml:space="preserve">CPQ-02310958 - </t>
    </r>
    <r>
      <rPr>
        <b/>
        <sz val="11"/>
        <rFont val="Calibri"/>
        <family val="2"/>
        <scheme val="minor"/>
      </rPr>
      <t>P00084_2026</t>
    </r>
  </si>
  <si>
    <t>P00084_2026</t>
  </si>
  <si>
    <r>
      <t xml:space="preserve">140080405 - </t>
    </r>
    <r>
      <rPr>
        <b/>
        <sz val="11"/>
        <rFont val="Calibri"/>
        <family val="2"/>
        <scheme val="minor"/>
      </rPr>
      <t>P00083_2026</t>
    </r>
  </si>
  <si>
    <t>P00083_2026</t>
  </si>
  <si>
    <t>Achat Robot multi-extraction</t>
  </si>
  <si>
    <t>INV 3000229224 + INV 3000229487</t>
  </si>
  <si>
    <t>INV 26100007 + INV 26100027</t>
  </si>
  <si>
    <t>26/01/2026+10/02/2026</t>
  </si>
  <si>
    <r>
      <t xml:space="preserve">WO106#2026 - </t>
    </r>
    <r>
      <rPr>
        <b/>
        <sz val="11"/>
        <rFont val="Calibri"/>
        <family val="2"/>
        <scheme val="minor"/>
      </rPr>
      <t>P00091_2026</t>
    </r>
  </si>
  <si>
    <t>P00091_2026</t>
  </si>
  <si>
    <t>1# ICH Stab studies 2# PSD Analysis Milled batches P001 26000164 - T3M</t>
  </si>
  <si>
    <t>1# ICH Stab studies 2# PSD Analysis Milled batches P001 26000164 - T6M</t>
  </si>
  <si>
    <t>1# ICH Stab studies 2# PSD Analysis Milled batches P001 26000164 - T9M</t>
  </si>
  <si>
    <t>1# ICH Stab studies 2# PSD Analysis Milled batches P001 26000164 - T12M</t>
  </si>
  <si>
    <t>1# ICH Stab studies 2# PSD Analysis Milled batches P001 26000164 - T18M</t>
  </si>
  <si>
    <t>1# ICH Stab studies 2# PSD Analysis Milled batches P001 26000164 - T24M</t>
  </si>
  <si>
    <t>1# ICH Stab studies 2# PSD Analysis Milled batches P001 26000164 - T36M</t>
  </si>
  <si>
    <t>1# ICH Stab studies 2# PSD Analysis Milled batches P001 26000164 - T48M</t>
  </si>
  <si>
    <t>1# ICH Stab studies 2# PSD Analysis Milled batches P001 26000164 - T60M</t>
  </si>
  <si>
    <t>3# ICH Stab studies 4# PSD Analysis Milled batches P002 26000167 - T3M</t>
  </si>
  <si>
    <t>3# ICH Stab studies 4# PSD Analysis Milled batches P002 26000167 - T6M</t>
  </si>
  <si>
    <t>3# ICH Stab studies 4# PSD Analysis Milled batches P002 26000167 - T9M</t>
  </si>
  <si>
    <t>3# ICH Stab studies 4# PSD Analysis Milled batches P002 26000167 - T12M</t>
  </si>
  <si>
    <t>3# ICH Stab studies 4# PSD Analysis Milled batches P002 26000167 - T18M</t>
  </si>
  <si>
    <t>3# ICH Stab studies 4# PSD Analysis Milled batches P002 26000167 - T24M</t>
  </si>
  <si>
    <t>3# ICH Stab studies 4# PSD Analysis Milled batches P002 26000167 - T36M</t>
  </si>
  <si>
    <t>3# ICH Stab studies 4# PSD Analysis Milled batches P002 26000167 - T48M</t>
  </si>
  <si>
    <t>3# ICH Stab studies 4# PSD Analysis Milled batches P002 26000167 - T60M</t>
  </si>
  <si>
    <t>5# ICH Stab studies 6# PSD Analysis Milled batches P003 26000170 - T3M</t>
  </si>
  <si>
    <t>5# ICH Stab studies 6# PSD Analysis Milled batches P003 26000170 - T6M</t>
  </si>
  <si>
    <t>5# ICH Stab studies 6# PSD Analysis Milled batches P003 26000170 - T9M</t>
  </si>
  <si>
    <t>5# ICH Stab studies 6# PSD Analysis Milled batches P003 26000170 - T12M</t>
  </si>
  <si>
    <t>5# ICH Stab studies 6# PSD Analysis Milled batches P003 26000170 - T18M</t>
  </si>
  <si>
    <t>5# ICH Stab studies 6# PSD Analysis Milled batches P003 26000170 - T24M</t>
  </si>
  <si>
    <t>5# ICH Stab studies 6# PSD Analysis Milled batches P003 26000170 - T36M</t>
  </si>
  <si>
    <t>5# ICH Stab studies 6# PSD Analysis Milled batches P003 26000170 - T48M</t>
  </si>
  <si>
    <t>5# ICH Stab studies 6# PSD Analysis Milled batches P003 26000170 - T60M</t>
  </si>
  <si>
    <t>7# ICH Stab studies Long term stability storage</t>
  </si>
  <si>
    <t>Rose Dawes</t>
  </si>
  <si>
    <r>
      <t xml:space="preserve">ENG-812068 - </t>
    </r>
    <r>
      <rPr>
        <b/>
        <sz val="11"/>
        <rFont val="Calibri"/>
        <family val="2"/>
        <scheme val="minor"/>
      </rPr>
      <t>P00089_2026</t>
    </r>
  </si>
  <si>
    <t>P00089_2026</t>
  </si>
  <si>
    <t>Veeva Submission Publiqhing Implementation - T&amp;M Services</t>
  </si>
  <si>
    <t>Veeva Submission Publiqhing Implementation - Validation template Package</t>
  </si>
  <si>
    <r>
      <t xml:space="preserve">WO92#2025 - Amdt 2 - </t>
    </r>
    <r>
      <rPr>
        <b/>
        <sz val="11"/>
        <rFont val="Calibri"/>
        <family val="2"/>
        <scheme val="minor"/>
      </rPr>
      <t>P00095_2026</t>
    </r>
  </si>
  <si>
    <t>P00095_2026</t>
  </si>
  <si>
    <t>Analysis &amp; Milling validation batches &amp; co - Add cost</t>
  </si>
  <si>
    <t>INV 10/2026</t>
  </si>
  <si>
    <t>INV 9/2026</t>
  </si>
  <si>
    <t>INV SIN007787</t>
  </si>
  <si>
    <t>RBA study with Pediatric Formulations - On signature CO1</t>
  </si>
  <si>
    <t>RBA study with Pediatric Formulations - On TMF delivery</t>
  </si>
  <si>
    <t>INV 0467/22 + INV 0634/22 + INV 0694/22 + INV 0763/22 + INV 0883/22 + INV 0091/23 + INV 0238/23 + INV 0308/23 + INV 0502/23 + INV 0596/23 + INV 0684/23 + INV 0705/23 + INV 0063/24 + INV 0203/24 + INV 0602/24 + INV 0491/25+INV 0675/25 + INV 0487/26</t>
  </si>
  <si>
    <t>28/01/2022 + 31/03/2022 + 25/04/2022 + 30/05/2022 + 27/06/2022 + 31/08/2022 + 26/10/2022 + 28/11/2022 + 31/01/2023 + 27/02/2023 + 31/03/2023 + 19/04/2023 + 24/08/2023 + 30/10/2023 + 29/03/2024+ 19/02/2025+30/04/2025+13/02/2026</t>
  </si>
  <si>
    <t>INV 0798/25 + INV 0797/25 + INV 0876/25 + INV 0094/26 + INV 0177/26 + INV 0238/26 + INV 0248/26 + INV 0486/26</t>
  </si>
  <si>
    <t>18/06/2025+18/06/25+30/06/2025+29/08/2025+30/09/2025+31/10/2025+31/10/2025+13/02/2026</t>
  </si>
  <si>
    <t>INV 0633/22 + INV 0693/22 + INV 0762/22 + INV 0149/23 + INV 0247/23 + INV 0390/23 + INV 0627/23 + INV 0118/24 + INV 0436/24 + INV 0601/24 + INV 0487/25 + INV 0518/26</t>
  </si>
  <si>
    <t>31/03/2022 + 25/04/2022 + 30/05/2022 + 28/09/2022 + 28/10/2022 + 19/12/2022 + 17/03/2023 + 28/09/2023 + 31/01/2024 + 29/03/2024 + 19/02/2025 + 16/02/2026</t>
  </si>
  <si>
    <t>INV 0434/26 + INV 0517/2026</t>
  </si>
  <si>
    <t>INV 9216218572</t>
  </si>
  <si>
    <t>08/01/2025 + 10/02/2025 + 12/03/2025 + 10/04/2025 + 13/05/2025 + 12/06/2025 + 09/07/2025 + 14/08/2025 + 09/09/2025 + 08/10/2025 + 25/11/2025 + 07/01/2026+13/02/2026</t>
  </si>
  <si>
    <t>INV FRA-005432 + INV FRA-005510 + INV FRA-005647 + INV FRA-005729 + INV FRA-005809+ INV FRA-005909 + INV FRA-006018 + INV FRA-006103 + INV FRA-006329 + INV FRA-006436 + INV FRA- 006546 + INV FRA - 006645 + INV FRA-006754 + INV FRA-006898 + INV FRA-007019 + INV FRA-007132+ INV FRA-007248</t>
  </si>
  <si>
    <t>09/08/2024 + 11/09/2024 + 13/11/2024 + 06/12/2024 + 08/01/2025+13/02/2025+11/03/2025 + 08/04/2025 + 12/06/2025+10/07/2025 + 08/08/2025+11/09/2025+10/10/2025 + 13/11/2025+10/12/2025+14/01/2026+11/02/2026</t>
  </si>
  <si>
    <t>INV FRA-005374 + FRA-005568 + INV FRA-005644 + INV FRA-005731 + INV FRA-005810 + INV FRA-005908 + INV FRA-006017 + INV FRA-006099 + INV FRA-006210 + INV FRA-006333 + INV FRA-006438 + INV FRA- 006545 + INV FRA-006641+INV FRA-006755+ INV FRA-006896+INV FRA-007035 +INV FRA-007131+INV FRA-007250</t>
  </si>
  <si>
    <t>11/07/2024 + 09/10/2024 + 12/11/2024 + 06/12/2024 + 08/01/2025+13/02/2025+11/03/2025+07/04/2025+13/05/2025 + 12/06/2025+10/07/2025+08/05/2025+11/09/2025+10/10/2025+13/11/2025+10/12/2025+14/01/2026+11/02/2026</t>
  </si>
  <si>
    <t>INV FRA-003543 + INV FRA-003639 + INV FRA-003692 + INV FRA-003789 + INV FRA-003867 + INV FRA-003945 + INV FRA-004044 + INV FRA-004108 + INV FRA-004187 + INV FRA-004257 + INV FRA-004328 + INV FRA-004416 + INV FRA-004494 + INV FRA-004570 + INV FRA-004650 + INV FRA-00464 + INV FRA-004835 + INV FRA-004906 + INV FRA-005009 + INV FRA-005150 + INV FRA-005079 + INV FRA-005234 + INV FRA-005311 + INV FRA-005377 + INV FRA-005441 + INC FRA-005515 + INV FRA-005583 + INV FRA-005655 + INV FRA-005759 + INV FRA-005914 + INV FRA- 005929 + INV FRA-006031 + INV FRA-006124 + INV FRA-006220 + INV FRA-006320+ INV FRA-006454+ INV FRA-006565+ INV FRA- 006656 + INV FRA-006780 + INV FRA- 006894 + INV FRA-007057+ INV FRA-007170 +INV FRA-007255</t>
  </si>
  <si>
    <t>16/08/2022 + 13/09/2022 + 07/10/2022 + 08/11/2022 + 12/12/2022 + 11/01/2023 + 15/02/2023 + 14/03/2023 + 13/04/2023 + 15/05/2023 + 15/06/2023 + 17/07/2023 + 14/08/2023 + 14/09/2023 + 13/10/2023 + 13/11/2023 + 13/12/2023 + 12/01/2024 + 15/02/2024 + 11/04/2024 + 13/03/2024 + 13/05/2024 + 13/06/2024 + 12/07/2024 + 14/08/2024 + 13/09/2024 + 11/10/2024 + 13/11/2024 + 12/12/2024 + 13/02/2025 +18/02/2025+11/03/2025 + 11/04/2025 + 13/05/2025 + 12/06/2025+15/07/2025+13/08/2025+12/09/2025+13/10/2025 + 13/11/2025 + 15/12/2025 + 15/01/2026+12/02/2026</t>
  </si>
  <si>
    <t>INV FRA-003854 + INV FRA-003944 + INV FRA-004038 + INV FRA-004126 + INV FRA-004186 + INV FRA-004259 + INV FRA-004330 + INV FRA-004418 + INV FRA-004490 + INV FRA-004576 + INV FRA-004646 + INV FRA-004760 + INV FRA-004834 + INV FRA-004904 + INV FRA-005008 + INV FRA-005149 + INV FRA-005077 + INV FRA-005232 + INV FRA-005303 + INV FRA-005383 + INV FRA-005445 + INV FRA-005516 + INV FRA-005584 + INV FRA-005549 + INV FRA-005762 + INV FRA-005918 + INV FRA-005933 + INV FRA-006038 + INV FRA-006120 + INV FRA -006211 + INV FRA-006322+ INV FRA-006451 + INV FRA-006563+INV FRA-006655+INV FRA-006765 + INV FRA-006897  + INV FRA-007056 + INV FRA-007169 + INV FRA-007253</t>
  </si>
  <si>
    <t>09/12/2022 + 10/01/2023 + 15/02/2023 + 14/03/2023 + 13/04/2023 + 15/05/2023 + 15/06/2023 + 17/07/2023 + 14/08/2023 + 14/09/2023 + 12/10/2023 + 13/11/2023 + 13/12/2023 + 12/01/2024 + 15/02/2024 + 11/04/2024 + 13/03/2024 + 13/05/2024 + 13/06/2024 + 12/07/2024 + 14/08/2024 + 13/09/2024 + 11/10/2024 + 13/11/2024 +13/02/2025+18/02/2025+11/03/2025 + 11/04/2025 + 13/05/2025 + 12/06/2025+15/07/2025+13/08/2025+12/09/2025+13/10/2025+13/11/2025+15/12/2025+15/01/2026+12/02/2026</t>
  </si>
  <si>
    <t>INV FRA-004003 + INV FRA-004128 + INV FRA-004255 + INV FRA-004329 + INV FRA-004415 + INV FRA-004489 + INV FRA-004569 + INV FRA-004644 + INV FRA-004763 + INV FRA-004836 + INV FRA-004905 + INV FRA-005015 + INV FRA-005148 + INV FRA-005076 + INV FRA-005235 + INV FRA-005305 + INV FRA-005382 + INV FRA-005443 + INV FRA-005514 + INV FRA-005585 + INV FRA-005548 + INV FRA-005760 + INV FRA- 5931+ INV FRA-005913+ INV FRA-006041 + INV FRA-006126 + INV FRA-006214 + INV FRA-006321 + INV FRA-006453+INV FRA6566+INV FRA-006654+INV FRA-006767 + INV FRA-006901 + INV FRA-007043 + INV FRA-007171 + INV FRA-007254</t>
  </si>
  <si>
    <t>03/02/2023 + 14/03/2023 + 15/05/2023 + 15/06/2023 + 17/07/2023 + 14/08/2023 + 14/09/2023 + 12/10/2023 + 13/11/2023 + 13/12/2023 + 12/01/2024 + 15/02/2024 + 11/04/2024 + 13/03/2024 + 13/05/2024 + 13/06/2024 + 12/07/2024 + 14/08/2024 + 13/09/2024 + 11/10/2024 + 13/11/2024 + 12/12/2024+18/02/2025+13/02/2025 + 11/03/2025 + 11/04/2025 + 13/05/2025 + 12/06/2025 + 15/07/2025 + 13/08/2025 + 12/09/2025+13/10/2025+13/11/2025+11/12/2025+15/01/2026+12/02/2026</t>
  </si>
  <si>
    <t>INV FRA-003541 + INV FRA-003637 + INV FRA-003700 + INV FRA-003776 + INV FRA-003792 + INV FRA-003866 + INV FRA-003843 + FRA-003950 + INV FRA-004041 + INV FRA-004130 + INV FRA-004179 + INV FRA-004253 + INV FRA-004321 + INV FRA-004422 + INV FRA-004497 + INV FRA-004585 + INV FRA-004649 + INV FRA-004766 + IN FRA-004837 + INV FRA-004918 + INV FRA-004983 + INV FRA-005013 + INV FRA-005162 + INV FRA-005072 + INV FRA-005228 + INV FRA-005308 + INV FRA-005437 + INV FRA-005513 + INV FRA-005580 + INV FRA-005654 + INV FRA-005766 + INV FRA-005916 + INV FRA-005935+INV FRA-006037 + INV FRA-006127 + INV FRA-006318 + INV FRA-006458 + INV FRA-006567+ INV FRA- 006657 + INVFRA-006764 + INV FRA-006902 + INV FRA-007052 + INV FRA- 007168+INV FRA-007263</t>
  </si>
  <si>
    <t>16/08/2022 + 13/09/2022 + 10/10/2022 + 04/11/2022 + 09/11/2022 + 12/12/2022 + 06/12/2022 + 12/01/2023 + 15/02/2023 + 15/03/2023 + 13/04/2023 + 15/05/2023 + 15/06/2023 + 17/07/2023 + 14/08/2023 + 15/09/2023 + 13/10/2023 + 13/11/2023 + 13/12/2023 + 12/01/2024 + 09/02/2024 + 15/02/2024 + 12/04/2024 + 13/03/2024 + 10/05/2024 + 13/06/2024 + 14/008/2024 + 13/09/2024 + 11/10/2024 + 13/11/2024 + 12/12/2024 + 13/02/2025+18/02/2025+13/03/2025 + 11/04/2025+ 13/05/2025 + 12/06/2025 +15/07/2025 + 13/08/2025+12/09/2025+13/10/2025+13/11/2025+11/12/2025+15/01/2026+12/02/2026</t>
  </si>
  <si>
    <t>INV FRA-003850 + INV FRA-003943 + INV FRA-004039 + INV FRA-004131 + INV FRA-004176 + INV FRA-004260 + INV FRA-004326 + INV FRA-004417 + INV FRA-004498 + INV 004573 + INV FRA-004634 + INV FRA-004767 + INV FRA-004839 + INV FRA-004907 + INV FRA-005012 + INV FRA-005144 + INV FRA-005074 + INV FRA-005224 + INV FRA-005309 + INV FRA-005384 + INV FRA-005439 + INV FRA-005517 + INV FRA-005577 + INV FRA-005650 + INV FRA-005767  + INV FRA-005937 + INV FRA-005917 + INV FRA-006036 + INV FRA-006123 + INV FRA-006218 + INV FRA-006326 + INV FRA- 006455+ INV FRA- 006568 + INV FRA-006658 +INV FRA-006763 + INV FRA-006893 + INV FRA-007045+INV FRA-007163+INV FRA-007161</t>
  </si>
  <si>
    <t>08/12/2022 + 10/01/2023 + 15/02/2023 + 14/03/2023 + 13/04/2023 + 15/05/2023 + 15/06/2023 + 17/07/2023 + 14/08/2023 + 14/09/2023 + 12/10/2023 + 13/11/2023 + 13/12/2023 + 12/01/2024 + 15/02/2024 + 11/04/2024 + 13/03/2024 + 10/05/2024 + 13/06/2024 + 12/07/2024 + 14/08/2024 + 13/09/2024 + 11/10/2024 + 13/11/2024 + 12/12/2024+ 18/02/2025 + 13/02/2025+13/03/2025 + 11/04/2025 + 13/05/2025 + 12/06/2025 + 15/07/2025+ 13/08/2025+12/09/2025+13/10/2025+13/11/2025+11/12/2025+15/01/2026+12/02/2026</t>
  </si>
  <si>
    <t>INV FRA-003776 + INV FRA-003925 + INV FRA-004002 + INV FRA-004129 + INV FRA-004258 + INV FRA-004323 + INV FRA-004424 + INV FRA-004496 + INV FRA-004574 + INV FRA-004633 + INV FRA-004765 + INV FRA-004840 + INV FRA-004909 + INV FRA-005011 + INV FRA-005071 + INV FRA-005147 + INV FRA-005071 + INV FRA-005307 + INV FRA-005378 + INV FRA-005438 + INV FRA-005512 + INV FRA-005578 + INV FRA-005651 + INV FRA-005768 + INV FRA-005939 + INV FRA-005915+ INV FRA-006035 + INV FRA-006129 + INV FRA-006217 + INV FRA-006327 +INV FRA- 006457 + INV FRA- 006562+ INV FRA-006650 + INV FRA-006768 + INV FRA-006900 + INV FRA-007044+ INV FRA-007162+ INV FRA-007262</t>
  </si>
  <si>
    <t>04/11/2022 + 06/01/2023 + 03/02/2023 + 14/03/2023 + 15/05/2023 + 15/06/2023 + 17/07/2023 + 14/08/2023 + 14/09/2023 + 12/10/2023 + 13/11/2023 + 13/12/2023 (recu 2024) + 12/01/2024 + 15/02/2024 + 13/03/2024 + 11/04/2024 + 13/03/2024 + 13/06/2024 + 12/07/2024 + 14/08/2024 + 13/09/2024 + 11/10/2024 + 13/11/2024 + 12/12/2024  + 18/02/2025+13/02/2025+13/03/2025 + 11/04/2025 + 13/05/2025 + 12/06/2025+15/07/2025+13/08/2025+12/09/2025+13/10/2025+13/11/2025+11/12/2025+15/01/2026+12/02/2026</t>
  </si>
  <si>
    <r>
      <t xml:space="preserve">SV0324ABIV1 - </t>
    </r>
    <r>
      <rPr>
        <b/>
        <sz val="11"/>
        <rFont val="Calibri"/>
        <family val="2"/>
        <scheme val="minor"/>
      </rPr>
      <t>P000102_2026</t>
    </r>
  </si>
  <si>
    <t>P000102_2026</t>
  </si>
  <si>
    <t>20 investigator site audits - année 2026</t>
  </si>
  <si>
    <r>
      <t xml:space="preserve">QSC302430_SOW3_CO1 - </t>
    </r>
    <r>
      <rPr>
        <b/>
        <sz val="11"/>
        <rFont val="Calibri"/>
        <family val="2"/>
        <scheme val="minor"/>
      </rPr>
      <t>P00093_2026</t>
    </r>
  </si>
  <si>
    <t>P00097_2026</t>
  </si>
  <si>
    <r>
      <t xml:space="preserve">35947-WO 009 - CSI#2 - </t>
    </r>
    <r>
      <rPr>
        <b/>
        <sz val="11"/>
        <rFont val="Calibri"/>
        <family val="2"/>
        <scheme val="minor"/>
      </rPr>
      <t>P00097_2026</t>
    </r>
  </si>
  <si>
    <t>RI907 - Renal Impairment Study - Profesionnal fees</t>
  </si>
  <si>
    <t>INV OCFR-FTI-000867</t>
  </si>
  <si>
    <t>INV QJP-075645</t>
  </si>
  <si>
    <t>INV QJP-075620</t>
  </si>
  <si>
    <t>INV F25-2237 + INV F26-2332</t>
  </si>
  <si>
    <t>17/09/2025 + 18/02/2026</t>
  </si>
  <si>
    <t>INV FA230417 - AV FA230303 + INV FA231060 + INV FA231471 + INV FA232485 + INV FA233131 + INV FA233063 + INV FA233628 + INV FA234399 + INV FA235153 + INV FA235419 + INV FA235446 + INV FA235447 + INV FA235448 + INV FA236207 + INV FA236226 + INV FACLI000220 + INV FACLI000164 + INV FACLI000381 + INV FACLI000382  + INV FACLI000745 + INV FACLI000890 + INV FACLI000933 + INV FACLI000935 + INV FACLI000939 + INV FACLI000432 + INV FACL001159 + INV FACLI001144 + INV FACLI001400 + INV FACLI001351 + INV FACLI001627 + INV FACLI001669 + INV FACLI002011 + INV FACLI002013 + INV FACLI002329 + INV FACLI002345 + INV FACLI002574 + INV FACLI000102 + INV FACLI000396 + INV FACLI000349 + IN FACLI000839 + INV FACLI001040 + INV FACLI001325 + INV FACLI001592 + INV FACLI001738 + INV FACLI002106 + INV FACLI002124 + INV FACLI002347 + INV FACLI002608 + INV FACLI002656 + INV FACLI002866 + INV FACLI000225</t>
  </si>
  <si>
    <t>31/01/2023 - 31/01/2023 + 28/02/2023 + 31/03/2023 + 28/04/2023 + 31/05/2023 + 31/05/2023 + 30/06/2023 (recu 07/2023) + 31/07/2023 + 31/08/2023 + 30/09/2023 + 30/09/2023 + 30/09/2023 + 30/09/2023 + 31/10/2023 + 31/10/2023 + 29/12/2023 + 31/01/2024 + 29/02/2024 + 29/02/2024 + 30/04/2024 + 31/05/2024 + 31/05/2024 + 31/05/2024 + 31/05/2024 + 29/03/2024 (recu en 07/2024) + 28/06/2024 + 28/06/2024 + 31/07/2024 + 31/07/2024 + 30/08/2024 + 30/09/2024 + 31/10/2024 + 31/10/2024 + 29/11/2024 + 29/11/2024 + 31/12/2024 + 31/01/2025 + 03/03/2025 + 03/03/2025 + 02/05/2025 + 02/06/2025 + 01/07/2025 + 01/08/2025 + 01/09/2025 + 01/10/2025 + 01/10/2025 + 03/11/2025 + 01/12/2025 + 01/01/2026 + 01/01/2026 + 02/02/2026</t>
  </si>
  <si>
    <t>(FA224881 + FA225502 + FA225840 + FA226255)+FA230401-FA230305 + FA231058 + Fa231252 + FA231457 + FA231462 + FA232480 + FA233081 + Fa233701 + FA234423 + Fa235167 + FA235449 + FA235435 + FA236187 + FACLI000217 + FACLI000163 + AVCLI000056 + INV FACLI000373 + INV FACLI000379 + INV FACLI000774 + INV FACLI000907 + INV FACLI000941 + INV FACLI000934 + INV FACLI000431 + INV FACLI001148 + INV FACLI001350 + INV FACLI001316 + INV FACLI001315 + INV FACLI001629 + INV FACLI001674 + INV FACLI002010 + INV FACLI002084 + INV FACLI002340 + INV FACLI002344 + INv FACLI002370 + INV FACLI002588 + INV FACLI000132 + INV FACLI000395 + INV FACLI000630 + INV FACLI000842 + INV FACLI001081 + INV FACLI001039 + INv FACLI001314 + INV FACLI001589 + INV FACLI001733 + INV FACLI002098 + INV FACLI002128 + INV FACLI002342 + INV FACLI002619 + INV FACLI002655 + INV FACLI002869 + INV FACLI002901 + INV FACLI000203</t>
  </si>
  <si>
    <t>(30/09/2022 + 31/10/2022 + 30/11/2022 + 30/12/2022)+31/01/2023-31/01/2023 + 28/02/2023 + 28/02/2023 + 31/03/2023 + 31/03/2023 + 28/04/2023 + 31/05/2023 + 30/06/2023 (recu 07/2023) + 31/07/2023 + 31/08/2023 + 30/09/2023 + 30/09/2023 + 31/10/2023 + 29/12/2023 + 31/01/2024 + 29/02/2024 + 29/02/2024 + 29/02/2024 + 30/04/2024 + 31/05/2024 + 31/05/2024 + 31/05/2024 + 29/03/2024 (recu en 07/2024) + 28/06/2024 + 31/07/2024 + 31/07/2024 + 31/07/2024 + 30/08/2024 + 30/09/2024 + 31/10/2024 + 31/10/2024 + 29/11/2024 + 29/11/2024 + 29/11/2024 + 31/12/2024 + 31/01/2025 + 03/03/2025 + 01/04/2025 + 02/05/2025 + 02/06/2025 +02/06/2025 + 01/07/2025 + 01/08/2025 + 01/09/2025 + 01/10/2025 + 01/10/2025 + 03/11/2025 + 01/12/2025 + 01/01/2026 + 01/01/2026 + 01/01/2026 + 02/02/2026</t>
  </si>
  <si>
    <t>INV FACLI002349 + Inv FACLI002609 + INV FACLI002657 + INV FACLI002847 + INV FACLI002945 + INV FACLI000199</t>
  </si>
  <si>
    <t>03/11/2025 + 01/12/2025 + 01/01/2026 + 01/01/2026 + 01/01/2026 + 02/02/2026</t>
  </si>
  <si>
    <t>INV FACLI002650 + INV FACLI000188</t>
  </si>
  <si>
    <t>01/01/2026 + 02/02/2026</t>
  </si>
  <si>
    <t>INV FACLI002651 + INV FACLI000187 + INV FACLI000181</t>
  </si>
  <si>
    <t>01/01/2026 + 02/02/2026 + 02/02/2026</t>
  </si>
  <si>
    <t>INV FA214811 + INV FA215367 + INV FA220133 + INV FA220742 + INV FA221286 - INV FA221885 + INV FA222332 + INV FA223059 + INV FA223516 + INV FA224394 + INV FA224876 + INV FA225836 + INV FA226248 + INV FA230355 + INV FA230553 + INV FA231011 + INV FA231476 + INV FA232599 + INV FA232526 + INV FA233112 + INV FA233590 + INV FA233588 + INV FA234392 + INV FA233943 + INV FA235136 + INV FA235375 + INV FA236180 + INV FACLI000200 + INV FACLI000130 + INV FACLI000367 + INV FACLI000410 + INV FACLI000728 + INV FACLI000828 + INV FACLI001122 + INV FACLI001310 + INV FACLI001565 + INV FACLI001668 + INV FACLI002008 + INv FACLI002284 + INV FACLI002498 + INV FACLI000089 + INV FACLI000222 + INV FACLI000522 + INV FACLI000789 + INV FACLI001018 + INV FACLI001256 + INV FACLI001575 + INV FACLI001671 + INV FACLI002080 + INV FACLI002375 + INV FACLI002305 + INV FACLI002303 + INV FACLI002599 + INV FACLI002610 + INV FACLI002658 + INV FACLI002836 + INV FACLI000256 + INV FACLI000177 + INV FACLI000167 + INV FACLI000015</t>
  </si>
  <si>
    <t>29/10/2021 + 30/11/2021 + 31/12/2022 + 28/02/2022 + 31/03/2022 + 29/04/2022 + 31/05/2022 + 01/07/2022 + 29/07/2022 + 31/08/2022 + 30/09/2022 + 01/12/2022 + 30/12/2022 + 31/01/2023 + 31/01/2023 + 28/02/2023 + 31/03/2023 + 28/04/2023 + 28/04/2023 + 31/05/2023 + 30/06/2023 (recu en 07/2023) + 30/06/2023 (recu 07/2023) + 31/07/2023 + 31/07/2023 + 31/08/2023 + 30/09/2023 + 31/10/2023 + 29/12/2023 + 31/01/2024 + 29/02/2024 + 29/03/2024 + 30/04/2024 + 31/05/2024 + 28/06/2024 + 31/07/2024 + 30/08/2024 + 30/09/2024 + 31/10/2024 + 29/11/2024 + 31/12/2024 + 31/01/2025 + 28/02/2025 + 01/04/2025 + 02/05/2025 + 02/06/2025 + 01/07/2025 + 31/07/2025 + 01/09/2025 + 01/10/2025 + 03/11/2025 + 03/11/2025 + 03/11/2025 + 01/12/2025 + 01/12/2025 + 01/01/2026 + 01/01/2026 + 02/02/2026 + 02/02/2026 + 30/01/2026 + 29/01/2026</t>
  </si>
  <si>
    <r>
      <t xml:space="preserve">7129075-00 - </t>
    </r>
    <r>
      <rPr>
        <b/>
        <sz val="11"/>
        <rFont val="Calibri"/>
        <family val="2"/>
        <scheme val="minor"/>
      </rPr>
      <t>P00107_2026</t>
    </r>
  </si>
  <si>
    <t>P00107_2026</t>
  </si>
  <si>
    <r>
      <t xml:space="preserve">WO109#2026 - </t>
    </r>
    <r>
      <rPr>
        <b/>
        <sz val="11"/>
        <rFont val="Calibri"/>
        <family val="2"/>
        <scheme val="minor"/>
      </rPr>
      <t>P00105_2026</t>
    </r>
  </si>
  <si>
    <t>P00105_2026</t>
  </si>
  <si>
    <t>R&amp;D study Manuf ABX464 Step 2</t>
  </si>
  <si>
    <t>Capex Manuf ABX464 Step 2</t>
  </si>
  <si>
    <t>Cécile Apolit</t>
  </si>
  <si>
    <r>
      <t xml:space="preserve">ABX17866_ABX464-911 - </t>
    </r>
    <r>
      <rPr>
        <b/>
        <sz val="11"/>
        <rFont val="Calibri"/>
        <family val="2"/>
        <scheme val="minor"/>
      </rPr>
      <t>P00073_2026</t>
    </r>
  </si>
  <si>
    <t>P00073_2026</t>
  </si>
  <si>
    <t>RB911 miR124</t>
  </si>
  <si>
    <t>RB911 miR124 - execution WO</t>
  </si>
  <si>
    <r>
      <t xml:space="preserve">ABX17173_ABX-922 - </t>
    </r>
    <r>
      <rPr>
        <b/>
        <sz val="11"/>
        <rFont val="Calibri"/>
        <family val="2"/>
        <scheme val="minor"/>
      </rPr>
      <t>P00072_2026</t>
    </r>
  </si>
  <si>
    <t>P00072_2026</t>
  </si>
  <si>
    <t>CH922 miR124 - execution WO</t>
  </si>
  <si>
    <t>CH922 miR124</t>
  </si>
  <si>
    <r>
      <t xml:space="preserve">U8868QALG0 - </t>
    </r>
    <r>
      <rPr>
        <b/>
        <sz val="11"/>
        <rFont val="Calibri"/>
        <family val="2"/>
        <scheme val="minor"/>
      </rPr>
      <t>P00101_2026</t>
    </r>
  </si>
  <si>
    <t>P00101_2026</t>
  </si>
  <si>
    <r>
      <t xml:space="preserve">OPP-392248 - 32060599 - CRL-644673 - </t>
    </r>
    <r>
      <rPr>
        <b/>
        <sz val="11"/>
        <rFont val="Calibri"/>
        <family val="2"/>
        <scheme val="minor"/>
      </rPr>
      <t>P00382_2025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P00590_2025</t>
    </r>
    <r>
      <rPr>
        <sz val="11"/>
        <rFont val="Calibri"/>
        <family val="2"/>
        <scheme val="minor"/>
      </rPr>
      <t xml:space="preserve"> + P00077_2026</t>
    </r>
  </si>
  <si>
    <t>P00382_2025 + P00590_2025 + P00077_2026</t>
  </si>
  <si>
    <r>
      <t>P00078-2026 (</t>
    </r>
    <r>
      <rPr>
        <strike/>
        <sz val="11"/>
        <rFont val="Calibri"/>
        <family val="2"/>
        <scheme val="minor"/>
      </rPr>
      <t>P00026_2026)</t>
    </r>
  </si>
  <si>
    <r>
      <t xml:space="preserve">OPP-400959 - CRL-32079103 - </t>
    </r>
    <r>
      <rPr>
        <b/>
        <sz val="11"/>
        <rFont val="Calibri"/>
        <family val="2"/>
        <scheme val="minor"/>
      </rPr>
      <t>P00078_2026</t>
    </r>
    <r>
      <rPr>
        <strike/>
        <sz val="11"/>
        <rFont val="Calibri"/>
        <family val="2"/>
        <scheme val="minor"/>
      </rPr>
      <t xml:space="preserve"> P00026_2026</t>
    </r>
  </si>
  <si>
    <t>INV 58010792</t>
  </si>
  <si>
    <t>INV 59002426 + INV 59002467 + INV 59002475 + INV 59002552</t>
  </si>
  <si>
    <t>03/11/2025 + 11/12/2025 + 12/12/2025 + 13/02/2026</t>
  </si>
  <si>
    <t>INV FRS030502FACLI000006</t>
  </si>
  <si>
    <t>INV FRS030502FACLI000004</t>
  </si>
  <si>
    <t>Clos</t>
  </si>
  <si>
    <t>Dissolution testing plan - add cost to CBA/250527/1</t>
  </si>
  <si>
    <r>
      <t xml:space="preserve">CBA/26109/01 - </t>
    </r>
    <r>
      <rPr>
        <b/>
        <sz val="11"/>
        <rFont val="Calibri"/>
        <family val="2"/>
        <scheme val="minor"/>
      </rPr>
      <t>P000109_2026</t>
    </r>
  </si>
  <si>
    <t>P000109_2026</t>
  </si>
  <si>
    <t>INV 0069722</t>
  </si>
  <si>
    <t>Biomarker Analysis - 30% Part A - Upon 1ts sample</t>
  </si>
  <si>
    <t>P00104_2026</t>
  </si>
  <si>
    <t>CoS-4 - Implementation and validation of manuf process ABX464</t>
  </si>
  <si>
    <r>
      <t xml:space="preserve">CoS-4 - A-CRKA-335410-R3 CO n°4 - </t>
    </r>
    <r>
      <rPr>
        <b/>
        <sz val="11"/>
        <rFont val="Calibri"/>
        <family val="2"/>
        <scheme val="minor"/>
      </rPr>
      <t>P00104_2026</t>
    </r>
  </si>
  <si>
    <t>Sunil S</t>
  </si>
  <si>
    <t>INV 900134846</t>
  </si>
  <si>
    <r>
      <t xml:space="preserve">web - </t>
    </r>
    <r>
      <rPr>
        <b/>
        <sz val="11"/>
        <rFont val="Calibri"/>
        <family val="2"/>
        <scheme val="minor"/>
      </rPr>
      <t>P00103_2026</t>
    </r>
  </si>
  <si>
    <t>P00103_2026</t>
  </si>
  <si>
    <r>
      <t xml:space="preserve">web - 8206882491 - </t>
    </r>
    <r>
      <rPr>
        <b/>
        <sz val="11"/>
        <rFont val="Calibri"/>
        <family val="2"/>
        <scheme val="minor"/>
      </rPr>
      <t>P00098_2026</t>
    </r>
  </si>
  <si>
    <t>P00098_2026</t>
  </si>
  <si>
    <r>
      <t xml:space="preserve">20622204 - </t>
    </r>
    <r>
      <rPr>
        <b/>
        <sz val="11"/>
        <rFont val="Calibri"/>
        <family val="2"/>
        <scheme val="minor"/>
      </rPr>
      <t>P00106_2026</t>
    </r>
  </si>
  <si>
    <t>P00106_2026</t>
  </si>
  <si>
    <t>30/01/2026 + 02/20/2026 + 17/02/2026</t>
  </si>
  <si>
    <t>INV 10101444 + INV 10101470 + INV 1010710</t>
  </si>
  <si>
    <t>INV 8053620688</t>
  </si>
  <si>
    <t>INV 59002231+INV 590002261 + INV 59002303 + INV 59002368 + INV 59002451 + INV 59002499 + INV 59002535 + INV 59002563</t>
  </si>
  <si>
    <t>27/06/2025+24/07/2025+21/08/2025+20/09/2025+20/11/2025 + 23/01/2026 + 17/02/2026</t>
  </si>
  <si>
    <t>INV 59002553</t>
  </si>
  <si>
    <t>INV 59002064 + INV 59002111 + INV 59002304 + INV 59002367 + INV 59002486 + INV 59002564</t>
  </si>
  <si>
    <t>21/02/2025 + 26/03/2025+21/08/2025+25/09/2025+22/12/2025 + 17/02/2026</t>
  </si>
  <si>
    <t>Stephane C</t>
  </si>
  <si>
    <r>
      <t xml:space="preserve">1553289 - </t>
    </r>
    <r>
      <rPr>
        <b/>
        <sz val="11"/>
        <rFont val="Calibri"/>
        <family val="2"/>
        <scheme val="minor"/>
      </rPr>
      <t>P00088_2026</t>
    </r>
  </si>
  <si>
    <t>P00088_2026</t>
  </si>
  <si>
    <t>2 journal subscription renewal 2026</t>
  </si>
  <si>
    <t>P-TRP-333562-R7 - TORO-ABX464 IR Capsules 25mg et 50mg Manuf - CoS 14</t>
  </si>
  <si>
    <t>P00112_2026</t>
  </si>
  <si>
    <t>45.0 - Analytical Work n°2</t>
  </si>
  <si>
    <r>
      <t xml:space="preserve">P-TRP-333562-R7 - TORO-ABX464 IR Capsules 25mg et 50mg Manuf - </t>
    </r>
    <r>
      <rPr>
        <strike/>
        <sz val="11"/>
        <rFont val="Calibri"/>
        <family val="2"/>
        <scheme val="minor"/>
      </rPr>
      <t>CoS 12</t>
    </r>
    <r>
      <rPr>
        <sz val="11"/>
        <rFont val="Calibri"/>
        <family val="2"/>
        <scheme val="minor"/>
      </rPr>
      <t xml:space="preserve"> CoS14</t>
    </r>
  </si>
  <si>
    <r>
      <rPr>
        <strike/>
        <sz val="11"/>
        <rFont val="Calibri"/>
        <family val="2"/>
        <scheme val="minor"/>
      </rPr>
      <t>P00484_2025</t>
    </r>
    <r>
      <rPr>
        <sz val="11"/>
        <rFont val="Calibri"/>
        <family val="2"/>
        <scheme val="minor"/>
      </rPr>
      <t xml:space="preserve"> P00112_2026</t>
    </r>
  </si>
  <si>
    <t>43.0 - Analytical Work - CANCELLED</t>
  </si>
  <si>
    <r>
      <t xml:space="preserve">847380 Amdt 1 - </t>
    </r>
    <r>
      <rPr>
        <b/>
        <sz val="11"/>
        <rFont val="Calibri"/>
        <family val="2"/>
        <scheme val="minor"/>
      </rPr>
      <t>P00108_2026</t>
    </r>
  </si>
  <si>
    <t>P00108_2026</t>
  </si>
  <si>
    <t>Method Trasnfer Validation ABX464 + 2 Metabolites in Human Plasma - amdt 1</t>
  </si>
  <si>
    <r>
      <t xml:space="preserve">OPP-404380 - CRL-32087053 - </t>
    </r>
    <r>
      <rPr>
        <b/>
        <sz val="11"/>
        <rFont val="Calibri"/>
        <family val="2"/>
        <scheme val="minor"/>
      </rPr>
      <t>P00113_2026</t>
    </r>
  </si>
  <si>
    <t>P00113_2026</t>
  </si>
  <si>
    <r>
      <t xml:space="preserve">OPP-404380 - CRL-32099213 - </t>
    </r>
    <r>
      <rPr>
        <b/>
        <sz val="11"/>
        <rFont val="Calibri"/>
        <family val="2"/>
        <scheme val="minor"/>
      </rPr>
      <t>P00113_2026</t>
    </r>
  </si>
  <si>
    <r>
      <t xml:space="preserve">OPP-404380 - CRL-32102992 - </t>
    </r>
    <r>
      <rPr>
        <b/>
        <sz val="11"/>
        <rFont val="Calibri"/>
        <family val="2"/>
        <scheme val="minor"/>
      </rPr>
      <t>P00113_2026</t>
    </r>
  </si>
  <si>
    <t>TS Only domain for 21 studies</t>
  </si>
  <si>
    <t>Full data SEND package</t>
  </si>
  <si>
    <t>P00117_2026</t>
  </si>
  <si>
    <t>P00118_2026</t>
  </si>
  <si>
    <t>P00119_2026</t>
  </si>
  <si>
    <t>Consommable Labo - 04/2026</t>
  </si>
  <si>
    <t>Consommable Labo - 05/2026</t>
  </si>
  <si>
    <t>Consommable Labo - 06/2026</t>
  </si>
  <si>
    <t>INV 40410</t>
  </si>
  <si>
    <t>INV E22-075281 + INV E22-097281 + INV E22-259281 + INV E22-344281 + INV E22-386281 + INV E22-443281 + INV E22-561281 + INV E22-611281 + INV E + INV E24-19328123-06281 + INV E23-088281 + INV E23-124281 + Inv E23-178281 + INV E23-222281 + INV E23-263281 + INV E23-325281 + INV E23-369281 + INV E23-404281 + INV E23-470281 + INv E23-532281 + INV E23-585281 + INV E24-081281 + INV E24-037281 + INV E24-258281 + INV E24-312281 + INV E24-081281 + INV E24-143281 + INV E24-224281 + INV E24-361281 + INV E24-399281 + INV E24-519281 + INV E24-576281+ INV E25-050281 + INV E25-067281 + INV E25-102281 + INV E25-133281 + INV E25-156281 + INV E25-247281 + INV E25-299281 + INV E25-340281 + INV I25-370281 + INV E25-394281 +INV E25-453281+ INV E25-518281 + INV E26-035281 + INV E26-044281 + INV E26-066281</t>
  </si>
  <si>
    <t>04/02/2022 + 14/02/2022 + 27/04/2022 + 02/06/2022 + 15/07/2022 + 09/08/2022 + 14/09/2022 + 24/11/2022 + 16/12/2022 + 07/02/2023 + 23/02/2023 + 09/03/2023 + 05/04/2023 + 05/05/2023 + 14/06/2023 + 17/07/2023 + 10/08/2023 + 13/09/2023 + 19/10/2023 + 22/11/2023 + 19/12/2023 + 16/02/2024 + 31/01/2024 + 24/04/2024 + 12/06/2024 + 12/07/2024 + 16/02/2024 + 21/03/2024 + 15/05/2024 + 07/08/2024 + 12/09/2024 + 20/11/2024 + 18/12/2024 + 04/02/2025 + 19/02/2025 + 11/03/2025+31/03/2025+14/04/2025+24/06/2025+21/07/2025+22/08/2025 + 19/09/2025+30/09/2025 + 11/11/2025+16/12/2025 + 30/01/2026 + 02/02/2026  +24/02/2026</t>
  </si>
  <si>
    <t>INV I22-075281 + INV I22-098281 + INV I22-260281 + INV I22-444281 + INV I22-496281 + INV I22-562281 + INV I22-610281 + INV I23-091281 + INV I23-131281 + INV I23-177281 + INV I23-261281 + INV I23-358281 + INV I23-383281 + INV I23-403281 + INV I23-422281 + INV I23-468281 + INV I23-517281 + INV I23-585281 + INV I24-036281 + INV I24-256281 + INV I24-321281 + INV I24-099281 + INV I24-140281 + INV I24-1952811 + INV I24-390281 + INV I24-393281 + INV I24-404281 + INV I24-484281 + INV I24-506281 + INV I24-577281 + INV I25-056281 + INV I25-085281 + INV I25-108281 +INV I25-051281 + INV I25-120281 + INV I25-157281 + INV I25-219281 + INV I25-248281+ INV I25-298281 + INV I25-361281 + INV E25-369281 + INV I25-384281+INV I28--517281 + INV I26-065281</t>
  </si>
  <si>
    <t>04/02/2022 + 14/02/2022 + 02/06/2022 + 14/09/2022 + 13/10/2022 + 24/11/2022 + 16/12/2022 + 24/02/2023 + 16/03/2023 + 05/04/2023 + 12/06/2023 + 07/08/2023 + 30/08/2023 + 12/09/2023 + 26/09/2023 + 18/10/2023 + 17/11/2023 + 19/12/2023 + 31/01/2024 + 10/06/2024 + 16/07/2024 + 27/02/2024 + 20/03/2024 + 25/04/2024 + 02/09/2024 + 09/09/2024 + 18/09/2024 + 29/10/2024 + 08/11/2024 + 19/12/2024 + 05/02/2025 + 26/02/2025 + 14/03/2025 + 04/02/2025 + 25/03/2025 +14/04/2025 + 27/05/2025 + 25/06/2025+21/07/2025 + 08/09/2025 + 19/09/2025 + 29/09/2025+16/12/2025+24/02/206</t>
  </si>
  <si>
    <t>23/01/2026+06/02/2026</t>
  </si>
  <si>
    <t>INV 1032601713</t>
  </si>
  <si>
    <t>INV SIN007861</t>
  </si>
  <si>
    <t>INV 0001026000376 RI</t>
  </si>
  <si>
    <t>INV 0001026000385 RI</t>
  </si>
  <si>
    <t>INV 97929855</t>
  </si>
  <si>
    <t>THABOR Collaboration</t>
  </si>
  <si>
    <t>Voir email de Julien dans PO 2026</t>
  </si>
  <si>
    <t>TTX01</t>
  </si>
  <si>
    <t>INV 26001021</t>
  </si>
  <si>
    <t>INV 10000801 + INV 10000952</t>
  </si>
  <si>
    <t>26/01/2026 + 25/02/2026</t>
  </si>
  <si>
    <t>INV 10000952</t>
  </si>
  <si>
    <r>
      <t>CSL_25037_CO6 - 44875186 -</t>
    </r>
    <r>
      <rPr>
        <b/>
        <sz val="11"/>
        <rFont val="Calibri"/>
        <family val="2"/>
        <scheme val="minor"/>
      </rPr>
      <t xml:space="preserve"> P00121_2026</t>
    </r>
  </si>
  <si>
    <t>P00121_2026</t>
  </si>
  <si>
    <t>Regulatory &amp; Strategy CMC support PBPK - Add task</t>
  </si>
  <si>
    <r>
      <t xml:space="preserve">MSA_25148_W5 - </t>
    </r>
    <r>
      <rPr>
        <b/>
        <sz val="11"/>
        <rFont val="Calibri"/>
        <family val="2"/>
        <scheme val="minor"/>
      </rPr>
      <t>P00120_2026</t>
    </r>
  </si>
  <si>
    <t>P00120_2026</t>
  </si>
  <si>
    <t>Preclinical evaluation novel antibody &amp; ABX464 combin UC &amp; Fibrosis - At signature</t>
  </si>
  <si>
    <t>Preclinical evaluation novel antibody &amp; ABX464 combin UC &amp; Fibrosis - End of activites</t>
  </si>
  <si>
    <t>Preclinical evaluation novel antibody &amp; ABX464 combin UC &amp; Fibrosis - Final Report</t>
  </si>
  <si>
    <r>
      <t xml:space="preserve">D2025 12 03 103 V3ter - </t>
    </r>
    <r>
      <rPr>
        <b/>
        <sz val="11"/>
        <rFont val="Calibri"/>
        <family val="2"/>
        <scheme val="minor"/>
      </rPr>
      <t>P00114_2026</t>
    </r>
  </si>
  <si>
    <t>P00114_2026</t>
  </si>
  <si>
    <t>Study 20200058PCMAP blood presure marmoset</t>
  </si>
  <si>
    <t>Study 20180021STP : Prelim study marmoset</t>
  </si>
  <si>
    <t>Study 20190005TMAP : 17-week oral tox in marmoset</t>
  </si>
  <si>
    <t>Study 20200097STP : Prelim study marmoset</t>
  </si>
  <si>
    <t>Study 20200037TMAP : 39-week oral tox in marmoset</t>
  </si>
  <si>
    <t>Study 20120287PCMAPB : Eval blood presure in marmoset</t>
  </si>
  <si>
    <t>INV 14/2026</t>
  </si>
  <si>
    <t>INV FTI103527 + INV FTI103614 + INV FTI103733</t>
  </si>
  <si>
    <t>11/12/2025+26/01/2026 + 26/02/2026</t>
  </si>
  <si>
    <t>INV 20252640 + INV 20254309 + INV 20260029 + INV 20260440</t>
  </si>
  <si>
    <t>22/08/2025 + 29/12/2025+23/01/2026 + 26/02/2026</t>
  </si>
  <si>
    <t>INV 0541/26</t>
  </si>
  <si>
    <t>INV 10001005</t>
  </si>
  <si>
    <t>INV ABIV202414 + INV ABIV202501 + INV ABIV202505 + INV ABIV2026602</t>
  </si>
  <si>
    <t>08/11/2024 + 06/02/2025 + 19/03/2025 + 26/02/2026</t>
  </si>
  <si>
    <t>INV ABIV202602</t>
  </si>
  <si>
    <t>INV ABIV2026602</t>
  </si>
  <si>
    <t>INV 525/2026</t>
  </si>
  <si>
    <t>INV FRS010502FACLI00066</t>
  </si>
  <si>
    <t>INV PIN238554</t>
  </si>
  <si>
    <t>INV 10000976</t>
  </si>
  <si>
    <t>INV 4350902 + INV 4360716 + INV 4364510</t>
  </si>
  <si>
    <t>09/02/2026 + 20/02/2026 + 25/02/2026</t>
  </si>
  <si>
    <t>INV 13/2026</t>
  </si>
  <si>
    <t>INV PINV-14898 + INV CINV-12495 + INV CIN-12751 + INV CIN - 13066 + INV CIN -13338 + INV CINV-13647 + INV CINV-13979 +INV CINV-14235 + INV CINV-14550 + INV CINV-14879 + INV CINV-15239+ INV CYTELPBS-017+INV100310001861</t>
  </si>
  <si>
    <t>18/12/2024 + 28/02/2025 +31/03/2025+30/04/2025+31/05/2025 + 30/06/2025 + 31/07/2025 + 30/08/2025 +30/09/2025+31/10/2025 + 30/11/2025+31/12/2025+18/02/2026</t>
  </si>
  <si>
    <t>INV PINV-14899 + INV CINV-12496 + INV CINV- 13071 + INV CINV-13015 + INV CIN 13339 + INV CINV-13648 + INV 13980 + INV CINV-14237 + INV CINV-14553 + INV CINV-14882 + INV CINV-15240 + INV CYTELPBS-018 + INV 100310001791</t>
  </si>
  <si>
    <t>18/12/2024 + 28/02/2025+30/04/2025 + 10/04/2025+31/05/2025 + 30/06/2025+31/07/2025+31/08/2025 + 30/09/2025 + 31/10/2025 + 30/11/2025+31/12/2025+17/02/2026</t>
  </si>
  <si>
    <t>INV PINV-14900 + INV CINV-12497 + INV CINV-12753+ INV CINV-12072 + INV CINV-13340 + INV CINV-13744 + INV CINV-14145 + INV CINV-14238 + INV CINV-14556 + INV CINV-14883 + INV CINV-15241 + INV CYTELPBS-19+ INV 100310001797</t>
  </si>
  <si>
    <t>17/12/2024 + 28/02/2025 + 31/03/2025+30/04/2025+31/05/2025 + 30/06/2025+31/07/2025+31/08/2025 + 30/09/2025+31/10/2025 + 30/11/2025+31/12/2025+17/02/2026</t>
  </si>
  <si>
    <t>INV 20233440 + INV 20250215 + INV 20250444 + INV 20250986 + INV 20251330 + INV 20251886 + INV 20252257 + INV 20252326 + INV 20253145 + INV 20253550 + INV 20253872 + INV 20254208 + INV 20260012 + INV 20260481</t>
  </si>
  <si>
    <t>23/10/2023 + 31/01/2025+24/02/2025+28/03/2025 + 29/04/2025 +31/05/2025 + 30/06/2025 +24/07/2025+25/09/2025+28/10/2025 + 25/11/2025 + 23/12/2025+22/01/2026+27/02/2026</t>
  </si>
  <si>
    <t>INV PIN235532 +INV PIN234958 + INV PIN237514 + INV PIN238776 + INV PIN239722</t>
  </si>
  <si>
    <t>31/12/2025 + 31/12/2025 + 30/01/2026+27/02/2026+27/02/2026</t>
  </si>
  <si>
    <t>Fatma il faut contunier a remplir</t>
  </si>
  <si>
    <t>INV FRA-003771 + INV FRA-003920 + INV FRA-003996 + INV FRA-004127 + INV FRA-004252 + INV FRA-004423 + INV FRA-004487 + INV FRA-004588 + INV FRA-004648 + INV FRA-004756 + INV FRA-004831 + INV FRA-004911 + INV FRA-005010 + INV FRA-005068 + INV FRA-005146 + INV FRA-005068 + INV FRA-005312 + INV FRA-005379 + INV FRA-005448 + INV FRA-005520 + INV FRA-005579 + INV FRA-005556 + INV FRA-005765 + INV FRA-005837 + INV FRA-05911+ INV FRA-006032 + INV FRA-00119 +INV FRA-006215 + INV FRA-006323 + INV FRA-006452+ INV FRA-006569+INV FRA-006652+ INV FRA-006761 + INV FRA-006895+INV FRA-007051+ INV FRA-007165 + INV-FRA-007258</t>
  </si>
  <si>
    <t>04/11/2022 + 06/01/2023 + 03/02/2023 + 14/03/2023 + 15/05/2023 + 17/07/2023 + 14/08/2023 + 18/09/2023 + 13/10/2023 + 13/11/2023 + 13/12/2023 + 12/01/2024 + 15/02/2024 + 13/04/2024 + 11/04/2024 + 13/03/2024 + 13/06/2024 + 12/07/2024 + 14/08/2024 + 13/09/2024 + 11/10/2024 + 13/11/2024+12/12/2024+14/01/2025+13/02/2025+13/03/2025 + 11/04/2025 +13/05/2025 + 12/06/2025+15/07/2025 + 12/082025+12/09/2025+13/10/2025+13/11/2025+11/12/2025+15/01/2026 + 12/02/2026</t>
  </si>
  <si>
    <t>INV FRA-003791 + INV FRA-003851 + INV FRA-004046 + INV FRA-004133 + INV FRA-004192 + INV FRA-004254 + INV FRA-004325 + INV FRA-004419 + INV FRA-004495 + INV FRA-004586 + INV FRA-004647 + INV FRA-004757 + INV FRA-004828 + INV FRA-004912 + INV FRA-005014 + INV FRA-005143 + INV FRA-005069 + INV FRA-005239 + INV FRA-005313 + INV FRA-005385 + INV FRA-005447 + INV FRA-005519 + INV FRA-005576 + INV FRA-005659 + INV FRA-005761 + INV FRA-005836D+INV FRA-005912 + INV FRA-006034 + INV FRA-006122 + INV FRA- 006216 + INV FRA-006324+ INV FRA- 006450 + INV FRA- 006561+INV FRA- 006653 + INV FRA-006760 + INV FRA-006905+INV FRA-007049+ INV FRA-007167 + INV FRA-007252</t>
  </si>
  <si>
    <t>09/11/2022 + 08/12/2022 + 15/02/2023 + 14/03/2023 + 14/04/2023 + 15/05/2023 + 15/06/2023 + 17/07/2023 + 14/08/2023 + 18/09/2023 + 12/10/2023 + 13/11/2023 + 13/12/2023 + 12/01/2024 + 15/02/2024 + 11/04/2024 + 13/03/2024 + 13/05/2024 + 13/06/2024 + 12/07/2024 + 14/08/2024 + 13/09/2024 + 11/10/2024 + 13/11/2024+12/12/2024+14/01/2025+13/02/2025+13/03/2025 + 11/04/2025+13/05/2025 + 12/06/2025 + 15/07/2025+13/08/2025+12/09/2025+13/10/2025+13/11/2025+11/12/2025+ 15/01/2026 + 12/02/2026</t>
  </si>
  <si>
    <t>IQVIA ASIE</t>
  </si>
  <si>
    <t>CH922 - LOI - Contract execution - Upfront PTC</t>
  </si>
  <si>
    <t>CH922 - LOI - Contract execution - Upfront Professional fee</t>
  </si>
  <si>
    <t>CH922 - LOI - PTC</t>
  </si>
  <si>
    <t>CH922 - LOI - Professional fee</t>
  </si>
  <si>
    <r>
      <t xml:space="preserve">SRV_23059_A1 - </t>
    </r>
    <r>
      <rPr>
        <b/>
        <sz val="11"/>
        <rFont val="Calibri"/>
        <family val="2"/>
        <scheme val="minor"/>
      </rPr>
      <t>P00123_2026</t>
    </r>
  </si>
  <si>
    <t>P00123_2026</t>
  </si>
  <si>
    <t>Insurance Guarantee services</t>
  </si>
  <si>
    <t>INV F-2025-YMUNIYT-051 + INV F-2026-MUNIT-009</t>
  </si>
  <si>
    <t>21/12/2025 + 01/03/2026</t>
  </si>
  <si>
    <t>INV F-2026-YMUNIT-002 + INV F-2026-MUNIT-009</t>
  </si>
  <si>
    <t>07/01/2026 + 01/03/2026</t>
  </si>
  <si>
    <t>INV F-2026-YMUNIT-001 + INV F-2026-MUNIT-009</t>
  </si>
  <si>
    <t>INV SI16000003611 + AV DR16000001064</t>
  </si>
  <si>
    <t>18/02/2026 + 04/02/2026</t>
  </si>
  <si>
    <t>INV SI16000003559 - CR DR16000001026 + SI16000003628 - AV DR16000001064</t>
  </si>
  <si>
    <t>31/12/2025 + 01/01/2026 + 28/02/2026 - 04/02/2026</t>
  </si>
  <si>
    <t>INV 900134899</t>
  </si>
  <si>
    <r>
      <t xml:space="preserve">35947-WO 009 - CIS#2 - </t>
    </r>
    <r>
      <rPr>
        <b/>
        <sz val="11"/>
        <rFont val="Calibri"/>
        <family val="2"/>
        <scheme val="minor"/>
      </rPr>
      <t>P00097_2026</t>
    </r>
  </si>
  <si>
    <t>INV OCFR-FTI-000870</t>
  </si>
  <si>
    <t>INV OCFR-PIN-000231 + INV OCFR-PIN-000260 + INV OCFR-PIN-000279 + INV OCFR-PIN-000301 + INV OCFR-PIN-000300 + INV OCFR-PIN-000331 + INV OCFR-PIN-000408 + INV OCFR-PIN-000413 + INV OCFR-PIN-000432 + INV OCFR-PIN-000470</t>
  </si>
  <si>
    <t>31/12/2024 + 27/02/2025 + 27/03/2025 + 30/04/2025 + 30/04/2025 + 30/06/2025 + 20/10/2025 + 30/10/2025 + 27/11/2025 + 26/02/2026</t>
  </si>
  <si>
    <t>INV 90186423 + INV 90189876</t>
  </si>
  <si>
    <t>24/11/2025 + 23/02/2026</t>
  </si>
  <si>
    <t>INV 90185388 + INV 90190026</t>
  </si>
  <si>
    <t>28/10/2025 + 24/02/2026</t>
  </si>
  <si>
    <t>INV 90190070</t>
  </si>
  <si>
    <t>INV 90190237</t>
  </si>
  <si>
    <t>INV 90182467 + INV 90190236</t>
  </si>
  <si>
    <t>21/08/2025 + 27/02/2026</t>
  </si>
  <si>
    <t>INV 1211746</t>
  </si>
  <si>
    <t>INV 53280216</t>
  </si>
  <si>
    <t>INV F26000011 + INV F26000018</t>
  </si>
  <si>
    <t>INV F25001215 + INV F2501216 + INV F25001235 + INV F26000010 + INV F26000019</t>
  </si>
  <si>
    <t>28/11/2025 + 28/11/2025+23/12/2025+30/01/2026+26/02/2026</t>
  </si>
  <si>
    <t>INV 20233438 + INV 20240279 + INV 20241368 + INV 20241751 + INV 20242159 + INV 20242292 - INV 20242543 + INV 20242664 + INV 20243250 + INV 20243467 + INV20243853 + INV 20244270 + INV 20250059 + INV 20250443 + INV 20251019 + INV 20251320 + INV 20251753 + INV 20252039 + INV 20252324 + INV 20252653 + INV 20260617</t>
  </si>
  <si>
    <t>23/10/2023 + 31/01/2024 + 30/04/2024 + 29/05/2024 + 28/06/2024 + 23/07/2024 + 31/07/2024 + 22/08/2024 + 30/09/2024 + 28/10/2024 +27/11/2024 + 27/12/2024 + 24/01/2025 + 24/02/2025 + 28/03/2025 + 29/04/2025 + 28/05/2025 + 27/06/2025 + 24/07/2025+22/08/2025+28/02/2026</t>
  </si>
  <si>
    <t>INV 20233439 + INV 20240284 + INV 20241396 + INV 20241752 + INV 20242160 + INV 20242294 + INV 20242663 + INV 20243062 + INV 20243468 + IN 20243797 +INV 20244361 + INV 20250065 + INV 20250698 + INV 20250985 + INV 20251329 + INV 20251754 + INV 20252036 + INV 20252325 + INV 20252654 + INV 20260618</t>
  </si>
  <si>
    <t>23/10/2023 + 31/01/2024 + 30/04/2024 + 29/05/2024 + 28/06/2024 + 24/07/2024 + 22/08/2024 + 26/09/2024+ 28/10/2024 + 26/11/2024 + 31/12/2024 +27/01/2025 + 28/02/2025 + 28/03/2025 + 29/04/2025 + 28/05/2025 + 27/06/2025 + 24/07/25+22/08/2025+28/02/2026</t>
  </si>
  <si>
    <t>INV 20251203481 + INV 20260203545</t>
  </si>
  <si>
    <t>08/12/2025+27/02/2026</t>
  </si>
  <si>
    <t>INV SIN05115 + INV SIN015870 + INV SIN016123 + INV SIN016504</t>
  </si>
  <si>
    <t>31/10/2025 +31/12/2025+31/01/2026+28/02/2026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</si>
  <si>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BCG-000197 + INV BCG-0000198 + INV BCG-0000199 + INV BCG-0000200 + INV BCG-0000201 + INV BCG-000202 +INV BCG-0000203 + INV BCG-0000203 + INV BCG-0000204 + INV BCG-0000205 + INV BCG-0000206 + INV BCG-0000207 + INV BCG-0000208 + INV BCG-0000209 + INV BCG-0000210 + INV BCG-0000211 +INV BCG-0000212 + INV BCG-0000213</t>
  </si>
  <si>
    <t>INV BCG-0000149 + INV BCG-0000150 + INV BCG-0000151 + INV BCG-0000152 + INV BCG-0000155 + INV BCG-0000157 + INV BCG-000163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BCG-00197 + INV BCG-0000198 + INV BCG-0000199 + INV BCG-0000200 + INV BCG-0000201 + INV BCG-0000202 + INV BCG-0000203 + INV BCG-0000204 + INV BCG-0000205 + INV BCG-0000206 + INV BCG-0000207 + INV BCG-0000208 +  INV BCG-0000209 + INV BCG-0000210 + INV BCG-0000211 +INV BCG-0000212 + INV BCG-0000213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</si>
  <si>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BCG-10000207 + INV BCG-0000208 + INV BCG-0000209 + INV BCG-0000210 + INV BCG-0000211 +INV BCG-0000212 + INV BCG-0000213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</si>
  <si>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BCG-0000195 + iNV BCG-0000196 + INV BCG-0000197 + INV BCG-0000198 + INV BCG-0000199 + INV BCG-0000200 + INV BCG-0000201 + INV BCG-0000202 + INV BCG-0000203 + INV BCG-0000204 + INV BCG-0000205 + INV BCG-0000206 + INV BCG 0000207 + INV BCG-0000208+ INV BCG-0000209 + INV BCG-0000210 + INV BCG-0000211 +INV BCG-0000212 + INV BCG-0000213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</si>
  <si>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BCG-0000207 + INV BCG-0000208 + INV BCG-0000209 + INV BCG-0000210 + INV BCG-0000211 +INV BCG-0000212 +INV BCG-0000213</t>
  </si>
  <si>
    <t>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 +31/08/2025 + 30/09/2025+31/10/2025+30/10/2025 + 01/01/2026 + 31/01/2026 + 28/02/2026</t>
  </si>
  <si>
    <t>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 + 30/09/2025 + 31/10/2025+30/11/2025 + 01/01/2026 + 31/01/2026 + 28/02/2026</t>
  </si>
  <si>
    <t>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 + 30/09/2025 + 31/10/2025 + 30/11/2025 + 01/01/2026 + 31/01/2026 + 28/02/2026</t>
  </si>
  <si>
    <t>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+ 31/08/2024 + 30/09/2024 + 31/10/2024 + 30/11/2024 + 31/12/2024 + 31/01/2025 + 28/02/2025 + 31/03/2025 + 030/04/2025 + 31/05/2025 + 30/06/2025 + 31/07/2025+31/08/2025 + 30/09/2025+31/10/2025 + 30/11/2025 + 01/01/2026 + 31/01/2026 + 28/02/2026</t>
  </si>
  <si>
    <t>INV BCI-0112210 + INV BCI-0113396+BCI-0117453 + INV BCI-0118801</t>
  </si>
  <si>
    <t>16/10/2025 + 31/10/2025+31/01/2026+28/04/2026</t>
  </si>
  <si>
    <t>INV BCI-0112212 + INV BCI-0113395 + INV BCI-0116124 +INV BCI-0117452 + INV BCI-0118800</t>
  </si>
  <si>
    <t>16/10/2025+ 13/10/2025 + 31/12/2025 + 31/12/2026+28/02/2026</t>
  </si>
  <si>
    <t>INV FAC-26-051</t>
  </si>
  <si>
    <t>INV 47050588 + INV 47052762</t>
  </si>
  <si>
    <t>07/10/2025+ 03/03/2026</t>
  </si>
  <si>
    <t>INV 47052763</t>
  </si>
  <si>
    <t>INV 46052763</t>
  </si>
  <si>
    <t>26/06/2024 + 29/10/2024 + 31/12/2024 + 30/01/2025 + 30/01/2025 + 03/02/2025+19/03/2025+28/03/2025+30/04/2025 + 02/06/2025 +24/06/2025 + 28/08/2025 + 30/09/2025 + 30/10/2025 +28/11/2025+03/03/2026</t>
  </si>
  <si>
    <t xml:space="preserve">INV 2024-KI-0047 + INV 2024-KI-100 + INV 2024-KI-0120 + INV 2024-KI-0132 + INV 2024-KI-0131 + INV 2025-KI-0005 + INV 2025-KI-0020 + INV 2025-KI-0025+inv 2025-KI-0037 + INV 2025-KI-0044 +INV 2025-KI-0049  + INV 2025-KI-0071+ INV 2025-KI-0077 + INV 2025-KI-0089 + INV 2025-KI-0098 + INV  2026-KI-0007 </t>
  </si>
  <si>
    <t>INV 0090224642 + INV 0090224641 + INV 0090224640 + INV 0090224639</t>
  </si>
  <si>
    <t>28/02/2026 + 28/02/2026 + 28/02/2026 + 28/02/2026</t>
  </si>
  <si>
    <t>INV 1211880</t>
  </si>
  <si>
    <t>INV 1211860</t>
  </si>
  <si>
    <r>
      <t xml:space="preserve">B082502.1a - </t>
    </r>
    <r>
      <rPr>
        <b/>
        <sz val="11"/>
        <rFont val="Calibri"/>
        <family val="2"/>
        <scheme val="minor"/>
      </rPr>
      <t>P00122_2026</t>
    </r>
  </si>
  <si>
    <t>P00122_2026</t>
  </si>
  <si>
    <t>INV 20260203546</t>
  </si>
  <si>
    <t xml:space="preserve">INV THV-305538 + INV THV-307570 + INV THV-309829 + INV THV-311847 + INV THV-313936 + INV THV-315952 + INV THV-317366 + INV THV-319827 + INV THV-321161 + INV THV-322929 + INV THV-326161 + INV THV-328618 + INV THV-331448 </t>
  </si>
  <si>
    <t>INV THV-305465 + INV THV-305539 + INV THV-307250 + INV THV-309407 + INV THV-311252 + INV THV-31333 + INV THV-316966 + INV THV-318990 + INV THV-320850 + INV THV-322866 + INV THV-324624 + INV THV -327271 + INV THV-327992 + INV THV-328595 + INV THV-332325</t>
  </si>
  <si>
    <t>08/01/2025 + 08/01/2025 + 06/02/2025 + 10/03/2025 + 07/04/2025 + 08/05/2025 + 07/07/2025 + 07/08/2025 + 05/09/2025 + 08/10/2025 + 06/11/2025 + 09/12/2025 + 17/12/2025 + 07/01/2026 + 5273,96</t>
  </si>
  <si>
    <t>(INV THV-286815 + INV THV-286590 + INV THV-289401 + INV THV-290903 + INV THV-290921 + INV THV-292910 + INV THV-292698 + INV THV-292710 + INV THV-294565 + INV  THV-296264 + INV THV-296280 + INV THV-287492 + INV THV-287506 + INV THV-298009 + INV THV-298035 + INV THV-299679 + INV THV-299657 + INV THV-301527 + INV THV-301488 + INV THV-303324 + INV THV-303381) + (INV THV-305183+ INV THV-305296+ INV THV-313703 + INV THV-313702 + INV THV-315032 + INV THV-315637 + INV THV-316862 + INV THV-317220 + INV THV-318860 + INV THV-319503 + INV THV-321156 +INV THV-320781 + INV THV-322529 + INV THV-322917 + INV THV-324583 + INV THV-326118)+ INV THV-326616  +INV THV-327861 + INV THV-328615 + INV THV-328497+ INV THV-330422+INV THV-331429 + INV THV-332284</t>
  </si>
  <si>
    <t>15/02/2024 + 13/02/2024 + 05/04/2024 + 03/05/2024 + 06/05/2024 + 07/06/2024 + 05/06/2024 + 06/06/2024 + 04/07/2024 + 05/08/2024 + 06/08/2024 + 05/03/2024 + 05/09/2024 + 06/09/2024 + 03/10/2024 + 03/10/2024 + 06/11/2024 + 05/11/2024 + 04/12/2024 + 05/12/2024 + 03/01/2024+07/01/2025 + 12/05/2025 +12/05/2025 + 04/06/2025 + 10/06/2025 + 03/07/2025 + 08/07/2025 + 05/08/2025 + 12/08/2025 +09/09/2025+05/09/2025 + 08/10/20025 + 06/10/2025 + 06/11/2025 + 25/11/2025+04/12/2025 + 15/12/2025 + 07/01/2026 + 07/01/2026+05/02/2026+13/02/2026+05/03/2026</t>
  </si>
  <si>
    <t>INV 555365 + INV 561249</t>
  </si>
  <si>
    <t>05/02/2026 + 05/03/2026</t>
  </si>
  <si>
    <t>INV 710017072 (US) - CN 710017072CM1</t>
  </si>
  <si>
    <t>25/02/2026 - 10/03/2026</t>
  </si>
  <si>
    <t>Histopathology Scoring ABX464-105 - année 2026</t>
  </si>
  <si>
    <t>Histopathology Scoring ABX464-106 - année 2026</t>
  </si>
  <si>
    <t>INV F26000021</t>
  </si>
  <si>
    <t>30/01/2026 + 26/02/2026</t>
  </si>
  <si>
    <t>INV F26000020</t>
  </si>
  <si>
    <t>INV 00010 26000497 RI</t>
  </si>
  <si>
    <r>
      <t xml:space="preserve">SAB25206/00326861.0 - </t>
    </r>
    <r>
      <rPr>
        <b/>
        <sz val="11"/>
        <rFont val="Calibri"/>
        <family val="2"/>
        <scheme val="minor"/>
      </rPr>
      <t>P00132_2026</t>
    </r>
  </si>
  <si>
    <t>P00132_2026</t>
  </si>
  <si>
    <t>INV 97988360</t>
  </si>
  <si>
    <t>MSA_25050_W5 - PHM236981 - W5A2</t>
  </si>
  <si>
    <t>INV 30431</t>
  </si>
  <si>
    <t>INV 027843 + INV 727894 + INV 028075 + INV 028097 + INV 028260 + INV 028185 + INV A24-217 INV 028454 + INV 028454 + INV 028635 + INV 028729 + INV 028830 + INV 028964 + INV 028982 + INV 029097 + INV 029204 + INV 029295 + INV 029396 + INV 029511 + INV 029614 + INV 029780 + INV 029810</t>
  </si>
  <si>
    <t>07/08/2024 + 08/10/2024 + 08/10/2024 + 11/10/2024 + 06/12/2024 + 31/10/2024 + 31/12/2024 + 10/02/2025 + 31/03/2025 + 30/04/2025 + 31/05/2025 + 31/05/2025 + 07/07/2025 + 31/07/2025 + 31/08/2025 + 30/09/2025 + 06/11/2025 + 05/12/2025 + 08/01/2026 + 06/02/2026 + 06/03/2026</t>
  </si>
  <si>
    <t>INV 2601SIN0000019 + INV 2601SIN0000020 + INV 2601SIN0000034 + INV 2601SIN0000035 + INV 2602SIN0000085 + INV 2602SIN0000153 + INV 2602SIN0000152</t>
  </si>
  <si>
    <t>31/01/2026 + 31/01/2026 + 31/01/2026 + 31/01/2026+28/02/2026 + 28/02/2026+28/02/2026</t>
  </si>
  <si>
    <t>INV 30194289 + INV 30196447 + INV 30204897 + INV 30205318 + (INV 30198022 + INV 30200832 + INV 30203066) + INV 30208083 + INV 30209279 + INV  30212405 + INV 30213064 + INV 30216281 + INV 30217187+ INV 30221352 + INV 3022018 + INV 30224282 + INV 30227744 + INV 30228347 + INV 30231575 + INV 30233428 + INV 30234557 + INV 30235963 + INV 30239027 + INV 30240319 + INV 30242306 +INV 30244673</t>
  </si>
  <si>
    <t>01/01/2024 + 31/01/2024 + 31/05/2024 + 30/06/2024 + (28/02/2024 + 31/03/2024 + 30/04/2024) + 31/07/2024 +31/08/2024 + 30/09/2024 + 31/10/2024 + 30/09/2024 + 31/12/2024+28/02/2025 + 31/03/2025 + 30/04/2025 + 31/05/2025+30/06/2025+31/07/2025+31/08/2025 + 30/09/2025 + 31/10/2025+30/11/2025 + 31/12/2025 + 31/01/2026 + 28/02/2026</t>
  </si>
  <si>
    <t>INV 30207821 + INV 30209972 + INV 30211213 + INV 30216531 + INV 30217515 + INV 30219137 + INV 30221799 + INV 30222330 + INV 30225671 + INV 30227778+INV 30229312+ INV 30231265 + INV 30232961 + INV 30235302 + INV 30235602 + INV 30238988 + INV 30239709 + INV 30241804 + INV 30243278</t>
  </si>
  <si>
    <t>31/07/2024+30/09/2024+30/10/2024+30/11/2024+31/12/2024+31/01/2025+28/02/2025+31/03/2025+30/04/2205+31/05/2025+30/06/2025+31/07/2025+ 31/08/2025+30/09/2025 + 31/10/2025 + 30/11/2025 + 31/12/2025 + 31/01/2026 + 28/02/2026</t>
  </si>
  <si>
    <t>INV ABIV202524</t>
  </si>
  <si>
    <t>INV ABIV202603 + INV ABIV202604</t>
  </si>
  <si>
    <t>04/03/2026 + 04/03/2026</t>
  </si>
  <si>
    <r>
      <t xml:space="preserve">QUO-017316 - </t>
    </r>
    <r>
      <rPr>
        <b/>
        <sz val="11"/>
        <rFont val="Calibri"/>
        <family val="2"/>
        <scheme val="minor"/>
      </rPr>
      <t>P00147_2026</t>
    </r>
  </si>
  <si>
    <t>P00147_2026</t>
  </si>
  <si>
    <t>Veeva Submission ELA</t>
  </si>
  <si>
    <r>
      <t xml:space="preserve">20626289 - </t>
    </r>
    <r>
      <rPr>
        <b/>
        <sz val="11"/>
        <rFont val="Calibri"/>
        <family val="2"/>
        <scheme val="minor"/>
      </rPr>
      <t>P00141_2026</t>
    </r>
  </si>
  <si>
    <t>P00141_2026</t>
  </si>
  <si>
    <r>
      <t xml:space="preserve">L26-4471A - </t>
    </r>
    <r>
      <rPr>
        <b/>
        <sz val="11"/>
        <rFont val="Calibri"/>
        <family val="2"/>
        <scheme val="minor"/>
      </rPr>
      <t>P00137_2026</t>
    </r>
  </si>
  <si>
    <t>P00137_2026</t>
  </si>
  <si>
    <t>Additionnal documentation 12/2025 &amp; 01/2026</t>
  </si>
  <si>
    <t>UEG WEEK</t>
  </si>
  <si>
    <t>P00133_2026</t>
  </si>
  <si>
    <t>UEG 2026 Meeting space</t>
  </si>
  <si>
    <t>BIRD</t>
  </si>
  <si>
    <t>P00140_2026</t>
  </si>
  <si>
    <t>Partership &amp; Sponsorship</t>
  </si>
  <si>
    <r>
      <t xml:space="preserve">245/2026/ZEFI - </t>
    </r>
    <r>
      <rPr>
        <b/>
        <sz val="11"/>
        <rFont val="Calibri"/>
        <family val="2"/>
        <scheme val="minor"/>
      </rPr>
      <t>P00128_2026</t>
    </r>
  </si>
  <si>
    <t>P00128_2026</t>
  </si>
  <si>
    <t>Entretien cage - Bimestre 1 - 01/2026 + 02/2026</t>
  </si>
  <si>
    <r>
      <t xml:space="preserve">D6185198 - </t>
    </r>
    <r>
      <rPr>
        <b/>
        <sz val="11"/>
        <rFont val="Calibri"/>
        <family val="2"/>
        <scheme val="minor"/>
      </rPr>
      <t>P00124_2026</t>
    </r>
  </si>
  <si>
    <t>P00124_2026</t>
  </si>
  <si>
    <r>
      <t xml:space="preserve">1XJBG04326-NC-ABIVAX - </t>
    </r>
    <r>
      <rPr>
        <b/>
        <sz val="11"/>
        <rFont val="Calibri"/>
        <family val="2"/>
        <scheme val="minor"/>
      </rPr>
      <t>P00135_2026</t>
    </r>
  </si>
  <si>
    <t>P00135_2026</t>
  </si>
  <si>
    <r>
      <t xml:space="preserve">20625439 - </t>
    </r>
    <r>
      <rPr>
        <b/>
        <sz val="11"/>
        <rFont val="Calibri"/>
        <family val="2"/>
        <scheme val="minor"/>
      </rPr>
      <t>P00136_2026</t>
    </r>
  </si>
  <si>
    <t>P00136_2026</t>
  </si>
  <si>
    <r>
      <t xml:space="preserve">7130791-00 - </t>
    </r>
    <r>
      <rPr>
        <b/>
        <sz val="11"/>
        <rFont val="Calibri"/>
        <family val="2"/>
        <scheme val="minor"/>
      </rPr>
      <t>P00138_2026</t>
    </r>
  </si>
  <si>
    <t>P00138_2026</t>
  </si>
  <si>
    <r>
      <t>SRV_21132</t>
    </r>
    <r>
      <rPr>
        <b/>
        <sz val="11"/>
        <color theme="1"/>
        <rFont val="Calibri"/>
        <family val="2"/>
        <scheme val="minor"/>
      </rPr>
      <t xml:space="preserve"> - P00317_2021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P00146_2026</t>
    </r>
  </si>
  <si>
    <t>P00317_2021 + P00146_2026</t>
  </si>
  <si>
    <t>4.1.1 - Monthly Electronic Image Transfer Fee (621€/mois sur 51 mois + 24mois)</t>
  </si>
  <si>
    <r>
      <t xml:space="preserve">A-LFCCA-446154-R0 - COS-1 - </t>
    </r>
    <r>
      <rPr>
        <b/>
        <sz val="11"/>
        <rFont val="Calibri"/>
        <family val="2"/>
        <scheme val="minor"/>
      </rPr>
      <t>P00143_2026</t>
    </r>
  </si>
  <si>
    <t>P00143_2026</t>
  </si>
  <si>
    <t>Dev and Validation of GC method ABBIE-03 - 50% upon signature</t>
  </si>
  <si>
    <t>Dev and Validation of GC method ABBIE-03 - 50% upon darft report</t>
  </si>
  <si>
    <r>
      <t xml:space="preserve">NBP2026-126 - </t>
    </r>
    <r>
      <rPr>
        <b/>
        <sz val="11"/>
        <rFont val="Calibri"/>
        <family val="2"/>
        <scheme val="minor"/>
      </rPr>
      <t>P00125_2026</t>
    </r>
  </si>
  <si>
    <t>P00125_2026</t>
  </si>
  <si>
    <t>Preclinical Study THABOR - 50% Upon execution WO</t>
  </si>
  <si>
    <t>Preclinical Study THABOR - 25% Upon experiment</t>
  </si>
  <si>
    <t>Preclinical Study THABOR - 25% Upon final results</t>
  </si>
  <si>
    <t>INV 2075264 RI + INV 2074885 RI</t>
  </si>
  <si>
    <t>INV 10001027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</si>
</sst>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#,##0.00\ &quot;€&quot;"/>
    <numFmt numFmtId="166" formatCode="[$-40C]mmm\-yy;@"/>
    <numFmt numFmtId="167" formatCode="#,##0.00_ ;\-#,##0.00\ "/>
    <numFmt numFmtId="168" formatCode="#,##0.0"/>
    <numFmt numFmtId="169" formatCode="#,##0.000000"/>
    <numFmt numFmtId="170" formatCode="#,##0\ _€"/>
    <numFmt numFmtId="171" formatCode="_(* #,##0.00_);_(* \(#,##0.00\);_(* &quot;-&quot;??_);_(@_)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strike/>
      <sz val="11"/>
      <color theme="9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  <font>
      <sz val="10"/>
      <color rgb="FF211F1F"/>
      <name val="Times New Roman"/>
      <family val="1"/>
    </font>
    <font>
      <strike/>
      <sz val="11"/>
      <color rgb="FFFF0000"/>
      <name val="Calibri"/>
      <family val="2"/>
      <scheme val="minor"/>
    </font>
    <font>
      <sz val="10"/>
      <color rgb="FF212529"/>
      <name val="Arial"/>
      <family val="2"/>
    </font>
    <font>
      <sz val="9"/>
      <name val="Segoe UI"/>
      <family val="2"/>
    </font>
    <font>
      <i/>
      <sz val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EEAC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</borders>
  <cellStyleXfs count="21">
    <xf numFmtId="0" fontId="0" fillId="0" borderId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69">
    <xf numFmtId="0" fontId="0" fillId="0" borderId="0" xfId="0"/>
    <xf numFmtId="0" fontId="0" fillId="0" borderId="0" xfId="0" applyAlignment="1">
      <alignment horizontal="left"/>
    </xf>
    <xf numFmtId="9" fontId="7" fillId="0" borderId="0" xfId="0" applyNumberFormat="1" applyFont="1"/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pivotButton="1"/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/>
    </xf>
    <xf numFmtId="17" fontId="7" fillId="0" borderId="0" xfId="0" applyNumberFormat="1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3" fontId="7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9" fontId="7" fillId="2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3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3" borderId="0" xfId="0" applyNumberFormat="1" applyFont="1" applyFill="1" applyAlignment="1">
      <alignment horizontal="left"/>
    </xf>
    <xf numFmtId="9" fontId="7" fillId="3" borderId="0" xfId="0" applyNumberFormat="1" applyFont="1" applyFill="1"/>
    <xf numFmtId="3" fontId="7" fillId="3" borderId="0" xfId="0" applyNumberFormat="1" applyFont="1" applyFill="1" applyAlignment="1">
      <alignment horizontal="left" vertical="top"/>
    </xf>
    <xf numFmtId="3" fontId="0" fillId="0" borderId="0" xfId="0" applyNumberFormat="1"/>
    <xf numFmtId="0" fontId="7" fillId="8" borderId="0" xfId="0" applyFont="1" applyFill="1" applyAlignment="1">
      <alignment horizontal="left"/>
    </xf>
    <xf numFmtId="9" fontId="7" fillId="8" borderId="0" xfId="0" applyNumberFormat="1" applyFont="1" applyFill="1" applyAlignment="1">
      <alignment horizontal="center"/>
    </xf>
    <xf numFmtId="0" fontId="7" fillId="9" borderId="0" xfId="0" applyFont="1" applyFill="1"/>
    <xf numFmtId="0" fontId="7" fillId="9" borderId="0" xfId="0" applyFont="1" applyFill="1" applyAlignment="1">
      <alignment horizontal="center"/>
    </xf>
    <xf numFmtId="0" fontId="7" fillId="9" borderId="0" xfId="0" applyFont="1" applyFill="1" applyAlignment="1">
      <alignment horizontal="left"/>
    </xf>
    <xf numFmtId="14" fontId="7" fillId="9" borderId="0" xfId="0" applyNumberFormat="1" applyFont="1" applyFill="1" applyAlignment="1">
      <alignment horizontal="left"/>
    </xf>
    <xf numFmtId="3" fontId="7" fillId="9" borderId="0" xfId="0" applyNumberFormat="1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14" fontId="7" fillId="9" borderId="0" xfId="0" applyNumberFormat="1" applyFont="1" applyFill="1"/>
    <xf numFmtId="0" fontId="7" fillId="10" borderId="0" xfId="0" applyFont="1" applyFill="1"/>
    <xf numFmtId="0" fontId="7" fillId="10" borderId="0" xfId="0" applyFont="1" applyFill="1" applyAlignment="1">
      <alignment horizontal="left"/>
    </xf>
    <xf numFmtId="14" fontId="7" fillId="10" borderId="0" xfId="0" applyNumberFormat="1" applyFont="1" applyFill="1" applyAlignment="1">
      <alignment horizontal="left"/>
    </xf>
    <xf numFmtId="17" fontId="7" fillId="9" borderId="0" xfId="0" applyNumberFormat="1" applyFont="1" applyFill="1" applyAlignment="1">
      <alignment horizontal="left"/>
    </xf>
    <xf numFmtId="0" fontId="15" fillId="0" borderId="0" xfId="0" applyFont="1"/>
    <xf numFmtId="4" fontId="7" fillId="3" borderId="0" xfId="0" applyNumberFormat="1" applyFont="1" applyFill="1" applyAlignment="1">
      <alignment horizontal="center"/>
    </xf>
    <xf numFmtId="4" fontId="7" fillId="0" borderId="0" xfId="0" applyNumberFormat="1" applyFont="1" applyAlignment="1">
      <alignment horizontal="center"/>
    </xf>
    <xf numFmtId="14" fontId="7" fillId="3" borderId="0" xfId="0" applyNumberFormat="1" applyFont="1" applyFill="1" applyAlignment="1">
      <alignment horizontal="left" vertical="top"/>
    </xf>
    <xf numFmtId="14" fontId="7" fillId="3" borderId="0" xfId="0" applyNumberFormat="1" applyFont="1" applyFill="1"/>
    <xf numFmtId="3" fontId="7" fillId="0" borderId="0" xfId="0" applyNumberFormat="1" applyFont="1" applyAlignment="1">
      <alignment horizontal="left" vertical="top"/>
    </xf>
    <xf numFmtId="0" fontId="11" fillId="0" borderId="0" xfId="0" applyFont="1"/>
    <xf numFmtId="0" fontId="7" fillId="3" borderId="0" xfId="0" applyFont="1" applyFill="1" applyAlignment="1">
      <alignment wrapText="1"/>
    </xf>
    <xf numFmtId="0" fontId="3" fillId="9" borderId="0" xfId="0" applyFont="1" applyFill="1" applyAlignment="1">
      <alignment horizontal="left"/>
    </xf>
    <xf numFmtId="0" fontId="3" fillId="9" borderId="0" xfId="0" applyFont="1" applyFill="1"/>
    <xf numFmtId="3" fontId="3" fillId="9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167" fontId="7" fillId="0" borderId="0" xfId="11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7" fillId="12" borderId="0" xfId="0" applyFont="1" applyFill="1"/>
    <xf numFmtId="0" fontId="7" fillId="12" borderId="0" xfId="0" applyFont="1" applyFill="1" applyAlignment="1">
      <alignment horizontal="left"/>
    </xf>
    <xf numFmtId="0" fontId="7" fillId="14" borderId="0" xfId="0" applyFont="1" applyFill="1" applyAlignment="1">
      <alignment horizontal="center"/>
    </xf>
    <xf numFmtId="0" fontId="7" fillId="14" borderId="0" xfId="0" applyFont="1" applyFill="1"/>
    <xf numFmtId="0" fontId="7" fillId="14" borderId="0" xfId="0" applyFont="1" applyFill="1" applyAlignment="1">
      <alignment horizontal="left"/>
    </xf>
    <xf numFmtId="0" fontId="7" fillId="11" borderId="0" xfId="0" applyFont="1" applyFill="1" applyAlignment="1">
      <alignment horizontal="center"/>
    </xf>
    <xf numFmtId="0" fontId="7" fillId="11" borderId="0" xfId="0" applyFont="1" applyFill="1"/>
    <xf numFmtId="0" fontId="7" fillId="11" borderId="0" xfId="0" applyFont="1" applyFill="1" applyAlignment="1">
      <alignment horizontal="left"/>
    </xf>
    <xf numFmtId="0" fontId="7" fillId="15" borderId="0" xfId="0" applyFont="1" applyFill="1" applyAlignment="1">
      <alignment horizontal="center"/>
    </xf>
    <xf numFmtId="0" fontId="7" fillId="15" borderId="0" xfId="0" applyFont="1" applyFill="1"/>
    <xf numFmtId="0" fontId="7" fillId="15" borderId="0" xfId="0" applyFont="1" applyFill="1" applyAlignment="1">
      <alignment horizontal="left"/>
    </xf>
    <xf numFmtId="0" fontId="7" fillId="16" borderId="0" xfId="0" applyFont="1" applyFill="1"/>
    <xf numFmtId="0" fontId="7" fillId="16" borderId="0" xfId="0" applyFont="1" applyFill="1" applyAlignment="1">
      <alignment horizontal="left"/>
    </xf>
    <xf numFmtId="0" fontId="7" fillId="17" borderId="0" xfId="0" applyFont="1" applyFill="1" applyAlignment="1">
      <alignment horizontal="center"/>
    </xf>
    <xf numFmtId="0" fontId="7" fillId="17" borderId="0" xfId="0" applyFont="1" applyFill="1"/>
    <xf numFmtId="0" fontId="7" fillId="17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left"/>
    </xf>
    <xf numFmtId="0" fontId="7" fillId="18" borderId="0" xfId="0" applyFont="1" applyFill="1" applyAlignment="1">
      <alignment horizontal="center"/>
    </xf>
    <xf numFmtId="0" fontId="7" fillId="18" borderId="0" xfId="0" applyFont="1" applyFill="1"/>
    <xf numFmtId="0" fontId="7" fillId="18" borderId="0" xfId="0" applyFont="1" applyFill="1" applyAlignment="1">
      <alignment horizontal="left"/>
    </xf>
    <xf numFmtId="0" fontId="7" fillId="19" borderId="0" xfId="0" applyFont="1" applyFill="1" applyAlignment="1">
      <alignment horizontal="center"/>
    </xf>
    <xf numFmtId="0" fontId="7" fillId="19" borderId="0" xfId="0" applyFont="1" applyFill="1"/>
    <xf numFmtId="0" fontId="7" fillId="19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left"/>
    </xf>
    <xf numFmtId="4" fontId="8" fillId="0" borderId="0" xfId="0" applyNumberFormat="1" applyFont="1" applyAlignment="1">
      <alignment horizontal="center" vertical="center"/>
    </xf>
    <xf numFmtId="4" fontId="7" fillId="5" borderId="0" xfId="0" applyNumberFormat="1" applyFont="1" applyFill="1" applyAlignment="1">
      <alignment horizontal="center"/>
    </xf>
    <xf numFmtId="4" fontId="7" fillId="8" borderId="0" xfId="0" applyNumberFormat="1" applyFont="1" applyFill="1" applyAlignment="1">
      <alignment horizontal="center"/>
    </xf>
    <xf numFmtId="4" fontId="7" fillId="8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/>
    </xf>
    <xf numFmtId="4" fontId="7" fillId="7" borderId="0" xfId="0" applyNumberFormat="1" applyFont="1" applyFill="1" applyAlignment="1">
      <alignment horizontal="center"/>
    </xf>
    <xf numFmtId="4" fontId="7" fillId="9" borderId="0" xfId="0" applyNumberFormat="1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7" fillId="11" borderId="0" xfId="0" applyNumberFormat="1" applyFont="1" applyFill="1" applyAlignment="1">
      <alignment horizontal="center"/>
    </xf>
    <xf numFmtId="4" fontId="7" fillId="10" borderId="0" xfId="0" applyNumberFormat="1" applyFont="1" applyFill="1" applyAlignment="1">
      <alignment horizontal="center"/>
    </xf>
    <xf numFmtId="4" fontId="3" fillId="9" borderId="0" xfId="0" applyNumberFormat="1" applyFont="1" applyFill="1" applyAlignment="1">
      <alignment horizontal="center"/>
    </xf>
    <xf numFmtId="4" fontId="7" fillId="12" borderId="0" xfId="0" applyNumberFormat="1" applyFont="1" applyFill="1" applyAlignment="1">
      <alignment horizontal="center"/>
    </xf>
    <xf numFmtId="4" fontId="7" fillId="13" borderId="0" xfId="0" applyNumberFormat="1" applyFont="1" applyFill="1" applyAlignment="1">
      <alignment horizontal="center"/>
    </xf>
    <xf numFmtId="4" fontId="7" fillId="14" borderId="0" xfId="0" applyNumberFormat="1" applyFont="1" applyFill="1" applyAlignment="1">
      <alignment horizontal="center"/>
    </xf>
    <xf numFmtId="4" fontId="7" fillId="15" borderId="0" xfId="0" applyNumberFormat="1" applyFont="1" applyFill="1" applyAlignment="1">
      <alignment horizontal="center"/>
    </xf>
    <xf numFmtId="4" fontId="7" fillId="16" borderId="0" xfId="0" applyNumberFormat="1" applyFont="1" applyFill="1" applyAlignment="1">
      <alignment horizontal="center"/>
    </xf>
    <xf numFmtId="4" fontId="7" fillId="17" borderId="0" xfId="0" applyNumberFormat="1" applyFont="1" applyFill="1" applyAlignment="1">
      <alignment horizontal="center"/>
    </xf>
    <xf numFmtId="4" fontId="7" fillId="18" borderId="0" xfId="0" applyNumberFormat="1" applyFont="1" applyFill="1" applyAlignment="1">
      <alignment horizontal="center"/>
    </xf>
    <xf numFmtId="4" fontId="7" fillId="19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7" fillId="20" borderId="0" xfId="0" applyFont="1" applyFill="1" applyAlignment="1">
      <alignment horizontal="center"/>
    </xf>
    <xf numFmtId="0" fontId="7" fillId="20" borderId="0" xfId="0" applyFont="1" applyFill="1"/>
    <xf numFmtId="0" fontId="7" fillId="20" borderId="0" xfId="0" applyFont="1" applyFill="1" applyAlignment="1">
      <alignment horizontal="left"/>
    </xf>
    <xf numFmtId="4" fontId="7" fillId="20" borderId="0" xfId="0" applyNumberFormat="1" applyFont="1" applyFill="1" applyAlignment="1">
      <alignment horizontal="center"/>
    </xf>
    <xf numFmtId="0" fontId="7" fillId="21" borderId="0" xfId="0" applyFont="1" applyFill="1" applyAlignment="1">
      <alignment horizontal="left"/>
    </xf>
    <xf numFmtId="0" fontId="7" fillId="22" borderId="0" xfId="0" applyFont="1" applyFill="1"/>
    <xf numFmtId="164" fontId="7" fillId="3" borderId="0" xfId="11" applyFont="1" applyFill="1" applyAlignment="1">
      <alignment horizontal="center"/>
    </xf>
    <xf numFmtId="14" fontId="7" fillId="0" borderId="0" xfId="0" applyNumberFormat="1" applyFont="1"/>
    <xf numFmtId="0" fontId="7" fillId="3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4" fontId="7" fillId="0" borderId="0" xfId="0" applyNumberFormat="1" applyFont="1"/>
    <xf numFmtId="3" fontId="7" fillId="9" borderId="0" xfId="0" applyNumberFormat="1" applyFont="1" applyFill="1" applyAlignment="1">
      <alignment horizontal="center" vertical="center"/>
    </xf>
    <xf numFmtId="17" fontId="7" fillId="3" borderId="0" xfId="0" applyNumberFormat="1" applyFont="1" applyFill="1" applyAlignment="1">
      <alignment horizontal="left"/>
    </xf>
    <xf numFmtId="14" fontId="0" fillId="0" borderId="0" xfId="0" applyNumberFormat="1"/>
    <xf numFmtId="164" fontId="7" fillId="0" borderId="0" xfId="11" applyFont="1" applyFill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6" fontId="7" fillId="3" borderId="0" xfId="0" applyNumberFormat="1" applyFont="1" applyFill="1"/>
    <xf numFmtId="3" fontId="7" fillId="17" borderId="0" xfId="0" applyNumberFormat="1" applyFont="1" applyFill="1" applyAlignment="1">
      <alignment horizont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14" fontId="7" fillId="3" borderId="2" xfId="0" applyNumberFormat="1" applyFont="1" applyFill="1" applyBorder="1" applyAlignment="1">
      <alignment horizontal="left"/>
    </xf>
    <xf numFmtId="4" fontId="7" fillId="3" borderId="2" xfId="0" applyNumberFormat="1" applyFont="1" applyFill="1" applyBorder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7" fillId="8" borderId="0" xfId="0" applyFont="1" applyFill="1"/>
    <xf numFmtId="0" fontId="7" fillId="0" borderId="0" xfId="0" quotePrefix="1" applyFont="1"/>
    <xf numFmtId="164" fontId="8" fillId="3" borderId="0" xfId="11" applyFont="1" applyFill="1" applyBorder="1" applyAlignment="1">
      <alignment horizontal="center"/>
    </xf>
    <xf numFmtId="0" fontId="7" fillId="24" borderId="0" xfId="0" applyFont="1" applyFill="1"/>
    <xf numFmtId="0" fontId="7" fillId="24" borderId="0" xfId="0" applyFont="1" applyFill="1" applyAlignment="1">
      <alignment horizontal="center"/>
    </xf>
    <xf numFmtId="0" fontId="7" fillId="24" borderId="0" xfId="0" applyFont="1" applyFill="1" applyAlignment="1">
      <alignment horizontal="left"/>
    </xf>
    <xf numFmtId="0" fontId="17" fillId="24" borderId="0" xfId="0" applyFont="1" applyFill="1" applyAlignment="1">
      <alignment horizontal="left"/>
    </xf>
    <xf numFmtId="4" fontId="7" fillId="24" borderId="0" xfId="0" applyNumberFormat="1" applyFont="1" applyFill="1" applyAlignment="1">
      <alignment horizontal="center"/>
    </xf>
    <xf numFmtId="164" fontId="7" fillId="24" borderId="0" xfId="11" applyFont="1" applyFill="1" applyAlignment="1">
      <alignment horizontal="center"/>
    </xf>
    <xf numFmtId="3" fontId="7" fillId="24" borderId="0" xfId="0" applyNumberFormat="1" applyFont="1" applyFill="1" applyAlignment="1">
      <alignment horizontal="center"/>
    </xf>
    <xf numFmtId="14" fontId="17" fillId="3" borderId="0" xfId="0" applyNumberFormat="1" applyFont="1" applyFill="1" applyAlignment="1">
      <alignment horizontal="left"/>
    </xf>
    <xf numFmtId="0" fontId="9" fillId="0" borderId="0" xfId="0" applyFont="1"/>
    <xf numFmtId="0" fontId="9" fillId="3" borderId="0" xfId="0" applyFont="1" applyFill="1"/>
    <xf numFmtId="0" fontId="9" fillId="20" borderId="0" xfId="0" applyFont="1" applyFill="1"/>
    <xf numFmtId="0" fontId="9" fillId="17" borderId="0" xfId="0" applyFont="1" applyFill="1"/>
    <xf numFmtId="0" fontId="9" fillId="18" borderId="0" xfId="0" applyFont="1" applyFill="1"/>
    <xf numFmtId="0" fontId="9" fillId="19" borderId="0" xfId="0" applyFont="1" applyFill="1"/>
    <xf numFmtId="0" fontId="9" fillId="11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9" borderId="0" xfId="0" applyFont="1" applyFill="1"/>
    <xf numFmtId="0" fontId="9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0" fontId="9" fillId="15" borderId="0" xfId="0" applyFont="1" applyFill="1"/>
    <xf numFmtId="0" fontId="9" fillId="14" borderId="0" xfId="0" applyFont="1" applyFill="1"/>
    <xf numFmtId="0" fontId="9" fillId="24" borderId="0" xfId="0" applyFont="1" applyFill="1"/>
    <xf numFmtId="0" fontId="9" fillId="3" borderId="2" xfId="0" applyFont="1" applyFill="1" applyBorder="1"/>
    <xf numFmtId="0" fontId="9" fillId="0" borderId="1" xfId="0" applyFont="1" applyBorder="1"/>
    <xf numFmtId="4" fontId="3" fillId="0" borderId="0" xfId="0" applyNumberFormat="1" applyFont="1" applyAlignment="1">
      <alignment horizontal="center"/>
    </xf>
    <xf numFmtId="14" fontId="0" fillId="3" borderId="0" xfId="0" applyNumberFormat="1" applyFill="1"/>
    <xf numFmtId="0" fontId="0" fillId="3" borderId="0" xfId="0" applyFill="1"/>
    <xf numFmtId="14" fontId="7" fillId="16" borderId="0" xfId="0" applyNumberFormat="1" applyFont="1" applyFill="1"/>
    <xf numFmtId="14" fontId="7" fillId="11" borderId="0" xfId="0" applyNumberFormat="1" applyFont="1" applyFill="1" applyAlignment="1">
      <alignment horizontal="left"/>
    </xf>
    <xf numFmtId="14" fontId="7" fillId="15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0" borderId="0" xfId="0" applyFont="1"/>
    <xf numFmtId="0" fontId="0" fillId="14" borderId="0" xfId="0" applyFill="1"/>
    <xf numFmtId="0" fontId="0" fillId="8" borderId="0" xfId="0" applyFill="1"/>
    <xf numFmtId="0" fontId="0" fillId="11" borderId="0" xfId="0" applyFill="1"/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0" fontId="3" fillId="3" borderId="0" xfId="0" applyFont="1" applyFill="1"/>
    <xf numFmtId="14" fontId="7" fillId="17" borderId="0" xfId="0" applyNumberFormat="1" applyFont="1" applyFill="1" applyAlignment="1">
      <alignment horizontal="left"/>
    </xf>
    <xf numFmtId="14" fontId="7" fillId="7" borderId="0" xfId="0" applyNumberFormat="1" applyFont="1" applyFill="1" applyAlignment="1">
      <alignment horizontal="left"/>
    </xf>
    <xf numFmtId="14" fontId="7" fillId="18" borderId="0" xfId="0" applyNumberFormat="1" applyFont="1" applyFill="1" applyAlignment="1">
      <alignment horizontal="left"/>
    </xf>
    <xf numFmtId="14" fontId="7" fillId="19" borderId="0" xfId="0" applyNumberFormat="1" applyFont="1" applyFill="1"/>
    <xf numFmtId="14" fontId="7" fillId="11" borderId="0" xfId="0" applyNumberFormat="1" applyFont="1" applyFill="1"/>
    <xf numFmtId="14" fontId="7" fillId="6" borderId="0" xfId="0" applyNumberFormat="1" applyFont="1" applyFill="1"/>
    <xf numFmtId="14" fontId="7" fillId="17" borderId="0" xfId="0" applyNumberFormat="1" applyFont="1" applyFill="1"/>
    <xf numFmtId="4" fontId="8" fillId="0" borderId="0" xfId="0" applyNumberFormat="1" applyFont="1" applyAlignment="1">
      <alignment horizontal="center" vertical="center" wrapText="1"/>
    </xf>
    <xf numFmtId="4" fontId="21" fillId="3" borderId="0" xfId="0" applyNumberFormat="1" applyFont="1" applyFill="1" applyAlignment="1">
      <alignment horizontal="center"/>
    </xf>
    <xf numFmtId="3" fontId="7" fillId="14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 applyAlignment="1">
      <alignment horizontal="center"/>
    </xf>
    <xf numFmtId="14" fontId="11" fillId="3" borderId="0" xfId="0" applyNumberFormat="1" applyFont="1" applyFill="1" applyAlignment="1">
      <alignment horizontal="left"/>
    </xf>
    <xf numFmtId="168" fontId="7" fillId="11" borderId="0" xfId="0" applyNumberFormat="1" applyFont="1" applyFill="1" applyAlignment="1">
      <alignment horizontal="center"/>
    </xf>
    <xf numFmtId="0" fontId="18" fillId="3" borderId="0" xfId="0" applyFont="1" applyFill="1" applyAlignment="1">
      <alignment horizontal="left"/>
    </xf>
    <xf numFmtId="0" fontId="18" fillId="3" borderId="0" xfId="0" applyFont="1" applyFill="1"/>
    <xf numFmtId="14" fontId="18" fillId="3" borderId="0" xfId="0" applyNumberFormat="1" applyFont="1" applyFill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9" fillId="0" borderId="2" xfId="0" applyFont="1" applyBorder="1"/>
    <xf numFmtId="0" fontId="7" fillId="0" borderId="2" xfId="0" applyFont="1" applyBorder="1" applyAlignment="1">
      <alignment horizontal="left"/>
    </xf>
    <xf numFmtId="4" fontId="7" fillId="0" borderId="2" xfId="0" applyNumberFormat="1" applyFont="1" applyBorder="1" applyAlignment="1">
      <alignment horizontal="center"/>
    </xf>
    <xf numFmtId="17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center"/>
    </xf>
    <xf numFmtId="0" fontId="19" fillId="9" borderId="0" xfId="0" applyFont="1" applyFill="1" applyAlignment="1">
      <alignment horizontal="left"/>
    </xf>
    <xf numFmtId="0" fontId="19" fillId="9" borderId="0" xfId="0" applyFont="1" applyFill="1"/>
    <xf numFmtId="17" fontId="19" fillId="3" borderId="0" xfId="0" applyNumberFormat="1" applyFont="1" applyFill="1" applyAlignment="1">
      <alignment horizontal="left"/>
    </xf>
    <xf numFmtId="0" fontId="19" fillId="3" borderId="0" xfId="0" applyFont="1" applyFill="1"/>
    <xf numFmtId="4" fontId="18" fillId="3" borderId="0" xfId="0" applyNumberFormat="1" applyFont="1" applyFill="1" applyAlignment="1">
      <alignment horizontal="center"/>
    </xf>
    <xf numFmtId="9" fontId="7" fillId="8" borderId="0" xfId="0" applyNumberFormat="1" applyFont="1" applyFill="1" applyAlignment="1">
      <alignment horizontal="left"/>
    </xf>
    <xf numFmtId="14" fontId="7" fillId="14" borderId="0" xfId="0" applyNumberFormat="1" applyFont="1" applyFill="1" applyAlignment="1">
      <alignment horizontal="left"/>
    </xf>
    <xf numFmtId="14" fontId="7" fillId="19" borderId="0" xfId="0" applyNumberFormat="1" applyFont="1" applyFill="1" applyAlignment="1">
      <alignment horizontal="left"/>
    </xf>
    <xf numFmtId="14" fontId="7" fillId="16" borderId="0" xfId="0" applyNumberFormat="1" applyFont="1" applyFill="1" applyAlignment="1">
      <alignment horizontal="left"/>
    </xf>
    <xf numFmtId="14" fontId="7" fillId="3" borderId="10" xfId="0" applyNumberFormat="1" applyFont="1" applyFill="1" applyBorder="1" applyAlignment="1">
      <alignment horizontal="left"/>
    </xf>
    <xf numFmtId="4" fontId="7" fillId="3" borderId="19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3" fillId="0" borderId="0" xfId="0" applyFont="1"/>
    <xf numFmtId="169" fontId="7" fillId="0" borderId="0" xfId="0" applyNumberFormat="1" applyFont="1" applyAlignment="1">
      <alignment horizontal="center"/>
    </xf>
    <xf numFmtId="0" fontId="7" fillId="3" borderId="1" xfId="0" applyFont="1" applyFill="1" applyBorder="1"/>
    <xf numFmtId="169" fontId="7" fillId="3" borderId="0" xfId="0" applyNumberFormat="1" applyFont="1" applyFill="1" applyAlignment="1">
      <alignment horizontal="center"/>
    </xf>
    <xf numFmtId="0" fontId="7" fillId="3" borderId="12" xfId="0" applyFont="1" applyFill="1" applyBorder="1"/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7" fillId="3" borderId="1" xfId="0" applyFont="1" applyFill="1" applyBorder="1" applyAlignment="1">
      <alignment horizontal="left"/>
    </xf>
    <xf numFmtId="14" fontId="7" fillId="3" borderId="1" xfId="0" applyNumberFormat="1" applyFont="1" applyFill="1" applyBorder="1" applyAlignment="1">
      <alignment horizontal="left"/>
    </xf>
    <xf numFmtId="4" fontId="7" fillId="3" borderId="1" xfId="0" applyNumberFormat="1" applyFont="1" applyFill="1" applyBorder="1" applyAlignment="1">
      <alignment horizontal="center"/>
    </xf>
    <xf numFmtId="3" fontId="7" fillId="3" borderId="13" xfId="0" applyNumberFormat="1" applyFont="1" applyFill="1" applyBorder="1" applyAlignment="1">
      <alignment horizontal="center"/>
    </xf>
    <xf numFmtId="0" fontId="7" fillId="3" borderId="14" xfId="0" applyFont="1" applyFill="1" applyBorder="1"/>
    <xf numFmtId="3" fontId="7" fillId="3" borderId="15" xfId="0" applyNumberFormat="1" applyFont="1" applyFill="1" applyBorder="1" applyAlignment="1">
      <alignment horizontal="center"/>
    </xf>
    <xf numFmtId="3" fontId="0" fillId="3" borderId="0" xfId="0" applyNumberFormat="1" applyFill="1"/>
    <xf numFmtId="0" fontId="0" fillId="0" borderId="0" xfId="0" applyAlignment="1">
      <alignment horizontal="left" indent="1"/>
    </xf>
    <xf numFmtId="166" fontId="7" fillId="3" borderId="0" xfId="0" applyNumberFormat="1" applyFont="1" applyFill="1" applyAlignment="1">
      <alignment horizontal="left"/>
    </xf>
    <xf numFmtId="0" fontId="7" fillId="3" borderId="16" xfId="0" applyFont="1" applyFill="1" applyBorder="1"/>
    <xf numFmtId="17" fontId="7" fillId="14" borderId="0" xfId="0" applyNumberFormat="1" applyFont="1" applyFill="1" applyAlignment="1">
      <alignment horizontal="left"/>
    </xf>
    <xf numFmtId="17" fontId="7" fillId="16" borderId="0" xfId="0" applyNumberFormat="1" applyFont="1" applyFill="1" applyAlignment="1">
      <alignment horizontal="left"/>
    </xf>
    <xf numFmtId="4" fontId="7" fillId="3" borderId="0" xfId="0" applyNumberFormat="1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7" fontId="7" fillId="10" borderId="0" xfId="0" applyNumberFormat="1" applyFont="1" applyFill="1" applyAlignment="1">
      <alignment horizontal="left"/>
    </xf>
    <xf numFmtId="17" fontId="7" fillId="11" borderId="0" xfId="0" applyNumberFormat="1" applyFont="1" applyFill="1" applyAlignment="1">
      <alignment horizontal="left"/>
    </xf>
    <xf numFmtId="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/>
    <xf numFmtId="0" fontId="24" fillId="3" borderId="0" xfId="0" applyFont="1" applyFill="1" applyAlignment="1">
      <alignment horizontal="left"/>
    </xf>
    <xf numFmtId="0" fontId="24" fillId="3" borderId="0" xfId="0" applyFont="1" applyFill="1"/>
    <xf numFmtId="4" fontId="24" fillId="0" borderId="0" xfId="0" applyNumberFormat="1" applyFont="1" applyAlignment="1">
      <alignment horizontal="center"/>
    </xf>
    <xf numFmtId="4" fontId="24" fillId="3" borderId="0" xfId="0" applyNumberFormat="1" applyFont="1" applyFill="1" applyAlignment="1">
      <alignment horizontal="center"/>
    </xf>
    <xf numFmtId="17" fontId="24" fillId="0" borderId="0" xfId="0" applyNumberFormat="1" applyFont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vertical="top"/>
    </xf>
    <xf numFmtId="167" fontId="7" fillId="3" borderId="0" xfId="11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left"/>
    </xf>
    <xf numFmtId="0" fontId="8" fillId="14" borderId="0" xfId="0" applyFont="1" applyFill="1"/>
    <xf numFmtId="14" fontId="8" fillId="14" borderId="0" xfId="0" applyNumberFormat="1" applyFont="1" applyFill="1" applyAlignment="1">
      <alignment horizontal="left"/>
    </xf>
    <xf numFmtId="3" fontId="7" fillId="0" borderId="2" xfId="0" applyNumberFormat="1" applyFont="1" applyBorder="1" applyAlignment="1">
      <alignment horizontal="center"/>
    </xf>
    <xf numFmtId="3" fontId="7" fillId="3" borderId="17" xfId="0" applyNumberFormat="1" applyFont="1" applyFill="1" applyBorder="1" applyAlignment="1">
      <alignment horizontal="center"/>
    </xf>
    <xf numFmtId="14" fontId="24" fillId="3" borderId="0" xfId="0" applyNumberFormat="1" applyFont="1" applyFill="1" applyAlignment="1">
      <alignment horizontal="left"/>
    </xf>
    <xf numFmtId="4" fontId="7" fillId="3" borderId="0" xfId="0" applyNumberFormat="1" applyFont="1" applyFill="1"/>
    <xf numFmtId="4" fontId="8" fillId="16" borderId="0" xfId="0" applyNumberFormat="1" applyFont="1" applyFill="1" applyAlignment="1">
      <alignment horizontal="center"/>
    </xf>
    <xf numFmtId="0" fontId="7" fillId="0" borderId="2" xfId="0" applyFont="1" applyBorder="1" applyAlignment="1">
      <alignment horizontal="center" vertical="center"/>
    </xf>
    <xf numFmtId="3" fontId="7" fillId="3" borderId="0" xfId="0" applyNumberFormat="1" applyFont="1" applyFill="1" applyAlignment="1">
      <alignment horizontal="left"/>
    </xf>
    <xf numFmtId="4" fontId="8" fillId="3" borderId="0" xfId="0" applyNumberFormat="1" applyFont="1" applyFill="1" applyAlignment="1">
      <alignment horizontal="center"/>
    </xf>
    <xf numFmtId="0" fontId="0" fillId="2" borderId="0" xfId="0" applyFill="1"/>
    <xf numFmtId="4" fontId="11" fillId="12" borderId="0" xfId="0" applyNumberFormat="1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left"/>
    </xf>
    <xf numFmtId="14" fontId="28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164" fontId="28" fillId="0" borderId="0" xfId="11" applyFont="1" applyFill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0" fontId="15" fillId="3" borderId="0" xfId="0" applyFont="1" applyFill="1"/>
    <xf numFmtId="17" fontId="15" fillId="3" borderId="0" xfId="0" applyNumberFormat="1" applyFont="1" applyFill="1" applyAlignment="1">
      <alignment horizontal="left"/>
    </xf>
    <xf numFmtId="14" fontId="15" fillId="3" borderId="0" xfId="0" applyNumberFormat="1" applyFont="1" applyFill="1" applyAlignment="1">
      <alignment horizontal="left"/>
    </xf>
    <xf numFmtId="167" fontId="15" fillId="3" borderId="0" xfId="11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4" fontId="15" fillId="3" borderId="0" xfId="0" applyNumberFormat="1" applyFont="1" applyFill="1" applyAlignment="1">
      <alignment horizontal="center"/>
    </xf>
    <xf numFmtId="0" fontId="17" fillId="3" borderId="0" xfId="0" applyFont="1" applyFill="1"/>
    <xf numFmtId="17" fontId="17" fillId="3" borderId="0" xfId="0" applyNumberFormat="1" applyFont="1" applyFill="1" applyAlignment="1">
      <alignment horizontal="left"/>
    </xf>
    <xf numFmtId="167" fontId="17" fillId="3" borderId="0" xfId="11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4" fontId="17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4" fontId="15" fillId="3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30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4" fontId="17" fillId="3" borderId="0" xfId="0" applyNumberFormat="1" applyFont="1" applyFill="1" applyAlignment="1">
      <alignment horizontal="left" vertical="center"/>
    </xf>
    <xf numFmtId="0" fontId="15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7" fillId="3" borderId="0" xfId="0" applyFont="1" applyFill="1"/>
    <xf numFmtId="164" fontId="17" fillId="3" borderId="0" xfId="11" applyFont="1" applyFill="1" applyAlignment="1">
      <alignment horizontal="center"/>
    </xf>
    <xf numFmtId="4" fontId="7" fillId="3" borderId="22" xfId="0" applyNumberFormat="1" applyFont="1" applyFill="1" applyBorder="1" applyAlignment="1">
      <alignment horizontal="center"/>
    </xf>
    <xf numFmtId="14" fontId="17" fillId="3" borderId="0" xfId="0" applyNumberFormat="1" applyFont="1" applyFill="1"/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3" borderId="0" xfId="0" applyFont="1" applyFill="1" applyAlignment="1">
      <alignment horizontal="left"/>
    </xf>
    <xf numFmtId="0" fontId="28" fillId="3" borderId="0" xfId="0" applyFont="1" applyFill="1"/>
    <xf numFmtId="4" fontId="28" fillId="3" borderId="0" xfId="0" applyNumberFormat="1" applyFont="1" applyFill="1" applyAlignment="1">
      <alignment horizontal="center"/>
    </xf>
    <xf numFmtId="14" fontId="28" fillId="3" borderId="0" xfId="0" applyNumberFormat="1" applyFont="1" applyFill="1" applyAlignment="1">
      <alignment horizontal="left"/>
    </xf>
    <xf numFmtId="0" fontId="13" fillId="3" borderId="0" xfId="0" applyFont="1" applyFill="1"/>
    <xf numFmtId="166" fontId="14" fillId="3" borderId="0" xfId="0" applyNumberFormat="1" applyFont="1" applyFill="1" applyAlignment="1">
      <alignment horizontal="left"/>
    </xf>
    <xf numFmtId="4" fontId="13" fillId="3" borderId="0" xfId="0" applyNumberFormat="1" applyFont="1" applyFill="1" applyAlignment="1">
      <alignment horizontal="center"/>
    </xf>
    <xf numFmtId="0" fontId="7" fillId="25" borderId="0" xfId="0" applyFont="1" applyFill="1" applyAlignment="1">
      <alignment horizontal="left"/>
    </xf>
    <xf numFmtId="0" fontId="7" fillId="25" borderId="0" xfId="0" applyFont="1" applyFill="1"/>
    <xf numFmtId="14" fontId="7" fillId="25" borderId="0" xfId="0" applyNumberFormat="1" applyFont="1" applyFill="1" applyAlignment="1">
      <alignment horizontal="left"/>
    </xf>
    <xf numFmtId="14" fontId="7" fillId="25" borderId="0" xfId="0" applyNumberFormat="1" applyFont="1" applyFill="1"/>
    <xf numFmtId="4" fontId="8" fillId="25" borderId="0" xfId="0" applyNumberFormat="1" applyFont="1" applyFill="1" applyAlignment="1">
      <alignment horizontal="center"/>
    </xf>
    <xf numFmtId="4" fontId="7" fillId="25" borderId="0" xfId="0" applyNumberFormat="1" applyFont="1" applyFill="1" applyAlignment="1">
      <alignment horizontal="center"/>
    </xf>
    <xf numFmtId="167" fontId="7" fillId="3" borderId="0" xfId="11" applyNumberFormat="1" applyFont="1" applyFill="1" applyAlignment="1">
      <alignment horizontal="center" vertical="center"/>
    </xf>
    <xf numFmtId="0" fontId="16" fillId="0" borderId="0" xfId="0" applyFont="1"/>
    <xf numFmtId="0" fontId="37" fillId="0" borderId="0" xfId="0" applyFont="1" applyAlignment="1">
      <alignment horizontal="left" vertical="center"/>
    </xf>
    <xf numFmtId="14" fontId="37" fillId="0" borderId="0" xfId="0" applyNumberFormat="1" applyFont="1" applyAlignment="1">
      <alignment horizontal="left" vertical="center"/>
    </xf>
    <xf numFmtId="0" fontId="26" fillId="3" borderId="0" xfId="0" applyFont="1" applyFill="1"/>
    <xf numFmtId="3" fontId="8" fillId="0" borderId="0" xfId="0" applyNumberFormat="1" applyFont="1" applyAlignment="1">
      <alignment horizontal="center"/>
    </xf>
    <xf numFmtId="0" fontId="39" fillId="3" borderId="0" xfId="0" applyFont="1" applyFill="1"/>
    <xf numFmtId="14" fontId="7" fillId="3" borderId="0" xfId="0" applyNumberFormat="1" applyFont="1" applyFill="1" applyAlignment="1">
      <alignment horizontal="right"/>
    </xf>
    <xf numFmtId="17" fontId="18" fillId="3" borderId="0" xfId="0" applyNumberFormat="1" applyFont="1" applyFill="1" applyAlignment="1">
      <alignment horizontal="left"/>
    </xf>
    <xf numFmtId="164" fontId="40" fillId="0" borderId="0" xfId="11" applyFont="1"/>
    <xf numFmtId="49" fontId="7" fillId="3" borderId="0" xfId="0" applyNumberFormat="1" applyFont="1" applyFill="1" applyAlignment="1">
      <alignment horizontal="center"/>
    </xf>
    <xf numFmtId="14" fontId="7" fillId="3" borderId="0" xfId="0" quotePrefix="1" applyNumberFormat="1" applyFont="1" applyFill="1" applyAlignment="1">
      <alignment horizontal="left"/>
    </xf>
    <xf numFmtId="0" fontId="8" fillId="3" borderId="0" xfId="0" applyFont="1" applyFill="1"/>
    <xf numFmtId="0" fontId="1" fillId="3" borderId="0" xfId="0" applyFont="1" applyFill="1"/>
    <xf numFmtId="14" fontId="17" fillId="0" borderId="0" xfId="0" applyNumberFormat="1" applyFont="1" applyAlignment="1">
      <alignment horizontal="left"/>
    </xf>
    <xf numFmtId="0" fontId="41" fillId="0" borderId="0" xfId="0" applyFont="1"/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11" applyFont="1" applyFill="1" applyAlignment="1">
      <alignment horizontal="center"/>
    </xf>
    <xf numFmtId="0" fontId="29" fillId="3" borderId="0" xfId="0" applyFont="1" applyFill="1"/>
    <xf numFmtId="0" fontId="28" fillId="3" borderId="0" xfId="0" applyFont="1" applyFill="1" applyAlignment="1">
      <alignment horizontal="center"/>
    </xf>
    <xf numFmtId="164" fontId="28" fillId="3" borderId="0" xfId="11" applyFont="1" applyFill="1" applyAlignment="1">
      <alignment horizontal="center"/>
    </xf>
    <xf numFmtId="14" fontId="15" fillId="0" borderId="0" xfId="0" applyNumberFormat="1" applyFont="1"/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left" vertical="center"/>
    </xf>
    <xf numFmtId="4" fontId="24" fillId="16" borderId="0" xfId="0" applyNumberFormat="1" applyFont="1" applyFill="1" applyAlignment="1">
      <alignment horizontal="center"/>
    </xf>
    <xf numFmtId="4" fontId="18" fillId="16" borderId="0" xfId="0" applyNumberFormat="1" applyFont="1" applyFill="1" applyAlignment="1">
      <alignment horizontal="center"/>
    </xf>
    <xf numFmtId="0" fontId="44" fillId="3" borderId="0" xfId="0" applyFont="1" applyFill="1" applyAlignment="1">
      <alignment horizontal="left"/>
    </xf>
    <xf numFmtId="14" fontId="44" fillId="3" borderId="0" xfId="0" applyNumberFormat="1" applyFont="1" applyFill="1" applyAlignment="1">
      <alignment horizontal="left"/>
    </xf>
    <xf numFmtId="0" fontId="35" fillId="3" borderId="0" xfId="0" applyFont="1" applyFill="1"/>
    <xf numFmtId="0" fontId="30" fillId="3" borderId="0" xfId="0" applyFont="1" applyFill="1"/>
    <xf numFmtId="0" fontId="36" fillId="3" borderId="0" xfId="0" applyFont="1" applyFill="1"/>
    <xf numFmtId="14" fontId="0" fillId="3" borderId="0" xfId="0" applyNumberFormat="1" applyFill="1" applyAlignment="1">
      <alignment horizontal="right"/>
    </xf>
    <xf numFmtId="17" fontId="7" fillId="0" borderId="0" xfId="0" applyNumberFormat="1" applyFont="1"/>
    <xf numFmtId="0" fontId="26" fillId="3" borderId="0" xfId="0" applyFont="1" applyFill="1" applyAlignment="1">
      <alignment horizontal="left"/>
    </xf>
    <xf numFmtId="4" fontId="46" fillId="3" borderId="0" xfId="0" applyNumberFormat="1" applyFont="1" applyFill="1" applyAlignment="1">
      <alignment horizontal="center"/>
    </xf>
    <xf numFmtId="14" fontId="18" fillId="3" borderId="0" xfId="0" applyNumberFormat="1" applyFont="1" applyFill="1"/>
    <xf numFmtId="14" fontId="11" fillId="3" borderId="0" xfId="0" applyNumberFormat="1" applyFont="1" applyFill="1"/>
    <xf numFmtId="4" fontId="22" fillId="3" borderId="0" xfId="0" applyNumberFormat="1" applyFont="1" applyFill="1" applyAlignment="1">
      <alignment horizontal="center"/>
    </xf>
    <xf numFmtId="14" fontId="28" fillId="3" borderId="0" xfId="0" applyNumberFormat="1" applyFont="1" applyFill="1"/>
    <xf numFmtId="4" fontId="47" fillId="3" borderId="0" xfId="0" applyNumberFormat="1" applyFont="1" applyFill="1" applyAlignment="1">
      <alignment horizontal="center"/>
    </xf>
    <xf numFmtId="4" fontId="30" fillId="3" borderId="0" xfId="0" applyNumberFormat="1" applyFont="1" applyFill="1" applyAlignment="1">
      <alignment horizontal="center"/>
    </xf>
    <xf numFmtId="14" fontId="15" fillId="3" borderId="0" xfId="0" applyNumberFormat="1" applyFont="1" applyFill="1"/>
    <xf numFmtId="14" fontId="13" fillId="3" borderId="0" xfId="0" applyNumberFormat="1" applyFont="1" applyFill="1"/>
    <xf numFmtId="14" fontId="13" fillId="3" borderId="0" xfId="0" applyNumberFormat="1" applyFont="1" applyFill="1" applyAlignment="1">
      <alignment horizontal="left"/>
    </xf>
    <xf numFmtId="4" fontId="48" fillId="3" borderId="0" xfId="0" applyNumberFormat="1" applyFont="1" applyFill="1" applyAlignment="1">
      <alignment horizontal="center"/>
    </xf>
    <xf numFmtId="14" fontId="7" fillId="6" borderId="0" xfId="0" applyNumberFormat="1" applyFont="1" applyFill="1" applyAlignment="1">
      <alignment horizontal="left"/>
    </xf>
    <xf numFmtId="14" fontId="7" fillId="10" borderId="0" xfId="0" applyNumberFormat="1" applyFont="1" applyFill="1"/>
    <xf numFmtId="14" fontId="7" fillId="18" borderId="0" xfId="0" applyNumberFormat="1" applyFont="1" applyFill="1"/>
    <xf numFmtId="164" fontId="7" fillId="0" borderId="0" xfId="11" applyFont="1" applyAlignment="1">
      <alignment horizontal="center"/>
    </xf>
    <xf numFmtId="0" fontId="49" fillId="3" borderId="0" xfId="0" applyFont="1" applyFill="1"/>
    <xf numFmtId="14" fontId="3" fillId="3" borderId="0" xfId="0" applyNumberFormat="1" applyFont="1" applyFill="1"/>
    <xf numFmtId="164" fontId="3" fillId="3" borderId="0" xfId="1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7" fontId="7" fillId="3" borderId="0" xfId="0" applyNumberFormat="1" applyFont="1" applyFill="1"/>
    <xf numFmtId="0" fontId="16" fillId="3" borderId="0" xfId="0" applyFont="1" applyFill="1"/>
    <xf numFmtId="0" fontId="14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167" fontId="13" fillId="0" borderId="0" xfId="11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3" fillId="0" borderId="0" xfId="0" applyFont="1"/>
    <xf numFmtId="0" fontId="39" fillId="3" borderId="0" xfId="0" applyFont="1" applyFill="1" applyAlignment="1">
      <alignment horizontal="center"/>
    </xf>
    <xf numFmtId="0" fontId="42" fillId="3" borderId="0" xfId="0" applyFont="1" applyFill="1"/>
    <xf numFmtId="0" fontId="39" fillId="3" borderId="0" xfId="0" applyFont="1" applyFill="1" applyAlignment="1">
      <alignment horizontal="left"/>
    </xf>
    <xf numFmtId="0" fontId="39" fillId="3" borderId="0" xfId="0" applyFont="1" applyFill="1" applyAlignment="1">
      <alignment vertical="center"/>
    </xf>
    <xf numFmtId="0" fontId="43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14" fontId="39" fillId="3" borderId="0" xfId="0" applyNumberFormat="1" applyFont="1" applyFill="1" applyAlignment="1">
      <alignment horizontal="left" vertical="center"/>
    </xf>
    <xf numFmtId="167" fontId="39" fillId="3" borderId="0" xfId="11" applyNumberFormat="1" applyFont="1" applyFill="1" applyAlignment="1">
      <alignment horizontal="center" vertical="center"/>
    </xf>
    <xf numFmtId="4" fontId="39" fillId="3" borderId="0" xfId="0" applyNumberFormat="1" applyFont="1" applyFill="1" applyAlignment="1">
      <alignment horizontal="center"/>
    </xf>
    <xf numFmtId="14" fontId="13" fillId="0" borderId="0" xfId="0" applyNumberFormat="1" applyFont="1"/>
    <xf numFmtId="14" fontId="13" fillId="0" borderId="0" xfId="0" applyNumberFormat="1" applyFont="1" applyAlignment="1">
      <alignment horizontal="left"/>
    </xf>
    <xf numFmtId="164" fontId="13" fillId="0" borderId="0" xfId="11" applyFont="1" applyFill="1" applyAlignment="1">
      <alignment horizontal="center"/>
    </xf>
    <xf numFmtId="0" fontId="7" fillId="26" borderId="0" xfId="0" applyFont="1" applyFill="1"/>
    <xf numFmtId="0" fontId="39" fillId="0" borderId="0" xfId="0" applyFont="1" applyAlignment="1">
      <alignment horizontal="left"/>
    </xf>
    <xf numFmtId="0" fontId="38" fillId="3" borderId="0" xfId="0" applyFont="1" applyFill="1" applyAlignment="1">
      <alignment horizontal="left"/>
    </xf>
    <xf numFmtId="4" fontId="38" fillId="3" borderId="0" xfId="0" applyNumberFormat="1" applyFont="1" applyFill="1" applyAlignment="1">
      <alignment horizontal="center"/>
    </xf>
    <xf numFmtId="0" fontId="9" fillId="2" borderId="0" xfId="0" applyFont="1" applyFill="1"/>
    <xf numFmtId="14" fontId="7" fillId="2" borderId="0" xfId="0" applyNumberFormat="1" applyFont="1" applyFill="1" applyAlignment="1">
      <alignment horizontal="left"/>
    </xf>
    <xf numFmtId="0" fontId="7" fillId="25" borderId="0" xfId="0" applyFont="1" applyFill="1" applyAlignment="1">
      <alignment horizontal="center"/>
    </xf>
    <xf numFmtId="0" fontId="9" fillId="25" borderId="0" xfId="0" applyFont="1" applyFill="1"/>
    <xf numFmtId="3" fontId="7" fillId="25" borderId="0" xfId="0" applyNumberFormat="1" applyFont="1" applyFill="1" applyAlignment="1">
      <alignment horizontal="center"/>
    </xf>
    <xf numFmtId="0" fontId="41" fillId="3" borderId="0" xfId="0" applyFont="1" applyFill="1"/>
    <xf numFmtId="164" fontId="15" fillId="3" borderId="0" xfId="1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0" xfId="0" applyFont="1" applyFill="1"/>
    <xf numFmtId="0" fontId="9" fillId="13" borderId="0" xfId="0" applyFont="1" applyFill="1"/>
    <xf numFmtId="0" fontId="7" fillId="13" borderId="0" xfId="0" applyFont="1" applyFill="1" applyAlignment="1">
      <alignment horizontal="left"/>
    </xf>
    <xf numFmtId="14" fontId="7" fillId="13" borderId="0" xfId="0" applyNumberFormat="1" applyFont="1" applyFill="1" applyAlignment="1">
      <alignment horizontal="left"/>
    </xf>
    <xf numFmtId="0" fontId="7" fillId="12" borderId="0" xfId="0" applyFont="1" applyFill="1" applyAlignment="1">
      <alignment horizontal="center"/>
    </xf>
    <xf numFmtId="0" fontId="9" fillId="12" borderId="0" xfId="0" applyFont="1" applyFill="1"/>
    <xf numFmtId="14" fontId="7" fillId="12" borderId="0" xfId="0" applyNumberFormat="1" applyFont="1" applyFill="1" applyAlignment="1">
      <alignment horizontal="left"/>
    </xf>
    <xf numFmtId="14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4" fontId="7" fillId="3" borderId="0" xfId="0" applyNumberFormat="1" applyFont="1" applyFill="1" applyAlignment="1">
      <alignment horizontal="center" vertical="top"/>
    </xf>
    <xf numFmtId="3" fontId="7" fillId="3" borderId="0" xfId="0" applyNumberFormat="1" applyFont="1" applyFill="1" applyAlignment="1">
      <alignment horizontal="center" vertical="top"/>
    </xf>
    <xf numFmtId="2" fontId="7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vertical="center"/>
    </xf>
    <xf numFmtId="0" fontId="48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4" fontId="13" fillId="3" borderId="0" xfId="0" applyNumberFormat="1" applyFont="1" applyFill="1" applyAlignment="1">
      <alignment horizontal="left" vertical="center"/>
    </xf>
    <xf numFmtId="167" fontId="13" fillId="3" borderId="0" xfId="11" applyNumberFormat="1" applyFont="1" applyFill="1" applyAlignment="1">
      <alignment horizontal="center" vertical="center"/>
    </xf>
    <xf numFmtId="3" fontId="7" fillId="13" borderId="0" xfId="0" applyNumberFormat="1" applyFont="1" applyFill="1" applyAlignment="1">
      <alignment horizontal="center"/>
    </xf>
    <xf numFmtId="0" fontId="51" fillId="3" borderId="0" xfId="0" applyFont="1" applyFill="1"/>
    <xf numFmtId="4" fontId="51" fillId="3" borderId="0" xfId="0" applyNumberFormat="1" applyFont="1" applyFill="1" applyAlignment="1">
      <alignment horizontal="center"/>
    </xf>
    <xf numFmtId="4" fontId="26" fillId="3" borderId="0" xfId="0" applyNumberFormat="1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0" fontId="7" fillId="21" borderId="0" xfId="0" applyFont="1" applyFill="1"/>
    <xf numFmtId="0" fontId="7" fillId="21" borderId="0" xfId="0" applyFont="1" applyFill="1" applyAlignment="1">
      <alignment horizontal="center"/>
    </xf>
    <xf numFmtId="0" fontId="9" fillId="21" borderId="0" xfId="0" applyFont="1" applyFill="1"/>
    <xf numFmtId="0" fontId="8" fillId="21" borderId="0" xfId="0" applyFont="1" applyFill="1" applyAlignment="1">
      <alignment horizontal="left"/>
    </xf>
    <xf numFmtId="0" fontId="8" fillId="21" borderId="0" xfId="0" applyFont="1" applyFill="1"/>
    <xf numFmtId="4" fontId="8" fillId="21" borderId="0" xfId="0" applyNumberFormat="1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3" fontId="8" fillId="21" borderId="0" xfId="0" applyNumberFormat="1" applyFont="1" applyFill="1" applyAlignment="1">
      <alignment horizontal="center"/>
    </xf>
    <xf numFmtId="14" fontId="7" fillId="21" borderId="0" xfId="0" applyNumberFormat="1" applyFont="1" applyFill="1" applyAlignment="1">
      <alignment horizontal="left"/>
    </xf>
    <xf numFmtId="14" fontId="10" fillId="3" borderId="0" xfId="0" applyNumberFormat="1" applyFont="1" applyFill="1" applyAlignment="1">
      <alignment horizontal="left"/>
    </xf>
    <xf numFmtId="0" fontId="7" fillId="0" borderId="4" xfId="0" applyFont="1" applyBorder="1"/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9" fillId="0" borderId="5" xfId="0" applyFont="1" applyBorder="1"/>
    <xf numFmtId="0" fontId="7" fillId="0" borderId="5" xfId="0" applyFont="1" applyBorder="1" applyAlignment="1">
      <alignment horizontal="left"/>
    </xf>
    <xf numFmtId="17" fontId="7" fillId="3" borderId="2" xfId="0" applyNumberFormat="1" applyFont="1" applyFill="1" applyBorder="1" applyAlignment="1">
      <alignment horizontal="left"/>
    </xf>
    <xf numFmtId="17" fontId="7" fillId="3" borderId="1" xfId="0" applyNumberFormat="1" applyFont="1" applyFill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4" fontId="7" fillId="23" borderId="0" xfId="0" applyNumberFormat="1" applyFont="1" applyFill="1" applyAlignment="1">
      <alignment horizontal="center"/>
    </xf>
    <xf numFmtId="4" fontId="7" fillId="3" borderId="20" xfId="0" applyNumberFormat="1" applyFont="1" applyFill="1" applyBorder="1" applyAlignment="1">
      <alignment horizontal="center"/>
    </xf>
    <xf numFmtId="4" fontId="7" fillId="0" borderId="19" xfId="0" applyNumberFormat="1" applyFont="1" applyBorder="1" applyAlignment="1">
      <alignment horizontal="center"/>
    </xf>
    <xf numFmtId="4" fontId="7" fillId="3" borderId="23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4" fontId="7" fillId="0" borderId="8" xfId="0" applyNumberFormat="1" applyFont="1" applyBorder="1" applyAlignment="1">
      <alignment horizontal="center"/>
    </xf>
    <xf numFmtId="4" fontId="7" fillId="12" borderId="1" xfId="0" applyNumberFormat="1" applyFont="1" applyFill="1" applyBorder="1" applyAlignment="1">
      <alignment horizontal="center"/>
    </xf>
    <xf numFmtId="4" fontId="7" fillId="3" borderId="21" xfId="0" applyNumberFormat="1" applyFont="1" applyFill="1" applyBorder="1" applyAlignment="1">
      <alignment horizontal="center"/>
    </xf>
    <xf numFmtId="4" fontId="2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2" fontId="7" fillId="3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center" vertical="top"/>
    </xf>
    <xf numFmtId="14" fontId="7" fillId="14" borderId="0" xfId="0" applyNumberFormat="1" applyFont="1" applyFill="1"/>
    <xf numFmtId="0" fontId="7" fillId="3" borderId="9" xfId="0" applyFont="1" applyFill="1" applyBorder="1"/>
    <xf numFmtId="0" fontId="7" fillId="3" borderId="7" xfId="0" applyFont="1" applyFill="1" applyBorder="1"/>
    <xf numFmtId="0" fontId="7" fillId="3" borderId="10" xfId="0" applyFont="1" applyFill="1" applyBorder="1" applyAlignment="1">
      <alignment horizontal="center"/>
    </xf>
    <xf numFmtId="0" fontId="7" fillId="3" borderId="10" xfId="0" applyFont="1" applyFill="1" applyBorder="1"/>
    <xf numFmtId="0" fontId="9" fillId="3" borderId="10" xfId="0" applyFont="1" applyFill="1" applyBorder="1"/>
    <xf numFmtId="0" fontId="7" fillId="3" borderId="10" xfId="0" applyFont="1" applyFill="1" applyBorder="1" applyAlignment="1">
      <alignment horizontal="left"/>
    </xf>
    <xf numFmtId="0" fontId="7" fillId="3" borderId="3" xfId="0" applyFont="1" applyFill="1" applyBorder="1"/>
    <xf numFmtId="3" fontId="0" fillId="0" borderId="5" xfId="0" applyNumberFormat="1" applyBorder="1"/>
    <xf numFmtId="14" fontId="7" fillId="3" borderId="2" xfId="0" applyNumberFormat="1" applyFont="1" applyFill="1" applyBorder="1"/>
    <xf numFmtId="17" fontId="7" fillId="0" borderId="2" xfId="0" applyNumberFormat="1" applyFont="1" applyBorder="1" applyAlignment="1">
      <alignment horizontal="left"/>
    </xf>
    <xf numFmtId="14" fontId="7" fillId="3" borderId="3" xfId="0" applyNumberFormat="1" applyFont="1" applyFill="1" applyBorder="1" applyAlignment="1">
      <alignment horizontal="left"/>
    </xf>
    <xf numFmtId="0" fontId="7" fillId="16" borderId="2" xfId="0" applyFont="1" applyFill="1" applyBorder="1"/>
    <xf numFmtId="4" fontId="7" fillId="3" borderId="3" xfId="0" applyNumberFormat="1" applyFont="1" applyFill="1" applyBorder="1" applyAlignment="1">
      <alignment horizontal="center"/>
    </xf>
    <xf numFmtId="4" fontId="7" fillId="3" borderId="11" xfId="0" applyNumberFormat="1" applyFont="1" applyFill="1" applyBorder="1" applyAlignment="1">
      <alignment horizontal="center"/>
    </xf>
    <xf numFmtId="4" fontId="7" fillId="3" borderId="8" xfId="0" applyNumberFormat="1" applyFont="1" applyFill="1" applyBorder="1" applyAlignment="1">
      <alignment horizontal="center"/>
    </xf>
    <xf numFmtId="4" fontId="7" fillId="13" borderId="3" xfId="0" applyNumberFormat="1" applyFont="1" applyFill="1" applyBorder="1" applyAlignment="1">
      <alignment horizontal="center"/>
    </xf>
    <xf numFmtId="4" fontId="7" fillId="0" borderId="18" xfId="0" applyNumberFormat="1" applyFont="1" applyBorder="1" applyAlignment="1">
      <alignment horizontal="center"/>
    </xf>
    <xf numFmtId="4" fontId="0" fillId="0" borderId="0" xfId="0" applyNumberFormat="1"/>
    <xf numFmtId="164" fontId="7" fillId="0" borderId="0" xfId="11" applyFont="1"/>
    <xf numFmtId="164" fontId="7" fillId="3" borderId="0" xfId="11" applyFont="1" applyFill="1"/>
    <xf numFmtId="164" fontId="0" fillId="3" borderId="0" xfId="11" applyFont="1" applyFill="1"/>
    <xf numFmtId="4" fontId="0" fillId="3" borderId="0" xfId="0" applyNumberFormat="1" applyFill="1"/>
    <xf numFmtId="14" fontId="8" fillId="0" borderId="0" xfId="0" applyNumberFormat="1" applyFont="1" applyAlignment="1">
      <alignment horizontal="left" vertical="center"/>
    </xf>
    <xf numFmtId="4" fontId="17" fillId="0" borderId="0" xfId="0" applyNumberFormat="1" applyFont="1" applyAlignment="1">
      <alignment horizontal="center"/>
    </xf>
    <xf numFmtId="0" fontId="9" fillId="3" borderId="0" xfId="0" applyFont="1" applyFill="1" applyAlignment="1">
      <alignment vertical="top"/>
    </xf>
    <xf numFmtId="165" fontId="7" fillId="3" borderId="0" xfId="0" applyNumberFormat="1" applyFont="1" applyFill="1" applyAlignment="1">
      <alignment horizontal="left"/>
    </xf>
    <xf numFmtId="14" fontId="7" fillId="3" borderId="0" xfId="0" applyNumberFormat="1" applyFont="1" applyFill="1" applyAlignment="1">
      <alignment vertical="top"/>
    </xf>
    <xf numFmtId="170" fontId="7" fillId="3" borderId="0" xfId="0" applyNumberFormat="1" applyFont="1" applyFill="1"/>
    <xf numFmtId="0" fontId="1" fillId="27" borderId="24" xfId="0" applyFont="1" applyFill="1" applyBorder="1"/>
    <xf numFmtId="164" fontId="0" fillId="0" borderId="0" xfId="0" applyNumberFormat="1"/>
    <xf numFmtId="0" fontId="55" fillId="0" borderId="0" xfId="0" applyFont="1"/>
    <xf numFmtId="44" fontId="1" fillId="27" borderId="25" xfId="20" applyFont="1" applyFill="1" applyBorder="1"/>
    <xf numFmtId="44" fontId="0" fillId="0" borderId="0" xfId="20" applyFont="1"/>
    <xf numFmtId="0" fontId="7" fillId="28" borderId="0" xfId="0" applyFont="1" applyFill="1" applyAlignment="1">
      <alignment horizontal="center"/>
    </xf>
    <xf numFmtId="0" fontId="7" fillId="28" borderId="0" xfId="0" applyFont="1" applyFill="1"/>
    <xf numFmtId="0" fontId="9" fillId="28" borderId="0" xfId="0" applyFont="1" applyFill="1"/>
    <xf numFmtId="0" fontId="7" fillId="28" borderId="0" xfId="0" applyFont="1" applyFill="1" applyAlignment="1">
      <alignment horizontal="left"/>
    </xf>
    <xf numFmtId="4" fontId="7" fillId="28" borderId="0" xfId="0" applyNumberFormat="1" applyFont="1" applyFill="1" applyAlignment="1">
      <alignment horizontal="center"/>
    </xf>
    <xf numFmtId="3" fontId="7" fillId="28" borderId="0" xfId="0" applyNumberFormat="1" applyFont="1" applyFill="1" applyAlignment="1">
      <alignment horizontal="center"/>
    </xf>
    <xf numFmtId="3" fontId="7" fillId="12" borderId="0" xfId="0" applyNumberFormat="1" applyFont="1" applyFill="1" applyAlignment="1">
      <alignment horizontal="center"/>
    </xf>
    <xf numFmtId="44" fontId="7" fillId="3" borderId="0" xfId="20" applyFont="1" applyFill="1"/>
    <xf numFmtId="0" fontId="8" fillId="0" borderId="0" xfId="0" applyFont="1" applyAlignment="1">
      <alignment horizontal="center"/>
    </xf>
    <xf numFmtId="0" fontId="56" fillId="29" borderId="26" xfId="0" applyFont="1" applyFill="1" applyBorder="1" applyAlignment="1">
      <alignment horizontal="left" vertical="top"/>
    </xf>
    <xf numFmtId="0" fontId="7" fillId="30" borderId="0" xfId="0" applyFont="1" applyFill="1"/>
    <xf numFmtId="0" fontId="7" fillId="30" borderId="0" xfId="0" applyFont="1" applyFill="1" applyAlignment="1">
      <alignment horizontal="left"/>
    </xf>
    <xf numFmtId="4" fontId="7" fillId="30" borderId="0" xfId="0" applyNumberFormat="1" applyFont="1" applyFill="1" applyAlignment="1">
      <alignment horizontal="center"/>
    </xf>
    <xf numFmtId="14" fontId="7" fillId="8" borderId="0" xfId="0" applyNumberFormat="1" applyFont="1" applyFill="1" applyAlignment="1">
      <alignment horizontal="left"/>
    </xf>
    <xf numFmtId="17" fontId="7" fillId="8" borderId="0" xfId="0" applyNumberFormat="1" applyFont="1" applyFill="1"/>
    <xf numFmtId="0" fontId="7" fillId="0" borderId="0" xfId="0" applyFont="1" applyAlignment="1">
      <alignment horizontal="center" vertical="top" wrapText="1"/>
    </xf>
    <xf numFmtId="164" fontId="7" fillId="0" borderId="0" xfId="11" applyFont="1" applyFill="1" applyAlignment="1">
      <alignment horizontal="left"/>
    </xf>
    <xf numFmtId="3" fontId="3" fillId="0" borderId="0" xfId="0" applyNumberFormat="1" applyFont="1" applyAlignment="1">
      <alignment horizontal="center"/>
    </xf>
    <xf numFmtId="44" fontId="7" fillId="25" borderId="0" xfId="20" applyFont="1" applyFill="1"/>
    <xf numFmtId="14" fontId="7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left" vertical="top"/>
    </xf>
    <xf numFmtId="0" fontId="7" fillId="0" borderId="4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9" fillId="0" borderId="10" xfId="0" applyFont="1" applyBorder="1"/>
    <xf numFmtId="0" fontId="7" fillId="0" borderId="10" xfId="0" applyFont="1" applyBorder="1" applyAlignment="1">
      <alignment horizontal="left"/>
    </xf>
    <xf numFmtId="4" fontId="7" fillId="0" borderId="10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9" fillId="3" borderId="5" xfId="0" applyFont="1" applyFill="1" applyBorder="1"/>
    <xf numFmtId="0" fontId="7" fillId="3" borderId="5" xfId="0" applyFont="1" applyFill="1" applyBorder="1" applyAlignment="1">
      <alignment horizontal="left"/>
    </xf>
    <xf numFmtId="14" fontId="7" fillId="3" borderId="5" xfId="0" applyNumberFormat="1" applyFont="1" applyFill="1" applyBorder="1" applyAlignment="1">
      <alignment horizontal="left"/>
    </xf>
    <xf numFmtId="4" fontId="7" fillId="3" borderId="5" xfId="0" applyNumberFormat="1" applyFont="1" applyFill="1" applyBorder="1" applyAlignment="1">
      <alignment horizontal="center"/>
    </xf>
    <xf numFmtId="3" fontId="7" fillId="3" borderId="5" xfId="0" applyNumberFormat="1" applyFont="1" applyFill="1" applyBorder="1" applyAlignment="1">
      <alignment horizontal="center"/>
    </xf>
    <xf numFmtId="3" fontId="7" fillId="3" borderId="6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4" fontId="7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4" fontId="7" fillId="30" borderId="0" xfId="0" applyNumberFormat="1" applyFont="1" applyFill="1" applyAlignment="1">
      <alignment horizontal="left"/>
    </xf>
    <xf numFmtId="0" fontId="7" fillId="3" borderId="7" xfId="0" applyFont="1" applyFill="1" applyBorder="1" applyAlignment="1">
      <alignment horizontal="center"/>
    </xf>
  </cellXfs>
  <cellStyles count="21">
    <cellStyle name="Comma 2" xfId="12" xr:uid="{16D72037-5758-4AB6-A5B7-ECA012E5E1C7}"/>
    <cellStyle name="Comma 2 2" xfId="19" xr:uid="{4180F80D-BC04-4D26-8101-CC387DC2915C}"/>
    <cellStyle name="Euro" xfId="1" xr:uid="{00000000-0005-0000-0000-000000000000}"/>
    <cellStyle name="Euro 2" xfId="3" xr:uid="{00000000-0005-0000-0000-000001000000}"/>
    <cellStyle name="Euro 2 2" xfId="8" xr:uid="{00000000-0005-0000-0000-000002000000}"/>
    <cellStyle name="Euro 2 2 2" xfId="17" xr:uid="{3D76E249-2AE4-4DF1-80D4-22FB5265AD7A}"/>
    <cellStyle name="Euro 2 3" xfId="14" xr:uid="{414AF780-994A-4E3C-A934-F4F39E5220FC}"/>
    <cellStyle name="Euro 3" xfId="7" xr:uid="{00000000-0005-0000-0000-000003000000}"/>
    <cellStyle name="Euro 3 2" xfId="16" xr:uid="{90D2E7F2-BA7F-4E85-A10A-C599B3011EA5}"/>
    <cellStyle name="Euro 4" xfId="13" xr:uid="{C1EFEE5C-22A4-491D-914F-CEAF637AA0C1}"/>
    <cellStyle name="Milliers" xfId="11" builtinId="3"/>
    <cellStyle name="Milliers 2" xfId="6" xr:uid="{00000000-0005-0000-0000-000004000000}"/>
    <cellStyle name="Milliers 2 2" xfId="10" xr:uid="{00000000-0005-0000-0000-000005000000}"/>
    <cellStyle name="Monétaire" xfId="20" builtinId="4"/>
    <cellStyle name="Monétaire 2" xfId="5" xr:uid="{00000000-0005-0000-0000-000006000000}"/>
    <cellStyle name="Monétaire 2 2" xfId="9" xr:uid="{00000000-0005-0000-0000-000007000000}"/>
    <cellStyle name="Monétaire 2 2 2" xfId="18" xr:uid="{C9FF7D36-2948-498B-9059-6F3760AEDFA4}"/>
    <cellStyle name="Monétaire 2 3" xfId="15" xr:uid="{CD00A487-3936-4F6A-9C76-C7FAEDE11426}"/>
    <cellStyle name="Normal" xfId="0" builtinId="0"/>
    <cellStyle name="Normal 2" xfId="2" xr:uid="{00000000-0005-0000-0000-000009000000}"/>
    <cellStyle name="Normal 3" xfId="4" xr:uid="{00000000-0005-0000-0000-00000A000000}"/>
  </cellStyles>
  <dxfs count="1">
    <dxf>
      <numFmt numFmtId="164" formatCode="_-* #,##0.00\ _€_-;\-* #,##0.00\ _€_-;_-* &quot;-&quot;??\ _€_-;_-@_-"/>
    </dxf>
  </dxfs>
  <tableStyles count="0" defaultTableStyle="TableStyleMedium2" defaultPivotStyle="PivotStyleLight16"/>
  <colors>
    <mruColors>
      <color rgb="FF7EEAC9"/>
      <color rgb="FFFFF7FC"/>
      <color rgb="FFEFF9FF"/>
      <color rgb="FFFFE7FF"/>
      <color rgb="FFF2F8EE"/>
      <color rgb="FFF3F7FF"/>
      <color rgb="FFFCCCEE"/>
      <color rgb="FFC1E0FF"/>
      <color rgb="FFFFE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ette Courtot" id="{5D722C66-54CD-4724-BA14-4D3175BC75F6}" userId="S-1-5-21-3545438779-4267690695-312159412-5245" providerId="AD"/>
  <person displayName="Denis Jankovic" id="{C1B774C4-2BDC-47FE-A14C-957866F51E96}" userId="S::denis.jankovic@abivax.com::26484cef-af28-4ca8-8297-b3bae72dbf67" providerId="AD"/>
  <person displayName="Juliette Courtot" id="{45AC7402-4E01-4AD5-877A-0E611978BA60}" userId="S::juliette.courtot@abivax.com::8d9bb784-bebb-46ac-b4ec-ff7cb89bc48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te Courtot" refreshedDate="45925.751658912035" createdVersion="7" refreshedVersion="8" minRefreshableVersion="3" recordCount="1301" xr:uid="{03D96B45-C077-41ED-AB17-FE4268C4A995}">
  <cacheSource type="worksheet">
    <worksheetSource ref="B2:S1265" sheet="BASE"/>
  </cacheSource>
  <cacheFields count="18">
    <cacheField name="Etat" numFmtId="0">
      <sharedItems containsBlank="1"/>
    </cacheField>
    <cacheField name="projet" numFmtId="0">
      <sharedItems count="48">
        <s v="RSV/FLU"/>
        <s v="ABX464"/>
        <s v="NOTAPP"/>
        <s v="UC105"/>
        <s v="RA301"/>
        <s v="UC103"/>
        <s v="OC910"/>
        <s v="CD202"/>
        <s v="UC107"/>
        <s v="ABX196"/>
        <s v="TP906"/>
        <s v="UC102"/>
        <s v="UC104"/>
        <s v="UC108"/>
        <s v="HIV006"/>
        <s v="196-1"/>
        <s v="NA"/>
        <s v="HIV005"/>
        <s v="AD903"/>
        <s v="UC101"/>
        <s v="CO401"/>
        <s v="RA302"/>
        <s v="MD914"/>
        <s v="UC106"/>
        <s v="HI908"/>
        <s v="RI907"/>
        <s v="QT901"/>
        <s v="DI902"/>
        <s v="BE904"/>
        <s v="JP921"/>
        <s v="CA905"/>
        <s v="UC103/UC104"/>
        <s v="UC103/104"/>
        <s v="UC105/106"/>
        <s v="DHODH1"/>
        <s v="ABX464 + DH"/>
        <s v="ABX711"/>
        <s v="UC103 / UC104"/>
        <s v="UC105/106/107"/>
        <s v="PIP"/>
        <s v="CD201"/>
        <s v="ABX311" u="1"/>
        <s v="RNPVIR" u="1"/>
        <s v="HIV004" u="1"/>
        <s v="HIV006/007" u="1"/>
        <s v="HIV003" u="1"/>
        <s v="464-001 FE" u="1"/>
        <s v="ABX-905" u="1"/>
      </sharedItems>
    </cacheField>
    <cacheField name="Ref." numFmtId="0">
      <sharedItems containsBlank="1"/>
    </cacheField>
    <cacheField name="Departement" numFmtId="0">
      <sharedItems count="12">
        <s v="LAB"/>
        <s v="QA"/>
        <s v="CLI"/>
        <s v="CMC"/>
        <s v="MED"/>
        <s v="BDE"/>
        <s v="QA1"/>
        <s v="DAT"/>
        <s v="REG"/>
        <s v="PV"/>
        <s v="GA1" u="1"/>
        <s v="CLI / CMC" u="1"/>
      </sharedItems>
    </cacheField>
    <cacheField name="PO requestor" numFmtId="0">
      <sharedItems containsBlank="1"/>
    </cacheField>
    <cacheField name="Fournisseur" numFmtId="0">
      <sharedItems count="160">
        <s v="360BIOLABS"/>
        <s v="5M PARTNER"/>
        <s v="ACOBIOM"/>
        <s v="KCAS BIO - ACTIVE BIOMARKERS"/>
        <s v="ADAMAS"/>
        <s v="INOKURA - ADVANCE TECHNOLOGY CORP (ATC)"/>
        <s v="ALMAC"/>
        <s v="ALMAC Sciences"/>
        <s v="ALPHABIOCOM"/>
        <s v="ARCINOVA - QUOTIENT"/>
        <s v="ARTMOLECULE"/>
        <s v="ATLANSTAT"/>
        <s v="BIOBOSTON CONSULTING"/>
        <s v="BIOCLINICA"/>
        <s v="BIOCLINICA GERMANY"/>
        <s v="BIOGAZELLE"/>
        <s v="BIOIVT"/>
        <s v="BIOIVT - XenoTech"/>
        <s v="BIOLEGEND"/>
        <s v="BIOLOG ID"/>
        <s v="BIOSYNTH"/>
        <s v="BIO-TECHNE"/>
        <s v="BRANDSYMBOL"/>
        <s v="C3 RESEARCH"/>
        <s v="CALCIUM"/>
        <s v="CAPEVAL"/>
        <s v="CATALENT"/>
        <s v="CEFASYS"/>
        <s v="Cell&amp;Co"/>
        <s v="CELLCARTA"/>
        <s v="CELLCARTA - BIOGAZELLE"/>
        <s v="CERB - ERBC"/>
        <s v="CHARLES RIVER HUNGARY"/>
        <s v="CHARLES RIVER NETHERLAND"/>
        <s v="CHARLES RIVER ST NAZAIRE"/>
        <s v="CHARLES RIVER ST NAZAIRE (ATLANBIO)"/>
        <s v="CHEMAXON"/>
        <s v="CITOXLAB - CHARLES RIVER EVREUX"/>
        <s v="CLINMARK"/>
        <s v="CNRS"/>
        <s v="CNRS - METi"/>
        <s v="COVANCE"/>
        <s v="CREAPHARM"/>
        <s v="Crohn &amp; colitis Foudation"/>
        <s v="CRS"/>
        <s v="CYTEL INC"/>
        <s v="DELPHARM"/>
        <s v="DELPHARM LILLE"/>
        <s v="DELPHARM PARIS"/>
        <s v="DELPHARM REIMS"/>
        <s v="DEXTRA"/>
        <s v="DLRC"/>
        <s v="DUTSCHER"/>
        <s v="EDETEK"/>
        <s v="EDQM"/>
        <s v="EFS"/>
        <s v="EMA"/>
        <s v="EUROFINS"/>
        <s v="EUROFINS CDMO"/>
        <s v="EUROFINS OPTIMED"/>
        <s v="EUROMEDEX"/>
        <s v="EVEREST"/>
        <s v="EVOTEC"/>
        <s v="FILAB"/>
        <s v="FIONA BOOTH - RICHMOND QA"/>
        <s v="FISHER CLINICAL SERVICES"/>
        <s v="FISHER USA"/>
        <s v="FREYR"/>
        <s v="HARMSON CONSULTING"/>
        <s v="HISTALIM "/>
        <s v="HISTALIM / Cerba Research"/>
        <s v="IQVIA"/>
        <s v="IQVIA UK"/>
        <s v="IQVIA US"/>
        <s v="PCAS" u="1"/>
        <s v="CITOXLAB" u="1"/>
        <s v="QIMR" u="1"/>
        <s v="CHUM" u="1"/>
        <s v="ROOWIN" u="1"/>
        <s v="EZUS" u="1"/>
        <s v="PHINC" u="1"/>
        <s v="ASSOCIATION GEEP" u="1"/>
        <s v="ORION" u="1"/>
        <s v="OPTUM" u="1"/>
        <s v="SPECK - UNIVERSITE ZURICH" u="1"/>
        <s v="SPECK- UNIVERSITE ZURICH" u="1"/>
        <s v="SODIA - Devenu Creapharm" u="1"/>
        <s v="ATLANBIO" u="1"/>
        <s v="COVALAB" u="1"/>
        <s v="IMQUEST" u="1"/>
        <s v="CYPROTEX" u="1"/>
        <s v="Atlanchim" u="1"/>
        <s v="CLINTEC" u="1"/>
        <s v="ONCODESIGN" u="1"/>
        <s v="Polymun" u="1"/>
        <s v="SILICON MARKETING" u="1"/>
        <s v="INTU VIGILANCE" u="1"/>
        <s v="ITSQA" u="1"/>
        <s v="OCEASOFT" u="1"/>
        <s v="DRUGABILIS" u="1"/>
        <s v="ORGAPHARM" u="1"/>
        <s v="DOCUMENT STORE" u="1"/>
        <s v="XEROX Financial" u="1"/>
        <s v="CERB" u="1"/>
        <s v="MD BIOSCIENCES" u="1"/>
        <s v="KAYENTIS" u="1"/>
        <s v="McMaster University" u="1"/>
        <s v="NELSON LAB (EX TOXIKON)" u="1"/>
        <s v="OXYME" u="1"/>
        <s v="MILTENYI" u="1"/>
        <s v="NOVAXIA" u="1"/>
        <s v="PCAS - SEQENS" u="1"/>
        <s v="SCINOPSIS" u="1"/>
        <s v="CROWNBIO BIOSCIENCE" u="1"/>
        <s v="SMC Laboratories" u="1"/>
        <s v="NELSON LAB " u="1"/>
        <s v="NELSON LAB" u="1"/>
        <s v="PHARMAGENESE" u="1"/>
        <s v="SODIA - CREAPHARM" u="1"/>
        <s v="PPD Laboratories" u="1"/>
        <s v="NEOGENOMICS" u="1"/>
        <s v="HISTALIM" u="1"/>
        <s v="IPS Therapeutique" u="1"/>
        <s v="APTUIT - EVOTEC" u="1"/>
        <s v="OZYME" u="1"/>
        <s v="ATLANBIO - CHARLES RIVER" u="1"/>
        <s v="MYRIAD RBM" u="1"/>
        <s v="WORLD COURIER" u="1"/>
        <s v="INSERM" u="1"/>
        <s v="MD ANDERSON" u="1"/>
        <s v="FLUIDIGM" u="1"/>
        <s v="ZIGZAG" u="1"/>
        <s v="NDA PARTNERS" u="1"/>
        <s v="CITOXLAB - CHARLES RIVER" u="1"/>
        <s v="PHARMALEX" u="1"/>
        <s v="ABL LYON" u="1"/>
        <s v="EZUS LYON" u="1"/>
        <s v="SafeBridge Europe" u="1"/>
        <s v="CHARLES RIVER" u="1"/>
        <s v="OLIVIER CHAUZI" u="1"/>
        <s v="ORPHAN (ODC)" u="1"/>
        <s v="ACTIVE BIOMARKERS - ABL LYON" u="1"/>
        <s v="CHARLES RIVER EDINBURGH" u="1"/>
        <s v="LABSERVICE" u="1"/>
        <s v="FUNDACIÓ PRIVADA INSTITUT DE RECERCA DE LA SIDA-CAIXA" u="1"/>
        <s v="PERKIN" u="1"/>
        <s v="LEADS TO DEV" u="1"/>
        <s v="ZINAIDA LINEVYCH" u="1"/>
        <s v="TRICLINIUM" u="1"/>
        <s v="ANITA VOOS" u="1"/>
        <s v="KEYRUS" u="1"/>
        <s v="PRA HEALTH - ICON" u="1"/>
        <s v="ALTASCIENCES" u="1"/>
        <s v="ACTIVE BIOMARKERS (EX ABL LYON)" u="1"/>
        <s v="CHARLES RIVER LYON" u="1"/>
        <s v="SOLADIS" u="1"/>
        <s v="QRC Consultant" u="1"/>
        <s v="SCRIPPS RESEARCH SERVICES" u="1"/>
        <s v="SCOPE INTERNATIONAL" u="1"/>
        <s v="CHARLES RIVER EVERUX (CITOXLAB)" u="1"/>
      </sharedItems>
    </cacheField>
    <cacheField name="Devis" numFmtId="0">
      <sharedItems/>
    </cacheField>
    <cacheField name="PO" numFmtId="0">
      <sharedItems containsBlank="1"/>
    </cacheField>
    <cacheField name="Milestones" numFmtId="0">
      <sharedItems containsBlank="1"/>
    </cacheField>
    <cacheField name="Date Milestones" numFmtId="0">
      <sharedItems containsDate="1" containsBlank="1" containsMixedTypes="1" minDate="2019-12-31T00:00:00" maxDate="2030-11-02T00:00:00"/>
    </cacheField>
    <cacheField name="N° de facture" numFmtId="0">
      <sharedItems containsBlank="1" longText="1"/>
    </cacheField>
    <cacheField name="Date facture" numFmtId="0">
      <sharedItems containsDate="1" containsBlank="1" containsMixedTypes="1" minDate="2017-02-27T00:00:00" maxDate="2025-09-03T00:00:00" longText="1"/>
    </cacheField>
    <cacheField name="Montant Milestones" numFmtId="0">
      <sharedItems containsString="0" containsBlank="1" containsNumber="1" minValue="-3378370" maxValue="27980891.559999999"/>
    </cacheField>
    <cacheField name="Currency" numFmtId="0">
      <sharedItems containsMixedTypes="1" containsNumber="1" containsInteger="1" minValue="65000" maxValue="65000"/>
    </cacheField>
    <cacheField name="Statut" numFmtId="0">
      <sharedItems containsBlank="1" containsMixedTypes="1" containsNumber="1" minValue="-266928" maxValue="9429731.879999999"/>
    </cacheField>
    <cacheField name="To be expected" numFmtId="0">
      <sharedItems containsSemiMixedTypes="0" containsString="0" containsNumber="1" minValue="-3378370" maxValue="18736402.339999996"/>
    </cacheField>
    <cacheField name="Already Booked" numFmtId="0">
      <sharedItems containsSemiMixedTypes="0" containsString="0" containsNumber="1" minValue="-266928" maxValue="9429731.879999999"/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te Courtot" refreshedDate="46052.637337037035" createdVersion="8" refreshedVersion="8" minRefreshableVersion="3" recordCount="2397" xr:uid="{BEC2D689-7322-4FED-B79A-52ADEAFA8EBB}">
  <cacheSource type="worksheet">
    <worksheetSource ref="C2:R2403" sheet="BASE"/>
  </cacheSource>
  <cacheFields count="16">
    <cacheField name="projet" numFmtId="0">
      <sharedItems/>
    </cacheField>
    <cacheField name="Ref." numFmtId="0">
      <sharedItems containsBlank="1"/>
    </cacheField>
    <cacheField name="Departement" numFmtId="0">
      <sharedItems/>
    </cacheField>
    <cacheField name="PO requestor" numFmtId="0">
      <sharedItems containsBlank="1"/>
    </cacheField>
    <cacheField name="Fournisseur" numFmtId="0">
      <sharedItems/>
    </cacheField>
    <cacheField name="Devis" numFmtId="0">
      <sharedItems/>
    </cacheField>
    <cacheField name="PO" numFmtId="0">
      <sharedItems containsBlank="1"/>
    </cacheField>
    <cacheField name="Milestones" numFmtId="0">
      <sharedItems/>
    </cacheField>
    <cacheField name="Date Milestones" numFmtId="0">
      <sharedItems containsDate="1" containsBlank="1" containsMixedTypes="1" minDate="1900-01-09T13:19:13" maxDate="2026-04-02T00:00:00"/>
    </cacheField>
    <cacheField name="N° de facture" numFmtId="0">
      <sharedItems containsDate="1" containsBlank="1" containsMixedTypes="1" minDate="2026-01-06T00:00:00" maxDate="2026-01-07T00:00:00" longText="1"/>
    </cacheField>
    <cacheField name="Date facture" numFmtId="0">
      <sharedItems containsDate="1" containsBlank="1" containsMixedTypes="1" minDate="2017-02-27T00:00:00" maxDate="2026-01-21T00:00:00" longText="1"/>
    </cacheField>
    <cacheField name="Montant Milestones" numFmtId="0">
      <sharedItems containsBlank="1" containsMixedTypes="1" containsNumber="1" minValue="-3378370" maxValue="27980891.559999999"/>
    </cacheField>
    <cacheField name="Currency" numFmtId="0">
      <sharedItems containsMixedTypes="1" containsNumber="1" containsInteger="1" minValue="65000" maxValue="65000" count="7">
        <s v="AUD"/>
        <s v="EUROS"/>
        <s v="GBP"/>
        <s v="USD"/>
        <s v="CHF"/>
        <s v="CAD"/>
        <n v="65000" u="1"/>
      </sharedItems>
    </cacheField>
    <cacheField name="Statut" numFmtId="0">
      <sharedItems containsBlank="1" containsMixedTypes="1" containsNumber="1" minValue="-266928" maxValue="105039574"/>
    </cacheField>
    <cacheField name="To be expected" numFmtId="0">
      <sharedItems containsString="0" containsBlank="1" containsNumber="1" minValue="-3378370" maxValue="17695365.029999997"/>
    </cacheField>
    <cacheField name="Already Booked" numFmtId="0">
      <sharedItems containsSemiMixedTypes="0" containsString="0" containsNumber="1" minValue="-266928" maxValue="105039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1">
  <r>
    <s v="OUT ?"/>
    <x v="0"/>
    <m/>
    <x v="0"/>
    <m/>
    <x v="0"/>
    <s v="QTE-ABIV-02.01"/>
    <m/>
    <s v="Evaluation of the antiviral activity Influenza"/>
    <m/>
    <m/>
    <s v="Mai 2018 ?"/>
    <n v="17100"/>
    <s v="AUD"/>
    <m/>
    <n v="17100"/>
    <n v="0"/>
    <s v="prestations faite en 2018-montant provisionné en déc 2018 (taux 1 AUD : 0.63 USD)"/>
  </r>
  <r>
    <s v="OUT ?"/>
    <x v="0"/>
    <m/>
    <x v="0"/>
    <m/>
    <x v="0"/>
    <s v="Quote ABI201703 - 17541"/>
    <m/>
    <s v="DATA ANALYSIS"/>
    <m/>
    <m/>
    <m/>
    <n v="1350"/>
    <s v="AUD"/>
    <m/>
    <n v="1350"/>
    <n v="0"/>
    <s v="prestations faite en 2017-montant provisionné en déc 2018 (taux 1 AUD : 0.63 USD)"/>
  </r>
  <r>
    <s v="OUT Si Sophie G Confirme"/>
    <x v="1"/>
    <m/>
    <x v="1"/>
    <m/>
    <x v="1"/>
    <s v="0026P23GC OM2023-01v2 - P00111_2023"/>
    <s v="P00111_2023"/>
    <s v="Audit SEQENS ARAMON"/>
    <m/>
    <s v="INV 0047-23-04-B12"/>
    <d v="2023-04-25T00:00:00"/>
    <n v="5367.5"/>
    <s v="EUROS"/>
    <n v="3971.5"/>
    <n v="1396"/>
    <n v="3971.5"/>
    <m/>
  </r>
  <r>
    <s v="OUT Si Sophie G Confirme"/>
    <x v="2"/>
    <m/>
    <x v="1"/>
    <m/>
    <x v="1"/>
    <s v="0026P23GC OM2023-01v2 - P00273_2023"/>
    <s v="P00273_2023"/>
    <s v="Audit Delpharm Lille"/>
    <m/>
    <s v="INV  0145-23-11-B03 + INV 0003-24-01-B03"/>
    <s v="20/11/2023 + 05/01/2024"/>
    <n v="5286.76"/>
    <s v="EUROS"/>
    <n v="4562.76"/>
    <n v="724"/>
    <n v="4562.76"/>
    <m/>
  </r>
  <r>
    <s v="OUT Si Sophie G Confirme"/>
    <x v="1"/>
    <m/>
    <x v="1"/>
    <m/>
    <x v="1"/>
    <s v="0026P23GC OM2023-05v2 - P00296_2023"/>
    <s v="P00296_2023"/>
    <s v="Audit qualification - Patheon Cork"/>
    <m/>
    <s v="INV 0151-23-11-B01 "/>
    <d v="2023-11-29T00:00:00"/>
    <n v="11168"/>
    <s v="EUROS"/>
    <n v="10067.469999999999"/>
    <n v="1100.5300000000007"/>
    <n v="10067.469999999999"/>
    <m/>
  </r>
  <r>
    <s v="OUT Si Sophie G Confirme"/>
    <x v="1"/>
    <m/>
    <x v="1"/>
    <m/>
    <x v="1"/>
    <s v="0026P23Gc OM2023-06v1 - P00315_2023"/>
    <s v="P00315_2023"/>
    <s v="Routine audit SEQENS LAHR"/>
    <m/>
    <s v="INV 0157-23-11-B12"/>
    <d v="2023-11-30T00:00:00"/>
    <n v="4980.5"/>
    <s v="EUROS"/>
    <n v="4282.5"/>
    <n v="698"/>
    <n v="4282.5"/>
    <m/>
  </r>
  <r>
    <s v="OUT Si Sophie G Confirme"/>
    <x v="1"/>
    <m/>
    <x v="1"/>
    <m/>
    <x v="1"/>
    <s v="2024-02 - P00025_2024"/>
    <s v="P00025_2024"/>
    <s v="CAPA Plan review"/>
    <m/>
    <m/>
    <m/>
    <n v="1424.5"/>
    <s v="EUROS"/>
    <m/>
    <n v="1424.5"/>
    <n v="0"/>
    <m/>
  </r>
  <r>
    <s v="OUT ?"/>
    <x v="1"/>
    <m/>
    <x v="2"/>
    <m/>
    <x v="2"/>
    <s v="Q-2017-920 - M00030"/>
    <m/>
    <s v="100 % livraison du resultat"/>
    <m/>
    <m/>
    <m/>
    <n v="1900"/>
    <s v="EUROS"/>
    <m/>
    <n v="1900"/>
    <n v="0"/>
    <m/>
  </r>
  <r>
    <s v="Clôturé"/>
    <x v="3"/>
    <m/>
    <x v="2"/>
    <m/>
    <x v="3"/>
    <s v="Amdt 1 MR_1014 - P00084_2023"/>
    <s v="P00084_2023"/>
    <s v="Amdt 1 Method of validation for the analyse of biomarkers in Phase 3 - UC105/106"/>
    <m/>
    <s v=" INV 20230402479 + INV 20230502510 + INV 20230602534 + INV 20230802593 + INV 20231102669"/>
    <s v="30/04/2023 + 30/05/2023 + 01/07/2023 (recu en 07/2023) + 31/08/2023 + 01/01/2024"/>
    <n v="10550"/>
    <s v="EUROS"/>
    <n v="18579"/>
    <n v="0"/>
    <n v="18579"/>
    <m/>
  </r>
  <r>
    <s v="Clôturé"/>
    <x v="3"/>
    <m/>
    <x v="2"/>
    <s v="Julien"/>
    <x v="3"/>
    <s v="D_98_220512_MR_1015-4 - P00045_2023 + P00451_2023 + P00262_2024 + P00264_2025"/>
    <s v="P00045_2023 + P00451_2023 + P00262_2024 + P00264_2025"/>
    <s v="Analysis for ABX464-105 and ABX464-106 PHASE 3 in ulcer"/>
    <m/>
    <s v="INV 20230202430 + INV 20230302451 + INV 20230602533 + INV 20230702570 + INV 20230902622 + INV 20231102670 + INV 20231002645 + INV 20231202705 + INV 20240102733 + INV 20240202765 + INV 20240302787 + INV 20240402813 + INV 20240602901 + INV 20240702902 + INV 20240802940 + INV 20240902967 + INV 20241002986 + INV 20241103025 + INV 2024123074 + INV 20250103123 + INV 20250203151 + INV 20240502839 + INV 20250303178+INV 20250303178 + INV 20250303210 + INV 2025053272 + INV 20250603277 + INV 20250703312 + INV 20250803346"/>
    <s v="28/02/2023 + 31/03/2023 + 30/06/2023 (recu en 07/2023) + 31/07/2023 + 26/09/2023 + 01/01/2024 + 01/01/2024 + 01/01/2024 + 29/02/2024 + 29/02/2024 + 29/03/2024 + 30/04/2024 + 28/06/2024 + 31/07/2024 + 30/08/2024 + 30/09/2024 + 31/10/2024 + 30/11/2024 + 31/12/2024 +31/01/2025+28/02/2025+31/05/2024+31/03/2025+31/03/2025+29/04/2025+31/05/2025 + 30/06/2025 + 31/07/2025 + 29/08/2025"/>
    <n v="1623265.9"/>
    <s v="EUROS"/>
    <n v="1635525.7100000002"/>
    <n v="0"/>
    <n v="1635525.7100000002"/>
    <m/>
  </r>
  <r>
    <s v="Clôturé"/>
    <x v="3"/>
    <m/>
    <x v="2"/>
    <m/>
    <x v="3"/>
    <s v="MR_1014 - P00220_2022"/>
    <s v="P00220_2022"/>
    <s v="Method of validation for the analyse of biomarkers in Phase 3 - UC105/106"/>
    <m/>
    <s v="INV 20220702199 + INV 20220902266 + INV 202221002308 + INV 20221102326"/>
    <s v="29/07/2022 + 29/09/2022 + 31/10/2022 + 29/11/2022"/>
    <n v="65715"/>
    <s v="EUROS"/>
    <n v="65715"/>
    <n v="0"/>
    <n v="65715"/>
    <m/>
  </r>
  <r>
    <s v="Clôturé"/>
    <x v="3"/>
    <m/>
    <x v="2"/>
    <m/>
    <x v="3"/>
    <s v="MR_1014 WO1 - P00411_2022"/>
    <s v="P00411_2022"/>
    <s v="Method of validation for the analyse of biomarkers in Phase 3 - UC105/106 - Suite des couts"/>
    <m/>
    <s v="INV 20221202373 + INV 20230202412 + INV 20230302450 + INV 20230402479"/>
    <s v="30/12/2022 + 28/02/2023 + 31/03/2023 + 31/04/2023"/>
    <n v="73987"/>
    <s v="EUROS"/>
    <n v="73987"/>
    <n v="0"/>
    <n v="73987"/>
    <m/>
  </r>
  <r>
    <s v="Clôturé"/>
    <x v="3"/>
    <m/>
    <x v="2"/>
    <m/>
    <x v="3"/>
    <s v="D_98_240228_MR_1158 - P00188_2024"/>
    <s v="P00188_2024"/>
    <s v="Evaluation and validation of S-PLEX method"/>
    <m/>
    <s v="INV 20240402814 + INV 20240502840 + INV 20240602872 + INV 20240702904 + INV 20241002988 - INV 20241203072 + INV 20250303179 + INV 20250303179 + INV 20250603278"/>
    <s v="30/04/2024 + 31/05/2024 + 31/06/2024 + 31/07/2024 + 31/10/2024 + 26/12/2024 + 31/03/2025+31/03/2025 + 30/06/2025"/>
    <n v="67916"/>
    <s v="EUROS"/>
    <n v="70368.2"/>
    <n v="0"/>
    <n v="70368.2"/>
    <s v="manque le devis"/>
  </r>
  <r>
    <s v="Clôturé"/>
    <x v="4"/>
    <m/>
    <x v="0"/>
    <m/>
    <x v="3"/>
    <s v="D/098/2509/MPE/0833 - P00783_2020"/>
    <s v="P00783_2020"/>
    <s v="Clinical testing of multiple inflamotory biomarkers RA301"/>
    <m/>
    <s v="INV 20210401813 + INV 20210501820 + INV 20210701870 + INV 20210801894"/>
    <s v="30/04/2021 + 31/05/2021 + 29/07/2021 + 31/08/2021"/>
    <n v="13289.666666666666"/>
    <s v="EUROS"/>
    <n v="19715.93"/>
    <n v="0"/>
    <n v="19715.93"/>
    <m/>
  </r>
  <r>
    <m/>
    <x v="4"/>
    <m/>
    <x v="0"/>
    <m/>
    <x v="3"/>
    <s v="D/098/2509/MPE/0833 - P00783_2020"/>
    <s v="P00783_2020"/>
    <s v="Qualification &amp; testing of multiple inflamotory biomarkers RA301"/>
    <d v="2021-03-01T00:00:00"/>
    <s v="INV 21210101756"/>
    <d v="2021-01-27T00:00:00"/>
    <n v="7246.666666666667"/>
    <s v="EUROS"/>
    <n v="4946.66"/>
    <n v="2300.0066666666671"/>
    <n v="4946.66"/>
    <m/>
  </r>
  <r>
    <s v="Clôturé"/>
    <x v="5"/>
    <m/>
    <x v="2"/>
    <m/>
    <x v="3"/>
    <s v="Devis D/098/140421/MPA/0892 - P00116_2021"/>
    <s v="P00116_2021"/>
    <s v="Cytokines assessments in serum - set up fees"/>
    <m/>
    <s v="INV 20210401817"/>
    <d v="2021-04-30T00:00:00"/>
    <n v="109000"/>
    <s v="EUROS"/>
    <s v="OK"/>
    <n v="0"/>
    <n v="109000"/>
    <m/>
  </r>
  <r>
    <m/>
    <x v="5"/>
    <m/>
    <x v="2"/>
    <m/>
    <x v="3"/>
    <s v="Devis D/098/140421/MPA/0892 - P00116_2021"/>
    <s v="P00116_2021"/>
    <s v="Cytokines assessments in serum - monthy invoices"/>
    <m/>
    <s v="INV 20210701871 + INV 20210901913 + INV 20211001955"/>
    <s v="29/07/2021 + 27/09/2021 + 29/10/2021"/>
    <n v="88381"/>
    <s v="EUROS"/>
    <n v="67794"/>
    <n v="20587"/>
    <n v="67794"/>
    <m/>
  </r>
  <r>
    <s v="Clôturé"/>
    <x v="1"/>
    <m/>
    <x v="1"/>
    <s v="Sophie G"/>
    <x v="4"/>
    <s v="MSA_24057 - P00270_2024"/>
    <s v="P00270_2024"/>
    <s v="25 investigator sites audits"/>
    <m/>
    <s v="INV 2406SIN0000374 + INV 2407SIN0000489 + INV 2409SIN0000640 + INV 2408SIN0000580 + INV 2408SIN0000524 + INV 2409SIN0000653 + INV 2409SIN0000681 + INV 2410SIN0000782 + INV 2410SIN0000813 + INV 2411SIN0000917 + INV 2411SIN0000951 + INV 2412SIN0001042 + INV 2412SIN0001084 + INV 2501SIN0000013 + INV SVGB2-2501SIN0000042 + INV SVGB2-2501SIN0000120 + INV SVGB2-2503SIN0000173 + INV SVGB2-2503SIN0000187 + INV SVGB2-2503SIN0000111 + INV 2504SIN0000259 + INV 2505SIN0000320 + INV 2505SIN0000339+ INV 2506SIN0000386 + INV 2506SIN0000412 + INV 2507SIN000467 +INV 2507SIN000487"/>
    <s v="30/06/2024 + 31/07/2024 + 01/09/2024 + 31/08/2024 + 30/08/2024 + 30/09/2024 + 30/09/2024 + 31/10/2024 + 31/10/2024 + 30/11/2024 + 30/11/2024 + 30/12/2024 + 31/12/2024 + 30/01/2025 + 31/01/2025+28/02/2025 + 31/03/2025 + 31/03/2025 + 30/04/2025 + 31/05/2025 + 31/05/2025+30/06/2025+30/06/2025+31/07/2025+31/07/2025"/>
    <n v="572330"/>
    <s v="EUROS"/>
    <n v="603620.33000000007"/>
    <n v="0"/>
    <n v="603620.33000000007"/>
    <m/>
  </r>
  <r>
    <s v="Clôturé"/>
    <x v="6"/>
    <m/>
    <x v="2"/>
    <m/>
    <x v="5"/>
    <s v="SRV_23057"/>
    <m/>
    <s v="Upon execution of Agreement 50%"/>
    <m/>
    <s v="UPC-2023-022"/>
    <d v="2023-08-07T00:00:00"/>
    <n v="25395"/>
    <s v="EUROS"/>
    <n v="25395"/>
    <n v="0"/>
    <n v="25395"/>
    <m/>
  </r>
  <r>
    <s v="Clôturé"/>
    <x v="6"/>
    <m/>
    <x v="2"/>
    <m/>
    <x v="5"/>
    <s v="SRV_23057"/>
    <m/>
    <s v="upon submission to CA and EC"/>
    <m/>
    <s v="UPC-2023-022"/>
    <d v="2023-08-07T00:00:00"/>
    <n v="25395"/>
    <s v="EUROS"/>
    <n v="25395"/>
    <n v="0"/>
    <n v="25395"/>
    <m/>
  </r>
  <r>
    <s v="Clôturé"/>
    <x v="6"/>
    <m/>
    <x v="2"/>
    <m/>
    <x v="5"/>
    <s v="SRV_23057"/>
    <m/>
    <s v="Upon 1st volunteer included"/>
    <m/>
    <s v="UPC-2023-045"/>
    <d v="2023-11-16T00:00:00"/>
    <n v="133648.5"/>
    <s v="EUROS"/>
    <n v="133648.5"/>
    <n v="0"/>
    <n v="133648.5"/>
    <m/>
  </r>
  <r>
    <s v="Clôturé"/>
    <x v="6"/>
    <m/>
    <x v="2"/>
    <m/>
    <x v="5"/>
    <s v="SRV_23057"/>
    <m/>
    <s v="Upon 10th volunteer included"/>
    <m/>
    <s v="UPC-2023-045"/>
    <d v="2023-11-16T00:00:00"/>
    <n v="133648.5"/>
    <s v="EUROS"/>
    <n v="133648.5"/>
    <n v="0"/>
    <n v="133648.5"/>
    <m/>
  </r>
  <r>
    <s v="Clôturé"/>
    <x v="6"/>
    <m/>
    <x v="2"/>
    <m/>
    <x v="5"/>
    <s v="SRV_23057"/>
    <m/>
    <s v="Upon 19th volunteer included"/>
    <m/>
    <s v="UPC-2023-051"/>
    <d v="2024-01-01T00:00:00"/>
    <n v="133648.5"/>
    <s v="EUROS"/>
    <n v="133648.5"/>
    <n v="0"/>
    <n v="133648.5"/>
    <m/>
  </r>
  <r>
    <s v="Clôturé"/>
    <x v="6"/>
    <m/>
    <x v="2"/>
    <m/>
    <x v="5"/>
    <s v="SRV_23057"/>
    <m/>
    <s v="Upon 28th volunteer included"/>
    <m/>
    <s v="INV UPC-2024-016"/>
    <d v="2024-03-22T00:00:00"/>
    <n v="133648.5"/>
    <s v="EUROS"/>
    <n v="133648.5"/>
    <n v="0"/>
    <n v="133648.5"/>
    <m/>
  </r>
  <r>
    <s v="Clôturé"/>
    <x v="6"/>
    <m/>
    <x v="2"/>
    <m/>
    <x v="5"/>
    <s v="SRV_23057"/>
    <m/>
    <s v="Upon acceptance of the Resultas final report"/>
    <m/>
    <s v="INV UPC-2025-028"/>
    <d v="2025-08-12T00:00:00"/>
    <n v="15000"/>
    <s v="EUROS"/>
    <n v="15000"/>
    <n v="0"/>
    <n v="15000"/>
    <m/>
  </r>
  <r>
    <m/>
    <x v="7"/>
    <m/>
    <x v="3"/>
    <s v="Marianne P"/>
    <x v="6"/>
    <s v="66249 V3 - P00470_2023"/>
    <s v="P00470_2023"/>
    <s v="Packaging, Labelling &amp; Distribution Study CD202"/>
    <m/>
    <s v="INV 30194289 + INV 30196447 + INV 30204897 + INV 30205318 + (INV 30198022 + INV 30200832 + INV 30203066) + INV 30208083 + INV 30209279 + INV  30212405 + INV 30213064 + INV 30216281 + INV 30217187+ INV 30221352 + INV 3022018 + INV 30224282 + INV 30227744 + INV 30228347 + INV 30231575 + INV 30233428"/>
    <s v="01/01/2024 + 31/01/2024 + 31/05/2024 + 30/06/2024 + (28/02/2024 + 31/03/2024 + 30/04/2024) + 31/07/2024 +31/08/2024 + 30/09/2024 + 31/10/2024 + 30/09/2024 + 31/12/2024+28/02/2025 + 31/03/2025 + 30/04/2025 + 31/05/2025+30/06/2025+31/07/2025+31/08/2025"/>
    <n v="700710.55"/>
    <s v="GBP"/>
    <n v="398171.83999999997"/>
    <n v="302538.71000000008"/>
    <n v="398171.83999999997"/>
    <m/>
  </r>
  <r>
    <m/>
    <x v="8"/>
    <m/>
    <x v="3"/>
    <s v="Marianne P"/>
    <x v="6"/>
    <s v="68397_v4 - P00362_2024"/>
    <s v="P00362_2024"/>
    <s v="UC107 - Distribution"/>
    <m/>
    <s v="INV 30207821 + INV 30209972 + INV 30211213 + INV 30216531 + INV 30217515 + INV 30219137 + INV 30221799 + INV 30222330 + INV 30225671 + INV 30227778+INV 30229312+ INV 30231265 + INV 30232961"/>
    <s v="31/07/2024+30/09/2024+30/10/2024+30/11/2024+31/12/2024+31/01/2025+28/02/2025+31/03/2025+30/04/2205+31/05/2025+30/06/2025+31/07/2025+ 31/08/2025"/>
    <n v="7009308.1600000001"/>
    <s v="EUROS"/>
    <n v="747128.41"/>
    <n v="6262179.75"/>
    <n v="747128.41"/>
    <s v="5 990 861,65 GBP"/>
  </r>
  <r>
    <m/>
    <x v="1"/>
    <m/>
    <x v="3"/>
    <s v="Marianne P"/>
    <x v="7"/>
    <s v="3124A0003Cv1 - P00130_2024"/>
    <s v="P00130_2024"/>
    <s v="Validation of ABX464 Assay Method"/>
    <m/>
    <s v="INV PJI-SC01-102684"/>
    <s v="29/04/2024 (recu 05/2024)"/>
    <n v="18290"/>
    <s v="EUROS"/>
    <n v="17690"/>
    <n v="600"/>
    <n v="17690"/>
    <m/>
  </r>
  <r>
    <s v="Clôturé"/>
    <x v="1"/>
    <m/>
    <x v="3"/>
    <s v="Marianne P"/>
    <x v="7"/>
    <s v="3124A0004Cv1 - CO au 3124A0003Cv1 - P00185_2024"/>
    <s v="P00185_2024"/>
    <s v="Validation of ABX464 Assay Method"/>
    <m/>
    <s v="INV PJI-SC01-103202"/>
    <d v="2024-07-30T00:00:00"/>
    <n v="13760"/>
    <s v="EUROS"/>
    <n v="13760"/>
    <n v="0"/>
    <n v="13760"/>
    <m/>
  </r>
  <r>
    <s v="Clôturé"/>
    <x v="1"/>
    <m/>
    <x v="4"/>
    <m/>
    <x v="8"/>
    <s v="SRV_20034 - SOW ABX464"/>
    <m/>
    <s v="Manuscript : Initiation"/>
    <m/>
    <s v="INV 17780"/>
    <d v="2020-05-31T00:00:00"/>
    <n v="11000"/>
    <s v="USD"/>
    <s v="OK"/>
    <n v="0"/>
    <n v="11000"/>
    <m/>
  </r>
  <r>
    <s v="Clôturé"/>
    <x v="1"/>
    <m/>
    <x v="4"/>
    <m/>
    <x v="8"/>
    <s v="SRV_20034 - SOW ABX464"/>
    <m/>
    <s v="Manuscript : Frist Draft"/>
    <m/>
    <s v="INV 17832"/>
    <d v="2020-06-22T00:00:00"/>
    <n v="10750"/>
    <s v="USD"/>
    <s v="OK"/>
    <n v="0"/>
    <n v="10750"/>
    <m/>
  </r>
  <r>
    <s v="Clôturé"/>
    <x v="1"/>
    <m/>
    <x v="4"/>
    <m/>
    <x v="8"/>
    <s v="SRV_20034 - SOW ABX464"/>
    <m/>
    <s v="Manuscript : Submission"/>
    <m/>
    <s v="INV 18158"/>
    <d v="2020-10-20T00:00:00"/>
    <n v="10750"/>
    <s v="USD"/>
    <s v="OK"/>
    <n v="0"/>
    <n v="10750"/>
    <m/>
  </r>
  <r>
    <s v="OUT ? Demander TD si close"/>
    <x v="1"/>
    <m/>
    <x v="4"/>
    <m/>
    <x v="8"/>
    <s v="SRV_20034 - SOW ABX464"/>
    <m/>
    <s v="Postsubmission"/>
    <d v="2020-09-01T00:00:00"/>
    <m/>
    <m/>
    <n v="7250"/>
    <s v="USD"/>
    <m/>
    <n v="7250"/>
    <n v="0"/>
    <m/>
  </r>
  <r>
    <s v="OUT ? Demander TD si close"/>
    <x v="1"/>
    <m/>
    <x v="4"/>
    <m/>
    <x v="8"/>
    <s v="SRV_20034 - SOW ABX464"/>
    <m/>
    <s v="Reformat"/>
    <d v="2020-09-01T00:00:00"/>
    <m/>
    <m/>
    <n v="2500"/>
    <s v="USD"/>
    <m/>
    <n v="2500"/>
    <n v="0"/>
    <m/>
  </r>
  <r>
    <s v="Clôturé"/>
    <x v="1"/>
    <m/>
    <x v="4"/>
    <m/>
    <x v="8"/>
    <s v="SRV_20034 - SOW ABX464"/>
    <m/>
    <s v="Publication Extender : Audio Interveiw"/>
    <d v="2020-10-01T00:00:00"/>
    <m/>
    <m/>
    <n v="0"/>
    <s v="USD"/>
    <m/>
    <n v="0"/>
    <n v="0"/>
    <m/>
  </r>
  <r>
    <s v="Clôturé"/>
    <x v="1"/>
    <m/>
    <x v="4"/>
    <m/>
    <x v="8"/>
    <s v="SRV_20034 - SOW ABX464"/>
    <m/>
    <s v="Publication Extender : Visual Abstract"/>
    <d v="2020-10-01T00:00:00"/>
    <m/>
    <m/>
    <n v="0"/>
    <s v="USD"/>
    <m/>
    <n v="0"/>
    <n v="0"/>
    <m/>
  </r>
  <r>
    <s v="Clôturé"/>
    <x v="1"/>
    <m/>
    <x v="4"/>
    <m/>
    <x v="8"/>
    <s v="SRV_20034 - SOW ABX464"/>
    <m/>
    <s v="Publication Extender : Video Abstract"/>
    <d v="2020-10-01T00:00:00"/>
    <m/>
    <m/>
    <n v="0"/>
    <s v="USD"/>
    <m/>
    <n v="0"/>
    <n v="0"/>
    <m/>
  </r>
  <r>
    <s v="Clôturé"/>
    <x v="1"/>
    <m/>
    <x v="4"/>
    <m/>
    <x v="8"/>
    <s v="SRV_20034 - SOW ABX464"/>
    <m/>
    <s v="PTC - Expenses"/>
    <m/>
    <m/>
    <m/>
    <n v="0"/>
    <s v="USD"/>
    <m/>
    <n v="0"/>
    <n v="0"/>
    <m/>
  </r>
  <r>
    <s v="Clôturé"/>
    <x v="9"/>
    <m/>
    <x v="4"/>
    <m/>
    <x v="8"/>
    <s v="SRV_20113 - SOW ABX196"/>
    <m/>
    <s v="Initiatation"/>
    <m/>
    <s v="INV 18097"/>
    <d v="2020-09-29T00:00:00"/>
    <n v="3000"/>
    <s v="USD"/>
    <s v="OK"/>
    <n v="0"/>
    <n v="3000"/>
    <m/>
  </r>
  <r>
    <s v="OUT ? Demander TD si close"/>
    <x v="9"/>
    <m/>
    <x v="4"/>
    <m/>
    <x v="8"/>
    <s v="SRV_20113 - SOW ABX196"/>
    <m/>
    <s v="Submission to journal"/>
    <d v="2020-11-01T00:00:00"/>
    <m/>
    <m/>
    <n v="3000"/>
    <s v="USD"/>
    <m/>
    <n v="3000"/>
    <n v="0"/>
    <m/>
  </r>
  <r>
    <s v="OUT ? Demander confirmation a JD"/>
    <x v="1"/>
    <m/>
    <x v="3"/>
    <m/>
    <x v="9"/>
    <s v="M 20 2677-C - P00816_2020"/>
    <s v="P00816_2020"/>
    <s v="Synthesis of GMP grade radiolabelled ABX464 - On distribution of the GMP to the clinical facility"/>
    <d v="2021-12-31T00:00:00"/>
    <s v="INV 5466"/>
    <d v="2021-10-07T00:00:00"/>
    <n v="2992"/>
    <s v="GBP"/>
    <n v="1959.84"/>
    <n v="1032.1600000000001"/>
    <n v="1959.84"/>
    <m/>
  </r>
  <r>
    <s v="Clôturé"/>
    <x v="1"/>
    <m/>
    <x v="3"/>
    <m/>
    <x v="9"/>
    <s v="M 20 2677-C - P00816_2020"/>
    <s v="P00816_2020"/>
    <s v="Synthesis of GMP grade radiolabelled ABX464 - Optional activities - Preparation of dossier drug substance for IND or IMPD - 35%"/>
    <m/>
    <s v="INV 4339"/>
    <d v="2020-11-10T00:00:00"/>
    <n v="5588.0999999999995"/>
    <s v="GBP"/>
    <s v="OK"/>
    <n v="0"/>
    <n v="5588.0999999999995"/>
    <m/>
  </r>
  <r>
    <s v="?"/>
    <x v="1"/>
    <m/>
    <x v="3"/>
    <m/>
    <x v="9"/>
    <s v="M 20 2677-C - P00816_2020"/>
    <s v="P00816_2020"/>
    <s v="Synthesis of GMP grade radiolabelled ABX464 - Optional activities - Preparation of dossier drug substance for IND or IMPD - 65% - 10377,9 €"/>
    <m/>
    <m/>
    <m/>
    <n v="0"/>
    <s v="GBP"/>
    <m/>
    <n v="0"/>
    <n v="0"/>
    <m/>
  </r>
  <r>
    <s v="Clôturé"/>
    <x v="1"/>
    <m/>
    <x v="3"/>
    <m/>
    <x v="9"/>
    <s v="M 20 2677-C - P00816_2020"/>
    <s v="P00816_2020"/>
    <s v="Synthesis of GMP grade radiolabelled ABX464 - Optional activities - Preparation of dossier drug product for IND or IMPD - 35%"/>
    <m/>
    <s v="INV 4339"/>
    <d v="2020-11-10T00:00:00"/>
    <n v="5334"/>
    <s v="GBP"/>
    <s v="OK"/>
    <n v="0"/>
    <n v="5334"/>
    <m/>
  </r>
  <r>
    <s v="?"/>
    <x v="1"/>
    <m/>
    <x v="3"/>
    <m/>
    <x v="9"/>
    <s v="M 20 2677-C - P00816_2020"/>
    <s v="P00816_2020"/>
    <s v="Synthesis of GMP grade radiolabelled ABX464 - Optional activities - Preparation of dossier drug product for IND or IMPD - 65% - 9 906 €"/>
    <m/>
    <m/>
    <m/>
    <n v="0"/>
    <s v="GBP"/>
    <m/>
    <n v="0"/>
    <n v="0"/>
    <m/>
  </r>
  <r>
    <s v="OUT ? Chercher les factures"/>
    <x v="1"/>
    <m/>
    <x v="3"/>
    <m/>
    <x v="10"/>
    <s v="P2311232 - P00440_2023"/>
    <s v="P00440_2023"/>
    <s v="Synthèse de métabolite de ABX464"/>
    <m/>
    <s v="INV 032321 + INV 032324"/>
    <s v="01/01/2024 + 10/01/2024"/>
    <n v="36485"/>
    <s v="EUROS"/>
    <n v="21840"/>
    <n v="14645"/>
    <n v="21840"/>
    <m/>
  </r>
  <r>
    <s v="OUT ? Chercher les factures"/>
    <x v="1"/>
    <m/>
    <x v="3"/>
    <m/>
    <x v="10"/>
    <s v="P2403011 - P00142_2024"/>
    <s v="P00142_2024"/>
    <s v="Synthèse de métabolite de ABX464"/>
    <m/>
    <s v="INV 032335"/>
    <d v="2024-03-14T00:00:00"/>
    <n v="16800"/>
    <s v="EUROS"/>
    <n v="5040"/>
    <n v="11760"/>
    <n v="5040"/>
    <m/>
  </r>
  <r>
    <s v="OUT ? Chercher les factures"/>
    <x v="1"/>
    <m/>
    <x v="3"/>
    <s v="Saadia"/>
    <x v="10"/>
    <s v="P2404112 - P00217_2024"/>
    <s v="P00217_2024"/>
    <s v="Shipment to USA"/>
    <m/>
    <m/>
    <m/>
    <n v="2759.1"/>
    <s v="EUROS"/>
    <m/>
    <n v="2759.1"/>
    <n v="0"/>
    <m/>
  </r>
  <r>
    <s v="OUT ? Chercher les factures"/>
    <x v="1"/>
    <m/>
    <x v="3"/>
    <s v="Saadia"/>
    <x v="10"/>
    <s v="P2404111 - P00216_2024"/>
    <s v="P00216_2024"/>
    <s v="Shipment to Netherlands"/>
    <m/>
    <m/>
    <m/>
    <n v="2005.4"/>
    <s v="EUROS"/>
    <m/>
    <n v="2005.4"/>
    <n v="0"/>
    <m/>
  </r>
  <r>
    <s v="OUT ? Chercher les factures"/>
    <x v="1"/>
    <m/>
    <x v="3"/>
    <s v="Saadia"/>
    <x v="10"/>
    <s v="P2404091 - P00198_2024"/>
    <s v="P00198_2024"/>
    <s v="refacturation Worldcourier"/>
    <m/>
    <m/>
    <m/>
    <n v="2082.1999999999998"/>
    <s v="EUROS"/>
    <m/>
    <n v="2082.1999999999998"/>
    <n v="0"/>
    <m/>
  </r>
  <r>
    <s v="Clôturé"/>
    <x v="6"/>
    <m/>
    <x v="2"/>
    <m/>
    <x v="11"/>
    <s v="SRV_23063"/>
    <m/>
    <s v="LOI ABX464-910 - From protocol initiation to protocol sub"/>
    <m/>
    <s v="INV F-230511007"/>
    <d v="2023-05-31T00:00:00"/>
    <n v="47000"/>
    <s v="EUROS"/>
    <n v="47000"/>
    <n v="0"/>
    <n v="47000"/>
    <m/>
  </r>
  <r>
    <s v="Clôturé"/>
    <x v="6"/>
    <m/>
    <x v="2"/>
    <m/>
    <x v="11"/>
    <s v="SRV_23063"/>
    <m/>
    <s v="At e-CRF go live"/>
    <m/>
    <s v="INV F-23091215"/>
    <d v="2023-09-29T00:00:00"/>
    <n v="44000"/>
    <s v="EUROS"/>
    <n v="44000"/>
    <n v="0"/>
    <n v="44000"/>
    <m/>
  </r>
  <r>
    <s v="Clôturé"/>
    <x v="6"/>
    <m/>
    <x v="2"/>
    <m/>
    <x v="11"/>
    <s v="SRV_23063"/>
    <m/>
    <s v="At study completion of the 12th subject"/>
    <m/>
    <s v="INV F-24031345"/>
    <d v="2024-03-29T00:00:00"/>
    <n v="44000"/>
    <s v="EUROS"/>
    <n v="44000"/>
    <n v="0"/>
    <n v="44000"/>
    <m/>
  </r>
  <r>
    <s v="Clôturé"/>
    <x v="6"/>
    <m/>
    <x v="2"/>
    <m/>
    <x v="11"/>
    <s v="SRV_23063"/>
    <m/>
    <s v="At study completion of the 24th subject"/>
    <m/>
    <s v="INV F-24051398"/>
    <d v="2024-05-28T00:00:00"/>
    <n v="44000"/>
    <s v="EUROS"/>
    <n v="44000"/>
    <n v="0"/>
    <n v="44000"/>
    <m/>
  </r>
  <r>
    <s v="Clôturé"/>
    <x v="6"/>
    <m/>
    <x v="2"/>
    <s v="Josainne"/>
    <x v="11"/>
    <s v="SRV_23063_A2 - ATL-2023-125"/>
    <m/>
    <s v="At study completion of the 36th subject"/>
    <m/>
    <s v="INV F-24081460"/>
    <d v="2024-08-31T00:00:00"/>
    <n v="65000"/>
    <s v="EUROS"/>
    <n v="65000"/>
    <n v="0"/>
    <n v="65000"/>
    <m/>
  </r>
  <r>
    <s v="Clôturé"/>
    <x v="6"/>
    <m/>
    <x v="2"/>
    <s v="Josainne"/>
    <x v="11"/>
    <s v="SRV_23063_A2 - ATL-2023-125"/>
    <m/>
    <s v="At database lock"/>
    <m/>
    <s v="INV F-24101507"/>
    <d v="2024-10-31T00:00:00"/>
    <n v="65000"/>
    <n v="65000"/>
    <n v="65000"/>
    <n v="0"/>
    <n v="65000"/>
    <m/>
  </r>
  <r>
    <s v="Clôturé"/>
    <x v="6"/>
    <m/>
    <x v="2"/>
    <s v="Josainne"/>
    <x v="11"/>
    <s v="SRV_23063_A2 - ATL-2023-125"/>
    <m/>
    <s v="After sending statistical exhaustive results"/>
    <m/>
    <s v="INV F-24121534"/>
    <d v="2024-12-10T00:00:00"/>
    <n v="12500"/>
    <s v="EUROS"/>
    <n v="12500"/>
    <n v="0"/>
    <n v="12500"/>
    <m/>
  </r>
  <r>
    <m/>
    <x v="6"/>
    <m/>
    <x v="2"/>
    <s v="Josainne"/>
    <x v="11"/>
    <s v="SRV_23063_A2 - ATL-2023-125"/>
    <m/>
    <s v="After sending TMF to the sponsor"/>
    <d v="2025-01-31T00:00:00"/>
    <m/>
    <m/>
    <n v="12131.5"/>
    <s v="EUROS"/>
    <m/>
    <n v="12131.5"/>
    <n v="0"/>
    <m/>
  </r>
  <r>
    <s v="Clôturé"/>
    <x v="10"/>
    <m/>
    <x v="2"/>
    <m/>
    <x v="11"/>
    <s v="SRV_23118 - P00306_2023"/>
    <s v="P00306_2023"/>
    <s v="Data management, biostatistics - contract signature"/>
    <m/>
    <s v="INV F-23091181"/>
    <d v="2023-09-18T00:00:00"/>
    <n v="39856.550000000003"/>
    <s v="EUROS"/>
    <n v="39856.550000000003"/>
    <n v="0"/>
    <n v="39856.550000000003"/>
    <m/>
  </r>
  <r>
    <s v="Clôturé"/>
    <x v="10"/>
    <m/>
    <x v="2"/>
    <m/>
    <x v="11"/>
    <s v="SRV_23118 - P00306_2023 + A1"/>
    <s v="P00306_2023"/>
    <s v="Data management, biostatistics - e-CRF go live"/>
    <m/>
    <s v="INV F-24031346"/>
    <d v="2024-03-29T00:00:00"/>
    <n v="59784.82"/>
    <s v="EUROS"/>
    <n v="59784.83"/>
    <n v="0"/>
    <n v="59784.83"/>
    <m/>
  </r>
  <r>
    <s v="Clôturé"/>
    <x v="10"/>
    <m/>
    <x v="2"/>
    <m/>
    <x v="11"/>
    <s v="SRV_23118 - P00306_2023 + A1 + A2"/>
    <s v="P00306_2023"/>
    <s v="Data management, biostatistics - At signature Amdt 2"/>
    <m/>
    <s v="INV F-24091496"/>
    <d v="2024-09-30T00:00:00"/>
    <n v="44000"/>
    <s v="EUROS"/>
    <n v="44000"/>
    <n v="0"/>
    <n v="44000"/>
    <m/>
  </r>
  <r>
    <s v="Clôturé"/>
    <x v="10"/>
    <m/>
    <x v="2"/>
    <m/>
    <x v="11"/>
    <s v="SRV_23118 - P00306_2023 + A1 + A2"/>
    <s v="P00306_2023"/>
    <s v="Data management, biostatistics - After interim dry-run SDTM domains"/>
    <m/>
    <s v="INV F-24091496"/>
    <d v="2024-09-30T00:00:00"/>
    <n v="66000"/>
    <s v="EUROS"/>
    <n v="66000"/>
    <n v="0"/>
    <n v="66000"/>
    <m/>
  </r>
  <r>
    <s v="Clôturé"/>
    <x v="10"/>
    <m/>
    <x v="2"/>
    <m/>
    <x v="11"/>
    <s v="SRV_23118 - P00306_2023 + A1 + A2"/>
    <s v="P00306_2023"/>
    <s v="Data management, biostatistics - database lock part A&amp;B"/>
    <m/>
    <s v="INV F-25031601"/>
    <d v="2025-03-31T00:00:00"/>
    <n v="30000"/>
    <s v="EUROS"/>
    <n v="30000"/>
    <n v="0"/>
    <n v="30000"/>
    <m/>
  </r>
  <r>
    <s v="Clôturé"/>
    <x v="10"/>
    <m/>
    <x v="2"/>
    <m/>
    <x v="11"/>
    <s v="SRV_23118 - P00306_2023 + A1 + A2"/>
    <s v="P00306_2023 (P00116_2024)"/>
    <s v="Data management, biostatistics - sending safety stat &amp; ADaM package"/>
    <m/>
    <s v="INV F-25051656"/>
    <d v="2025-05-31T00:00:00"/>
    <n v="5944.37"/>
    <s v="EUROS"/>
    <n v="5944.37"/>
    <n v="0"/>
    <n v="5944.37"/>
    <s v="Cf email du 14/10/2024"/>
  </r>
  <r>
    <s v="Clôturé"/>
    <x v="6"/>
    <m/>
    <x v="2"/>
    <s v="Josainne"/>
    <x v="11"/>
    <s v="SRV_23063_A1 - ATL-2023-125"/>
    <m/>
    <s v="At contact amendment signature"/>
    <m/>
    <s v="INV F24-011299"/>
    <d v="2024-01-31T00:00:00"/>
    <n v="10160"/>
    <s v="EUROS"/>
    <n v="10160"/>
    <n v="0"/>
    <n v="10160"/>
    <m/>
  </r>
  <r>
    <s v="Clôturé"/>
    <x v="6"/>
    <m/>
    <x v="2"/>
    <s v="Josainne"/>
    <x v="11"/>
    <s v="SRV_23063_A2 - ATL-2023-125"/>
    <m/>
    <s v="At contact amendment signature"/>
    <m/>
    <s v="INV F-24061415"/>
    <d v="2024-06-28T00:00:00"/>
    <n v="44000"/>
    <s v="EUROS"/>
    <n v="44000"/>
    <n v="0"/>
    <n v="44000"/>
    <m/>
  </r>
  <r>
    <s v="Clôturé"/>
    <x v="6"/>
    <m/>
    <x v="2"/>
    <s v="Josainne"/>
    <x v="11"/>
    <s v="SRV_23063_A1 - ATL-2023-125"/>
    <m/>
    <s v="At study completion of the 12th subject"/>
    <m/>
    <s v="INV F-24031345"/>
    <d v="2024-03-29T00:00:00"/>
    <n v="10160"/>
    <s v="EUROS"/>
    <n v="10160"/>
    <n v="0"/>
    <n v="10160"/>
    <m/>
  </r>
  <r>
    <s v="Clôturé"/>
    <x v="6"/>
    <m/>
    <x v="2"/>
    <s v="Josainne"/>
    <x v="11"/>
    <s v="SRV_23063_A1 - ATL-2023-125"/>
    <m/>
    <s v="At study completion of the 24th subject"/>
    <m/>
    <s v="INV F-24051398"/>
    <d v="2024-05-28T00:00:00"/>
    <n v="10160"/>
    <s v="EUROS"/>
    <n v="10160"/>
    <n v="0"/>
    <n v="10160"/>
    <m/>
  </r>
  <r>
    <s v="Clôturé"/>
    <x v="10"/>
    <m/>
    <x v="2"/>
    <m/>
    <x v="11"/>
    <s v="SRV_23118_A1 - P00116_2024"/>
    <s v="P00116_2024"/>
    <s v="Data management, biostatistics - At Amdt signature"/>
    <m/>
    <s v="INV F-24021324"/>
    <d v="2024-02-29T00:00:00"/>
    <n v="5963"/>
    <s v="EUROS"/>
    <n v="5963"/>
    <n v="0"/>
    <n v="5963"/>
    <m/>
  </r>
  <r>
    <s v="Clôturé"/>
    <x v="10"/>
    <m/>
    <x v="2"/>
    <m/>
    <x v="11"/>
    <s v="SRV_23118_A1 - P00116_2024"/>
    <s v="P00116_2024"/>
    <s v="Data management, biostatistics - At databaselock parts A&amp;B"/>
    <m/>
    <m/>
    <m/>
    <n v="0"/>
    <s v="EUROS"/>
    <m/>
    <n v="0"/>
    <n v="0"/>
    <s v="Intégré dans A2"/>
  </r>
  <r>
    <s v="Clôturé"/>
    <x v="10"/>
    <m/>
    <x v="2"/>
    <m/>
    <x v="11"/>
    <s v="SRV_23118_A1 - P00116_2024"/>
    <s v="P00116_2024"/>
    <s v="Data management, biostatistics - After sending safety stat &amp; ADaM Package"/>
    <m/>
    <m/>
    <m/>
    <n v="0"/>
    <s v="EUROS"/>
    <m/>
    <n v="0"/>
    <n v="0"/>
    <s v="Intégré dans A2"/>
  </r>
  <r>
    <s v="OUT ? Chercher les factures"/>
    <x v="1"/>
    <m/>
    <x v="1"/>
    <m/>
    <x v="12"/>
    <s v="SOW#1 - P00167_2024"/>
    <s v="P00167_2024"/>
    <s v="Consuling for CMC ABX464"/>
    <m/>
    <m/>
    <m/>
    <n v="7700"/>
    <s v="USD"/>
    <m/>
    <n v="7700"/>
    <n v="0"/>
    <m/>
  </r>
  <r>
    <s v="OUT ? Chercher les factures"/>
    <x v="1"/>
    <m/>
    <x v="3"/>
    <m/>
    <x v="12"/>
    <s v="SOW#1 - P00183_2024"/>
    <s v="P00183_2024"/>
    <s v="FDA Expert Consultation"/>
    <m/>
    <m/>
    <m/>
    <n v="1540"/>
    <s v="USD"/>
    <m/>
    <n v="1540"/>
    <n v="0"/>
    <s v="doublon avec le PO00167_2024 ?"/>
  </r>
  <r>
    <s v="Clôturé"/>
    <x v="11"/>
    <m/>
    <x v="2"/>
    <m/>
    <x v="13"/>
    <s v="ABX464-102 Code projet 10008132"/>
    <m/>
    <s v="Study preparation, Site SetUp &amp; Standardization - (1.1) Study Set-up"/>
    <m/>
    <s v="INV BCI-0033503"/>
    <d v="2020-01-31T00:00:00"/>
    <n v="5196.333333333333"/>
    <s v="EUROS"/>
    <s v="OK"/>
    <n v="0"/>
    <n v="5196.333333333333"/>
    <m/>
  </r>
  <r>
    <s v="Clôturé"/>
    <x v="11"/>
    <m/>
    <x v="2"/>
    <m/>
    <x v="13"/>
    <s v="ABX464-102 Code projet 10008132"/>
    <m/>
    <s v="Study preparation, Site SetUp &amp; Standardization - (1.2) Study Set-up Documentation"/>
    <m/>
    <s v="INC BCI-0034310"/>
    <d v="2020-02-29T00:00:00"/>
    <n v="1690.3333333333333"/>
    <s v="EUROS"/>
    <s v="OK"/>
    <n v="0"/>
    <n v="1690.3333333333333"/>
    <m/>
  </r>
  <r>
    <s v="Clôturé"/>
    <x v="11"/>
    <m/>
    <x v="2"/>
    <m/>
    <x v="13"/>
    <s v="ABX464-102 Code projet 10008132"/>
    <m/>
    <s v="Study preparation, Site SetUp &amp; Standardization - (1.4) Study Set-up Site Qualification &amp; Equipment Assessment"/>
    <d v="2020-06-01T00:00:00"/>
    <m/>
    <m/>
    <n v="578.66666666666663"/>
    <s v="EUROS"/>
    <m/>
    <n v="0"/>
    <n v="0"/>
    <m/>
  </r>
  <r>
    <s v="Clôturé"/>
    <x v="11"/>
    <m/>
    <x v="2"/>
    <m/>
    <x v="13"/>
    <s v="ABX464-102 Code projet 10008132"/>
    <m/>
    <s v="Study preparation, Site SetUp &amp; Standardization - (1.5) Study Set-up Scientific &amp; Reg Services"/>
    <m/>
    <s v="INV BCI-0033503 + INV BCI-0034310 + INV BCI-0035089"/>
    <s v="31/01/2020 + 29/02/2020 + 31/03/2020"/>
    <n v="5409"/>
    <s v="EUROS"/>
    <n v="5409"/>
    <n v="0"/>
    <n v="5409"/>
    <m/>
  </r>
  <r>
    <s v="Clôturé"/>
    <x v="11"/>
    <m/>
    <x v="2"/>
    <m/>
    <x v="13"/>
    <s v="ABX464-102 Code projet 10008132"/>
    <m/>
    <s v="Study preparation, Site SetUp &amp; Standardization - (1.1) Study Set-up"/>
    <m/>
    <s v="INV BCI-0033503"/>
    <d v="2020-01-31T00:00:00"/>
    <n v="5196.333333333333"/>
    <s v="EUROS"/>
    <s v="OK"/>
    <n v="0"/>
    <n v="5196.333333333333"/>
    <m/>
  </r>
  <r>
    <s v="Clôturé"/>
    <x v="11"/>
    <m/>
    <x v="2"/>
    <m/>
    <x v="13"/>
    <s v="ABX464-102 Code projet 10008132"/>
    <m/>
    <s v="Study preparation, Site SetUp &amp; Standardization - (1.2) Study Set-up Documentation"/>
    <m/>
    <s v="INC BCI-0034310"/>
    <d v="2020-02-29T00:00:00"/>
    <n v="1690.3333333333333"/>
    <s v="EUROS"/>
    <s v="OK"/>
    <n v="0"/>
    <n v="1690.3333333333333"/>
    <m/>
  </r>
  <r>
    <s v="Clôturé"/>
    <x v="11"/>
    <m/>
    <x v="2"/>
    <m/>
    <x v="13"/>
    <s v="ABX464-102 Code projet 10008132"/>
    <m/>
    <s v="Study preparation, Site SetUp &amp; Standardization - (1.4) Study Set-up Site Qualification &amp; Equipment Assessment"/>
    <d v="2020-06-01T00:00:00"/>
    <s v="INV BCI-0035980 + INV BCI-0036764"/>
    <s v="30/04/2020 + 31/05/2020"/>
    <n v="578.66666666666663"/>
    <s v="EUROS"/>
    <n v="548"/>
    <n v="0"/>
    <n v="548"/>
    <m/>
  </r>
  <r>
    <s v="Clôturé"/>
    <x v="11"/>
    <m/>
    <x v="2"/>
    <m/>
    <x v="13"/>
    <s v="ABX464-102 Code projet 10008132"/>
    <m/>
    <s v="Study preparation, Site SetUp &amp; Standardization - (1.5) Study Set-up Scientific &amp; Reg Services"/>
    <m/>
    <s v="INV BCI-0035089"/>
    <d v="2020-03-31T00:00:00"/>
    <n v="5409"/>
    <s v="EUROS"/>
    <n v="5409"/>
    <n v="0"/>
    <n v="5409"/>
    <m/>
  </r>
  <r>
    <s v="Clôturé"/>
    <x v="11"/>
    <m/>
    <x v="2"/>
    <m/>
    <x v="13"/>
    <s v="ABX464-102 Code projet 10008132"/>
    <m/>
    <s v="Study preparation, Site SetUp &amp; Standardization - (1.1) Study Set-up"/>
    <m/>
    <s v="INV BCI-0033503"/>
    <d v="2020-01-31T00:00:00"/>
    <n v="5196.333333333333"/>
    <s v="EUROS"/>
    <s v="OK"/>
    <n v="0"/>
    <n v="5196.333333333333"/>
    <m/>
  </r>
  <r>
    <s v="Clôturé"/>
    <x v="11"/>
    <m/>
    <x v="2"/>
    <m/>
    <x v="13"/>
    <s v="ABX464-102 Code projet 10008132"/>
    <m/>
    <s v="Study preparation, Site SetUp &amp; Standardization - (1.2) Study Set-up Documentation"/>
    <m/>
    <s v="INC BCI-0034310"/>
    <d v="2020-02-29T00:00:00"/>
    <n v="1690.3333333333333"/>
    <s v="EUROS"/>
    <s v="OK"/>
    <n v="0"/>
    <n v="1690.3333333333333"/>
    <m/>
  </r>
  <r>
    <s v="Clôturé"/>
    <x v="11"/>
    <m/>
    <x v="2"/>
    <m/>
    <x v="13"/>
    <s v="ABX464-102 Code projet 10008132"/>
    <m/>
    <s v="Study preparation, Site SetUp &amp; Standardization - (1.4) Study Set-up Site Qualification &amp; Equipment Assessment"/>
    <m/>
    <s v="INV BCI-0035089"/>
    <d v="2020-03-31T00:00:00"/>
    <n v="578.66666666666663"/>
    <s v="EUROS"/>
    <n v="571"/>
    <n v="0"/>
    <n v="571"/>
    <m/>
  </r>
  <r>
    <s v="Clôturé"/>
    <x v="11"/>
    <m/>
    <x v="2"/>
    <m/>
    <x v="13"/>
    <s v="ABX464-102 Code projet 10008132"/>
    <m/>
    <s v="Study preparation, Site SetUp &amp; Standardization - (1.5) Study Set-up Scientific &amp; Reg Services"/>
    <d v="2020-06-01T00:00:00"/>
    <s v="INV BCI-0035089 + INV BCI-0035980 + INV BCI-0036764 + INV BCI-0037859"/>
    <s v="31/03/2020 + 30/04/2020 + 31/05/2020 + 31/07/2020"/>
    <n v="5409"/>
    <s v="EUROS"/>
    <n v="4661"/>
    <n v="0"/>
    <n v="4661"/>
    <m/>
  </r>
  <r>
    <s v="Clôturé"/>
    <x v="11"/>
    <m/>
    <x v="2"/>
    <m/>
    <x v="13"/>
    <s v="ABX464-102 Code projet 10008132"/>
    <m/>
    <s v="Training and meeting (2.1)"/>
    <m/>
    <s v="INV BCI-0037859"/>
    <d v="2020-07-31T00:00:00"/>
    <n v="50"/>
    <s v="EUROS"/>
    <s v="OK"/>
    <n v="0"/>
    <n v="50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3503"/>
    <d v="2020-01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5089"/>
    <d v="2020-03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5089"/>
    <d v="2020-03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5980"/>
    <d v="2020-04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6764"/>
    <d v="2020-05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6955"/>
    <d v="2020-06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7859"/>
    <d v="2020-07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9262"/>
    <d v="2020-08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0098"/>
    <d v="2020-09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1023"/>
    <d v="2020-10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1872"/>
    <d v="2020-11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2783"/>
    <d v="2020-12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3764"/>
    <d v="2021-01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4667"/>
    <d v="2021-02-28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5600"/>
    <d v="2021-03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6585"/>
    <d v="2021-04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7560"/>
    <d v="2021-05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8511"/>
    <d v="2021-06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9572"/>
    <d v="2021-07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50566"/>
    <d v="2021-08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2) Project Managment &amp; Site Technical Support StartUp sur 3 mois"/>
    <m/>
    <s v="INV BCI-0033503"/>
    <d v="2020-01-31T00:00:00"/>
    <n v="2034"/>
    <s v="EUROS"/>
    <s v="OK"/>
    <n v="0"/>
    <n v="2034"/>
    <m/>
  </r>
  <r>
    <s v="Clôturé"/>
    <x v="11"/>
    <m/>
    <x v="2"/>
    <m/>
    <x v="13"/>
    <s v="ABX464-102 Code projet 10008132"/>
    <m/>
    <s v="Study Management Services - (3.1.2) Project Managment &amp; Site Technical Support StartUp sur 3 mois"/>
    <m/>
    <s v="INV BCI-0034310"/>
    <d v="2020-01-29T00:00:00"/>
    <n v="2034"/>
    <s v="EUROS"/>
    <s v="OK"/>
    <n v="0"/>
    <n v="2034"/>
    <m/>
  </r>
  <r>
    <s v="Clôturé"/>
    <x v="11"/>
    <m/>
    <x v="2"/>
    <m/>
    <x v="13"/>
    <s v="ABX464-102 Code projet 10008132"/>
    <m/>
    <s v="Study Management Services - (3.1.2) Project Managment &amp; Site Technical Support StartUp sur 3 mois"/>
    <m/>
    <s v="INV BCI-0035089"/>
    <d v="2020-03-31T00:00:00"/>
    <n v="2034"/>
    <s v="EUROS"/>
    <s v="OK"/>
    <n v="0"/>
    <n v="2034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5980"/>
    <d v="2020-04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6764"/>
    <d v="2020-05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6955"/>
    <d v="2020-06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7859"/>
    <d v="2020-07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9262"/>
    <d v="2020-08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0098"/>
    <d v="2020-09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1023"/>
    <d v="2020-10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1872"/>
    <d v="2020-11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2783"/>
    <s v="31/12//2021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3764"/>
    <d v="2021-01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4667"/>
    <d v="2021-02-28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6585"/>
    <d v="2021-04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7560"/>
    <d v="2021-05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8511"/>
    <d v="2021-06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9572"/>
    <d v="2021-07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0566"/>
    <d v="2021-08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1545"/>
    <d v="2021-09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2640"/>
    <d v="2021-10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7096"/>
    <d v="2022-02-28T00:00:00"/>
    <n v="1350"/>
    <s v="EUROS"/>
    <s v="OK"/>
    <n v="0"/>
    <n v="1350"/>
    <m/>
  </r>
  <r>
    <s v="Clôturé"/>
    <x v="11"/>
    <m/>
    <x v="2"/>
    <m/>
    <x v="13"/>
    <s v="ABX464-102 Code projet 10008132"/>
    <m/>
    <s v="SMART Submit - (4.1.1) - Web-based image sub Study SetUp"/>
    <m/>
    <s v="INV BCI-0035089"/>
    <d v="2020-03-31T00:00:00"/>
    <n v="3672"/>
    <s v="EUROS"/>
    <s v="OK"/>
    <n v="0"/>
    <n v="3672"/>
    <m/>
  </r>
  <r>
    <s v="Clôturé"/>
    <x v="11"/>
    <m/>
    <x v="2"/>
    <m/>
    <x v="13"/>
    <s v="ABX464-102 Code projet 10008132"/>
    <m/>
    <s v="SMART Manage - (5.1) - Image Tracking and quality Review Services - 155/timepoint"/>
    <s v="Per timepoint"/>
    <s v="INV BCI-0035980 + INV BCI-0036764 + INV BCI-0036955 + INV BCI-0037859 + INV BCI-0043764 + INV BCI-0045600 + INV BCI-0046585 + INV BCI-0047560 + INV BCI-0048511 + INV BCI-0049572 + INV BCI-0050566 + INV BCI-0053752 - BCI-CM-0003034"/>
    <s v="30/04/2020 + 31/05/2020 + 30/06/2020 + 31/07/2020 + 31/01/2021 + 31/03/2021 + 30/04/2021 + 31/05/2021 + 30/06/2021 + 31/07/2021 + 31/08/2021 + 30/11/2021 + 06/12/2021"/>
    <n v="5425"/>
    <s v="EUROS"/>
    <n v="6200"/>
    <n v="0"/>
    <n v="6200"/>
    <m/>
  </r>
  <r>
    <s v="Clôturé"/>
    <x v="11"/>
    <m/>
    <x v="2"/>
    <m/>
    <x v="13"/>
    <s v="ABX464-102 Code projet 10008132"/>
    <m/>
    <s v="SMART Analyze  - (6.1) - Image Analysis / Independant Reading Services Image Review Application"/>
    <m/>
    <s v="INV BCI-0036955"/>
    <s v="30/06/20202"/>
    <n v="45980"/>
    <s v="EUROS"/>
    <s v="OK"/>
    <n v="0"/>
    <n v="45980"/>
    <m/>
  </r>
  <r>
    <s v="Clôturé"/>
    <x v="11"/>
    <m/>
    <x v="2"/>
    <m/>
    <x v="13"/>
    <s v="ABX464-102 Code projet 10008132"/>
    <m/>
    <s v="SMART Analyze  - (6.1) - Image Analysis / Independant Reading Services Image interpretation Training session"/>
    <m/>
    <s v="INV BCI-0037859"/>
    <d v="2020-07-31T00:00:00"/>
    <n v="7755"/>
    <s v="EUROS"/>
    <s v="OK"/>
    <n v="0"/>
    <n v="7755"/>
    <m/>
  </r>
  <r>
    <s v="Clôturé"/>
    <x v="11"/>
    <m/>
    <x v="2"/>
    <m/>
    <x v="13"/>
    <s v="ABX464-102 Code projet 10008132"/>
    <m/>
    <s v="SMART Analyze  - (6.1) - Image Analysis / Independant Reading Services Performance of image interpretation"/>
    <m/>
    <s v="INV BCI-0037859 + INV BCI-0041872 + INV BCI-0043764 + INV BCI-0045600 + INV BCI-0046585 + INV BCI-0047560 + INV BCI-0048511 + INV BCI-0049572 + INV BCI-0050566"/>
    <s v="31/07/2020 + 30/11/2020 + 31/01/2021 + 31/03/2021 + 30/04/2021 + 31/05/2021 + 30/06/2021 + 31/07/2021 + 31/08/2021"/>
    <n v="1058"/>
    <s v="EUROS"/>
    <n v="1242"/>
    <n v="0"/>
    <n v="1242"/>
    <m/>
  </r>
  <r>
    <s v="Clôturé"/>
    <x v="11"/>
    <m/>
    <x v="2"/>
    <m/>
    <x v="13"/>
    <s v="ABX464-102 Code projet 10008132"/>
    <m/>
    <s v="SMART Analyze  - (6.1) - Image Analysis / Independant Reading Services Notification of primary read result"/>
    <m/>
    <s v="INV BCI-0037859 + INV BCI-0043764 + INV BCI-0046585 + INV BCI-0047560 + INV BCI-0048511 + BCI-0049572 + INV BCI-0050566"/>
    <s v="31/07/2020 + 31/01/2021 + 30/04/2021 + 31/05/2021 + 30/06/2021 + 31/07/2021 + 31/08/2021"/>
    <n v="476"/>
    <s v="EUROS"/>
    <n v="560"/>
    <n v="0"/>
    <n v="560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3503"/>
    <d v="2020-01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5089"/>
    <d v="2020-03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5980"/>
    <d v="2020-04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6764"/>
    <d v="2020-05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6955"/>
    <s v="30/06/20202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7859"/>
    <d v="2020-07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9262"/>
    <d v="2020-08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0098"/>
    <d v="2020-09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1023"/>
    <d v="2020-10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1872"/>
    <d v="2020-11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2783"/>
    <d v="2020-12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3764"/>
    <d v="2021-01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4667"/>
    <d v="2021-02-28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5600"/>
    <d v="2021-03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6585"/>
    <d v="2021-04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7560"/>
    <d v="2021-05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8511"/>
    <d v="2021-06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9572"/>
    <d v="2021-07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50566"/>
    <d v="2021-08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51545 + INV BCI-0052640 + INV BCI-0053752 - BCI-CM-0003034"/>
    <s v="30/09/2021 + 31/10/2021 + 30/11/2021 + 06/12/2021"/>
    <n v="529"/>
    <s v="EUROS"/>
    <n v="1058"/>
    <n v="0"/>
    <n v="1058"/>
    <m/>
  </r>
  <r>
    <s v="Clôturé"/>
    <x v="11"/>
    <m/>
    <x v="2"/>
    <m/>
    <x v="13"/>
    <s v="ABX464-102 Code projet 10008132"/>
    <m/>
    <s v="SMART Analyze  - (6.1) - Image Analysis / Independant Reading Services Data Validation plan"/>
    <s v="Per Sudy"/>
    <s v="INV BCI-0037859"/>
    <d v="2020-07-31T00:00:00"/>
    <n v="2349"/>
    <s v="EUROS"/>
    <s v="OK"/>
    <n v="0"/>
    <n v="2349"/>
    <m/>
  </r>
  <r>
    <s v="Clôturé"/>
    <x v="11"/>
    <m/>
    <x v="2"/>
    <m/>
    <x v="13"/>
    <s v="ABX464-102 Code projet 10008132"/>
    <m/>
    <s v="SMART Transfer - (8.1) - Data Management &amp; Transfer Services Data transfer customization"/>
    <s v="Per transfer specification"/>
    <s v="INV BCI-0037859"/>
    <d v="2020-07-31T00:00:00"/>
    <n v="6696"/>
    <s v="EUROS"/>
    <s v="OK"/>
    <n v="0"/>
    <n v="6696"/>
    <m/>
  </r>
  <r>
    <s v="OUT ? Demander a Jo"/>
    <x v="11"/>
    <m/>
    <x v="2"/>
    <m/>
    <x v="13"/>
    <s v="ABX464-102 Code projet 10008132"/>
    <m/>
    <s v="SMART Transfer - (8.1) - Data Management &amp; Transfer Services Electronic Data Transfer (Routine)"/>
    <s v="Per transfer"/>
    <s v="INV BCI-0041872 + INB BCI-0042783 + INV BCI-0047560 + INV BCI-0048511 + INV BCI-0049572"/>
    <s v="30/11/2020 + 31/12/2020 + 31/05/2021 + 30/06/2021 + 31/07/2021"/>
    <n v="3832"/>
    <s v="EUROS"/>
    <n v="2874"/>
    <n v="958"/>
    <n v="2874"/>
    <m/>
  </r>
  <r>
    <s v="OUT ? Demander a Jo"/>
    <x v="11"/>
    <m/>
    <x v="2"/>
    <m/>
    <x v="13"/>
    <s v="ABX464-102 Code projet 10008132"/>
    <m/>
    <s v="SMART Transfer - (8.1) - Data Management &amp; Transfer Services Electronic Data Transfer (Interim / Final)"/>
    <s v="Per transfer"/>
    <s v="INV BCI-0039262"/>
    <d v="2020-08-31T00:00:00"/>
    <n v="4790"/>
    <s v="EUROS"/>
    <n v="2395"/>
    <n v="2395"/>
    <n v="2395"/>
    <m/>
  </r>
  <r>
    <s v="OUT ? Demander a Jo"/>
    <x v="11"/>
    <m/>
    <x v="2"/>
    <m/>
    <x v="13"/>
    <s v="ABX464-102 Code projet 10008132"/>
    <m/>
    <s v="Study Close-Out and Archival Services (9.1) - Project Close-out"/>
    <d v="2021-09-01T00:00:00"/>
    <m/>
    <m/>
    <n v="8621"/>
    <s v="EUROS"/>
    <m/>
    <n v="8621"/>
    <n v="0"/>
    <m/>
  </r>
  <r>
    <s v="OUT ? Demander a Jo"/>
    <x v="11"/>
    <m/>
    <x v="2"/>
    <m/>
    <x v="13"/>
    <s v="ABX464-102 Code projet 10008132"/>
    <m/>
    <s v="PTC - Printing"/>
    <s v="A prendre en compte"/>
    <m/>
    <m/>
    <n v="2281"/>
    <s v="EUROS"/>
    <m/>
    <n v="2281"/>
    <n v="0"/>
    <m/>
  </r>
  <r>
    <s v="OUT ? Demander a Jo"/>
    <x v="11"/>
    <m/>
    <x v="2"/>
    <m/>
    <x v="13"/>
    <s v="ABX464-102 Code projet 10008132"/>
    <m/>
    <s v="PTC - Shipping"/>
    <s v="A prendre en compte"/>
    <s v="INV BCI-0035980"/>
    <d v="2020-04-30T00:00:00"/>
    <n v="2704"/>
    <s v="EUROS"/>
    <n v="72.97"/>
    <n v="2631.03"/>
    <n v="72.97"/>
    <m/>
  </r>
  <r>
    <s v="OUT ? Demander a Jo"/>
    <x v="11"/>
    <m/>
    <x v="2"/>
    <m/>
    <x v="13"/>
    <s v="ABX464-102 Code projet 10008132"/>
    <m/>
    <s v="PTC Coordination et Management of PTC Expenses"/>
    <s v="A prendre en compte"/>
    <m/>
    <m/>
    <n v="249"/>
    <s v="EUROS"/>
    <m/>
    <n v="249"/>
    <n v="0"/>
    <m/>
  </r>
  <r>
    <s v="OUT ? Demander a Jo"/>
    <x v="11"/>
    <m/>
    <x v="2"/>
    <m/>
    <x v="13"/>
    <s v="ABX464-102 Code projet 10008132"/>
    <m/>
    <s v="Reader Professionnal Fees and Expenses - Efficacy"/>
    <m/>
    <s v="INV BCI-0044076 + INV BCI-0046020 + INV BCI-0046994 + INV BCI-0047970 + INV BCI-0049035 + INV BCI-0050044 + INV BCI-0057637 + INV BCI-0059993 + INV BCI-0061144 + INV BCI-0063532 + INV BCI-0064692"/>
    <s v="27/02/2021 + 29/04/2021 + 30/05/2021 + 29/06/2021 + 30/07/2021 + 30/08/2021 + 30/03/2022 + 30/05/2022 + 01/07/2022 + 30/08/2022 + 30/09/2022"/>
    <n v="6302"/>
    <s v="EUROS"/>
    <n v="5977.79"/>
    <n v="324.21000000000004"/>
    <n v="5977.79"/>
    <m/>
  </r>
  <r>
    <s v="OUT ? Demander a Jo"/>
    <x v="11"/>
    <m/>
    <x v="2"/>
    <m/>
    <x v="13"/>
    <s v="ABX464-102 Code projet 10008132"/>
    <m/>
    <s v="Reader Professionnal Fees and Expenses - Image interpretaion Training Session"/>
    <m/>
    <s v="INV BCI-0036452"/>
    <d v="2020-09-30T00:00:00"/>
    <n v="2736"/>
    <s v="EUROS"/>
    <n v="2006.88"/>
    <n v="729.11999999999989"/>
    <n v="2006.88"/>
    <m/>
  </r>
  <r>
    <s v="OUT ? Demander a Jo"/>
    <x v="11"/>
    <m/>
    <x v="2"/>
    <m/>
    <x v="13"/>
    <s v="ABX464-102 Code projet 10008132"/>
    <m/>
    <s v="Reader Professionnal Fees and Expenses - Reader consultation"/>
    <m/>
    <s v="INV BCI-0037767 + INV BCI-0036452"/>
    <s v="30/07/2020 + 30/09/2020"/>
    <n v="2280"/>
    <s v="EUROS"/>
    <n v="1451.24"/>
    <n v="828.76"/>
    <n v="1451.24"/>
    <m/>
  </r>
  <r>
    <s v="OUT ? Demander a Jo"/>
    <x v="11"/>
    <m/>
    <x v="2"/>
    <m/>
    <x v="13"/>
    <s v="ABX464-102 Code projet 10008132"/>
    <m/>
    <s v="Reader Professionnal Fees and Expenses - Reader mangement fee"/>
    <m/>
    <m/>
    <m/>
    <n v="566"/>
    <s v="EUROS"/>
    <m/>
    <n v="566"/>
    <n v="0"/>
    <m/>
  </r>
  <r>
    <s v="Clôturé"/>
    <x v="11"/>
    <m/>
    <x v="2"/>
    <m/>
    <x v="13"/>
    <s v="ABX464-102 Code projet 10008132"/>
    <m/>
    <s v="ADVANCE PAYEMENT 20%"/>
    <m/>
    <s v="INV BCI-0032763"/>
    <d v="2020-01-23T00:00:00"/>
    <n v="35500"/>
    <s v="EUROS"/>
    <s v="OK"/>
    <n v="0"/>
    <n v="35500"/>
    <m/>
  </r>
  <r>
    <s v="Clôturé"/>
    <x v="11"/>
    <m/>
    <x v="2"/>
    <m/>
    <x v="13"/>
    <s v="ABX464-102 Code projet 10008132"/>
    <m/>
    <s v="ADVANCE PAYEMENT 20%"/>
    <m/>
    <s v="INV BCI-0032763"/>
    <d v="2020-01-23T00:00:00"/>
    <n v="-35500"/>
    <s v="EUROS"/>
    <s v="OK"/>
    <n v="0"/>
    <n v="-35500"/>
    <m/>
  </r>
  <r>
    <s v="Clôturé"/>
    <x v="11"/>
    <m/>
    <x v="2"/>
    <m/>
    <x v="13"/>
    <s v="ABX464-102 Code projet 10008132 Admt 2"/>
    <m/>
    <s v="Services (1 à 9)"/>
    <m/>
    <s v="INV BCI-0055356 + INV BCI-0055860 + INV BCI-0057096 + INV BCI-0058165 + INV BCI-0059505 - CN BCI-CM-0003208 + INV BCI-0060016 + INV BCI-0061587 - INV BCI-CM-0003321 - INV BCI-CM-0003336 + INV BCI-0063935 + INBV BCI-0065415"/>
    <s v="31/12/2021 + 31/01/2022 + 28/02/2022 + 31/03/2022 + 30/04/2022 - 06/05/2022 + 31/05/2022 + 01/07/2022 + 18/07/2022 + 31/07/2022 + 30/08/2022 + 30/09/2022"/>
    <n v="27544"/>
    <s v="EUROS"/>
    <n v="31006.700000000004"/>
    <n v="0"/>
    <n v="31006.700000000004"/>
    <m/>
  </r>
  <r>
    <s v="OUT ? Demander a Jo"/>
    <x v="11"/>
    <m/>
    <x v="2"/>
    <m/>
    <x v="13"/>
    <s v="ABX464-102 Code projet 10008132 Admt 2"/>
    <m/>
    <s v="PTC"/>
    <m/>
    <m/>
    <m/>
    <n v="-422"/>
    <s v="EUROS"/>
    <m/>
    <n v="0"/>
    <n v="0"/>
    <m/>
  </r>
  <r>
    <s v="OUT ? Demander a Jo"/>
    <x v="11"/>
    <m/>
    <x v="2"/>
    <m/>
    <x v="13"/>
    <s v="ABX464-102 Code projet 10008132 Admt 2"/>
    <m/>
    <s v="Reader Fee"/>
    <m/>
    <m/>
    <m/>
    <n v="2014"/>
    <s v="EUROS"/>
    <m/>
    <n v="2014"/>
    <n v="0"/>
    <m/>
  </r>
  <r>
    <s v="Clôturé"/>
    <x v="12"/>
    <m/>
    <x v="2"/>
    <m/>
    <x v="14"/>
    <s v="ABX464-104"/>
    <m/>
    <s v="0 - Adavnce payement"/>
    <m/>
    <s v="INV BCG-0000153"/>
    <d v="2022-09-21T00:00:00"/>
    <n v="78174"/>
    <s v="EUROS"/>
    <n v="78174"/>
    <n v="0"/>
    <n v="78174"/>
    <m/>
  </r>
  <r>
    <s v="OUT ? Demander a Jo"/>
    <x v="12"/>
    <m/>
    <x v="2"/>
    <m/>
    <x v="14"/>
    <s v="ABX464-104"/>
    <m/>
    <s v="0 - Adavnce payement"/>
    <m/>
    <s v="INV BCG-0000194"/>
    <d v="2024-08-31T00:00:00"/>
    <n v="-78174"/>
    <s v="EUROS"/>
    <n v="-5053.05"/>
    <n v="0"/>
    <n v="-5053.05"/>
    <m/>
  </r>
  <r>
    <s v="Clôturé"/>
    <x v="12"/>
    <m/>
    <x v="2"/>
    <m/>
    <x v="14"/>
    <s v="ABX464-104"/>
    <m/>
    <s v="1.1 - Study Set-Up"/>
    <m/>
    <s v="INV BCG-0000154"/>
    <d v="2022-09-21T00:00:00"/>
    <n v="8441"/>
    <s v="EUROS"/>
    <n v="8441"/>
    <n v="0"/>
    <n v="8441"/>
    <m/>
  </r>
  <r>
    <s v="Clôturé"/>
    <x v="12"/>
    <m/>
    <x v="2"/>
    <m/>
    <x v="14"/>
    <s v="ABX464-104"/>
    <m/>
    <s v="1.2.1 - Study material development (Documentation)"/>
    <m/>
    <s v="INV BCG-0000154"/>
    <d v="2022-09-21T00:00:00"/>
    <n v="4221"/>
    <s v="EUROS"/>
    <n v="4221"/>
    <n v="0"/>
    <n v="4221"/>
    <m/>
  </r>
  <r>
    <s v="Clôturé"/>
    <x v="12"/>
    <m/>
    <x v="2"/>
    <m/>
    <x v="14"/>
    <s v="ABX464-104"/>
    <m/>
    <s v="1.4.1 - Site and Equipment Assessment (Site Questionnaire)"/>
    <m/>
    <s v="INV BCG-0000154 - INV BCG-0000160"/>
    <s v="21/09/2022 + 30/09/2022"/>
    <n v="15456"/>
    <s v="EUROS"/>
    <n v="10752"/>
    <n v="4704"/>
    <n v="10752"/>
    <m/>
  </r>
  <r>
    <s v="OUT ? Demander a Jo"/>
    <x v="12"/>
    <m/>
    <x v="2"/>
    <m/>
    <x v="14"/>
    <s v="ABX464-104"/>
    <m/>
    <s v="1.5.1  - Scientific and Regulatory Services - Scientific Support and Consultation"/>
    <m/>
    <s v="INV BCG-0000172 + INV BCG-0000178"/>
    <s v="31/03/2023 + 30/07/2023 (recu en 07/2023)"/>
    <n v="7180"/>
    <s v="EUROS"/>
    <n v="1795"/>
    <n v="5385"/>
    <n v="1795"/>
    <m/>
  </r>
  <r>
    <s v="OUT ? Demander a Jo"/>
    <x v="12"/>
    <m/>
    <x v="2"/>
    <m/>
    <x v="14"/>
    <s v="ABX464-104"/>
    <m/>
    <s v="1.5.1  - Scientific and Regulatory Services - Cardiologist Support and Consultation"/>
    <m/>
    <m/>
    <m/>
    <n v="5060"/>
    <s v="EUROS"/>
    <m/>
    <n v="5060"/>
    <n v="0"/>
    <m/>
  </r>
  <r>
    <s v="Clôturé"/>
    <x v="12"/>
    <m/>
    <x v="2"/>
    <m/>
    <x v="14"/>
    <s v="ABX464-104"/>
    <m/>
    <s v="1.5.3  - Scientific and Regulatory Services - Independent Review Charter Development"/>
    <m/>
    <s v="INV BCG-0000154"/>
    <d v="2022-09-21T00:00:00"/>
    <n v="19255"/>
    <s v="EUROS"/>
    <n v="19255"/>
    <n v="0"/>
    <n v="19255"/>
    <m/>
  </r>
  <r>
    <s v="Clôturé"/>
    <x v="12"/>
    <m/>
    <x v="2"/>
    <m/>
    <x v="14"/>
    <s v="ABX464-104"/>
    <m/>
    <s v="2.1.1 - Site Personnel Training - Web Training Content Development &amp; Portal Configuration"/>
    <m/>
    <s v="INV BCG-0000154"/>
    <d v="2022-09-21T00:00:00"/>
    <n v="6647"/>
    <s v="EUROS"/>
    <n v="6647"/>
    <n v="0"/>
    <n v="6647"/>
    <m/>
  </r>
  <r>
    <s v="OUT ? Demander a Jo"/>
    <x v="12"/>
    <m/>
    <x v="2"/>
    <m/>
    <x v="14"/>
    <s v="ABX464-104"/>
    <m/>
    <s v="2.1.1 - Site Personnel Training - Web Training User Set-up and Support"/>
    <m/>
    <s v="INV BCG-0000154 + INV BCG-0000156"/>
    <s v="21/09/2022 + 21/09/2022"/>
    <n v="6348"/>
    <s v="EUROS"/>
    <n v="4416"/>
    <n v="1932"/>
    <n v="4416"/>
    <m/>
  </r>
  <r>
    <s v="Clôturé"/>
    <x v="12"/>
    <m/>
    <x v="2"/>
    <m/>
    <x v="14"/>
    <s v="ABX464-104"/>
    <m/>
    <s v="3.1 - Study Management Services - Site Technical Support, Including Query Initiation &amp; Resolution (start-up)"/>
    <m/>
    <s v="INV BCG-0000154"/>
    <d v="2022-09-21T00:00:00"/>
    <n v="13776"/>
    <s v="EUROS"/>
    <n v="13776"/>
    <n v="0"/>
    <n v="13776"/>
    <m/>
  </r>
  <r>
    <s v="OUT ? Demander a Jo"/>
    <x v="12"/>
    <m/>
    <x v="2"/>
    <m/>
    <x v="14"/>
    <s v="ABX464-104"/>
    <m/>
    <s v="3.1 - Study Management Services - Site Technical Support, Including Query Initiation &amp; Resolution (execution)"/>
    <m/>
    <s v="INV BCG-0000154 + INV BCG-0000156 + INV BCG-0000158 + INV BCG-0000160 + INV BCG-0000166 + Inv BCG-0000172 + INV BCG0000162 + INV BCG-0000168 + INV BCG-0000170"/>
    <s v="21/09/2022 + 21/09/2022 + 21/09/2022 + 30/09/2022 + 31/12/2022 (ercu en 02/2023) + 31/03/2023 + 31/10/2022 (recu en 2024) + 31/01/2023 (recu en 2024) + 28/02/2023 (recu en 2024) + 30/11/2022 (recu 02/2024)"/>
    <n v="20128"/>
    <s v="EUROS"/>
    <n v="13838"/>
    <n v="6290"/>
    <n v="13838"/>
    <m/>
  </r>
  <r>
    <s v="Clôturé"/>
    <x v="12"/>
    <m/>
    <x v="2"/>
    <m/>
    <x v="14"/>
    <s v="ABX464-104"/>
    <m/>
    <s v="3.2 - Study Management Services - Project management (start-up)"/>
    <m/>
    <s v="INV BCG-0000154"/>
    <d v="2022-09-21T00:00:00"/>
    <n v="20208"/>
    <s v="EUROS"/>
    <n v="20208"/>
    <n v="0"/>
    <n v="20208"/>
    <m/>
  </r>
  <r>
    <s v="OUT ? Demander a Jo"/>
    <x v="12"/>
    <m/>
    <x v="2"/>
    <m/>
    <x v="14"/>
    <s v="ABX464-104"/>
    <m/>
    <s v="3.2 - Study Management Services - Project management (execution)"/>
    <m/>
    <s v="INV BCG-0000154 + INV BCG-0000156 + INV BCG-0000158 + INV BCG-0000160 + INV BCG-0000166 + Inv BCG-0000172 + INV BCG-0000176 + INV BCG-0000178 + INV BCG0000162 + INV BCG-0000168 + INV BCG-0000170 + INV BCG-0000174 + INV BCG-0000164"/>
    <s v="21/09/2022 + 21/09/2022 + 21/09/2022 + 30/09/2022 + 31/12/2022 (ercu en 02/2023) + 31/03/2023 + 31/05/2023 (recu en 06/2023) + 30/06/2023 (recu en 07/2023) + 31/10/2022 (recu en 2024) + 31/01/2023 (recu en 2024) + 28/02/2023 (recu en 2024) + 30/04/2023 (recu en 2024) + 30/11/2022 (recu 02/2024)"/>
    <n v="34650"/>
    <s v="EUROS"/>
    <n v="28875"/>
    <n v="5775"/>
    <n v="28875"/>
    <m/>
  </r>
  <r>
    <s v="Clôturé"/>
    <x v="12"/>
    <m/>
    <x v="2"/>
    <m/>
    <x v="14"/>
    <s v="ABX464-104"/>
    <m/>
    <s v="4.1.1 - Electronic Image Transfer Services - Web-based image submission (study set-up)"/>
    <m/>
    <s v="INV BCG-0000154"/>
    <d v="2022-09-21T00:00:00"/>
    <n v="12134"/>
    <s v="EUROS"/>
    <n v="12134"/>
    <n v="0"/>
    <n v="12134"/>
    <m/>
  </r>
  <r>
    <s v="OUT ? Demander a Jo"/>
    <x v="12"/>
    <m/>
    <x v="2"/>
    <m/>
    <x v="14"/>
    <s v="ABX464-104"/>
    <m/>
    <s v="4.1.1 - Electronic Image Transfer Services - Monthly Electronic Image Transfer Fee (22 mois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8162"/>
    <s v="EUROS"/>
    <n v="5936"/>
    <n v="2226"/>
    <n v="5936"/>
    <m/>
  </r>
  <r>
    <s v="OUT ? Demander a Jo"/>
    <x v="12"/>
    <m/>
    <x v="2"/>
    <m/>
    <x v="14"/>
    <s v="ABX464-104"/>
    <m/>
    <s v="5.1.1-5.1.2 - Image Tracking and Quality Review Services - Image data log-in and Image Data Quality Control, including test scans and test notification to Site/Sponsor (ECHO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8968"/>
    <s v="EUROS"/>
    <n v="11900"/>
    <n v="17068"/>
    <n v="11900"/>
    <m/>
  </r>
  <r>
    <s v="Clôturé"/>
    <x v="12"/>
    <m/>
    <x v="2"/>
    <m/>
    <x v="14"/>
    <s v="ABX464-104"/>
    <m/>
    <s v="6.1.1 - Image Analysis/Independent Reading Services - Data capture and reporting system set-up"/>
    <m/>
    <s v="INV BCG-0000154"/>
    <d v="2022-09-21T00:00:00"/>
    <n v="14624"/>
    <s v="EUROS"/>
    <n v="14624"/>
    <n v="0"/>
    <n v="14624"/>
    <m/>
  </r>
  <r>
    <s v="Clôturé"/>
    <x v="12"/>
    <m/>
    <x v="2"/>
    <m/>
    <x v="14"/>
    <s v="ABX464-104"/>
    <m/>
    <s v="6.1.1 - Image Analysis/Independent Reading Services - Electronic Reading System (ECHO)"/>
    <m/>
    <s v="INV BCG-0000154"/>
    <d v="2022-09-21T00:00:00"/>
    <n v="15194"/>
    <s v="EUROS"/>
    <n v="15194"/>
    <n v="0"/>
    <n v="15194"/>
    <m/>
  </r>
  <r>
    <s v="Clôturé"/>
    <x v="12"/>
    <m/>
    <x v="2"/>
    <m/>
    <x v="14"/>
    <s v="ABX464-104"/>
    <m/>
    <s v="6.1.1 - Image Analysis/Independent Reading Services - Citrix license tech support"/>
    <m/>
    <s v="INV BCG-0000154"/>
    <d v="2022-09-21T00:00:00"/>
    <n v="3461"/>
    <s v="EUROS"/>
    <n v="3461"/>
    <n v="0"/>
    <n v="3461"/>
    <m/>
  </r>
  <r>
    <s v="Clôturé"/>
    <x v="12"/>
    <m/>
    <x v="2"/>
    <m/>
    <x v="14"/>
    <s v="ABX464-104"/>
    <m/>
    <s v="6.1.2 - Image Analysis/Independent Reading Services - Study Specifications Training Session Preparation"/>
    <m/>
    <s v="INV BCG-0000154"/>
    <d v="2022-09-21T00:00:00"/>
    <n v="5141"/>
    <s v="EUROS"/>
    <n v="5141"/>
    <n v="0"/>
    <n v="5141"/>
    <m/>
  </r>
  <r>
    <s v="Clôturé"/>
    <x v="12"/>
    <m/>
    <x v="2"/>
    <m/>
    <x v="14"/>
    <s v="ABX464-104"/>
    <m/>
    <s v="6.1.2 - Image Analysis/Independent Reading Services - Cardiologist Attendance at Study Specifications Training"/>
    <m/>
    <s v="INV BCG-0000154"/>
    <d v="2022-09-21T00:00:00"/>
    <n v="2321"/>
    <s v="EUROS"/>
    <n v="2321"/>
    <n v="0"/>
    <n v="2321"/>
    <m/>
  </r>
  <r>
    <s v="OUT ? Demander a Jo"/>
    <x v="12"/>
    <m/>
    <x v="2"/>
    <m/>
    <x v="14"/>
    <s v="ABX464-104"/>
    <m/>
    <s v="6.1.3 - ECHO Image Analysis/Independent Reading Services - ECHO: Primary Review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95904"/>
    <s v="EUROS"/>
    <n v="46620"/>
    <n v="49284"/>
    <n v="46620"/>
    <m/>
  </r>
  <r>
    <s v="OUT ? Demander a Jo"/>
    <x v="12"/>
    <m/>
    <x v="2"/>
    <m/>
    <x v="14"/>
    <s v="ABX464-104"/>
    <m/>
    <s v="6.1.3 - Primary Review Notifications to Site/Sponsorper"/>
    <m/>
    <s v="INV BCG-0000160 + INV BCG-0000166 + INV BCG-0000172 + INV BCG0000162 + INV BCG-0000168 + INV BCG-0000170 + INV BCG-0000164"/>
    <s v="30/09/2022 + 31/12/2022 (ercu en 02/2023) + 31/03/2023 + 31/10/2022 (recu en 2024) + 31/01/2023 (recu en 2024) + 28/02/2023 (recu en 2024) + 30/11/2022 (recu 02/2024)"/>
    <n v="4320"/>
    <s v="EUROS"/>
    <n v="2100"/>
    <n v="2220"/>
    <n v="2100"/>
    <m/>
  </r>
  <r>
    <s v="OUT ? Demander a Jo"/>
    <x v="12"/>
    <m/>
    <x v="2"/>
    <m/>
    <x v="14"/>
    <s v="ABX464-104"/>
    <m/>
    <s v="6.1.3 - ECHO Image Analysis/Independent Reading Services - ECHO: Reader Variability Monitoring"/>
    <m/>
    <s v="INV BCG-0000172"/>
    <d v="2023-03-31T00:00:00"/>
    <n v="13320"/>
    <s v="EUROS"/>
    <n v="2664"/>
    <n v="10656"/>
    <n v="2664"/>
    <m/>
  </r>
  <r>
    <s v="OUT ? Demander a Jo"/>
    <x v="12"/>
    <m/>
    <x v="2"/>
    <m/>
    <x v="14"/>
    <s v="ABX464-104"/>
    <m/>
    <s v="6.1.4 - 8.1.1 -  ECHO Image Analysis/Independent Reading Services - Systems support and Ongoing Data Management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6752"/>
    <s v="EUROS"/>
    <n v="18240"/>
    <n v="8512"/>
    <n v="18240"/>
    <m/>
  </r>
  <r>
    <s v="Clôturé"/>
    <x v="12"/>
    <m/>
    <x v="2"/>
    <m/>
    <x v="14"/>
    <s v="ABX464-104"/>
    <m/>
    <s v="6.1.5 -  ECHO Image Analysis/Independent Reading Services - Data validation plan"/>
    <m/>
    <s v="INV BCG-0000166"/>
    <s v="31/12/2022 (ercu en 02/2023)"/>
    <n v="2174"/>
    <s v="EUROS"/>
    <n v="2174"/>
    <n v="0"/>
    <n v="2174"/>
    <m/>
  </r>
  <r>
    <s v="Clôturé"/>
    <x v="12"/>
    <m/>
    <x v="2"/>
    <m/>
    <x v="14"/>
    <s v="ABX464-104"/>
    <m/>
    <s v="7.2 - Study Reporting - MvE / Reconciliation Report Set-Up"/>
    <m/>
    <s v="INV BCG-0000162"/>
    <s v="31/10/2022 (recu en 2024)"/>
    <n v="5761"/>
    <s v="EUROS"/>
    <n v="5761"/>
    <n v="0"/>
    <n v="5761"/>
    <m/>
  </r>
  <r>
    <s v="Clôturé"/>
    <x v="12"/>
    <m/>
    <x v="2"/>
    <m/>
    <x v="14"/>
    <s v="ABX464-104"/>
    <m/>
    <s v="8.1.2 - Data Management and Transfer Services - Data transfer customization/programming"/>
    <m/>
    <s v="INV BCG-0000162"/>
    <s v="31/10/2022 (recu en 2024)"/>
    <n v="5630"/>
    <s v="EUROS"/>
    <n v="5630"/>
    <n v="0"/>
    <n v="5630"/>
    <m/>
  </r>
  <r>
    <s v="Clôturé"/>
    <x v="12"/>
    <m/>
    <x v="2"/>
    <m/>
    <x v="14"/>
    <s v="ABX464-104"/>
    <m/>
    <s v="8.1.3 - Data Management and Transfer Services - Number of milestone data transfers"/>
    <m/>
    <s v="INV BCG-0000172 + INV BGC-0000194"/>
    <s v="31/03/2023 + 31/08/2024"/>
    <n v="1140"/>
    <s v="EUROS"/>
    <n v="6459"/>
    <n v="0"/>
    <n v="6459"/>
    <m/>
  </r>
  <r>
    <s v="Clôturé"/>
    <x v="12"/>
    <m/>
    <x v="2"/>
    <m/>
    <x v="14"/>
    <s v="ABX464-104"/>
    <m/>
    <s v="9.1 - Study close-out"/>
    <m/>
    <s v="INV BCG-0000178"/>
    <s v="30/06/2023 (recu en 07/2023)"/>
    <n v="5065"/>
    <s v="EUROS"/>
    <n v="5065"/>
    <n v="0"/>
    <n v="5065"/>
    <m/>
  </r>
  <r>
    <s v="OUT ? Demander a Jo"/>
    <x v="12"/>
    <m/>
    <x v="2"/>
    <m/>
    <x v="14"/>
    <s v="ABX464-104"/>
    <m/>
    <s v="DISCOUNT"/>
    <m/>
    <s v="INV BCG-0000154 + INV BCG-0000156 + INV BCG-0000158 + INV BCG-0000160"/>
    <s v="21/09/2022 + 21/09/2022 + 21/09/2022 + 30/09/2022"/>
    <n v="-20572"/>
    <s v="EUROS"/>
    <n v="-10077.550000000001"/>
    <n v="-10494.449999999999"/>
    <n v="-10077.550000000001"/>
    <m/>
  </r>
  <r>
    <s v="OUT ? Demander a Jo"/>
    <x v="12"/>
    <m/>
    <x v="2"/>
    <m/>
    <x v="14"/>
    <s v="ABX464-104"/>
    <m/>
    <s v="PTC"/>
    <m/>
    <m/>
    <m/>
    <n v="9656"/>
    <s v="EUROS"/>
    <m/>
    <n v="9656"/>
    <n v="0"/>
    <m/>
  </r>
  <r>
    <s v="Clôturé"/>
    <x v="13"/>
    <m/>
    <x v="2"/>
    <m/>
    <x v="14"/>
    <s v="SRV_21132 - P00317_2021"/>
    <s v="P00317_2021"/>
    <s v="0 - Adavnce payement"/>
    <m/>
    <s v="INV BCG-0000148"/>
    <d v="2022-09-21T00:00:00"/>
    <n v="60262"/>
    <s v="EUROS"/>
    <n v="60262"/>
    <n v="0"/>
    <n v="60262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0 - Adavnce payement"/>
    <m/>
    <m/>
    <m/>
    <n v="-60262"/>
    <s v="EUROS"/>
    <m/>
    <n v="0"/>
    <n v="0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1.1 - Study Set-Up - Expedited"/>
    <m/>
    <s v="INV BCG-0000149"/>
    <d v="2022-09-21T00:00:00"/>
    <n v="6472"/>
    <s v="EUROS"/>
    <n v="6472"/>
    <n v="0"/>
    <n v="6472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1.2.1 - Documentation (ECHO) - Expedited"/>
    <m/>
    <s v="INV BCG-0000149"/>
    <d v="2022-09-21T00:00:00"/>
    <n v="4315"/>
    <s v="EUROS"/>
    <n v="4315"/>
    <n v="0"/>
    <n v="4315"/>
    <s v="études 102,108 et 302, mais Laurence a indiqué de porter les montants sur l’étude 108."/>
  </r>
  <r>
    <m/>
    <x v="13"/>
    <m/>
    <x v="2"/>
    <m/>
    <x v="14"/>
    <s v="SRV_21132 - P00317_2021"/>
    <s v="P00317_2021"/>
    <s v="1.4.1 - Site Questionnaire"/>
    <m/>
    <s v="INV BCG-0000149"/>
    <d v="2022-09-21T00:00:00"/>
    <n v="18549"/>
    <s v="EUROS"/>
    <n v="2290"/>
    <n v="16259"/>
    <n v="2290"/>
    <s v="études 102,108 et 302, mais Laurence a indiqué de porter les montants sur l’étude 108."/>
  </r>
  <r>
    <m/>
    <x v="13"/>
    <m/>
    <x v="2"/>
    <m/>
    <x v="14"/>
    <s v="SRV_21132 - P00317_2021"/>
    <s v="P00317_2021"/>
    <s v="1.5.1 - Scientific Support and Consultation"/>
    <m/>
    <m/>
    <m/>
    <n v="1835"/>
    <s v="EUROS"/>
    <m/>
    <n v="1835"/>
    <n v="0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2.1.1 - Web Training Content Development &amp; Portal Configuration"/>
    <m/>
    <s v="INV BCG-0000149"/>
    <d v="2022-09-21T00:00:00"/>
    <n v="5436"/>
    <s v="EUROS"/>
    <n v="5436"/>
    <n v="0"/>
    <n v="5436"/>
    <s v="études 102,108 et 302, mais Laurence a indiqué de porter les montants sur l’étude 108."/>
  </r>
  <r>
    <m/>
    <x v="13"/>
    <m/>
    <x v="2"/>
    <m/>
    <x v="14"/>
    <s v="SRV_21132 - P00317_2021"/>
    <s v="P00317_2021"/>
    <s v="2.1.1 - Web Training User Set-up and Support"/>
    <m/>
    <s v="INV BCG-0000149"/>
    <d v="2022-09-21T00:00:00"/>
    <n v="7614"/>
    <s v="EUROS"/>
    <n v="846"/>
    <n v="6768"/>
    <n v="846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3.1 - 3.2 - Site Management and Project management (start-up)"/>
    <m/>
    <s v="INV BCG-0000149"/>
    <d v="2022-09-21T00:00:00"/>
    <n v="6342"/>
    <s v="EUROS"/>
    <n v="6342"/>
    <n v="0"/>
    <n v="6342"/>
    <s v="études 102,108 et 302, mais Laurence a indiqué de porter les montants sur l’étude 108."/>
  </r>
  <r>
    <m/>
    <x v="13"/>
    <m/>
    <x v="2"/>
    <m/>
    <x v="14"/>
    <s v="SRV_21132 - P00317_2021"/>
    <s v="P00317_2021"/>
    <s v="3.1 - 3.2 - Site Management and Project management (execution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197 + INV BCG-0000198 + INV BCG-0000199 + INV BCG-0000200 + INV BCG-0000201 + INV BCG-000202 +INV BCG-0000203 + INV BCG-0000203 + INV BCG-0000204 + INV BCG-0000205 + INV BCG-0000206 + INV BCG-0000207"/>
    <s v="21/09/2022 + 21/09/2022 + 21/09/2022 + 21/09/2022 + 21/09/2022 + 21/09/2022 + 21/09/2022 + 31/10/2022 + 30/11/2022 + 31/12/2022 + 31/01/2023 + 28/02/2023 + 31/03/2023 + 30/04/2023 + 31/05/2023 + 30/06/2023 + 31/07/2023 + 01/09/2023 + 30/09/2023 + 30/09/2022 (reçu 11/2023) + 30/11/2023 + 01/01/2024 + 31/01/2024 + 29/02/2024 + 30/04/2024 + 31/05/2024 + 30/06/2024 + 31/07/2024 + 31/08/2024 + 30/09/2024 + 31/10/2024 + 30/11/2024 + 31/12/2024 + 31/01/2025 + 28/02/2025 + 31/03/2025+30/04/2025 + 30/04/2025 + 31/05/2025 + 30/06/2025 + 31/07/2025 + 31/08/2025"/>
    <n v="70350"/>
    <s v="EUROS"/>
    <n v="63157.41"/>
    <n v="7192.5899999999965"/>
    <n v="63157.41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4.1.1 - Web-based image submission (study set-up)"/>
    <m/>
    <s v="INV BCG-0000149"/>
    <d v="2022-09-21T00:00:00"/>
    <n v="9923"/>
    <s v="EUROS"/>
    <n v="9923"/>
    <n v="0"/>
    <n v="9923"/>
    <s v="études 102,108 et 302, mais Laurence a indiqué de porter les montants sur l’étude 108."/>
  </r>
  <r>
    <m/>
    <x v="13"/>
    <m/>
    <x v="2"/>
    <m/>
    <x v="14"/>
    <s v="SRV_21132 - P00317_2021"/>
    <s v="P00317_2021"/>
    <s v="4.1.1 - Monthly Electronic Image Transfer Fee (621€/mois sur 51 mois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 +31/08/2025"/>
    <n v="31671"/>
    <s v="EUROS"/>
    <n v="26144"/>
    <n v="5527"/>
    <n v="26144"/>
    <s v="études 102,108 et 302, mais Laurence a indiqué de porter les montants sur l’étude 108."/>
  </r>
  <r>
    <m/>
    <x v="13"/>
    <m/>
    <x v="2"/>
    <m/>
    <x v="14"/>
    <s v="SRV_21132 - P00317_2021"/>
    <s v="P00317_2021"/>
    <s v="5.1.1- 5.1.2 - Image data log-in and Image Data Quality Control (ECHO)"/>
    <m/>
    <s v="INV BCG-0000149 + INV BCG-0000150 + INV BCG-0000151 + INV BCG-0000152 + INV BCG-0000155 + INV BCG-0000157 + INV BCG-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197 + INV BCG-0000198 + INV BCG-0000199 + INV BCG-0000200 + INV BCG-0000201 + INV BCG-0000202 + INV BCG-0000203 + INV BCG-0000204 + INV BCG-0000205 + INV BCG-0000206 + INV BCG-0000207"/>
    <s v="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"/>
    <n v="83148"/>
    <s v="EUROS"/>
    <n v="29796"/>
    <n v="53352"/>
    <n v="29796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6.1.1 - Data capture and reporting system set-up"/>
    <m/>
    <s v="INV BCG-0000149"/>
    <d v="2022-09-21T00:00:00"/>
    <n v="11960"/>
    <s v="EUROS"/>
    <n v="11960"/>
    <n v="0"/>
    <n v="11960"/>
    <s v="études 102,108 et 302, mais Laurence a indiqué de porter les montants sur l’étude 108."/>
  </r>
  <r>
    <m/>
    <x v="13"/>
    <m/>
    <x v="2"/>
    <m/>
    <x v="14"/>
    <s v="SRV_21132 - P00317_2021"/>
    <s v="P00317_2021"/>
    <s v="6.1.2 - Systems suppor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1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"/>
    <n v="13209"/>
    <s v="EUROS"/>
    <n v="11137"/>
    <n v="2072"/>
    <n v="11137"/>
    <s v="études 102,108 et 302, mais Laurence a indiqué de porter les montants sur l’étude 108."/>
  </r>
  <r>
    <m/>
    <x v="13"/>
    <m/>
    <x v="2"/>
    <m/>
    <x v="14"/>
    <s v="SRV_21132 - P00317_2021"/>
    <s v="P00317_2021"/>
    <s v="6.1.3 - Ongoing Data Managemen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0195 + iNV BCG-0000196 + INV BCG-0000197 + INV BCG-0000198 + INV BCG-0000199 + INV BCG-0000200 + INV BCG-0000201 + INV BCG-0000202 + INV BCG-0000203 + INV BCG-0000204 + INV BCG-0000205 + INV BCG-0000206 + INV BCG 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8/2024 + 30/09/2024 + 31/10/2024 + 30/11/2024 + 31/12/2024 + 31/01/2025 + 28/02/2025 + 31/03/2025 + 030/04/2025 + 31/05/2025 + 30/06/2025 + 31/07/2025+31/08/2025"/>
    <n v="18921"/>
    <s v="EUROS"/>
    <n v="15211"/>
    <n v="3710"/>
    <n v="15211"/>
    <s v="études 102,108 et 302, mais Laurence a indiqué de porter les montants sur l’étude 108."/>
  </r>
  <r>
    <m/>
    <x v="13"/>
    <m/>
    <x v="2"/>
    <m/>
    <x v="14"/>
    <s v="SRV_21132 - P00317_2021"/>
    <s v="P00317_2021"/>
    <s v="6.1.4 - Data validation plan"/>
    <m/>
    <m/>
    <m/>
    <n v="2222"/>
    <s v="EUROS"/>
    <m/>
    <n v="2222"/>
    <n v="0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7.2 - MvE / Reconciliation Report Set-Up per study"/>
    <m/>
    <s v="INV BCG-0000202"/>
    <d v="2025-03-31T00:00:00"/>
    <n v="5889"/>
    <s v="EUROS"/>
    <n v="5889"/>
    <n v="0"/>
    <n v="5889"/>
    <s v="études 102,108 et 302, mais Laurence a indiqué de porter les montants sur l’étude 108."/>
  </r>
  <r>
    <m/>
    <x v="13"/>
    <m/>
    <x v="2"/>
    <m/>
    <x v="14"/>
    <s v="SRV_21132 - P00317_2021"/>
    <s v="P00317_2021"/>
    <s v="9.1 - Study close-out"/>
    <m/>
    <m/>
    <m/>
    <n v="3452"/>
    <s v="EUROS"/>
    <m/>
    <n v="3452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1 - Study Set-Up - Expedited"/>
    <m/>
    <m/>
    <m/>
    <n v="2157"/>
    <s v="EUROS"/>
    <m/>
    <n v="2157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5.1 - Scientific Support and Consultation"/>
    <m/>
    <m/>
    <m/>
    <n v="5505"/>
    <s v="EUROS"/>
    <m/>
    <n v="5505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5.1 - Cardiologist Support and Consultation"/>
    <m/>
    <m/>
    <m/>
    <n v="5180"/>
    <s v="EUROS"/>
    <m/>
    <n v="518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5.3 - Independent Review Charter Development"/>
    <m/>
    <m/>
    <m/>
    <n v="15747"/>
    <s v="EUROS"/>
    <m/>
    <n v="15747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3.1 - 3.2  - Site Management and Project management (execution)"/>
    <m/>
    <m/>
    <m/>
    <n v="4230"/>
    <s v="EUROS"/>
    <m/>
    <n v="423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1 - Electronic Reading System (ECHO)"/>
    <m/>
    <m/>
    <m/>
    <n v="15532"/>
    <s v="EUROS"/>
    <m/>
    <n v="15532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1 - Citrix license tech support"/>
    <m/>
    <m/>
    <m/>
    <n v="5609"/>
    <s v="EUROS"/>
    <m/>
    <n v="5609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2 - Systems support"/>
    <m/>
    <m/>
    <m/>
    <n v="2420"/>
    <s v="EUROS"/>
    <m/>
    <n v="242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3 - Ongoing Data Management"/>
    <m/>
    <m/>
    <m/>
    <n v="3710"/>
    <s v="EUROS"/>
    <m/>
    <n v="371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5 - Study Specifications Training Session Preparation"/>
    <m/>
    <m/>
    <m/>
    <n v="5255"/>
    <s v="EUROS"/>
    <m/>
    <n v="5255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5 - Cardiologist Attendance at Study Specifications Training"/>
    <m/>
    <m/>
    <m/>
    <n v="2373"/>
    <s v="EUROS"/>
    <m/>
    <n v="2373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6 - ECHO: Primary Review"/>
    <m/>
    <m/>
    <m/>
    <n v="3410"/>
    <s v="EUROS"/>
    <m/>
    <n v="341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8.1.1 - Data transfer customization/programming (ECHO)"/>
    <m/>
    <m/>
    <m/>
    <n v="5756"/>
    <s v="EUROS"/>
    <m/>
    <n v="5756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8.1.2 - Number of routine electronic data transfers (ECHO)"/>
    <m/>
    <m/>
    <m/>
    <n v="1208"/>
    <s v="EUROS"/>
    <m/>
    <n v="1208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8.1.2 - Number of milestone data transfers (ECHO)"/>
    <m/>
    <m/>
    <m/>
    <n v="1165"/>
    <s v="EUROS"/>
    <m/>
    <n v="1165"/>
    <n v="0"/>
    <s v="études 102,108 et 302, mais Laurence a indiqué de porter les montants sur l’étude 108."/>
  </r>
  <r>
    <s v="Out ? Demander a julien S"/>
    <x v="12"/>
    <m/>
    <x v="2"/>
    <m/>
    <x v="15"/>
    <s v="Quote 20220105_01_NBR_104 - P00007_2022"/>
    <s v="P00007_2022"/>
    <s v="Mir124 determination ABX464-104 clinical samples"/>
    <m/>
    <s v="INV 2 + INV 36 + INV 47 + INV 87 + INV 15 + INV 62 + INV 63"/>
    <s v="11/01/2022 + 31/03/2022 + 29/04/2022 + 22/08/2022 + 14/02/2023 + 09/06/2023 + 26/06/2023"/>
    <n v="596800"/>
    <s v="EUROS"/>
    <n v="358401.43000000005"/>
    <n v="238398.56999999995"/>
    <n v="358401.43000000005"/>
    <m/>
  </r>
  <r>
    <s v="Clôturé"/>
    <x v="14"/>
    <m/>
    <x v="2"/>
    <m/>
    <x v="15"/>
    <s v="SRV_18106"/>
    <m/>
    <s v="Validation study 30%"/>
    <m/>
    <s v="INV 2018.0160 "/>
    <n v="43340"/>
    <n v="13350"/>
    <s v="EUROS"/>
    <s v="OK"/>
    <n v="0"/>
    <n v="13350"/>
    <m/>
  </r>
  <r>
    <s v="Out ? Demander a julien S"/>
    <x v="14"/>
    <m/>
    <x v="2"/>
    <m/>
    <x v="15"/>
    <s v="SRV_18106"/>
    <m/>
    <s v="Report 50%"/>
    <m/>
    <m/>
    <s v="STAND BY cf mail de SC le 04/04/2019"/>
    <n v="22250"/>
    <s v="EUROS"/>
    <m/>
    <n v="22250"/>
    <n v="0"/>
    <s v="STAND BY cf mail de SC le 04/04/2019"/>
  </r>
  <r>
    <s v="Out ? Demander a julien S"/>
    <x v="14"/>
    <m/>
    <x v="2"/>
    <m/>
    <x v="15"/>
    <s v="SRV_18106"/>
    <m/>
    <s v="Acceptance of the final report 20%"/>
    <m/>
    <m/>
    <s v="STAND BY cf mail de SC le 04/04/2019"/>
    <n v="8900"/>
    <s v="EUROS"/>
    <m/>
    <n v="8900"/>
    <n v="0"/>
    <s v="STAND BY cf mail de SC le 04/04/2019"/>
  </r>
  <r>
    <s v="Clôturé"/>
    <x v="1"/>
    <m/>
    <x v="2"/>
    <m/>
    <x v="16"/>
    <s v="112123PM1r2 - SOW#1 - P00092_2024"/>
    <s v="P00092_2024"/>
    <s v="112123PM1r2 - SOW#1"/>
    <m/>
    <s v="INV SI16000002875 - CM16000000098"/>
    <s v="21/02/2024 + 06/03/2024"/>
    <n v="0"/>
    <s v="USD"/>
    <n v="0"/>
    <n v="0"/>
    <n v="0"/>
    <s v="Annulé et remplacé par PO00129_2024"/>
  </r>
  <r>
    <s v="Clôturé"/>
    <x v="1"/>
    <m/>
    <x v="2"/>
    <m/>
    <x v="16"/>
    <s v="112123PM1r2 - SOW#1 +A1(P00129_2024) + A1CO1 (P00506_2024)"/>
    <s v="P00129_2024 + P00506_2024"/>
    <s v="112123PM1r2 - SOW#1 - Add work"/>
    <m/>
    <s v="INV SI16000002884 + INV SI16000003118"/>
    <s v="08/03/2024 + 05/11/2024"/>
    <n v="16014"/>
    <s v="USD"/>
    <n v="16014"/>
    <n v="0"/>
    <n v="16014"/>
    <m/>
  </r>
  <r>
    <s v="Clôturé"/>
    <x v="1"/>
    <m/>
    <x v="2"/>
    <s v="Doug / Caroline L"/>
    <x v="16"/>
    <s v="110623PM1r2 - SOW#2 - P00093_2024"/>
    <s v="P00093_2024"/>
    <s v="110623PM1r2 - SOW#2"/>
    <m/>
    <s v="INV SI16000002876 + INV SI16000003005 + INV SI16000003009"/>
    <s v="21/02/2024 + 18/07/2024 + 19/07/2024"/>
    <n v="24184"/>
    <s v="USD"/>
    <n v="24184"/>
    <n v="0"/>
    <n v="24184"/>
    <m/>
  </r>
  <r>
    <s v="Clôturé"/>
    <x v="1"/>
    <m/>
    <x v="2"/>
    <s v="Doug / Caroline L"/>
    <x v="17"/>
    <s v="XT233133 - SOW#3 - P00094_2024"/>
    <s v="P00094_2024"/>
    <s v="SOW#3 - In vitro evalu ABX464NGlu"/>
    <m/>
    <s v="INV S26642 + INV SI21000001391 + INV SI21000001551"/>
    <s v="15/02/2024 + 18/07/2024 + 20/08/2024"/>
    <n v="46100"/>
    <s v="USD"/>
    <n v="46100"/>
    <n v="0"/>
    <n v="46100"/>
    <m/>
  </r>
  <r>
    <s v="Clôturé"/>
    <x v="1"/>
    <m/>
    <x v="2"/>
    <s v="Doug / Caroline L"/>
    <x v="17"/>
    <s v="XT238095 - SOW#4 - P00098_2024"/>
    <s v="P00098_2024"/>
    <s v=" SOW#4 - Bidirectionnal Permeability ABX464"/>
    <m/>
    <s v="INV S26656 + SI21000001491 + INV SI21000001639"/>
    <s v="15/02/2024 + 31/07/2024 + 31/08/2024"/>
    <n v="43378"/>
    <s v="USD"/>
    <n v="43378"/>
    <n v="0"/>
    <n v="43378"/>
    <m/>
  </r>
  <r>
    <s v="Clôturé"/>
    <x v="2"/>
    <m/>
    <x v="2"/>
    <s v="Doug / Caroline L"/>
    <x v="17"/>
    <s v="090424RT1 - P00508_2024"/>
    <s v="P00508_2024"/>
    <s v="Transporteur studies for MRP2, BCRP &amp; P-gp"/>
    <m/>
    <s v="INV SI16000003119 + INV SI16000003186 + INV SI16000003214 + INV SI16000003230"/>
    <s v="05/11/2024 + 17/12/2024 + 31/01/2025 + 18/02/2025"/>
    <n v="16473"/>
    <s v="USD"/>
    <n v="24709.5"/>
    <n v="0"/>
    <n v="24709.5"/>
    <m/>
  </r>
  <r>
    <m/>
    <x v="1"/>
    <m/>
    <x v="0"/>
    <s v="Aude G"/>
    <x v="18"/>
    <s v="1xJBG10125NC-ABIV - P00032_2025"/>
    <s v="P00032_2025"/>
    <s v="Consommable Labo"/>
    <m/>
    <s v="INV EUSI317770"/>
    <d v="2025-01-23T00:00:00"/>
    <n v="6763.2"/>
    <s v="EUROS"/>
    <n v="6763.2"/>
    <n v="0"/>
    <n v="6763.2"/>
    <m/>
  </r>
  <r>
    <s v="Clôturé"/>
    <x v="1"/>
    <m/>
    <x v="0"/>
    <s v="Aude G"/>
    <x v="19"/>
    <s v="DV00004200 - P00550_2024"/>
    <s v="P00550_2024"/>
    <s v="Consommable Labo"/>
    <m/>
    <s v="INV 8554"/>
    <d v="2024-12-05T00:00:00"/>
    <n v="3000"/>
    <s v="EUROS"/>
    <n v="3000"/>
    <n v="0"/>
    <n v="3000"/>
    <m/>
  </r>
  <r>
    <s v="Clôturé"/>
    <x v="9"/>
    <m/>
    <x v="3"/>
    <m/>
    <x v="20"/>
    <s v="Devis 10091701 - P00151_2021"/>
    <s v="P00151_2021"/>
    <s v="Dev WP1A - Developpement work and report of improvements"/>
    <m/>
    <s v="INV 25077537 + INV 25084389"/>
    <s v="30/06/2021 + 23/09/2021"/>
    <n v="37000"/>
    <s v="EUROS"/>
    <n v="37000"/>
    <n v="0"/>
    <n v="37000"/>
    <m/>
  </r>
  <r>
    <s v="OUT ?"/>
    <x v="9"/>
    <m/>
    <x v="3"/>
    <m/>
    <x v="20"/>
    <s v="Devis 10091701 - P00152_2021"/>
    <s v="P00152_2021"/>
    <s v="Dev WP2 - Analytical Method Implementation and Development"/>
    <m/>
    <m/>
    <m/>
    <n v="32300"/>
    <s v="EUROS"/>
    <m/>
    <n v="32300"/>
    <n v="0"/>
    <m/>
  </r>
  <r>
    <s v="Clôturé"/>
    <x v="1"/>
    <m/>
    <x v="0"/>
    <s v="Aude G"/>
    <x v="21"/>
    <s v="Q-536639 - P00400_2024"/>
    <s v="P00400_2024"/>
    <s v="Consommable Labo"/>
    <m/>
    <s v="INV FRCI-00025605"/>
    <d v="2024-09-02T00:00:00"/>
    <n v="1050"/>
    <s v="EUROS"/>
    <n v="1050"/>
    <n v="0"/>
    <n v="1050"/>
    <m/>
  </r>
  <r>
    <s v="Clôturé"/>
    <x v="1"/>
    <m/>
    <x v="5"/>
    <m/>
    <x v="22"/>
    <s v="SRV_20078"/>
    <m/>
    <s v="Proposal for risk assessment ABX464 in COVID indication - 50% signature"/>
    <m/>
    <s v="INV 2204"/>
    <d v="2020-07-22T00:00:00"/>
    <n v="4375"/>
    <s v="USD"/>
    <s v="OK"/>
    <n v="0"/>
    <n v="4375"/>
    <m/>
  </r>
  <r>
    <s v="OUT ?"/>
    <x v="1"/>
    <m/>
    <x v="5"/>
    <m/>
    <x v="22"/>
    <s v="SRV_20078"/>
    <m/>
    <s v="Proposal for risk assessment ABX464 in COVID indication - 25% +60j"/>
    <d v="2020-09-01T00:00:00"/>
    <m/>
    <m/>
    <n v="2187.5"/>
    <s v="USD"/>
    <m/>
    <n v="2187.5"/>
    <n v="0"/>
    <m/>
  </r>
  <r>
    <s v="OUT ?"/>
    <x v="1"/>
    <m/>
    <x v="5"/>
    <m/>
    <x v="22"/>
    <s v="SRV_20078"/>
    <m/>
    <s v="Proposal for risk assessment ABX464 in COVID indication - 25 au rapport"/>
    <d v="2020-11-30T00:00:00"/>
    <m/>
    <m/>
    <n v="2187.5"/>
    <s v="USD"/>
    <m/>
    <n v="2187.5"/>
    <n v="0"/>
    <m/>
  </r>
  <r>
    <s v="Clôturé"/>
    <x v="1"/>
    <m/>
    <x v="5"/>
    <m/>
    <x v="22"/>
    <s v="SRV_20079"/>
    <m/>
    <s v="Proposal for global proprietary brand ABX464 - 50% a signature"/>
    <m/>
    <s v="INV 2203"/>
    <d v="2020-07-22T00:00:00"/>
    <n v="49765.5"/>
    <s v="USD"/>
    <s v="OK"/>
    <n v="0"/>
    <n v="49765.5"/>
    <m/>
  </r>
  <r>
    <s v="Clôturé"/>
    <x v="1"/>
    <m/>
    <x v="5"/>
    <m/>
    <x v="22"/>
    <s v="SRV_20079"/>
    <m/>
    <s v="Proposal for global proprietary brand ABX464 - 25% +60j"/>
    <m/>
    <s v="INV 2239"/>
    <d v="2020-09-15T00:00:00"/>
    <n v="24882.75"/>
    <s v="USD"/>
    <s v="OK"/>
    <n v="0"/>
    <n v="24882.75"/>
    <m/>
  </r>
  <r>
    <s v="OUT ?"/>
    <x v="1"/>
    <m/>
    <x v="5"/>
    <m/>
    <x v="22"/>
    <s v="SRV_20079"/>
    <m/>
    <s v="Proposal for global proprietary brand ABX464 - 25% au rapport"/>
    <d v="2021-01-30T00:00:00"/>
    <m/>
    <m/>
    <n v="24882.75"/>
    <s v="USD"/>
    <m/>
    <n v="24882.75"/>
    <n v="0"/>
    <m/>
  </r>
  <r>
    <s v="Clôturé"/>
    <x v="15"/>
    <m/>
    <x v="2"/>
    <m/>
    <x v="23"/>
    <s v="MSA_19134_WO1"/>
    <m/>
    <s v="DEPOSIT 400 000 USD - LOI INVOICED"/>
    <m/>
    <s v="INV 11769"/>
    <d v="2019-09-25T00:00:00"/>
    <n v="266067.64"/>
    <s v="USD"/>
    <n v="266067.64"/>
    <n v="0"/>
    <n v="266067.64"/>
    <s v="Facture = 400 000 deposit - Deposit LOI + 119 632,64 USD de services - a contrôler pour le solde a la fin de l'étude"/>
  </r>
  <r>
    <s v="Clôturé"/>
    <x v="15"/>
    <m/>
    <x v="2"/>
    <m/>
    <x v="23"/>
    <s v="MSA_19134_WO1"/>
    <m/>
    <s v="Monthly fee - services ((2 158 520-400 000)/ 36 mois) + PTC 240 400 / 36 mois"/>
    <m/>
    <s v="INV 11751 + INV 11770"/>
    <s v="08/08/2019 + 09/10/2019"/>
    <n v="34466.6"/>
    <s v="USD"/>
    <n v="34466.6"/>
    <n v="0"/>
    <n v="34466.6"/>
    <m/>
  </r>
  <r>
    <s v="Clôturé"/>
    <x v="15"/>
    <m/>
    <x v="2"/>
    <m/>
    <x v="23"/>
    <s v="MSA_19134_WO1"/>
    <m/>
    <s v="Monthly fee - services ((2 158 520-400 000)/ 36 mois) + PTC 240 400 / 36 mois"/>
    <m/>
    <s v="INV 11753"/>
    <d v="2019-09-11T00:00:00"/>
    <n v="95931.51"/>
    <s v="USD"/>
    <n v="95931.51"/>
    <n v="0"/>
    <n v="95931.51"/>
    <m/>
  </r>
  <r>
    <s v="Clôturé"/>
    <x v="15"/>
    <m/>
    <x v="2"/>
    <m/>
    <x v="23"/>
    <s v="MSA_19134_WO1"/>
    <m/>
    <s v="Monthly fee - services - 20 000 USD Deposit 400 000 / 20 mois"/>
    <m/>
    <s v="INV 11788 + INV 11806"/>
    <s v="11/11/2019 + 16/12/2019"/>
    <n v="17002.91"/>
    <s v="USD"/>
    <n v="17002.91"/>
    <n v="0"/>
    <n v="17002.91"/>
    <m/>
  </r>
  <r>
    <s v="Clôturé"/>
    <x v="15"/>
    <m/>
    <x v="2"/>
    <m/>
    <x v="23"/>
    <s v="MSA_19134_WO1"/>
    <m/>
    <s v="Monthly fee - services - 20 000 USD Deposit 400 000 / 20 mois"/>
    <m/>
    <s v="INV 11825"/>
    <d v="2020-01-09T00:00:00"/>
    <n v="4.18"/>
    <s v="USD"/>
    <n v="4.18"/>
    <n v="0"/>
    <n v="4.18"/>
    <m/>
  </r>
  <r>
    <s v="Clôturé"/>
    <x v="15"/>
    <m/>
    <x v="2"/>
    <m/>
    <x v="23"/>
    <s v="MSA_19134_WO1"/>
    <m/>
    <s v="Monthly fee - services - 20 000 USD Deposit 400 000 / 20 mois"/>
    <m/>
    <s v="INV 11845"/>
    <d v="2020-02-07T00:00:00"/>
    <n v="0"/>
    <s v="USD"/>
    <n v="0"/>
    <n v="0"/>
    <n v="0"/>
    <s v="Montant = 0 €"/>
  </r>
  <r>
    <s v="Clôturé"/>
    <x v="15"/>
    <m/>
    <x v="2"/>
    <m/>
    <x v="23"/>
    <s v="MSA_19134_WO1"/>
    <m/>
    <s v="Monthly fee - services - 20 000 USD Deposit 400 000 / 20 mois"/>
    <m/>
    <s v="INV 11867"/>
    <d v="2020-03-10T00:00:00"/>
    <n v="0"/>
    <s v="USD"/>
    <n v="0"/>
    <n v="0"/>
    <n v="0"/>
    <s v="Montant = 0 €"/>
  </r>
  <r>
    <s v="Clôturé"/>
    <x v="15"/>
    <m/>
    <x v="2"/>
    <m/>
    <x v="23"/>
    <s v="MSA_19134_WO1"/>
    <m/>
    <s v="Monthly fee - services - 20 000 USD Deposit 400 000 / 20 mois"/>
    <m/>
    <s v="INV 11890"/>
    <d v="2020-04-09T00:00:00"/>
    <n v="7784.18"/>
    <s v="USD"/>
    <n v="7784.18"/>
    <n v="0"/>
    <n v="7784.18"/>
    <m/>
  </r>
  <r>
    <s v="Clôturé"/>
    <x v="15"/>
    <m/>
    <x v="2"/>
    <m/>
    <x v="23"/>
    <s v="MSA_19134_WO1"/>
    <m/>
    <s v="Monthly fee - services - 20 000 USD Deposit 400 000 / 20 mois"/>
    <m/>
    <s v="INV 11909"/>
    <d v="2020-05-11T00:00:00"/>
    <n v="21270"/>
    <s v="USD"/>
    <n v="21270"/>
    <n v="0"/>
    <n v="21270"/>
    <m/>
  </r>
  <r>
    <s v="Clôturé"/>
    <x v="15"/>
    <m/>
    <x v="2"/>
    <m/>
    <x v="23"/>
    <s v="MSA_19134_WO1"/>
    <m/>
    <s v="Monthly fee - services - 20 000 USD Deposit 400 000 / 20 mois"/>
    <m/>
    <s v="INV 11933"/>
    <d v="2020-06-09T00:00:00"/>
    <n v="5176.5"/>
    <s v="USD"/>
    <n v="5176.5"/>
    <n v="0"/>
    <n v="5176.5"/>
    <m/>
  </r>
  <r>
    <s v="Clôturé"/>
    <x v="15"/>
    <m/>
    <x v="2"/>
    <m/>
    <x v="23"/>
    <s v="MSA_19134_WO1"/>
    <m/>
    <s v="Monthly fee - services - 20 000 USD Deposit 400 000 / 20 mois"/>
    <m/>
    <s v="INV 11963"/>
    <d v="2020-07-10T00:00:00"/>
    <n v="8057.5"/>
    <s v="USD"/>
    <n v="8057.5"/>
    <n v="0"/>
    <n v="8057.5"/>
    <m/>
  </r>
  <r>
    <s v="Clôturé"/>
    <x v="15"/>
    <m/>
    <x v="2"/>
    <m/>
    <x v="23"/>
    <s v="MSA_19134_WO1"/>
    <m/>
    <s v="Monthly fee - services - 20 000 USD Deposit 400 000 / 20 mois"/>
    <m/>
    <s v="INV 11993"/>
    <d v="2020-08-10T00:00:00"/>
    <n v="29848.75"/>
    <s v="USD"/>
    <n v="29848.75"/>
    <n v="0"/>
    <n v="29848.75"/>
    <m/>
  </r>
  <r>
    <s v="Clôturé"/>
    <x v="15"/>
    <m/>
    <x v="2"/>
    <m/>
    <x v="23"/>
    <s v="MSA_19134_WO1"/>
    <m/>
    <s v="Monthly fee - services - 20 000 USD Deposit 400 000 / 20 mois"/>
    <m/>
    <s v="INV 12014"/>
    <d v="2020-09-10T00:00:00"/>
    <n v="8938.5"/>
    <s v="USD"/>
    <n v="8938.5"/>
    <n v="0"/>
    <n v="8938.5"/>
    <m/>
  </r>
  <r>
    <s v="Clôturé"/>
    <x v="15"/>
    <m/>
    <x v="2"/>
    <m/>
    <x v="23"/>
    <s v="MSA_19134_WO1"/>
    <m/>
    <s v="Monthly fee - services - 20 000 USD Deposit 400 000 / 20 mois"/>
    <m/>
    <s v="INV 12036"/>
    <d v="2020-10-09T00:00:00"/>
    <n v="12618.75"/>
    <s v="USD"/>
    <n v="12618.75"/>
    <n v="0"/>
    <n v="12618.75"/>
    <m/>
  </r>
  <r>
    <s v="Clôturé"/>
    <x v="15"/>
    <m/>
    <x v="2"/>
    <m/>
    <x v="23"/>
    <s v="MSA_19134_WO1"/>
    <m/>
    <s v="Monthly fee - services - 20 000 USD Deposit 400 000 / 20 mois"/>
    <m/>
    <s v="INV 12049"/>
    <d v="2020-11-10T00:00:00"/>
    <n v="5312.5"/>
    <s v="USD"/>
    <n v="5312.5"/>
    <n v="0"/>
    <n v="5312.5"/>
    <m/>
  </r>
  <r>
    <s v="Clôturé"/>
    <x v="15"/>
    <m/>
    <x v="2"/>
    <m/>
    <x v="23"/>
    <s v="MSA_19134_WO1"/>
    <m/>
    <s v="Monthly fee - services - 20 000 USD Deposit 400 000 / 20 mois"/>
    <m/>
    <s v="INV 12072"/>
    <d v="2020-12-10T00:00:00"/>
    <n v="8423.5"/>
    <s v="USD"/>
    <n v="8423.5"/>
    <n v="0"/>
    <n v="8423.5"/>
    <m/>
  </r>
  <r>
    <s v="Clôturé"/>
    <x v="15"/>
    <m/>
    <x v="2"/>
    <m/>
    <x v="23"/>
    <s v="MSA_19134_WO1"/>
    <m/>
    <s v="Monthly fee - services - 20 000 USD Deposit 400 000 / 20 mois"/>
    <m/>
    <s v="INV 12094"/>
    <d v="2021-01-11T00:00:00"/>
    <n v="40156.25"/>
    <s v="USD"/>
    <n v="40156.25"/>
    <n v="0"/>
    <n v="40156.25"/>
    <m/>
  </r>
  <r>
    <s v="Clôturé"/>
    <x v="15"/>
    <m/>
    <x v="2"/>
    <m/>
    <x v="23"/>
    <s v="MSA_19134_WO1"/>
    <m/>
    <s v="Monthly fee - services - 20 000 USD Deposit 400 000 / 20 mois"/>
    <m/>
    <s v="INV 12117 + INV 12152"/>
    <s v="09/02/2021 + 10/03/2021"/>
    <n v="33295.33"/>
    <s v="USD"/>
    <n v="33295.33"/>
    <n v="0"/>
    <n v="33295.33"/>
    <m/>
  </r>
  <r>
    <s v="Clôturé"/>
    <x v="15"/>
    <m/>
    <x v="2"/>
    <m/>
    <x v="23"/>
    <s v="MSA_19134_WO1"/>
    <m/>
    <s v="Monthly fee - services - 20 000 USD Deposit 400 000 / 20 mois"/>
    <m/>
    <s v="INV 12152"/>
    <d v="2021-03-10T00:00:00"/>
    <n v="46636.666666666672"/>
    <s v="USD"/>
    <n v="46636.67"/>
    <n v="0"/>
    <n v="46636.67"/>
    <m/>
  </r>
  <r>
    <s v="Clôturé"/>
    <x v="15"/>
    <m/>
    <x v="2"/>
    <m/>
    <x v="23"/>
    <s v="MSA_19134_WO1"/>
    <m/>
    <s v="Monthly fee - services - 20 000 USD Deposit 400 000 / 20 mois"/>
    <m/>
    <s v="INV 12183"/>
    <d v="2021-04-09T00:00:00"/>
    <n v="14502.5"/>
    <s v="USD"/>
    <n v="14502.5"/>
    <n v="0"/>
    <n v="14502.5"/>
    <m/>
  </r>
  <r>
    <s v="Clôturé"/>
    <x v="15"/>
    <m/>
    <x v="2"/>
    <m/>
    <x v="23"/>
    <s v="MSA_19134_WO1"/>
    <m/>
    <s v="Monthly fee - services - 20 000 USD Deposit 400 000 / 20 mois"/>
    <m/>
    <s v="INV 12199"/>
    <d v="2021-05-12T00:00:00"/>
    <n v="37437.5"/>
    <s v="USD"/>
    <n v="37437.5"/>
    <n v="0"/>
    <n v="37437.5"/>
    <m/>
  </r>
  <r>
    <s v="Clôturé"/>
    <x v="15"/>
    <m/>
    <x v="2"/>
    <m/>
    <x v="23"/>
    <s v="MSA_19134_WO1"/>
    <m/>
    <s v="Monthly fee - services - 20 000 USD Deposit 400 000 / 20 mois"/>
    <m/>
    <s v="INV 12208"/>
    <d v="2021-06-10T00:00:00"/>
    <n v="46636.666666666672"/>
    <s v="USD"/>
    <n v="46637"/>
    <n v="0"/>
    <n v="46637"/>
    <m/>
  </r>
  <r>
    <s v="Clôturé"/>
    <x v="15"/>
    <m/>
    <x v="2"/>
    <m/>
    <x v="23"/>
    <s v="MSA_19134_WO1"/>
    <m/>
    <s v="Monthly fee - services - 20 000 USD Deposit 400 000 / 20 mois"/>
    <m/>
    <s v="INV 12241"/>
    <d v="2021-07-09T00:00:00"/>
    <n v="46636.666666666672"/>
    <s v="USD"/>
    <n v="46452.78"/>
    <n v="0"/>
    <n v="46452.78"/>
    <m/>
  </r>
  <r>
    <s v="OUT ?"/>
    <x v="15"/>
    <m/>
    <x v="2"/>
    <m/>
    <x v="23"/>
    <s v="MSA_19134_WO1 + WO2 + WO3 + WO4"/>
    <m/>
    <s v="Monthly fee - Sur toute l'étude"/>
    <m/>
    <s v="INV 12256 + INV 12290 + INV 12301 + INV 12332 + INV 12344 + INV 12374 + INV 12390 + INV 12413 + INV 12429 + INV 12447 + INV 12465 + INV 12488 + INV 12509 + INV 12537 + INV 12546 + INV 12566 + INV 12585 + INV 12604"/>
    <s v="10/08/2021 + 10/09/2021 + 08/10/2021 + 10/11/2021 + 10/12/2021 + 10/01/2022 + 10/02/2022 + 10/03/2022 + 08/04/2022 + 09/05/2022 + 10/06/2022 + 08/07/2022 + 10/08/2022 + 08/09/2022 + 30/09/2022 + 31/10/2022 + 30/11/2022 + 31/12/2022"/>
    <n v="1385766.4000000001"/>
    <s v="USD"/>
    <n v="621905.95000000007"/>
    <n v="763860.45000000007"/>
    <n v="621905.95000000007"/>
    <m/>
  </r>
  <r>
    <s v="OUT ?"/>
    <x v="2"/>
    <m/>
    <x v="4"/>
    <s v="Sheldon S"/>
    <x v="24"/>
    <s v="SOW#6 - P00353_2024"/>
    <s v="P00353_2024"/>
    <s v="Congress Banner &amp; Brochure Printing"/>
    <m/>
    <s v="INV-2460 + INV 2618"/>
    <s v="16/09/2024 + 11/10/2024"/>
    <n v="5455"/>
    <s v="USD"/>
    <n v="1608.75"/>
    <n v="3846.25"/>
    <n v="1608.75"/>
    <m/>
  </r>
  <r>
    <s v="OUT ?"/>
    <x v="1"/>
    <m/>
    <x v="0"/>
    <m/>
    <x v="25"/>
    <s v="CEVQ2023.01.01 - P000014_2023"/>
    <s v="P00014_2023"/>
    <s v="Tk calculation ABX464 Nglu Mai rat EFD"/>
    <m/>
    <m/>
    <m/>
    <n v="5500"/>
    <s v="EUROS"/>
    <m/>
    <n v="5500"/>
    <n v="0"/>
    <m/>
  </r>
  <r>
    <s v="OUT ?"/>
    <x v="1"/>
    <m/>
    <x v="0"/>
    <m/>
    <x v="25"/>
    <s v="CEVQ2020.12.01 - P00856_2020"/>
    <s v="P00856_2020"/>
    <s v="Tk interpretation for fertility and early embrionic dev in rat"/>
    <m/>
    <m/>
    <m/>
    <n v="5000"/>
    <s v="EUROS"/>
    <m/>
    <n v="5000"/>
    <n v="0"/>
    <m/>
  </r>
  <r>
    <s v="OUT ?"/>
    <x v="1"/>
    <m/>
    <x v="0"/>
    <m/>
    <x v="25"/>
    <s v="CEVQ2023.04.01 - P00119_2023"/>
    <s v="P00119_2023"/>
    <s v="Ophtalmo juvenil ABX711NGlu"/>
    <m/>
    <m/>
    <m/>
    <n v="4400"/>
    <s v="EUROS"/>
    <m/>
    <n v="4400"/>
    <n v="0"/>
    <s v="Vu avec DS c'est bien du 464"/>
  </r>
  <r>
    <s v="OUT ?"/>
    <x v="1"/>
    <m/>
    <x v="0"/>
    <m/>
    <x v="25"/>
    <s v="CEVQ2023.04.02 - P00120_2023"/>
    <s v="P00120_2023"/>
    <s v="TK juvenile ABX711NGlu"/>
    <m/>
    <m/>
    <m/>
    <n v="5500"/>
    <s v="EUROS"/>
    <m/>
    <n v="5500"/>
    <n v="0"/>
    <s v="Vu avec DS c'est bien du 464"/>
  </r>
  <r>
    <s v="OUT ?"/>
    <x v="1"/>
    <m/>
    <x v="0"/>
    <m/>
    <x v="25"/>
    <s v="CEVQ2023.04.03 - P00121_2023"/>
    <s v="P00121_2023"/>
    <s v="TK juvenile ABX464"/>
    <m/>
    <m/>
    <m/>
    <n v="5500"/>
    <s v="EUROS"/>
    <m/>
    <n v="5500"/>
    <n v="0"/>
    <m/>
  </r>
  <r>
    <s v="OUT ?"/>
    <x v="1"/>
    <m/>
    <x v="0"/>
    <m/>
    <x v="25"/>
    <s v="CEVQ2023.07.01 - P00228_2023"/>
    <s v="P00228_2023"/>
    <s v="Ocular exam ABX464 and ABX464-N-Glucuronide - 26-Week Carcinogenicity"/>
    <m/>
    <s v="INV 230.23.15 + INV 232.23.17 + INV 236.23.21 + INV 238.23.23 + INV 243.23.28 + INV 255.23.40"/>
    <s v="06/07/2023 + 19/07/2023 + 07/08/2023 + 17/08/2023 + 04/10/2023 + 28/12/2023"/>
    <n v="17600"/>
    <s v="EUROS"/>
    <n v="13200"/>
    <n v="4400"/>
    <n v="13200"/>
    <m/>
  </r>
  <r>
    <s v="OUT ?"/>
    <x v="1"/>
    <m/>
    <x v="0"/>
    <m/>
    <x v="25"/>
    <s v="CEVQ2023.12.03 - P00460_2023"/>
    <s v="P00460_2023"/>
    <s v="Peer review juvenil ABX464-Nglu"/>
    <m/>
    <s v="INV 253.23.38 + INV 260.24.04"/>
    <s v="01/01/2024 + 18/03/2024"/>
    <n v="5400"/>
    <s v="EUROS"/>
    <n v="4500"/>
    <n v="900"/>
    <n v="4500"/>
    <m/>
  </r>
  <r>
    <s v="OUT ?"/>
    <x v="1"/>
    <m/>
    <x v="0"/>
    <m/>
    <x v="25"/>
    <s v="CEVQ2023.12.02 - P00461_2023"/>
    <s v="P00461_2023"/>
    <s v="Peer review juvenil ABX464"/>
    <m/>
    <s v="INV 252.23.37 + INV 257.24.01"/>
    <s v="01/01/2024 + 27/02/2024"/>
    <n v="5400"/>
    <s v="EUROS"/>
    <n v="4500"/>
    <n v="900"/>
    <n v="4500"/>
    <m/>
  </r>
  <r>
    <s v="OUT ?"/>
    <x v="1"/>
    <m/>
    <x v="0"/>
    <m/>
    <x v="25"/>
    <s v="CEVQ2023.12.01 - P00465_2023"/>
    <s v="P00465_2023"/>
    <s v="Ocular exam N-Glu juvenil rats extra day"/>
    <m/>
    <m/>
    <m/>
    <n v="2640"/>
    <s v="EUROS"/>
    <m/>
    <n v="2640"/>
    <n v="0"/>
    <m/>
  </r>
  <r>
    <s v="OUT ?"/>
    <x v="1"/>
    <m/>
    <x v="3"/>
    <m/>
    <x v="26"/>
    <s v="CH.BEI-22.10-001.01 - P00417_2022"/>
    <s v="P00417_2022"/>
    <s v="Development of ABX464 2,5mg/mL oral Pediatric Liquid-in-Bottle Phase I Product"/>
    <m/>
    <s v="INV 35408994 R2 + INV 35409726 R2 + INV 35410211 R2 + INV 35414817 R2"/>
    <s v="30/03/2023 + 30/05/2023 + 30/06/2023 (recu 07/2023) + 28/06/2024"/>
    <n v="319350"/>
    <s v="EUROS"/>
    <n v="98600"/>
    <n v="220750"/>
    <n v="98600"/>
    <m/>
  </r>
  <r>
    <s v="OUT ?"/>
    <x v="1"/>
    <m/>
    <x v="3"/>
    <m/>
    <x v="26"/>
    <s v="QAR-01.01_CH.22.10-001.01 - P00359_2023"/>
    <s v="P00359_2023"/>
    <s v="Adjustement of Oral Formulation Dev"/>
    <m/>
    <s v="INV 35412394 R2"/>
    <d v="2024-01-01T00:00:00"/>
    <n v="22450"/>
    <s v="EUROS"/>
    <n v="1200"/>
    <n v="21250"/>
    <n v="1200"/>
    <m/>
  </r>
  <r>
    <s v="OUT ?"/>
    <x v="1"/>
    <m/>
    <x v="3"/>
    <m/>
    <x v="26"/>
    <s v="QAR-02.01 - P00401_2023"/>
    <s v="P00401_2023"/>
    <s v="Animal PK supply and raw material for nonGMP ABX464"/>
    <m/>
    <s v="INV 35414356 R2"/>
    <d v="2024-05-29T00:00:00"/>
    <n v="25500"/>
    <s v="EUROS"/>
    <n v="2500"/>
    <n v="23000"/>
    <n v="2500"/>
    <m/>
  </r>
  <r>
    <s v="OUT ?"/>
    <x v="2"/>
    <m/>
    <x v="1"/>
    <m/>
    <x v="27"/>
    <s v="Devis du 24/04/2023 - P00175_2023"/>
    <s v="P00175_2023"/>
    <s v="Audit GLP/GCLP Charles River St Naz"/>
    <m/>
    <s v="INV 2023-000348"/>
    <d v="2023-07-10T00:00:00"/>
    <n v="2700"/>
    <s v="EUROS"/>
    <n v="2075"/>
    <n v="625"/>
    <n v="2075"/>
    <m/>
  </r>
  <r>
    <s v="OUT ?"/>
    <x v="2"/>
    <m/>
    <x v="1"/>
    <m/>
    <x v="27"/>
    <s v="Devis n°36 - P00329_2023"/>
    <s v="P00329_2023"/>
    <s v="Audit GLP Labcorp Huntingdon - UK"/>
    <m/>
    <s v="INV 2024-000394"/>
    <d v="2024-03-06T00:00:00"/>
    <n v="4500"/>
    <s v="EUROS"/>
    <n v="3239.36"/>
    <n v="1260.6399999999999"/>
    <n v="3239.36"/>
    <m/>
  </r>
  <r>
    <s v="OUT ?"/>
    <x v="16"/>
    <m/>
    <x v="2"/>
    <m/>
    <x v="28"/>
    <s v="DV-ABI-0120-1002 - P00559_2020"/>
    <s v="P00559_2020"/>
    <s v="Formation sur logiciel Biomarcker"/>
    <d v="2020-03-01T00:00:00"/>
    <m/>
    <m/>
    <n v="1468.83"/>
    <s v="EUROS"/>
    <m/>
    <n v="1468.83"/>
    <n v="0"/>
    <m/>
  </r>
  <r>
    <s v="OUT ?"/>
    <x v="17"/>
    <m/>
    <x v="2"/>
    <m/>
    <x v="28"/>
    <s v="DV-ABI-0219-704 - P00228_2019"/>
    <s v="P00228_2019"/>
    <s v="Stockage echantillon ABX464-005"/>
    <m/>
    <m/>
    <s v="IV-0419836-ABI du 30/04/2019"/>
    <n v="1404.14"/>
    <s v="EUROS"/>
    <n v="254.89"/>
    <n v="1149.25"/>
    <n v="254.89"/>
    <m/>
  </r>
  <r>
    <s v="OUT ?"/>
    <x v="17"/>
    <m/>
    <x v="2"/>
    <m/>
    <x v="28"/>
    <s v="DV-ABI-0220-1021 - P00575_2020"/>
    <s v="P00575_2020"/>
    <s v="Rapatriation of ABX464-005 PBMC from Atlanbio Gestion et coordianation de projet"/>
    <d v="2020-04-01T00:00:00"/>
    <m/>
    <m/>
    <n v="272.98"/>
    <s v="EUROS"/>
    <m/>
    <n v="272.98"/>
    <n v="0"/>
    <m/>
  </r>
  <r>
    <s v="OUT ?"/>
    <x v="17"/>
    <m/>
    <x v="2"/>
    <m/>
    <x v="28"/>
    <s v="DV-ABI-0220-1021 - P00575_2020"/>
    <s v="P00575_2020"/>
    <s v="Rapatriation of ABX464-005 PBMC from Atlanbio - Transport d'échantillon"/>
    <d v="2020-04-01T00:00:00"/>
    <m/>
    <m/>
    <n v="1933.56"/>
    <s v="EUROS"/>
    <m/>
    <n v="1933.56"/>
    <n v="0"/>
    <m/>
  </r>
  <r>
    <s v="OUT ?"/>
    <x v="17"/>
    <m/>
    <x v="2"/>
    <m/>
    <x v="28"/>
    <s v="DV-ABI-0220-1021 - P00575_2020"/>
    <s v="P00575_2020"/>
    <s v="Rapatriation of ABX464-005 PBMC from Atlanbio - receptio, contrôle et stock"/>
    <d v="2020-04-01T00:00:00"/>
    <m/>
    <m/>
    <n v="201.83"/>
    <s v="EUROS"/>
    <m/>
    <n v="201.83"/>
    <n v="0"/>
    <m/>
  </r>
  <r>
    <s v="OUT ?"/>
    <x v="17"/>
    <m/>
    <x v="2"/>
    <m/>
    <x v="28"/>
    <s v="DV-ABI-0220-1021 - P00575_2020"/>
    <s v="P00575_2020"/>
    <s v="Rapatriation of ABX464-005 PBMC from Atlanbio - Conservation 11 mois"/>
    <d v="2020-04-01T00:00:00"/>
    <m/>
    <m/>
    <n v="1111.02"/>
    <s v="EUROS"/>
    <m/>
    <n v="1111.02"/>
    <n v="0"/>
    <m/>
  </r>
  <r>
    <s v="OUT ?"/>
    <x v="17"/>
    <m/>
    <x v="2"/>
    <m/>
    <x v="28"/>
    <s v="DV-ABI-0220-1021 - P00575_2020"/>
    <s v="P00575_2020"/>
    <s v="Rapatriation of ABX464-005 PBMC from Atlanbio - Contrôle des cryoboites"/>
    <d v="2020-04-01T00:00:00"/>
    <m/>
    <m/>
    <n v="4112.97"/>
    <s v="EUROS"/>
    <m/>
    <n v="4112.97"/>
    <n v="0"/>
    <m/>
  </r>
  <r>
    <s v="OUT ?"/>
    <x v="1"/>
    <m/>
    <x v="0"/>
    <m/>
    <x v="28"/>
    <s v="DV-ABI-0421-1214 - P00150_2021"/>
    <s v="P00150_2021"/>
    <s v="Transport Stockage échantillon préclinique"/>
    <m/>
    <m/>
    <m/>
    <n v="4989.43"/>
    <s v="EUROS"/>
    <m/>
    <n v="4989.43"/>
    <n v="0"/>
    <m/>
  </r>
  <r>
    <s v="Clôturé"/>
    <x v="5"/>
    <m/>
    <x v="2"/>
    <m/>
    <x v="28"/>
    <s v="DV-ABI-0422-1276 - P00152_2022"/>
    <s v="P00152_2022"/>
    <s v="Mise en place projet UC103"/>
    <m/>
    <s v="INV IV-06220443-ABI"/>
    <d v="2022-06-30T00:00:00"/>
    <n v="258"/>
    <s v="EUROS"/>
    <n v="258"/>
    <n v="0"/>
    <n v="258"/>
    <m/>
  </r>
  <r>
    <s v="Clôturé"/>
    <x v="18"/>
    <m/>
    <x v="2"/>
    <m/>
    <x v="28"/>
    <s v="DV-ABI-0423-1390 - P00140_2023"/>
    <s v="P00140_2023"/>
    <s v="Conservation annuelle"/>
    <m/>
    <s v="IV-06230627-ABI + IV-08240851-ABI"/>
    <s v="30/06/2023 + 31/08/2024"/>
    <n v="5512.35"/>
    <s v="EUROS"/>
    <n v="5822.53"/>
    <n v="0"/>
    <n v="5822.53"/>
    <m/>
  </r>
  <r>
    <s v="OUT ?"/>
    <x v="4"/>
    <m/>
    <x v="2"/>
    <m/>
    <x v="28"/>
    <s v="DV-ABI-0521-1228 - P00155_2021"/>
    <s v="P00155_2021"/>
    <s v="Transport Stockage échantillon ABX464-301"/>
    <m/>
    <s v="INV IV-06210359-ABI"/>
    <d v="2021-06-30T00:00:00"/>
    <n v="3895.52"/>
    <s v="EUROS"/>
    <n v="3161.41"/>
    <n v="734.11000000000013"/>
    <n v="3161.41"/>
    <m/>
  </r>
  <r>
    <s v="Clôturé"/>
    <x v="11"/>
    <m/>
    <x v="2"/>
    <m/>
    <x v="28"/>
    <s v="DV-ABI-0623-1469 - P00185_2023"/>
    <s v="P00185_2023"/>
    <s v="Conservation échantillons études 102,301,302"/>
    <m/>
    <s v="IV-06230622-ABI + IV-07230707-ABI + IV-07230706-ABI + IV-07230704-ABI"/>
    <s v="30/06/2023 + 31/07/223 + 31/07/2023 + 31/07/2023"/>
    <n v="2610.33"/>
    <s v="EUROS"/>
    <n v="3146.62"/>
    <n v="0"/>
    <n v="3146.62"/>
    <m/>
  </r>
  <r>
    <s v="Clôturé"/>
    <x v="12"/>
    <m/>
    <x v="2"/>
    <m/>
    <x v="28"/>
    <s v="DV-ABI-0623-1506 - P00198_2023"/>
    <s v="P00198_2023"/>
    <s v="Storage for all samples form EUROFINS"/>
    <m/>
    <s v="IV-07230705-ABI + IV-08230802-ABI + IV-09230892-ABI + IV-10230982-ABI"/>
    <s v="31/07/2023 + 25/08/2023 + 30/09/2023 + 31/10/2023"/>
    <n v="9731.6"/>
    <s v="EUROS"/>
    <n v="12415.54"/>
    <n v="0"/>
    <n v="12415.54"/>
    <m/>
  </r>
  <r>
    <s v="OUT ?"/>
    <x v="5"/>
    <m/>
    <x v="2"/>
    <m/>
    <x v="28"/>
    <s v="DV-ABI-0722-1440 - P00245_2022"/>
    <s v="P00245_2022"/>
    <s v="Rapatriement Eurofins LANCASTER et Convervation echantillon ABX464-103"/>
    <m/>
    <s v="INV IV-09220625-ABI"/>
    <d v="2022-09-30T00:00:00"/>
    <n v="1069.48"/>
    <s v="EUROS"/>
    <n v="521.83000000000004"/>
    <n v="547.65"/>
    <n v="521.83000000000004"/>
    <m/>
  </r>
  <r>
    <s v="OUT ?"/>
    <x v="19"/>
    <m/>
    <x v="2"/>
    <m/>
    <x v="28"/>
    <s v="DV-ABI-0919-858 - P00428_2019"/>
    <s v="P00428_2019"/>
    <s v="Rapatriement faeces + sérum étude 101"/>
    <d v="2020-06-01T00:00:00"/>
    <s v="IV-1019972-ABI"/>
    <d v="2019-10-31T00:00:00"/>
    <n v="2882.24"/>
    <s v="EUROS"/>
    <n v="530.85"/>
    <n v="2351.39"/>
    <n v="530.85"/>
    <m/>
  </r>
  <r>
    <s v="Clôturé"/>
    <x v="19"/>
    <m/>
    <x v="2"/>
    <m/>
    <x v="28"/>
    <s v="DV-ABI-0919-858 - P00428_2019"/>
    <s v="P00428_2019"/>
    <s v="Conservation 3 mois"/>
    <m/>
    <s v="IV-1019972-ABI"/>
    <d v="2019-10-31T00:00:00"/>
    <n v="208.04333333333332"/>
    <s v="EUROS"/>
    <s v="OK"/>
    <n v="0"/>
    <n v="208.04333333333332"/>
    <m/>
  </r>
  <r>
    <s v="Clôturé"/>
    <x v="19"/>
    <m/>
    <x v="2"/>
    <m/>
    <x v="28"/>
    <s v="DV-ABI-0919-858 - P00428_2019"/>
    <s v="P00428_2019"/>
    <s v="Conservation 3 mois"/>
    <m/>
    <s v="IV-1019972-ABI"/>
    <d v="2019-10-31T00:00:00"/>
    <n v="208.04333333333332"/>
    <s v="EUROS"/>
    <s v="OK"/>
    <n v="0"/>
    <n v="208.04333333333332"/>
    <m/>
  </r>
  <r>
    <s v="OUT ?"/>
    <x v="19"/>
    <m/>
    <x v="2"/>
    <m/>
    <x v="28"/>
    <s v="DV-ABI-0919-858 - P00428_2019"/>
    <s v="P00428_2019"/>
    <s v="Conservation 3 mois"/>
    <d v="2020-06-01T00:00:00"/>
    <s v="IV-1019972-ABI"/>
    <d v="2019-10-31T00:00:00"/>
    <n v="208.04333333333332"/>
    <s v="EUROS"/>
    <n v="110"/>
    <n v="98.043333333333322"/>
    <n v="110"/>
    <m/>
  </r>
  <r>
    <s v="OUT ?"/>
    <x v="5"/>
    <m/>
    <x v="2"/>
    <m/>
    <x v="28"/>
    <s v="DV-ABI-0922-1539 - P00312_2022"/>
    <s v="P00312_2022"/>
    <s v="Rapatriement Eurofins BREDA et Convervation echantillon ABX464-103"/>
    <m/>
    <s v="INV IV-10220688-ABI + INV IV-11231058-ABI"/>
    <s v="31/10/2022 + 30/11/2023"/>
    <n v="9645"/>
    <s v="EUROS"/>
    <n v="4734.32"/>
    <n v="4910.68"/>
    <n v="4734.32"/>
    <m/>
  </r>
  <r>
    <s v="OUT ?"/>
    <x v="19"/>
    <m/>
    <x v="2"/>
    <m/>
    <x v="28"/>
    <s v="DV-ABI-1018-572 - P00080 (Docushare)"/>
    <m/>
    <s v="ABX464-11 Sample's transfer from Eurofins to Cell&amp;Co"/>
    <m/>
    <m/>
    <s v="IV-01ABX19686-ABI du 31/01/2019 (Conservation annuelle 2019)"/>
    <n v="1931"/>
    <s v="EUROS"/>
    <n v="624.48"/>
    <n v="1306.52"/>
    <n v="624.48"/>
    <m/>
  </r>
  <r>
    <s v="OUT ?"/>
    <x v="1"/>
    <s v="CO 4.7"/>
    <x v="0"/>
    <m/>
    <x v="28"/>
    <s v="DV-ABI-1220-1315 - P00867_2020"/>
    <s v="P00867_2020"/>
    <s v="Rapatriation 9-month cyno from Chrales Rivers To Cell&amp;Co + conservation 12 mois"/>
    <d v="2021-04-01T00:00:00"/>
    <s v="INV IV-01210108-ABI + INV IV-02210139-ABI"/>
    <s v="31/01/2021 + 28/02/2021"/>
    <n v="10051.129999999999"/>
    <s v="EUROS"/>
    <n v="9309.77"/>
    <n v="741.35999999999876"/>
    <n v="9309.77"/>
    <m/>
  </r>
  <r>
    <s v="Clôturé"/>
    <x v="1"/>
    <m/>
    <x v="2"/>
    <m/>
    <x v="28"/>
    <s v="IV-01230036-ABI - P00061_2023"/>
    <s v="P00061_2023"/>
    <s v="Conservation année 2023"/>
    <m/>
    <s v="IV-01230036-ABI"/>
    <d v="2023-01-31T00:00:00"/>
    <n v="3221.64"/>
    <s v="EUROS"/>
    <n v="3221.64"/>
    <n v="0"/>
    <n v="3221.64"/>
    <m/>
  </r>
  <r>
    <s v="Clôturé"/>
    <x v="20"/>
    <m/>
    <x v="2"/>
    <m/>
    <x v="28"/>
    <s v="IV-01230037-ABI - P00069_2023"/>
    <s v="P00069_2023"/>
    <s v="Conservation année 2023"/>
    <m/>
    <s v="IV-01230037-ABI"/>
    <d v="2023-01-31T00:00:00"/>
    <n v="9556.7999999999993"/>
    <s v="EUROS"/>
    <n v="9556.7999999999993"/>
    <n v="0"/>
    <n v="9556.7999999999993"/>
    <m/>
  </r>
  <r>
    <s v="Clôturé"/>
    <x v="4"/>
    <m/>
    <x v="2"/>
    <m/>
    <x v="28"/>
    <s v="IV-01230038-Abi -P00067_2023"/>
    <s v="P00067_2023"/>
    <s v="Conservation année 2023"/>
    <m/>
    <s v="IV-01230038-Abi"/>
    <d v="2023-01-31T00:00:00"/>
    <n v="1455.36"/>
    <s v="EUROS"/>
    <n v="1455.36"/>
    <n v="0"/>
    <n v="1455.36"/>
    <m/>
  </r>
  <r>
    <s v="Clôturé"/>
    <x v="1"/>
    <m/>
    <x v="2"/>
    <m/>
    <x v="28"/>
    <s v="IV-01230039-ABI - P00063_2023"/>
    <s v="P00063_2023"/>
    <s v="Conservation année 2023"/>
    <m/>
    <s v="IV-01230039-ABI"/>
    <d v="2023-01-31T00:00:00"/>
    <n v="2699.76"/>
    <s v="EUROS"/>
    <n v="2699.76"/>
    <n v="0"/>
    <n v="2699.76"/>
    <m/>
  </r>
  <r>
    <s v="Clôturé"/>
    <x v="1"/>
    <m/>
    <x v="2"/>
    <m/>
    <x v="28"/>
    <s v="IV-01230040-ABI - P00062_2023"/>
    <s v="P00062_2023"/>
    <s v="Conservation année 2023"/>
    <m/>
    <s v="IV-01230040-ABI"/>
    <d v="2023-01-31T00:00:00"/>
    <n v="5598.12"/>
    <s v="EUROS"/>
    <n v="5598.12"/>
    <n v="0"/>
    <n v="5598.12"/>
    <m/>
  </r>
  <r>
    <s v="Clôturé"/>
    <x v="1"/>
    <m/>
    <x v="2"/>
    <m/>
    <x v="28"/>
    <s v="IV-01230041-Abi - P00064_2023"/>
    <s v="P00064_2023"/>
    <s v="Conservation année 2023"/>
    <m/>
    <s v="IV-01230041-Abi"/>
    <d v="2023-01-31T00:00:00"/>
    <n v="1251.48"/>
    <s v="EUROS"/>
    <n v="1251.48"/>
    <n v="0"/>
    <n v="1251.48"/>
    <m/>
  </r>
  <r>
    <s v="Clôturé"/>
    <x v="9"/>
    <m/>
    <x v="2"/>
    <m/>
    <x v="28"/>
    <s v="IV-01230042-ABI - P00049_2023"/>
    <s v="P00049_2023"/>
    <s v="Conservation année 2023"/>
    <m/>
    <s v="IV-01230042-ABI"/>
    <d v="2023-01-31T00:00:00"/>
    <n v="754.2"/>
    <s v="EUROS"/>
    <n v="754.2"/>
    <n v="0"/>
    <n v="754.2"/>
    <m/>
  </r>
  <r>
    <s v="Clôturé"/>
    <x v="19"/>
    <m/>
    <x v="2"/>
    <m/>
    <x v="28"/>
    <s v="IV-01230043-ABI - P00065_2023"/>
    <s v="P00065_2023"/>
    <s v="Conservation année 2023"/>
    <m/>
    <s v="IV-01230043-ABI"/>
    <d v="2023-01-31T00:00:00"/>
    <n v="2591.88"/>
    <s v="EUROS"/>
    <n v="2591.88"/>
    <n v="0"/>
    <n v="2591.88"/>
    <m/>
  </r>
  <r>
    <s v="Clôturé"/>
    <x v="1"/>
    <m/>
    <x v="0"/>
    <m/>
    <x v="28"/>
    <s v="IV-01230044-ABI - P00059_2023"/>
    <s v="P00059_2023"/>
    <s v="Conservation année 2023"/>
    <m/>
    <s v="IV-01230044-ABI "/>
    <d v="2023-01-31T00:00:00"/>
    <n v="8363.7099999999991"/>
    <s v="EUROS"/>
    <n v="8363.7099999999991"/>
    <n v="0"/>
    <n v="8363.7099999999991"/>
    <m/>
  </r>
  <r>
    <s v="Clôturé"/>
    <x v="2"/>
    <m/>
    <x v="0"/>
    <m/>
    <x v="28"/>
    <s v="IV-01230044-ABI - P00070_2023"/>
    <s v="P00070_2023"/>
    <s v="Conservation année 2023"/>
    <m/>
    <s v="IV-01230044-ABI"/>
    <d v="2023-01-31T00:00:00"/>
    <n v="8363.7099999999991"/>
    <s v="EUROS"/>
    <n v="8363.7099999999991"/>
    <n v="0"/>
    <n v="8363.7099999999991"/>
    <m/>
  </r>
  <r>
    <s v="Clôturé"/>
    <x v="21"/>
    <m/>
    <x v="2"/>
    <m/>
    <x v="28"/>
    <s v="IV-01230067-ABI - P00068_2023"/>
    <s v="P00068_2023"/>
    <s v="Conservation année 2023"/>
    <m/>
    <s v="IV-01230067-ABI"/>
    <d v="2023-01-31T00:00:00"/>
    <n v="1299.96"/>
    <s v="EUROS"/>
    <n v="1299.96"/>
    <n v="0"/>
    <n v="1299.96"/>
    <m/>
  </r>
  <r>
    <s v="Clôturé"/>
    <x v="5"/>
    <m/>
    <x v="2"/>
    <m/>
    <x v="28"/>
    <s v="IV-01230200-ABI - P00066_2023"/>
    <s v="P00066_2023"/>
    <s v="Conservation année 2023"/>
    <m/>
    <s v="IV-01230200-ABI"/>
    <d v="2023-01-31T00:00:00"/>
    <n v="14730"/>
    <s v="EUROS"/>
    <n v="14730"/>
    <n v="0"/>
    <n v="14730"/>
    <m/>
  </r>
  <r>
    <s v="Clôturé"/>
    <x v="1"/>
    <m/>
    <x v="2"/>
    <m/>
    <x v="28"/>
    <s v="DV-ABI-1123-1714-2 - P00433_2023"/>
    <s v="P00433_2023"/>
    <s v="Etude COVID - Storage &amp; Destruction samples from HEGP"/>
    <m/>
    <m/>
    <m/>
    <n v="0"/>
    <s v="EUROS"/>
    <s v="OK"/>
    <n v="0"/>
    <n v="0"/>
    <s v="Annulé via PO00007_2024"/>
  </r>
  <r>
    <s v="OUT ?"/>
    <x v="20"/>
    <m/>
    <x v="2"/>
    <m/>
    <x v="28"/>
    <s v="DV-ABI-1223-1778 - P00007_2024 remplace P00433_2023"/>
    <s v="P00007_2024"/>
    <s v="Etude COVID - Storage &amp; Destruction samples from HEGP"/>
    <m/>
    <s v="INV IV-01240170-ABI + INV IV-05240533-ABI"/>
    <s v="31/01/2024 + 17/05/2024"/>
    <n v="6791.13"/>
    <s v="EUROS"/>
    <n v="6716.23"/>
    <n v="74.900000000000546"/>
    <n v="6716.23"/>
    <m/>
  </r>
  <r>
    <m/>
    <x v="22"/>
    <m/>
    <x v="2"/>
    <s v="Julien"/>
    <x v="29"/>
    <s v="ABX14744_ABX464-914_ddPCR_v3.0  + CO1 - P00064_2025 + P00278_2025"/>
    <s v="P00064_2025 + P00278_2025"/>
    <s v="miR124 &amp; miR16 testing blood sample at CC ANT + CO1"/>
    <m/>
    <s v="INV 20250435 + INV 20252051+INV 20252330+INV20252658 "/>
    <s v="24/02/2025 + 27/06/2025 + 24/07/2025+22/08/2025"/>
    <n v="175400.55000000002"/>
    <s v="EUROS"/>
    <n v="150651"/>
    <n v="24749.550000000017"/>
    <n v="150651"/>
    <m/>
  </r>
  <r>
    <m/>
    <x v="3"/>
    <m/>
    <x v="2"/>
    <s v="Julien"/>
    <x v="30"/>
    <s v="P2472 + CO1 + CO2 - P00203_2023 + P00144_2025 + P00321_2025"/>
    <s v="P00203_2023 + P00144_2025 + P00321_2025"/>
    <s v="Mir124 UC105"/>
    <m/>
    <s v="INV 20233438 + INV 20240279 + INV 20241368 + INV 20241751 + INV 20242159 + INV 20242292 - INV 20242543 + INV 20242664 + INV 20243250 + INV 20243467 + INV20243853 + INV 20244270 + INV 20250059 + INV 20250443 + INV 20251019 + INV 20251320 + INV 20251753 + INV 20252039 + INV 20252324 + INV 20252653"/>
    <s v="23/10/2023 + 31/01/2024 + 30/04/2024 + 29/05/2024 + 28/06/2024 + 23/07/2024 + 31/07/2024 + 22/08/2024 + 30/09/2024 + 28/10/2024 +27/11/2024 + 27/12/2024 + 24/01/2025 + 24/02/2025 + 28/03/2025 + 29/04/2025 + 28/05/2025 + 27/06/2025 + 24/07/2025+22/08/2025"/>
    <n v="1117496"/>
    <s v="EUROS"/>
    <n v="1032462.34"/>
    <n v="85033.660000000033"/>
    <n v="1032462.34"/>
    <s v="detail sera fourni par Julien 06/2023"/>
  </r>
  <r>
    <m/>
    <x v="23"/>
    <m/>
    <x v="2"/>
    <s v="Julien"/>
    <x v="30"/>
    <s v="P2472 + Co1 - P00204_2023 + P00322_2025"/>
    <s v="P00204_2023 + P00322_2025"/>
    <s v="Mir124 UC106"/>
    <m/>
    <s v="INV 20233439 + INV 20240284 + INV 20241396 + INV 20241752 + INV 20242160 + INV 20242294 + INV 20242663 + INV 20243062 + INV 20243468 + IN 20243797 +INV 20244361 + INV 20250065 + INV 20250698 + INV 20250985 + INV 20251329 + INV 20251754 + INV 20252036 + INV 20252325 + INV 20252654"/>
    <s v="23/10/2023 + 31/01/2024 + 30/04/2024 + 29/05/2024 + 28/06/2024 + 24/07/2024 + 22/08/2024 + 26/09/2024+ 28/10/2024 + 26/11/2024 + 31/12/2024 +27/01/2025 + 28/02/2025 + 28/03/2025 + 29/04/2025 + 28/05/2025 + 27/06/2025 + 24/07/25+22/08/2025"/>
    <n v="984736"/>
    <s v="EUROS"/>
    <n v="926463.70000000007"/>
    <n v="58272.29999999993"/>
    <n v="926463.70000000007"/>
    <s v="detail sera fourni par Julien 06/2023"/>
  </r>
  <r>
    <m/>
    <x v="8"/>
    <m/>
    <x v="2"/>
    <s v="Julien"/>
    <x v="30"/>
    <s v="P2472 - P00205_2023"/>
    <s v="P00205_2023"/>
    <s v="Mir124 UC107"/>
    <m/>
    <s v="INV 20233440 + INV 20250215 + INV 20250444 + INV 20250986 + INV 20251330 + INV 20251886 + INV 20252257 + INV 20252326"/>
    <s v="23/10/2023 + 31/01/2025+24/02/2025+28/03/2025 + 29/04/2025 +31/05/2025 + 30/06/2025 +24/07/2025"/>
    <n v="1206002"/>
    <s v="EUROS"/>
    <n v="219054.69"/>
    <n v="986947.31"/>
    <n v="219054.69"/>
    <s v="detail sera fourni par Julien 06/2023"/>
  </r>
  <r>
    <s v="OUT ?"/>
    <x v="1"/>
    <s v="TOX"/>
    <x v="0"/>
    <m/>
    <x v="31"/>
    <s v="DEVIS 2020-130-1 - P00713_2020"/>
    <s v="P00713_2020"/>
    <s v="Additional blood sampling"/>
    <d v="2020-12-01T00:00:00"/>
    <m/>
    <m/>
    <n v="3030"/>
    <s v="EUROS"/>
    <m/>
    <n v="3030"/>
    <n v="0"/>
    <m/>
  </r>
  <r>
    <s v="Clôturé"/>
    <x v="1"/>
    <s v="TOX"/>
    <x v="0"/>
    <s v="Didier S"/>
    <x v="32"/>
    <s v="OPP-318628 + OPP-349662 - CRL-32023961 - P00603_2024"/>
    <s v="P00603_2024"/>
    <s v="ERA phase II B package follow-up"/>
    <m/>
    <s v="INV 49905125 + INV 49905965"/>
    <s v="24/01/2025 + 02/06/2025"/>
    <n v="11730"/>
    <s v="EUROS"/>
    <n v="11730"/>
    <n v="0"/>
    <n v="11730"/>
    <m/>
  </r>
  <r>
    <m/>
    <x v="1"/>
    <s v="TOX"/>
    <x v="0"/>
    <s v="Didier S"/>
    <x v="32"/>
    <s v="OPP-318628 + OPP-349662 - CRL-32023962 - P00603_2024"/>
    <s v="P00603_2024"/>
    <s v="ERA phase II B package follow-up"/>
    <m/>
    <s v="INV 49905126"/>
    <d v="2025-01-24T00:00:00"/>
    <n v="46990"/>
    <s v="EUROS"/>
    <n v="13257"/>
    <n v="33733"/>
    <n v="13257"/>
    <m/>
  </r>
  <r>
    <m/>
    <x v="1"/>
    <s v="TOX"/>
    <x v="0"/>
    <s v="Didier S"/>
    <x v="32"/>
    <s v="OPP-318628 + OPP-349662 - CRL-32025578 - P00603_2024"/>
    <s v="P00603_2024"/>
    <s v="ERA phase II B package follow-up"/>
    <m/>
    <s v="INV 49905130"/>
    <d v="2025-01-24T00:00:00"/>
    <n v="8980"/>
    <s v="EUROS"/>
    <n v="2694"/>
    <n v="6286"/>
    <n v="2694"/>
    <m/>
  </r>
  <r>
    <m/>
    <x v="1"/>
    <s v="TOX"/>
    <x v="0"/>
    <s v="Didier S"/>
    <x v="32"/>
    <s v="OPP-318628 + OPP-349662 - CRL-32023963 - P00603_2024"/>
    <s v="P00603_2024"/>
    <s v="ERA phase II B package follow-up"/>
    <m/>
    <s v="INV 49905127"/>
    <d v="2025-01-24T00:00:00"/>
    <n v="8730"/>
    <s v="EUROS"/>
    <n v="2619"/>
    <n v="6111"/>
    <n v="2619"/>
    <m/>
  </r>
  <r>
    <s v="Clôturé"/>
    <x v="1"/>
    <s v="TOX"/>
    <x v="0"/>
    <s v="Didier S"/>
    <x v="32"/>
    <s v="OPP-318628 + OPP-349662 - CRL-32023964 - P00603_2024"/>
    <s v="P00603_2024"/>
    <s v="ERA phase II B package follow-up"/>
    <m/>
    <s v="INV 49905128 + INV 49906647"/>
    <s v="24/01/2025 + 18/08/2025"/>
    <n v="18980"/>
    <s v="EUROS"/>
    <n v="18980"/>
    <n v="0"/>
    <n v="18980"/>
    <m/>
  </r>
  <r>
    <s v="Clôturé"/>
    <x v="1"/>
    <s v="TOX"/>
    <x v="0"/>
    <s v="Didier S"/>
    <x v="32"/>
    <s v="OPP-318628 + OPP-349662 - CRL-32023965 - P00603_2024"/>
    <s v="P00603_2024"/>
    <s v="ERA phase II B package follow-up"/>
    <m/>
    <s v="INV 49905129 + INV 49906350"/>
    <s v="24/01/2025 + 11/07/2025"/>
    <n v="22870"/>
    <s v="EUROS"/>
    <n v="22870"/>
    <n v="0"/>
    <n v="22870"/>
    <m/>
  </r>
  <r>
    <m/>
    <x v="1"/>
    <s v="TOX"/>
    <x v="0"/>
    <m/>
    <x v="33"/>
    <s v="OPP-318628 - CRL-514187 - P00284_2023"/>
    <s v=" P00284_2023"/>
    <s v="Phase II ERA Assessment"/>
    <m/>
    <s v="INV 47042885 + INV 47044944"/>
    <s v="02/05/2024 + 08/10/2024"/>
    <n v="125732"/>
    <s v="EUROS"/>
    <n v="22188"/>
    <n v="103544"/>
    <n v="22188"/>
    <m/>
  </r>
  <r>
    <m/>
    <x v="1"/>
    <s v="TOX"/>
    <x v="0"/>
    <m/>
    <x v="33"/>
    <s v="OPP-318628 - CRL-514188 - P00284_2023"/>
    <s v=" P00284_2023"/>
    <s v="Phase II ERA Assessment"/>
    <m/>
    <s v="INV 47040270"/>
    <d v="2024-01-01T00:00:00"/>
    <n v="5510"/>
    <s v="EUROS"/>
    <n v="1653"/>
    <n v="3857"/>
    <n v="1653"/>
    <m/>
  </r>
  <r>
    <m/>
    <x v="1"/>
    <s v="TOX"/>
    <x v="0"/>
    <m/>
    <x v="33"/>
    <s v="OPP-318628 - CRL-514189 - P00284_2023"/>
    <s v=" P00284_2023"/>
    <s v="Phase II ERA Assessment"/>
    <m/>
    <m/>
    <m/>
    <n v="125890"/>
    <s v="EUROS"/>
    <m/>
    <n v="125890"/>
    <n v="0"/>
    <m/>
  </r>
  <r>
    <m/>
    <x v="1"/>
    <s v="TOX"/>
    <x v="0"/>
    <m/>
    <x v="33"/>
    <s v="OPP-318628 - CRL-514190 - P00284_2023"/>
    <s v=" P00284_2023"/>
    <s v="Phase II ERA Assessment"/>
    <m/>
    <s v="INV 47044659"/>
    <d v="2024-09-16T00:00:00"/>
    <n v="31380"/>
    <s v="EUROS"/>
    <n v="9414"/>
    <n v="21966"/>
    <n v="9414"/>
    <m/>
  </r>
  <r>
    <s v="Clôturé"/>
    <x v="1"/>
    <s v="TOX"/>
    <x v="0"/>
    <m/>
    <x v="33"/>
    <s v="OPP-318628 - CRL-514191 - P00284_2023"/>
    <s v=" P00284_2023"/>
    <s v="Phase II ERA Assessment"/>
    <m/>
    <s v="INV 47039490 + INV 47041046"/>
    <s v="02/11/2023 + 23/01/2024"/>
    <n v="4490"/>
    <s v="EUROS"/>
    <n v="4490"/>
    <n v="0"/>
    <n v="4490"/>
    <m/>
  </r>
  <r>
    <s v="Clôturé"/>
    <x v="1"/>
    <s v="TOX"/>
    <x v="0"/>
    <m/>
    <x v="33"/>
    <s v="OPP-318628 - CRL-514192 - P00284_2023"/>
    <s v=" P00284_2023"/>
    <s v="Phase II ERA Assessment"/>
    <m/>
    <s v="INV 47039490 + INV 47041046"/>
    <s v="02/11/2023 + 23/01/2023"/>
    <n v="6230"/>
    <s v="EUROS"/>
    <n v="6230"/>
    <n v="0"/>
    <n v="6230"/>
    <m/>
  </r>
  <r>
    <m/>
    <x v="1"/>
    <s v="TOX"/>
    <x v="0"/>
    <m/>
    <x v="33"/>
    <s v="OPP-318628 - CRL-514193 - P00284_2023"/>
    <s v=" P00284_2023"/>
    <s v="Phase II ERA Assessment"/>
    <m/>
    <s v="INV 47040271 + INV 47044231"/>
    <s v="01/01/2024 + 13/08/2024"/>
    <n v="46970"/>
    <s v="EUROS"/>
    <n v="38925"/>
    <n v="8045"/>
    <n v="38925"/>
    <m/>
  </r>
  <r>
    <s v="Clôturé"/>
    <x v="1"/>
    <s v="TOX"/>
    <x v="0"/>
    <m/>
    <x v="33"/>
    <s v="OPP-318628 - CRL-514194 - P00284_2023"/>
    <s v=" P00284_2023"/>
    <s v="Phase II ERA Assessment"/>
    <m/>
    <s v="INV 47040268 + INV 47044090"/>
    <s v="01/01/2024 + 30/07/2024"/>
    <n v="13255"/>
    <s v="EUROS"/>
    <n v="13255"/>
    <n v="0"/>
    <n v="13255"/>
    <m/>
  </r>
  <r>
    <s v="Clôturé"/>
    <x v="1"/>
    <s v="TOX"/>
    <x v="0"/>
    <m/>
    <x v="33"/>
    <s v="OPP-318628 - CRL-514195 - P00284_2023"/>
    <s v="P00284_2023"/>
    <s v="Phase II ERA Assessment"/>
    <m/>
    <s v="INV 47040269 + INV 47044691"/>
    <s v="01/01/2024 + 23/09/2024"/>
    <n v="99820"/>
    <s v="EUROS"/>
    <n v="103985"/>
    <n v="0"/>
    <n v="103985"/>
    <m/>
  </r>
  <r>
    <m/>
    <x v="1"/>
    <s v="TOX"/>
    <x v="0"/>
    <m/>
    <x v="33"/>
    <s v="OPP-318628 - CRL-514198 - P00284_2023"/>
    <s v=" P00284_2023"/>
    <s v="Phase II ERA Assessment"/>
    <m/>
    <s v="inv 47047383"/>
    <d v="2025-02-12T00:00:00"/>
    <n v="113290"/>
    <s v="EUROS"/>
    <n v="33987"/>
    <n v="79303"/>
    <n v="33987"/>
    <m/>
  </r>
  <r>
    <s v="Clôturé"/>
    <x v="1"/>
    <s v="TOX"/>
    <x v="0"/>
    <m/>
    <x v="33"/>
    <s v="OPP-318628 - CRL-514200 - P00284_2023"/>
    <s v=" P00284_2023"/>
    <s v="Phase II ERA Assessment"/>
    <m/>
    <s v="INV 47044658 + INV 47049743"/>
    <s v="16/09/2024 + 19/08/2025"/>
    <n v="20920"/>
    <s v="EUROS"/>
    <n v="20920"/>
    <n v="0"/>
    <n v="20920"/>
    <m/>
  </r>
  <r>
    <m/>
    <x v="1"/>
    <s v="TOX"/>
    <x v="0"/>
    <m/>
    <x v="33"/>
    <s v="OPP-318628 - CRL-514203 - P00284_2023"/>
    <s v=" P00284_2023"/>
    <s v="Phase II ERA Assessment"/>
    <m/>
    <s v="INV 47040270 + INV 47041359"/>
    <s v="01/01/2024 + 06/02/2024"/>
    <n v="9780"/>
    <s v="EUROS"/>
    <n v="4940"/>
    <n v="4840"/>
    <n v="4940"/>
    <m/>
  </r>
  <r>
    <m/>
    <x v="1"/>
    <s v="TOX"/>
    <x v="0"/>
    <m/>
    <x v="33"/>
    <s v="OPP-318628 - CRL-514205 - P00284_2023"/>
    <s v=" P00284_2023"/>
    <s v="Phase II ERA Assessment"/>
    <m/>
    <s v="INV 47038922 + INV 47042420 + INV 47043758 + INV 47041904 + INV 47044885 + INV 47046812 + INV 47048090"/>
    <s v="11/10/2023 + 04/04/2024 + 03/07/2024 + 05/03/2024 + 03/10/2024 + 15/01/2025+03/05/2025"/>
    <n v="16632"/>
    <s v="EUROS"/>
    <n v="7569.5"/>
    <n v="9062.5"/>
    <n v="7569.5"/>
    <m/>
  </r>
  <r>
    <m/>
    <x v="1"/>
    <s v="TOX"/>
    <x v="0"/>
    <m/>
    <x v="33"/>
    <s v="23ARC1011 - P00079_2024"/>
    <s v="P00079_2024"/>
    <s v="Archiving Photox Studies - 1 année"/>
    <m/>
    <s v="INV 47043008"/>
    <d v="2024-05-16T00:00:00"/>
    <n v="1450"/>
    <s v="EUROS"/>
    <n v="450"/>
    <n v="1000"/>
    <n v="450"/>
    <m/>
  </r>
  <r>
    <s v="Clôturé"/>
    <x v="1"/>
    <m/>
    <x v="0"/>
    <s v="Didier S"/>
    <x v="33"/>
    <s v="OPP-349662 - 31982894 - P00334_2024"/>
    <s v="P00334_2024"/>
    <s v="ERA Tox program - Water Solubility 3pH"/>
    <m/>
    <s v="INV 47044945 + INV 47046009"/>
    <s v="08/10/2024 + 26/11/2024"/>
    <n v="16295"/>
    <s v="EUROS"/>
    <n v="16295"/>
    <n v="0"/>
    <n v="16295"/>
    <m/>
  </r>
  <r>
    <s v="Clôturé"/>
    <x v="1"/>
    <s v="TOX"/>
    <x v="0"/>
    <s v="Didier S"/>
    <x v="33"/>
    <s v="OPP-349662 - 31982895 - P00334_2024"/>
    <s v="P00334_2024"/>
    <s v="ERA Tox program - Dissociation constant water"/>
    <m/>
    <s v="INV 47046910 + INV 47047634"/>
    <s v="21/01/2025 + 03/03/2025"/>
    <n v="6550"/>
    <s v="EUROS"/>
    <n v="6550"/>
    <n v="0"/>
    <n v="6550"/>
    <m/>
  </r>
  <r>
    <s v="Clôturé"/>
    <x v="1"/>
    <s v="TOX"/>
    <x v="0"/>
    <s v="Didier S"/>
    <x v="33"/>
    <s v="OPP-349662 - 31982896 - P00334_2024"/>
    <s v="P00334_2024"/>
    <s v="ERA Tox program - Chironomid Toxicity Test"/>
    <m/>
    <s v="INV 47043982 + INV 47050219"/>
    <s v="16/07/2024 + 16/09/2025"/>
    <n v="99722"/>
    <s v="EUROS"/>
    <n v="99722"/>
    <n v="0"/>
    <n v="99722"/>
    <m/>
  </r>
  <r>
    <m/>
    <x v="2"/>
    <m/>
    <x v="3"/>
    <s v="Jerome D"/>
    <x v="33"/>
    <s v="OPP-352785 - CRL-31988352 - P00366_2024"/>
    <s v="P00366_2024"/>
    <s v="ICH M7 assessment impurties"/>
    <m/>
    <s v="INV 47044946+ INV 47048147"/>
    <s v="08/10/2024+08/04/2025"/>
    <n v="6804"/>
    <s v="EUROS"/>
    <n v="3402"/>
    <n v="3402"/>
    <n v="3402"/>
    <m/>
  </r>
  <r>
    <s v="Clôturé"/>
    <x v="1"/>
    <s v="TOX"/>
    <x v="0"/>
    <s v="Didier S"/>
    <x v="33"/>
    <s v="OPP-318628 - CRL-514195 - P00359_2024"/>
    <s v="P00359_2024"/>
    <s v="Phase II ERA Assessment - Admt n°1"/>
    <m/>
    <s v="INV 47044091"/>
    <d v="2024-07-30T00:00:00"/>
    <n v="2790"/>
    <s v="EUROS"/>
    <n v="2790"/>
    <n v="0"/>
    <n v="2790"/>
    <m/>
  </r>
  <r>
    <m/>
    <x v="1"/>
    <s v="TOX"/>
    <x v="0"/>
    <s v="Didier S"/>
    <x v="33"/>
    <s v="OPP-318628 + OPP-349662 - CRL-32023960 - P00603_2024"/>
    <s v="P00603_2024"/>
    <s v="ERA phase II B package follow-up"/>
    <m/>
    <s v="INV 4708436"/>
    <d v="2025-04-29T00:00:00"/>
    <n v="163340"/>
    <s v="EUROS"/>
    <n v="49002"/>
    <n v="114338"/>
    <n v="49002"/>
    <m/>
  </r>
  <r>
    <m/>
    <x v="1"/>
    <m/>
    <x v="3"/>
    <s v="Saadia"/>
    <x v="33"/>
    <s v="32028592 - P00043_2025"/>
    <s v="P00043_2025"/>
    <s v="Theoretical nitrosamine impurty"/>
    <m/>
    <s v="INV 47048108 + INV 47049780"/>
    <s v="08/04/2025+19/08/2025"/>
    <n v="3600"/>
    <s v="EUROS"/>
    <n v="2835"/>
    <n v="765"/>
    <n v="2835"/>
    <m/>
  </r>
  <r>
    <m/>
    <x v="24"/>
    <m/>
    <x v="2"/>
    <m/>
    <x v="34"/>
    <s v="OPP-319365 - CRL-501341 - P00310_2023"/>
    <s v="P00310_2023"/>
    <s v="HI908 - Sample analysis for quatification ABX464 &amp; Nglu in plasma"/>
    <m/>
    <s v="INV 59001757 + INV 59001851 + INV 59001886 + INV 59001977 + INV 59900031+INV 59002033"/>
    <s v="19/07/2024 + 30/09/2024 + 25/10/2024 + 20/12/2024 + 04/02/2025 + 04/02/2025"/>
    <n v="100967"/>
    <s v="EUROS"/>
    <n v="94981"/>
    <n v="5986"/>
    <n v="94981"/>
    <m/>
  </r>
  <r>
    <m/>
    <x v="8"/>
    <m/>
    <x v="2"/>
    <s v="Julien S"/>
    <x v="34"/>
    <s v="OPP-345994 - CRL-560284 - P00234_2024"/>
    <s v="P00234_2024"/>
    <s v="Analysis quantifictaion ABX464 &amp; ABX464NGlu in human plasma"/>
    <m/>
    <s v="INV 59002064 + INV 59002111 + INV 59002304"/>
    <s v="21/02/2025 + 26/03/2025+21/08/2025"/>
    <n v="459761"/>
    <s v="EUROS"/>
    <n v="39275.199999999997"/>
    <n v="420485.8"/>
    <n v="39275.199999999997"/>
    <m/>
  </r>
  <r>
    <m/>
    <x v="7"/>
    <m/>
    <x v="2"/>
    <s v="Josianne"/>
    <x v="34"/>
    <s v="CRL-528678 - P00300_2024"/>
    <s v="P00300_2024"/>
    <s v="CD202 - Sample analysis ABX464 &amp; Nglu in human Plasma"/>
    <m/>
    <m/>
    <m/>
    <n v="674186"/>
    <s v="EUROS"/>
    <m/>
    <n v="674186"/>
    <n v="0"/>
    <m/>
  </r>
  <r>
    <s v="Clôturé"/>
    <x v="1"/>
    <m/>
    <x v="0"/>
    <s v="Didier S"/>
    <x v="34"/>
    <s v="ARCH-24-006 - P00384_2024"/>
    <s v="P00384_2024"/>
    <s v="Extension Archiving 8 studies - 1 année"/>
    <m/>
    <s v="INV 59001777"/>
    <d v="2024-08-06T00:00:00"/>
    <n v="4800"/>
    <s v="EUROS"/>
    <n v="4800"/>
    <n v="0"/>
    <n v="4800"/>
    <m/>
  </r>
  <r>
    <m/>
    <x v="25"/>
    <m/>
    <x v="2"/>
    <s v="Julien S"/>
    <x v="34"/>
    <s v="OPP-353689 - CRL-31989756 - P00398_2024"/>
    <s v="P00398_2024"/>
    <s v="RI907 - PK Analysis"/>
    <s v="Q4 2024"/>
    <s v="INV 59001921 + INV 59001978 + INV 59002005 + INV 59002126 + INV 59002260"/>
    <s v="19/11/2024 + 20/12/2024 + 22/01/2025 + 31/03/2025+ 24/07/2025"/>
    <n v="128493"/>
    <s v="EUROS"/>
    <n v="40087"/>
    <n v="88406"/>
    <n v="40087"/>
    <m/>
  </r>
  <r>
    <s v="Clôturé"/>
    <x v="10"/>
    <m/>
    <x v="2"/>
    <s v="Julien S"/>
    <x v="34"/>
    <s v="OPP-322222 - CRL-519043 - P00458_2024"/>
    <s v="P00458_2024"/>
    <s v="Sample analysis ABX464 &amp; Nglu in human Plasma"/>
    <m/>
    <s v="INV 59001874"/>
    <d v="2024-10-21T00:00:00"/>
    <n v="1660"/>
    <s v="EUROS"/>
    <n v="1660"/>
    <n v="0"/>
    <n v="1660"/>
    <m/>
  </r>
  <r>
    <s v="Clôturé"/>
    <x v="10"/>
    <m/>
    <x v="2"/>
    <m/>
    <x v="34"/>
    <s v="OPP-322222 - CRL-519043 - P00525_2024"/>
    <s v="P00525_2024"/>
    <s v="Sample analysis ABX464 &amp; Nglu in human Plasma - Add cost "/>
    <m/>
    <s v="INV 59002061"/>
    <d v="2025-02-20T00:00:00"/>
    <n v="900"/>
    <s v="EUROS"/>
    <n v="900"/>
    <n v="0"/>
    <n v="900"/>
    <m/>
  </r>
  <r>
    <s v="Clôturé"/>
    <x v="24"/>
    <m/>
    <x v="2"/>
    <m/>
    <x v="34"/>
    <s v="OPP-319365 - CRL-501341 - P00523_2024"/>
    <s v="P00523_2024"/>
    <s v="HI908 - Sample analysis for quatification ABX464 &amp; Nglu in plasma Add cost au PO310"/>
    <m/>
    <s v="INV 59001919"/>
    <d v="2024-11-19T00:00:00"/>
    <n v="2240"/>
    <s v="EUROS"/>
    <n v="2240"/>
    <n v="0"/>
    <n v="2240"/>
    <m/>
  </r>
  <r>
    <s v="Clôturé"/>
    <x v="25"/>
    <m/>
    <x v="2"/>
    <m/>
    <x v="34"/>
    <s v="OPP-369989 - CRL-32018022 - P00535_2024"/>
    <s v="P00535_2024"/>
    <s v="RI907 - Validation Complement LCMS method urine"/>
    <m/>
    <s v="INV 59001947 +  INV 59002105"/>
    <s v="04/12/2024 + 26/03/25"/>
    <n v="22397"/>
    <s v="EUROS"/>
    <n v="22397"/>
    <n v="0"/>
    <n v="22397"/>
    <m/>
  </r>
  <r>
    <m/>
    <x v="25"/>
    <m/>
    <x v="2"/>
    <s v="Julien"/>
    <x v="34"/>
    <s v="OPP-36472 - CRL-32008367 - P00561_2024"/>
    <s v="P00561_2024"/>
    <s v="Sample analysis quantif ABX464&amp;Nglu"/>
    <m/>
    <m/>
    <m/>
    <n v="14526"/>
    <s v="EUROS"/>
    <m/>
    <n v="14526"/>
    <n v="0"/>
    <m/>
  </r>
  <r>
    <m/>
    <x v="1"/>
    <s v="MD914"/>
    <x v="2"/>
    <s v="Julien S"/>
    <x v="34"/>
    <s v="OPP-358985 - CRL-31999217 - P00020_2025"/>
    <s v="P00020_2025"/>
    <s v="MD914 - Sample Analysis for quantification ABX464&amp;Nglu"/>
    <m/>
    <s v="INV 59002231+INV 590002261 + INV 59002303"/>
    <s v="27/06/2025+24/07/2025+21/08/2025"/>
    <n v="129476"/>
    <s v="EUROS"/>
    <n v="92071.9"/>
    <n v="37404.100000000006"/>
    <n v="92071.9"/>
    <m/>
  </r>
  <r>
    <s v="Clôturé"/>
    <x v="1"/>
    <m/>
    <x v="0"/>
    <m/>
    <x v="35"/>
    <s v="Amdt 2 SFDC Opp-192045 -  CRL-291232 - P00001_2021"/>
    <s v="P00001_2021"/>
    <s v="Additional short trem Stab + Analytical suppport"/>
    <m/>
    <s v="INV FA008737"/>
    <d v="2021-01-14T00:00:00"/>
    <n v="4500"/>
    <s v="EUROS"/>
    <s v="OK"/>
    <n v="0"/>
    <n v="4500"/>
    <m/>
  </r>
  <r>
    <m/>
    <x v="1"/>
    <s v="CO 4.10"/>
    <x v="0"/>
    <m/>
    <x v="35"/>
    <s v="CO n°1 OPP-157779 - Study CRL-280312 - P00222_2021"/>
    <s v="P00222_2021"/>
    <s v="Validation LC-MS/MS Method for the Determination of Test Item in Mouse plasma"/>
    <m/>
    <m/>
    <m/>
    <n v="3100"/>
    <s v="EUROS"/>
    <m/>
    <n v="3100"/>
    <n v="0"/>
    <m/>
  </r>
  <r>
    <m/>
    <x v="1"/>
    <m/>
    <x v="2"/>
    <m/>
    <x v="35"/>
    <s v="CRL-325507 - P00123_2021"/>
    <s v="P00123_2021"/>
    <s v="LC-MS/MS Determination of ABX464 in Human plasma + Options"/>
    <m/>
    <s v="INV 59000296 + INV 59000397 + INV 59000747"/>
    <s v="13/09/2021 + 29/11/2021 + 19/07/2022"/>
    <n v="44521"/>
    <s v="EUROS"/>
    <n v="39865"/>
    <n v="4656"/>
    <n v="39865"/>
    <m/>
  </r>
  <r>
    <s v="Clôturé"/>
    <x v="1"/>
    <s v="TOX"/>
    <x v="0"/>
    <m/>
    <x v="35"/>
    <s v="OPP-185865 - Study CRL-280327 - P00104_2021"/>
    <s v="P00104_2021"/>
    <s v="Carcino 6 mois souris Plasma analyse 6 mois - LC-MS/MS Determination of ABX464 and its metabolite Concentrations in Mouse Plasma (GLP)"/>
    <s v="Q3 2023"/>
    <s v="INV 59001312 + INV 59001375 + INV 59001435"/>
    <s v="24/08/2023 + 28/09/2023 + 22/11/2023"/>
    <n v="32394"/>
    <s v="EUROS"/>
    <n v="32394"/>
    <n v="0"/>
    <n v="32394"/>
    <s v="Date vu avec RS 16/04/2021"/>
  </r>
  <r>
    <m/>
    <x v="1"/>
    <s v="TOX"/>
    <x v="0"/>
    <m/>
    <x v="35"/>
    <s v="OPP-185865 - Study CRL-280328 - P00104_2021"/>
    <s v="P00104_2021"/>
    <s v="Carcino 2 ans rats Plasma analyse 2 ans - LC-MS/MS Determination of ABX464 and its metabolite Concentrations in Rat Plasma (GLP)"/>
    <s v="Q1 2022"/>
    <s v="INV 59000460 + INV 59000746"/>
    <s v="07/01/2022 + 19/07/2022"/>
    <n v="19028"/>
    <s v="EUROS"/>
    <n v="6406"/>
    <n v="12622"/>
    <n v="6406"/>
    <s v="Date vu avec RS 16/04/2021"/>
  </r>
  <r>
    <s v="Clôturé"/>
    <x v="1"/>
    <m/>
    <x v="0"/>
    <m/>
    <x v="35"/>
    <s v="OPP-185865 - Study CRL-281296 - P00763_2020"/>
    <s v="P00763_2020"/>
    <s v="LC-MS/MS Detremniation of ABX464 Concentration in rat plasma"/>
    <m/>
    <s v="INV FA008767"/>
    <d v="2021-01-19T00:00:00"/>
    <n v="82500"/>
    <s v="EUROS"/>
    <s v="OK"/>
    <n v="0"/>
    <n v="82500"/>
    <m/>
  </r>
  <r>
    <s v="Clôturé"/>
    <x v="1"/>
    <s v="TOX"/>
    <x v="0"/>
    <m/>
    <x v="35"/>
    <s v="OPP-185865 Amdt 1 -  Study CRL-278830 - P00340_2021"/>
    <s v="P00340_2021"/>
    <s v="Carcino 2 ans rats"/>
    <m/>
    <s v="INV 58001785"/>
    <d v="2021-12-09T00:00:00"/>
    <n v="7800"/>
    <s v="EUROS"/>
    <n v="7800"/>
    <n v="0"/>
    <n v="7800"/>
    <s v="Date vu avec RS 16/04/2021"/>
  </r>
  <r>
    <m/>
    <x v="26"/>
    <m/>
    <x v="2"/>
    <m/>
    <x v="35"/>
    <s v="Opp-192238 Amdt 1 - CRL-289874 - P00323-2021"/>
    <s v="P00323-2021"/>
    <s v="Development and validation of method for dertermination of ABX464 in Humain urine"/>
    <m/>
    <m/>
    <m/>
    <n v="9666"/>
    <s v="EUROS"/>
    <m/>
    <n v="9666"/>
    <n v="0"/>
    <m/>
  </r>
  <r>
    <m/>
    <x v="27"/>
    <m/>
    <x v="2"/>
    <m/>
    <x v="35"/>
    <s v="Opp-193136 - CRL-291484 - P00759_2020"/>
    <s v="P00759_2020"/>
    <s v="Determination of caféine and praxanthine and ABX464-n-Glu in humane plasma"/>
    <m/>
    <s v="INV 59000135 + INV 59000744"/>
    <s v="08/06/2021 + 19/07/2022"/>
    <n v="65964"/>
    <s v="EUROS"/>
    <n v="59110"/>
    <n v="6854"/>
    <n v="59110"/>
    <s v="Milestones Vu avec RS qui a vu avec PP - Oct. 2020"/>
  </r>
  <r>
    <m/>
    <x v="28"/>
    <m/>
    <x v="2"/>
    <m/>
    <x v="35"/>
    <s v="OPP-209967 - CRL-320992 - P00085_2021"/>
    <s v="P00085_2021"/>
    <s v="LC-MS/MS Determination of ABX464 in Human plasma"/>
    <d v="2021-06-01T00:00:00"/>
    <m/>
    <m/>
    <n v="76562"/>
    <s v="EUROS"/>
    <m/>
    <n v="76562"/>
    <n v="0"/>
    <m/>
  </r>
  <r>
    <m/>
    <x v="29"/>
    <m/>
    <x v="2"/>
    <m/>
    <x v="35"/>
    <s v="OPP-218322 - P00191_2021"/>
    <s v="P00191_2021"/>
    <s v="CRL-346597 - Determination ABX464 in humain palsma"/>
    <m/>
    <s v="INV 59000430 + INV 59000601 + INV 59000787"/>
    <s v="08/12/2021 + 20/04/2022 + 31/08/2022"/>
    <n v="62570"/>
    <s v="EUROS"/>
    <n v="40550"/>
    <n v="22020"/>
    <n v="40550"/>
    <m/>
  </r>
  <r>
    <m/>
    <x v="30"/>
    <m/>
    <x v="2"/>
    <m/>
    <x v="35"/>
    <s v="OPP-224653 - P00172_2021"/>
    <s v="P00172_2021"/>
    <s v="CRL-345366 - ABX464 concentration in humain plasma"/>
    <m/>
    <s v="INV 59000459 + INV 59000628"/>
    <s v="06/01/2022 + 10/05/2022"/>
    <n v="74300"/>
    <s v="EUROS"/>
    <n v="44500"/>
    <n v="29800"/>
    <n v="44500"/>
    <m/>
  </r>
  <r>
    <m/>
    <x v="3"/>
    <m/>
    <x v="2"/>
    <s v="Aurélien F"/>
    <x v="35"/>
    <s v="OPP-254665 - CRL-403505 - P00127_2022"/>
    <s v="P00127_2022"/>
    <s v="Détermination concentration ABX464 et Nglu UC105"/>
    <m/>
    <s v="INV 59001313 + INV 59001395 + INV 59900015 + INV 59900015 + INV 59001725 + INV 59001652 + INV 59001839 + INV 59001900 + INV 59001924 + INV 59001979 + INV 59002021 + INV 59002065 + INV 59002118 + INV 59002153 + INV 59002183 + inv 59002225 + INV 59002227 +INV 59002258 + INV 59002302"/>
    <s v="24/08/2023 + 13/10/2023 + 11/10/2023 + 13/10/2023 + 26/06/2024 + 16/04/2024 + 25/09/2024 + 25/10/2024 + 21/11/2024 + 20/12/2024 + 27/01/2025 + 24/02/2025 + 28/03/2025 + 23/04/2025 + 21/05/2025 + 27/06/2025 + 26/06/2025+24/07/2025 + 21/08/2025"/>
    <n v="882060"/>
    <s v="EUROS"/>
    <n v="558604"/>
    <n v="323456"/>
    <n v="558604"/>
    <m/>
  </r>
  <r>
    <m/>
    <x v="23"/>
    <m/>
    <x v="2"/>
    <s v="Aurélien F"/>
    <x v="35"/>
    <s v="OPP-254665 - CRL-403506 - P00128_2022"/>
    <s v="P00128_2022"/>
    <s v="Détermination concentration ABX464 et Nglu UC106"/>
    <m/>
    <s v="INV 59001314 + INV 59001396 + INV 59900016 + INV 59001636 + INV 59001726 + INV 59001791 + INV 59001844 +INV 59001840 + INV 59001888 + INV 59001925 + INV 59001980 + INV 59002022 + INV 59002066 + INV 59002119 + INV 59002154 + inv 59002228 + INV 59002229+INV 59002259 + INV 59002305"/>
    <s v="24/08/2023 + 13/10/2023 + 13/10/2023 + 27/03/2024 + 26/06/2024 + 22/08/2024 + 27/09/2024 +25/09/2024 + 25/10/2024 + 21/11/2024 + 20/12/2024 + 27/01/2025 + 21/02/2025 + 28/03/2025+ 24/04/25 + 26/06/2025 + 26/06/2025+24/07/2025 + 21/08/2025"/>
    <n v="882060"/>
    <s v="EUROS"/>
    <n v="572669"/>
    <n v="309391"/>
    <n v="572669"/>
    <m/>
  </r>
  <r>
    <m/>
    <x v="5"/>
    <m/>
    <x v="2"/>
    <m/>
    <x v="35"/>
    <s v="SFDC Opp-163950 + Amended Statement of Work No 01 Study CRL-240515 - P00542_2020"/>
    <s v="P00542_2020"/>
    <s v="XX number of sample analysed"/>
    <m/>
    <s v="INV 59000116 + INV 59000884"/>
    <s v="20/05/2021 + 19/10/2022"/>
    <n v="36664.666666666664"/>
    <s v="EUROS"/>
    <n v="21223.86"/>
    <n v="15440.806666666664"/>
    <n v="21223.86"/>
    <s v="Répartition selon mail de JN du 09/01/2020"/>
  </r>
  <r>
    <m/>
    <x v="1"/>
    <m/>
    <x v="0"/>
    <m/>
    <x v="35"/>
    <s v="SFDC Opp-192045 - CRL-291232 - P00766_2020"/>
    <s v="P00766_2020"/>
    <s v="CRL-291593 - LC-MS/MS Determination of ABX464 concentration in dose formulation"/>
    <s v="Q2 2021"/>
    <m/>
    <m/>
    <n v="8500"/>
    <s v="EUROS"/>
    <m/>
    <n v="8500"/>
    <n v="0"/>
    <s v="Date vu avec RS 16/04/2021"/>
  </r>
  <r>
    <m/>
    <x v="1"/>
    <m/>
    <x v="0"/>
    <m/>
    <x v="35"/>
    <s v="SFDC Opp-192045 - CRL-291232 - P00766_2020"/>
    <s v="P00766_2020"/>
    <s v="CRL-291233 - LC-MS/MS Determination of ABX464 concentration in rat plasma"/>
    <s v="Q2 2021"/>
    <m/>
    <m/>
    <n v="12150"/>
    <s v="EUROS"/>
    <m/>
    <n v="12150"/>
    <n v="0"/>
    <s v="Date vu avec RS 16/04/2021"/>
  </r>
  <r>
    <s v="Clôturé"/>
    <x v="2"/>
    <m/>
    <x v="0"/>
    <s v="Romain N / Didier s"/>
    <x v="36"/>
    <s v="DJ00089015 - P00344_2024"/>
    <s v="P00344_2024"/>
    <s v="Instant Jchem &amp; Marvin Beans license - 07/2024 au 07/2025"/>
    <m/>
    <s v="INV-24-0251"/>
    <d v="2024-07-05T00:00:00"/>
    <n v="7533"/>
    <s v="EUROS"/>
    <n v="7533"/>
    <n v="0"/>
    <n v="7533"/>
    <m/>
  </r>
  <r>
    <s v="Clôturé"/>
    <x v="1"/>
    <s v="CO 4.11 - TOX"/>
    <x v="0"/>
    <m/>
    <x v="37"/>
    <s v="OPP-157779 - Study CRL-229187 - P00103_2021"/>
    <s v="P00103_2021"/>
    <s v="Combined 4 Week Oral Toxicity Study in wt mice - 10% Submission of Draft Report"/>
    <m/>
    <s v="INV 58001944"/>
    <s v="20/12/2021 (recu 01/2022)"/>
    <n v="45050"/>
    <s v="EUROS"/>
    <n v="45050"/>
    <n v="0"/>
    <n v="45050"/>
    <s v="Dates vu avec RS le 16/04/2021"/>
  </r>
  <r>
    <s v="OUT ?"/>
    <x v="1"/>
    <s v="CO 4.10 - TOX"/>
    <x v="0"/>
    <m/>
    <x v="37"/>
    <s v="OPP-157779 - Study CRL-229189 - P00103_2021"/>
    <s v="P00103_2021"/>
    <s v="Combined 7-Day Dose Range Finding Study in mice - Add on price : Toxicokinetics (limited end of the 7D period)"/>
    <d v="2021-06-01T00:00:00"/>
    <m/>
    <m/>
    <n v="11340"/>
    <s v="EUROS"/>
    <m/>
    <n v="11340"/>
    <n v="0"/>
    <s v="Dates vu avec RS le 16/04/2021"/>
  </r>
  <r>
    <s v="Clôturé"/>
    <x v="31"/>
    <m/>
    <x v="6"/>
    <m/>
    <x v="38"/>
    <s v="Mail du 13/01/2021"/>
    <m/>
    <s v="Audit Hongrie - Audit Site 3603"/>
    <m/>
    <s v="INV ABI/2021/12/01"/>
    <s v="30/12/2021 (recu 02/2022)"/>
    <n v="5200"/>
    <s v="EUROS"/>
    <n v="5200"/>
    <n v="0"/>
    <n v="5200"/>
    <s v="Facture Clinmak a venir cf mail du 07/12/21"/>
  </r>
  <r>
    <s v="OUT ?"/>
    <x v="31"/>
    <m/>
    <x v="6"/>
    <m/>
    <x v="38"/>
    <s v="Mail du 24/03/2021"/>
    <m/>
    <s v="Audit 5 sites - Pologne - Audit 4 Site 3905"/>
    <m/>
    <m/>
    <m/>
    <n v="5400"/>
    <s v="EUROS"/>
    <m/>
    <n v="5400"/>
    <n v="0"/>
    <s v="Voir avec Véronica "/>
  </r>
  <r>
    <s v="OUT ?"/>
    <x v="31"/>
    <m/>
    <x v="6"/>
    <m/>
    <x v="38"/>
    <s v="Mail du 24/03/2021"/>
    <m/>
    <s v="Audit 5 sites - Pologne - Audit 5 Site 4303"/>
    <m/>
    <m/>
    <m/>
    <n v="5400"/>
    <s v="EUROS"/>
    <m/>
    <n v="5400"/>
    <n v="0"/>
    <s v="Voir avec Véronica "/>
  </r>
  <r>
    <s v="Clôturé"/>
    <x v="31"/>
    <m/>
    <x v="6"/>
    <m/>
    <x v="38"/>
    <s v="Mail du 24/03/2021 - P00096_2021"/>
    <s v="P00096_2021"/>
    <s v="Audit 5 sites - Pologne - Audit 1 site 3316"/>
    <m/>
    <s v="INV ABI/2021/12/02"/>
    <s v="30/12/2021 (recu 02/2022)"/>
    <n v="5400"/>
    <s v="EUROS"/>
    <n v="5400"/>
    <n v="0"/>
    <n v="5400"/>
    <s v="Facture Clinmak a venir cf mail du 07/12/21"/>
  </r>
  <r>
    <s v="Clôturé"/>
    <x v="31"/>
    <m/>
    <x v="6"/>
    <m/>
    <x v="38"/>
    <s v="Mail du 24/03/2021 - P00096_2021"/>
    <s v="P00096_2021"/>
    <s v="Audit 5 sites - Pologne - Audit 2 site 4104"/>
    <m/>
    <s v="INV ABI/2021/12/02"/>
    <s v="30/12/2021 (recu 02/2022)"/>
    <n v="5400"/>
    <s v="EUROS"/>
    <n v="5400"/>
    <n v="0"/>
    <n v="5400"/>
    <s v="Facture Clinmak a venir cf mail du 07/12/21"/>
  </r>
  <r>
    <s v="Clôturé"/>
    <x v="21"/>
    <m/>
    <x v="2"/>
    <m/>
    <x v="38"/>
    <s v="RA-302 WO4 au MSA 20181211"/>
    <m/>
    <s v="SERVICES 2019"/>
    <m/>
    <s v="INV CLI/2019/10/ABI/01 + INV CLI/2019/10/ABI/03 + INV CLI/2019/11/ABI/01 + INV CLI/2019/12/ABI/02"/>
    <s v="02/10/2019 + 11/10/2019 + 18/11/2019 + 17/12/2019"/>
    <n v="27033.53"/>
    <s v="EUROS"/>
    <n v="27033.53"/>
    <n v="0"/>
    <n v="27033.53"/>
    <m/>
  </r>
  <r>
    <s v="Clôturé"/>
    <x v="21"/>
    <m/>
    <x v="2"/>
    <m/>
    <x v="38"/>
    <s v="RA-302 WO4 au MSA 20181211"/>
    <m/>
    <s v="PTC 2019"/>
    <m/>
    <s v="INV CLI/2019/10/ABI/01 + INV CLI/2019/10/ABI/03 + INV CLI/2019/11/ABI/01 + INV CLI/2019/12/ABI/02"/>
    <s v="02/10/2019 + 11/10/2019 + 18/11/2019 + 17/12/2019"/>
    <n v="4123.63"/>
    <s v="EUROS"/>
    <n v="4123.63"/>
    <n v="0"/>
    <n v="4123.63"/>
    <m/>
  </r>
  <r>
    <s v="Clôturé"/>
    <x v="21"/>
    <m/>
    <x v="2"/>
    <m/>
    <x v="38"/>
    <s v="RA-302 WO4 au MSA 20181211"/>
    <m/>
    <s v="SERVICES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88865"/>
    <s v="EUROS"/>
    <n v="88865"/>
    <n v="0"/>
    <n v="88865"/>
    <m/>
  </r>
  <r>
    <s v="Clôturé"/>
    <x v="21"/>
    <m/>
    <x v="2"/>
    <m/>
    <x v="38"/>
    <s v="RA-302 WO4 au MSA 20181211"/>
    <m/>
    <s v="PTC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4231.3500000000004"/>
    <s v="EUROS"/>
    <n v="4231.3500000000004"/>
    <n v="0"/>
    <n v="4231.3500000000004"/>
    <m/>
  </r>
  <r>
    <s v="OUT ?"/>
    <x v="21"/>
    <m/>
    <x v="2"/>
    <m/>
    <x v="38"/>
    <s v="RA-302 WO4 au MSA 20181211"/>
    <m/>
    <s v="SERVICES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233196.47"/>
    <s v="EUROS"/>
    <n v="113290"/>
    <n v="119906.47"/>
    <n v="113290"/>
    <m/>
  </r>
  <r>
    <s v="OUT ?"/>
    <x v="21"/>
    <m/>
    <x v="2"/>
    <m/>
    <x v="38"/>
    <s v="RA-302 WO4 au MSA 20181211"/>
    <m/>
    <s v="PTC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36145.020000000004"/>
    <s v="EUROS"/>
    <n v="7767.21"/>
    <n v="28377.810000000005"/>
    <n v="7767.21"/>
    <m/>
  </r>
  <r>
    <s v="Clôturé"/>
    <x v="11"/>
    <m/>
    <x v="2"/>
    <m/>
    <x v="38"/>
    <s v="UC-102 WO2 au MSA 17605"/>
    <m/>
    <s v="2018 - Clinical monitoring PTC"/>
    <m/>
    <m/>
    <s v="FACT ABI/2018/08/01 + FACT ABI/2018/08/03 + FACT ABI/2018/09/01 + FACT ABI/2018/11/02 + FACT ABI/2018/12/02"/>
    <n v="4457.0700000000006"/>
    <s v="EUROS"/>
    <n v="4457.0700000000006"/>
    <n v="0"/>
    <n v="4457.0700000000006"/>
    <m/>
  </r>
  <r>
    <s v="Clôturé"/>
    <x v="11"/>
    <m/>
    <x v="2"/>
    <m/>
    <x v="38"/>
    <s v="UC-102 WO2 au MSA 17605"/>
    <m/>
    <s v="2018 - Clinical monitoring services "/>
    <m/>
    <m/>
    <s v="FACT ABI/2018/08/01 + FACT ABI/2018/08/03 + FACT ABI/2018/09/01 + FACT ABI/2018/10/02 + FACT ABI/2018/11/02 + FACT ABI/2018/12/02"/>
    <n v="67476.399999999994"/>
    <s v="EUROS"/>
    <n v="67476.399999999994"/>
    <n v="0"/>
    <n v="67476.399999999994"/>
    <m/>
  </r>
  <r>
    <s v="Clôturé"/>
    <x v="11"/>
    <m/>
    <x v="2"/>
    <m/>
    <x v="38"/>
    <s v="UC-102 WO2 au MSA 17605"/>
    <m/>
    <s v="2019 - Clinical monitoring services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66711.25"/>
    <s v="EUROS"/>
    <n v="66711.25"/>
    <n v="0"/>
    <n v="66711.25"/>
    <m/>
  </r>
  <r>
    <s v="Clôturé"/>
    <x v="11"/>
    <m/>
    <x v="2"/>
    <m/>
    <x v="38"/>
    <s v="UC-102 WO2 au MSA 17605"/>
    <m/>
    <s v="2019 - Clinical monitoring PTC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11215.59"/>
    <s v="EUROS"/>
    <n v="11215.59"/>
    <n v="0"/>
    <n v="11215.59"/>
    <m/>
  </r>
  <r>
    <s v="Clôturé"/>
    <x v="11"/>
    <m/>
    <x v="2"/>
    <m/>
    <x v="38"/>
    <s v="UC-102 WO2 au MSA 17605"/>
    <m/>
    <s v="2020 - Clinical monitoring services"/>
    <m/>
    <s v="Q1 2020"/>
    <s v="FACT ABI/2020/01/01 + FACT ABI/2020/02/01 + FACT ABI/2020/03/01 + FACT ABI/2020/04/01"/>
    <n v="23171.25"/>
    <s v="EUROS"/>
    <n v="23171.25"/>
    <n v="0"/>
    <n v="23171.25"/>
    <m/>
  </r>
  <r>
    <s v="Clôturé"/>
    <x v="11"/>
    <m/>
    <x v="2"/>
    <m/>
    <x v="38"/>
    <s v="UC-102 WO2 au MSA 17605"/>
    <m/>
    <s v="2020 - Clinical monitoring PTC"/>
    <m/>
    <s v="Q1 2020"/>
    <s v="FACT ABI/2020/01/01 + FACT ABI/2020/02/01 + FACT ABI/2020/03/01 + FACT ABI/2020/04/01"/>
    <n v="2177.9499999999998"/>
    <s v="EUROS"/>
    <n v="2177.9499999999998"/>
    <n v="0"/>
    <n v="2177.9499999999998"/>
    <m/>
  </r>
  <r>
    <s v="OUT ?"/>
    <x v="11"/>
    <m/>
    <x v="2"/>
    <m/>
    <x v="38"/>
    <s v="UC-102 WO2 au MSA 17605"/>
    <m/>
    <s v="2020 - Clinical monitoring services"/>
    <m/>
    <s v="FACT ABI/2020/05/01 + FACT ABI/2020/06/01 + FACT ABI/2020/07/01 + FACT ABI/2020/08/01 + FACT ABI/2020/09/01 + FACT ABI/2020/12/01 + FACT ABI/2021/04/01 + FACT CLI/2021/12/ABI/04 + FACT ABI/2022/01/01"/>
    <m/>
    <n v="105829.5"/>
    <s v="EUROS"/>
    <n v="78262.5"/>
    <n v="27567"/>
    <n v="78262.5"/>
    <m/>
  </r>
  <r>
    <s v="OUT ?"/>
    <x v="11"/>
    <m/>
    <x v="2"/>
    <m/>
    <x v="38"/>
    <s v="UC-102 WO2 au MSA 17605"/>
    <m/>
    <s v="2020 - Clinical monitoring PTC"/>
    <m/>
    <s v="FACT ABI/2020/05/01 + FACT ABI/2020/06/01 + FACT ABI/2020/07/01 + FACT ABI/2020/08/01 + FACT ABI/2020/09/01 + FACT ABI/2020/12/01 + FACT ABI/2021/04/01 + FACT CLI/2021/12/ABI/04 + FACT ABI/2022/01/01"/>
    <m/>
    <n v="12149.39"/>
    <s v="EUROS"/>
    <n v="7222.6799999999994"/>
    <n v="4926.71"/>
    <n v="7222.6799999999994"/>
    <m/>
  </r>
  <r>
    <s v="OUT ?"/>
    <x v="5"/>
    <m/>
    <x v="2"/>
    <m/>
    <x v="38"/>
    <s v="UC-103 Change Order n°1 au WO1 20181211"/>
    <m/>
    <s v="SERVICES MOINS LES 85 650 déjà facturé dans le WO1"/>
    <m/>
    <s v="INV CLI/2019/12/ABI/04 + INV CLI/2020/01/ABI/03 + INV CLI/2020/02/ABI/03 + INV CLI/2020/03/ABI/02 + INV CLI/2020/04/ABI/02 + INV CLI/2020/08/ABI/03 + INV/CLI/2020/09/ABI/01 + INV CLI/2020/10/ABI/01 + INV CLI/2020/11/ABI/01 + INV CLI/2020/12/ABI/05"/>
    <s v="(20/12/2019 + 23/01/2020 + 27/02/2020 + 11/03/2020 + 15/04/2020 + 31/08/2020 + 24/09/2020 + 19/10/2020 + 28/11/2020)"/>
    <n v="15340"/>
    <s v="EUROS"/>
    <n v="14170"/>
    <n v="1170"/>
    <n v="14170"/>
    <m/>
  </r>
  <r>
    <s v="OUT ?"/>
    <x v="5"/>
    <m/>
    <x v="2"/>
    <m/>
    <x v="38"/>
    <s v="UC-103 Change Order n°1 au WO1 20181211"/>
    <m/>
    <s v="PTC MOINS LES 8060,49 déjà facturé dans le WO1"/>
    <m/>
    <s v="INV CLI/2019/12/ABI/04  + INV CLI/2020/01/ABI/03 + INV CLI/2020/02/ABI/03 + INV CLI/2020/03/ABI/02 + INV CLI/2021/08/ABI/03 + INV/CLI/2020/09/ABI/01 + INV CLI/2020/10/ABI/01 + INV CLI/2020/11/ABI/01 + INV CLI/2020/12/ABI/05 + INV CLI/2021/02/ABI/01 + INV CLI/2021/02/ABI/08 + INV CLI/2021/04/ABI/01 + INV CLI/2021/04/ABI/05 + INV CLI/2021/05/ABI/03 + INV CLI/2021/07/ABI/01 + INV CLI/2021/09/ABI/03 + INV CLI/2021/10/ABI/03"/>
    <s v="20/12/2019 + 23/01/2020 + 27/02/2020 + 11/03/2020 + 24/09/2020 + 19/10/2020 + 28/11/2020 + 31/12/2020 + 03/02/2021 + 21/02/2021 + 06/04/2021 + 27/04/2021 + 31/05/2021 + 15/07/2021 + 07/09/2021 + 17/10/2021"/>
    <n v="14839.51"/>
    <s v="EUROS"/>
    <n v="4272.1899999999996"/>
    <n v="10567.32"/>
    <n v="4272.1899999999996"/>
    <m/>
  </r>
  <r>
    <s v="Clôturé"/>
    <x v="5"/>
    <m/>
    <x v="2"/>
    <m/>
    <x v="38"/>
    <s v="UC-103 WO2 au MSA 20181211 + CO n°1 WO2"/>
    <m/>
    <s v="SERVICES - 2019"/>
    <m/>
    <s v="INV CLI/2019/06/ABI/02 + INV CLI/2019/07/ABI/02 + INV CLI/2019/08/ABI/02 + INV CLI/2019/09/ABI/04 + INV CLI/2019/10/ABI/06 + INV CLI/2019/11/ABI/04 + INV CLI/2019/12/ABI/05"/>
    <s v="21/06/2019 + 10/07/2019 + 12/08/2019 + 13/09/2019 + 29/10/2019 + 25/11/2019 + 20/12/2019"/>
    <n v="167389"/>
    <s v="EUROS"/>
    <n v="167389"/>
    <n v="0"/>
    <n v="167389"/>
    <m/>
  </r>
  <r>
    <s v="Clôturé"/>
    <x v="5"/>
    <m/>
    <x v="2"/>
    <m/>
    <x v="38"/>
    <s v="UC-103 WO2 au MSA 20181211 + CO n°1 WO2"/>
    <m/>
    <s v="PTC - 2019"/>
    <m/>
    <s v="INV CLI/2019/07/ABI/02 + INV CLI/2019/08/ABI/02 + INV CLI/2019/09/ABI/04 + INV CLI/2019/10/ABI/06 + INV CLI/2019/11/ABI/04 + INV CLI/2019/12/ABI/05"/>
    <s v="10/07/2019 + 12/08/2019 + 13/09/2019 + 29/10/2019 + 25/11/2019 + 20/12/2019"/>
    <n v="10042.620000000003"/>
    <s v="EUROS"/>
    <n v="10042.620000000003"/>
    <n v="0"/>
    <n v="10042.620000000003"/>
    <m/>
  </r>
  <r>
    <s v="Clôturé"/>
    <x v="5"/>
    <m/>
    <x v="2"/>
    <m/>
    <x v="38"/>
    <s v="UC-103 WO2 au MSA 20181211 + CO n°1 WO2"/>
    <m/>
    <s v="SERVICES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83330"/>
    <s v="EUROS"/>
    <n v="383330"/>
    <n v="0"/>
    <n v="383330"/>
    <m/>
  </r>
  <r>
    <s v="Clôturé"/>
    <x v="5"/>
    <m/>
    <x v="2"/>
    <m/>
    <x v="38"/>
    <s v="UC-103 WO2 au MSA 20181211 + CO n°1 WO2"/>
    <m/>
    <s v="PTC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0162.760000000002"/>
    <s v="EUROS"/>
    <n v="30162.760000000002"/>
    <n v="0"/>
    <n v="30162.760000000002"/>
    <m/>
  </r>
  <r>
    <s v="OUT ?"/>
    <x v="5"/>
    <m/>
    <x v="2"/>
    <m/>
    <x v="38"/>
    <s v="UC-103 WO2 au MSA 20181211 + CO n°1 WO2"/>
    <m/>
    <s v="SERVICES - 2021"/>
    <m/>
    <s v="INV CLI/2021/02/ABI/02 + INV CLI/2021/02/ABI/09 + CLI/2021/03/ABI/01 + INV CLI/2021/04/ABI/02 + INV CLI/2021/04/ABI/06 + INV CLI/2021/05/ABI/04 + INV CLI/2021/04/ABI/02 n°2 + INV CLI/2021/08/ABI/03 + INV CLI/2021/09/ABI/01 + INV CLI/2021/10/ABI/01 + INV CLI/2021/11/ABI/01 + INV CLI/2021/12/ABI/01 + INV CLI/2019/03/ABI/01"/>
    <s v="03/02/2021 + 21/02/2021 + 03/03/2021 + 06/04/2021 + 27/04/2021 + 31/05/2021 + 15/07/2021 + 11/08/2021 + 07/09/2021 + 17/10/2021 + 12/11/2021 + 05/12/2021 + 08/03/2019 (recu en 09/2022)"/>
    <n v="353451"/>
    <s v="EUROS"/>
    <n v="343625"/>
    <n v="9826"/>
    <n v="343625"/>
    <m/>
  </r>
  <r>
    <s v="OUT ?"/>
    <x v="5"/>
    <m/>
    <x v="2"/>
    <m/>
    <x v="38"/>
    <s v="UC-103 WO2 au MSA 20181211 + CO n°1 WO2"/>
    <m/>
    <s v="PTC - 2021"/>
    <m/>
    <s v="INV CLI/2021/02/ABI/02 + INV CLI/2021/02/ABI/09 + INV CLI/2021/04/ABI/02 + INV CLI/2021/04/ABI/06 + INV CLI/2021/05/ABI/04 + INV CLI/2021/04/ABI/02 n°2 + INV CLI/2021/08/ABI/03 + INV CLI/2021/09/ABI/01 + INV CLI/2021/10/ABI/01 + INV CLI/2021/11/ABI/01 + INV CLI/2021/12/ABI/01 + INV CLI/2022/08/ABI/01 + INV CLI/2019/03/ABI/01"/>
    <s v="03/02/2021 + 21/02/2021 + 06/04/2021 + 27/04/2021 + 31/05/2021 + 15/07/2021 + 11/08/2021 + 07/09/2021 + 17/10/2021 + 12/11/2021 + 05/12/2021 + 04/08/2022 + 08/03/2019 (recu en 09/2022)"/>
    <n v="47594.619999999995"/>
    <s v="EUROS"/>
    <n v="29607.640000000003"/>
    <n v="17986.979999999992"/>
    <n v="29607.640000000003"/>
    <m/>
  </r>
  <r>
    <s v="Clôturé"/>
    <x v="12"/>
    <m/>
    <x v="2"/>
    <m/>
    <x v="38"/>
    <s v="UC104 WO5 au MSA 20181211"/>
    <m/>
    <s v="Services + PTC - ANNULE"/>
    <m/>
    <m/>
    <m/>
    <n v="0"/>
    <s v="EUROS"/>
    <s v="OK"/>
    <n v="0"/>
    <n v="0"/>
    <m/>
  </r>
  <r>
    <s v="Clôturé"/>
    <x v="12"/>
    <m/>
    <x v="2"/>
    <m/>
    <x v="38"/>
    <s v="UC-104 WO5 WO1 et WO2 MSA 20181211"/>
    <m/>
    <s v="SERVICES 2019"/>
    <m/>
    <s v="INV CLI/2019/07/ABI/03 + INV CLI/2019/09/ABI/03 + INV CLI/2019/10/ABI/04 + INV CLI/2019/11/ABI/05 + INV CLI/2019/12/ABI/03"/>
    <s v="10/07/2019 + 13/09/2019 + 29/10/2019 + 25/11/2019 + 20/12/2019"/>
    <n v="63638"/>
    <s v="EUROS"/>
    <n v="63638"/>
    <n v="0"/>
    <n v="63638"/>
    <m/>
  </r>
  <r>
    <s v="Clôturé"/>
    <x v="12"/>
    <m/>
    <x v="2"/>
    <m/>
    <x v="38"/>
    <s v="UC-104 WO5 WO1 et WO2 MSA 20181211"/>
    <m/>
    <s v="PTC 2019"/>
    <m/>
    <s v="INV CLI/2019/07/ABI/03 + INV CLI/2019/09/ABI/03 + INV CLI/2019/10/ABI/04 + INV CLI/2019/11/ABI/05 + INV CLI/2019/12/ABI/03"/>
    <s v="10/07/2019 + 13/09/2019 + 29/10/2019 + 25/11/2019 + 20/12/2019"/>
    <n v="6551.08"/>
    <s v="EUROS"/>
    <n v="6551.08"/>
    <n v="0"/>
    <n v="6551.08"/>
    <m/>
  </r>
  <r>
    <s v="Clôturé"/>
    <x v="12"/>
    <m/>
    <x v="2"/>
    <m/>
    <x v="38"/>
    <s v="UC-104 WO5 WO1 et WO2 MSA 20181211"/>
    <m/>
    <s v="SERVICES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8117.5"/>
    <s v="EUROS"/>
    <n v="208117.5"/>
    <n v="0"/>
    <n v="208117.5"/>
    <m/>
  </r>
  <r>
    <s v="Clôturé"/>
    <x v="12"/>
    <m/>
    <x v="2"/>
    <m/>
    <x v="38"/>
    <s v="UC-104 WO5 WO1 et WO2 MSA 20181211"/>
    <m/>
    <s v="PTC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184.23"/>
    <s v="EUROS"/>
    <n v="20184.23"/>
    <n v="0"/>
    <n v="20184.23"/>
    <m/>
  </r>
  <r>
    <s v="OUT ?"/>
    <x v="12"/>
    <m/>
    <x v="2"/>
    <m/>
    <x v="38"/>
    <s v="UC-104 WO5 WO1 et WO2 MSA 20181211"/>
    <m/>
    <s v="SERVICES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543497"/>
    <s v="EUROS"/>
    <n v="226525"/>
    <n v="316972"/>
    <n v="226525"/>
    <m/>
  </r>
  <r>
    <s v="OUT ?"/>
    <x v="12"/>
    <m/>
    <x v="2"/>
    <m/>
    <x v="38"/>
    <s v="UC-104 WO5 WO1 et WO2 MSA 20181211"/>
    <m/>
    <s v="PTC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76064.69"/>
    <s v="EUROS"/>
    <n v="23780.75"/>
    <n v="52283.94"/>
    <n v="23780.75"/>
    <m/>
  </r>
  <r>
    <s v="Clôturé"/>
    <x v="1"/>
    <m/>
    <x v="0"/>
    <m/>
    <x v="39"/>
    <s v="P00002_2024"/>
    <s v="P00002_2024"/>
    <s v="Génotypage 10/2023 + 11/2023 + /12/2023"/>
    <m/>
    <s v="INV 90741537"/>
    <d v="2024-01-22T00:00:00"/>
    <n v="3858.57"/>
    <s v="EUROS"/>
    <n v="3858.57"/>
    <n v="0"/>
    <n v="3858.57"/>
    <m/>
  </r>
  <r>
    <s v="Clôturé"/>
    <x v="1"/>
    <m/>
    <x v="0"/>
    <m/>
    <x v="39"/>
    <s v="79/2023/ZEFI - P00071_2024"/>
    <s v="P00071_2024"/>
    <s v="Hebergement cage - T4"/>
    <m/>
    <s v="INV 90743107"/>
    <d v="2024-02-05T00:00:00"/>
    <n v="5963.05"/>
    <s v="EUROS"/>
    <n v="5963.05"/>
    <n v="0"/>
    <n v="5963.05"/>
    <m/>
  </r>
  <r>
    <s v="Clôturé"/>
    <x v="1"/>
    <m/>
    <x v="0"/>
    <s v="Aude G"/>
    <x v="39"/>
    <s v="RHEM-IRCM-2024-T1-ABIVAX - P00213_2024"/>
    <s v="P00213_2024"/>
    <s v="Histologie 2024 T1"/>
    <m/>
    <s v="INV 90766708"/>
    <d v="2024-07-16T00:00:00"/>
    <n v="2602.8000000000002"/>
    <s v="EUROS"/>
    <n v="2602.8000000000002"/>
    <n v="0"/>
    <n v="2602.8000000000002"/>
    <m/>
  </r>
  <r>
    <s v="Clôturé"/>
    <x v="1"/>
    <m/>
    <x v="0"/>
    <s v="Aude G"/>
    <x v="39"/>
    <s v="621919 - P00329_2024"/>
    <s v="P00329_2024"/>
    <s v="Microscopie "/>
    <m/>
    <s v="INV 90763961"/>
    <d v="2024-06-24T00:00:00"/>
    <n v="1276.51"/>
    <s v="EUROS"/>
    <n v="1276.51"/>
    <n v="0"/>
    <n v="1276.51"/>
    <m/>
  </r>
  <r>
    <s v="Clôturé"/>
    <x v="2"/>
    <m/>
    <x v="0"/>
    <s v="Aude G"/>
    <x v="39"/>
    <s v="84/2024/ZEFI - P00363_2024"/>
    <s v="P00363_2024"/>
    <s v="Hébergement animalerie T1"/>
    <m/>
    <s v="INV 90766844"/>
    <d v="2024-07-17T00:00:00"/>
    <n v="8096.22"/>
    <s v="EUROS"/>
    <n v="8096.22"/>
    <n v="0"/>
    <n v="8096.22"/>
    <m/>
  </r>
  <r>
    <s v="Clôturé"/>
    <x v="2"/>
    <m/>
    <x v="0"/>
    <s v="Aude G"/>
    <x v="39"/>
    <s v="99/2024/ZEFI - P00365_2024"/>
    <s v="P00364_2024"/>
    <s v="Hébergement animalerie T2"/>
    <m/>
    <s v="INV 90766840"/>
    <d v="2024-07-17T00:00:00"/>
    <n v="6116.58"/>
    <s v="EUROS"/>
    <n v="6116.58"/>
    <n v="0"/>
    <n v="6116.58"/>
    <m/>
  </r>
  <r>
    <s v="Clôturé"/>
    <x v="2"/>
    <m/>
    <x v="0"/>
    <s v="Aude G"/>
    <x v="39"/>
    <s v="MGC_CLONAGE-T2-2024 - P00360_2024"/>
    <s v="P00360_2024"/>
    <s v="Passage échantillon ARN"/>
    <m/>
    <s v="INV 90768303"/>
    <d v="2024-07-11T00:00:00"/>
    <n v="815.36"/>
    <s v="EUROS"/>
    <n v="815.36"/>
    <n v="0"/>
    <n v="815.36"/>
    <m/>
  </r>
  <r>
    <s v="Clôturé"/>
    <x v="2"/>
    <m/>
    <x v="0"/>
    <s v="Aude G"/>
    <x v="39"/>
    <s v="113/2024/ZEFI - P00414_2024"/>
    <s v="P00414_2024"/>
    <s v="Hebergement cage - Bimestre 4"/>
    <m/>
    <s v="INV 90773149"/>
    <d v="2024-09-05T00:00:00"/>
    <n v="1624.32"/>
    <s v="EUROS"/>
    <n v="1624.23"/>
    <n v="8.9999999999918145E-2"/>
    <n v="1624.23"/>
    <m/>
  </r>
  <r>
    <s v="Clôturé"/>
    <x v="1"/>
    <m/>
    <x v="0"/>
    <s v="Aude G"/>
    <x v="39"/>
    <s v="MRI Septembre 2024 - P00421_2024"/>
    <s v="P00421_2024"/>
    <s v="Microscope + lames"/>
    <m/>
    <s v="INV 90773844"/>
    <d v="2024-09-09T00:00:00"/>
    <n v="679.49"/>
    <s v="EUROS"/>
    <n v="679.49"/>
    <n v="0"/>
    <n v="679.49"/>
    <m/>
  </r>
  <r>
    <s v="Clôturé"/>
    <x v="1"/>
    <m/>
    <x v="0"/>
    <s v="Aude G"/>
    <x v="39"/>
    <s v="MGC_CLONAGE-T3-2024 - P00451_2024"/>
    <s v="P00451_2024"/>
    <s v="Passage échantillon ARN"/>
    <m/>
    <s v="INV 90785246"/>
    <d v="2024-11-25T00:00:00"/>
    <n v="764.4"/>
    <s v="EUROS"/>
    <n v="764.4"/>
    <n v="0"/>
    <n v="764.4"/>
    <m/>
  </r>
  <r>
    <s v="Clôturé"/>
    <x v="2"/>
    <m/>
    <x v="0"/>
    <s v="Aude G"/>
    <x v="39"/>
    <s v="02/2024/MAGS - P00466_2024"/>
    <s v="P00466_2024"/>
    <s v="Achat magasin CNRS - 2023"/>
    <m/>
    <s v="INV 90778410"/>
    <d v="2024-10-07T00:00:00"/>
    <n v="4159.43"/>
    <s v="EUROS"/>
    <n v="4159.43"/>
    <n v="0"/>
    <n v="4159.43"/>
    <m/>
  </r>
  <r>
    <s v="Clôturé"/>
    <x v="2"/>
    <m/>
    <x v="0"/>
    <s v="Aude G"/>
    <x v="39"/>
    <s v="01/2024/MAGS - P00465_2024"/>
    <s v="P00465_2024"/>
    <s v="Achat magasin CNRS - 2022"/>
    <m/>
    <s v="INV 90778409"/>
    <d v="2024-10-10T00:00:00"/>
    <n v="1097.33"/>
    <s v="EUROS"/>
    <n v="1097.33"/>
    <n v="0"/>
    <n v="1097.33"/>
    <m/>
  </r>
  <r>
    <s v="Clôturé"/>
    <x v="1"/>
    <m/>
    <x v="0"/>
    <s v="Aude G"/>
    <x v="39"/>
    <s v="VB 2024-17 - P00509_2024"/>
    <s v="P00509_2024"/>
    <s v="Expertise Analyse microscopique CAC"/>
    <m/>
    <s v="INV 90809747"/>
    <d v="2025-06-10T00:00:00"/>
    <n v="294.27999999999997"/>
    <s v="EUROS"/>
    <n v="294.27999999999997"/>
    <n v="0"/>
    <n v="294.27999999999997"/>
    <m/>
  </r>
  <r>
    <s v="Clôturé"/>
    <x v="1"/>
    <m/>
    <x v="0"/>
    <s v="Aude G"/>
    <x v="39"/>
    <s v="127/2024/ZEFI - P00514_2024"/>
    <s v="P00514_2024"/>
    <s v="Hébergement animalerie T3 + Régule"/>
    <m/>
    <s v="INV 90782851"/>
    <d v="2024-11-08T00:00:00"/>
    <n v="4238.46"/>
    <s v="EUROS"/>
    <n v="4238.46"/>
    <n v="0"/>
    <n v="4238.46"/>
    <m/>
  </r>
  <r>
    <s v="Clôturé"/>
    <x v="1"/>
    <m/>
    <x v="0"/>
    <m/>
    <x v="39"/>
    <s v="285772 - P00540_2024"/>
    <s v="P00540_2024"/>
    <s v="Presta Histo MHL"/>
    <m/>
    <s v="INV 90809502"/>
    <d v="2025-06-06T00:00:00"/>
    <n v="14300"/>
    <s v="EUROS"/>
    <n v="14300"/>
    <n v="0"/>
    <n v="14300"/>
    <m/>
  </r>
  <r>
    <s v="Clôturé"/>
    <x v="2"/>
    <m/>
    <x v="0"/>
    <s v="Aude G"/>
    <x v="39"/>
    <s v="FR40180089013 - P00009_2025"/>
    <s v="P00009_2025"/>
    <s v="Consomable Labo - Achat 2024"/>
    <m/>
    <s v="INV 90790139"/>
    <d v="2025-01-08T00:00:00"/>
    <n v="3649.38"/>
    <s v="EUROS"/>
    <n v="3649.38"/>
    <n v="0"/>
    <n v="3649.38"/>
    <m/>
  </r>
  <r>
    <s v="Clôturé"/>
    <x v="1"/>
    <m/>
    <x v="0"/>
    <s v="Aude G"/>
    <x v="39"/>
    <s v="142/2024/ZEFI - P00015_2025"/>
    <s v="P00015_2025"/>
    <s v="Entretien cage - Bimestre 6 - Nov-Dec 2024"/>
    <m/>
    <s v="INV 90790293"/>
    <d v="2025-01-27T00:00:00"/>
    <n v="6446.52"/>
    <s v="EUROS"/>
    <n v="6446.52"/>
    <n v="0"/>
    <n v="6446.52"/>
    <m/>
  </r>
  <r>
    <s v="Clôturé"/>
    <x v="1"/>
    <m/>
    <x v="0"/>
    <m/>
    <x v="40"/>
    <s v="Devis 466 - P00403_2022"/>
    <s v="P00403_2022"/>
    <s v="Cruo-microscopie"/>
    <m/>
    <s v="INV 90693037"/>
    <d v="2023-01-20T00:00:00"/>
    <n v="22960"/>
    <s v="EUROS"/>
    <n v="22960"/>
    <n v="0"/>
    <n v="22960"/>
    <m/>
  </r>
  <r>
    <s v="Clôturé"/>
    <x v="1"/>
    <m/>
    <x v="3"/>
    <m/>
    <x v="40"/>
    <s v="Devis 55 / 2023 / ZEFI - P00372_2023"/>
    <s v="P00372_2023"/>
    <s v="Hébergement en portoir ventilé (cage/semaine) T1-T2-T3-2023"/>
    <m/>
    <s v="INV 90731700"/>
    <d v="2023-10-27T00:00:00"/>
    <n v="10628.7"/>
    <s v="EUROS"/>
    <n v="10628.7"/>
    <n v="0"/>
    <n v="10628.7"/>
    <m/>
  </r>
  <r>
    <s v="Clôturé"/>
    <x v="1"/>
    <m/>
    <x v="0"/>
    <m/>
    <x v="41"/>
    <s v="Quote 549367 V1 - P00796_2020"/>
    <s v="P00796_2020"/>
    <s v="Pathology peer review marmoset slides - 6 600 €"/>
    <m/>
    <m/>
    <m/>
    <n v="0"/>
    <s v="EUROS"/>
    <n v="0"/>
    <n v="0"/>
    <n v="0"/>
    <s v="devis signé avec CAPEVAL pas ABIVAX"/>
  </r>
  <r>
    <s v="Clôturé"/>
    <x v="13"/>
    <m/>
    <x v="3"/>
    <m/>
    <x v="42"/>
    <s v="12954_A2 - P00337_2022"/>
    <s v="P00337_2022"/>
    <s v="Packing &amp; labelling"/>
    <m/>
    <m/>
    <m/>
    <n v="0"/>
    <s v="EUROS"/>
    <s v="OK"/>
    <n v="0"/>
    <n v="0"/>
    <m/>
  </r>
  <r>
    <s v="OUT ?"/>
    <x v="3"/>
    <m/>
    <x v="3"/>
    <m/>
    <x v="42"/>
    <s v="13040 - Achat - P00209_2023"/>
    <s v="P00209_2023"/>
    <s v="Achat wallet inner and outer for ABTECT"/>
    <m/>
    <s v="INV AC230003"/>
    <d v="2023-07-13T00:00:00"/>
    <n v="14313"/>
    <s v="EUROS"/>
    <n v="12243"/>
    <n v="2070"/>
    <n v="12243"/>
    <m/>
  </r>
  <r>
    <s v="Clôturé"/>
    <x v="23"/>
    <m/>
    <x v="3"/>
    <m/>
    <x v="42"/>
    <s v="13040 - Achat - P00210_2023"/>
    <s v="P00210_2023"/>
    <s v="Achat wallet inner and outer for ABTECT"/>
    <m/>
    <s v="INV AC230004"/>
    <d v="2023-07-13T00:00:00"/>
    <n v="12150"/>
    <s v="EUROS"/>
    <n v="12150"/>
    <n v="0"/>
    <n v="12150"/>
    <m/>
  </r>
  <r>
    <s v="OUT ?"/>
    <x v="8"/>
    <m/>
    <x v="3"/>
    <m/>
    <x v="42"/>
    <s v="13040 - Achat - P00211_2023"/>
    <s v="P00211_2023"/>
    <s v="Achat wallet inner and outer for ABTECT"/>
    <m/>
    <s v="INV AC230002"/>
    <d v="2023-07-13T00:00:00"/>
    <n v="79315"/>
    <s v="EUROS"/>
    <n v="74000"/>
    <n v="5315"/>
    <n v="74000"/>
    <m/>
  </r>
  <r>
    <s v="Clôturé"/>
    <x v="24"/>
    <m/>
    <x v="3"/>
    <m/>
    <x v="42"/>
    <s v="13660-2"/>
    <m/>
    <s v="ABX464-908 - Label and distribution to Germany"/>
    <m/>
    <s v="INV FA233707 + INV FA23955 + INV FA235117 + INV FA235370 + INV FA236171 + INV FACLI000198 + INV FACLI000126 + INV FACLI000356 + INV FACLI000400 + INV FACLI000717 + INV FACLI000823 + INV FACLI001091 + INV FACLI001307 + INV FACLI001556 + INV FACLI001664 + INV FACLI002003 +INV FACLI002374 + INV FACLI002416 + INV FACLI000079 + INV FACLI000218"/>
    <s v="30/06/2023 (recu 07/2023) + 31/07/2023 + 31/08/2023 + 30/09/2023 + 30/10/2023 + 29/12/2023 + 31/01/2024 + 29/02/2024 + 29/03/2024 + 30/04/2024 + 31/05/2024 + 28/06/2024 + 31/07/2024 + 30/08/2024 + 30/09/2024 + 31/10/2024 + 29/11/2024 + 31/12/2024 + 31/01/2025 + 28/02/2025"/>
    <n v="19262.47"/>
    <s v="EUROS"/>
    <n v="20894.889999999996"/>
    <n v="0"/>
    <n v="20894.889999999996"/>
    <m/>
  </r>
  <r>
    <m/>
    <x v="10"/>
    <m/>
    <x v="3"/>
    <m/>
    <x v="42"/>
    <s v="13730-3 - ALL PO"/>
    <m/>
    <s v="Secondary packaging labeling and distribution ABX464-906"/>
    <m/>
    <s v="INV FACLI000205 + INV FACLI000138 + INV FACLI000354 + INV FACLI000408 + INV FACLI000720 + INV FACLI000824 + INV FACLI001090 + INV FACLI001306 + INV FACLI001554 + INV FACLI001665 + INV FACLI002002 + INV FACLI002372 + INV FACLI001739"/>
    <s v="29/12/2023 + 31/01/2024 + 29/02/2024 + 29/03/2024 + 30/04/2024 + 31/05/2024 + 28/06/2024 + 31/07/2024 + 30/08/2024 + 30/09/2024 + 31/10/2024 + 29/11/2024 + 01/09/2025"/>
    <n v="18490.59"/>
    <s v="EUROS"/>
    <n v="11296.62"/>
    <n v="7193.9699999999993"/>
    <n v="11296.62"/>
    <m/>
  </r>
  <r>
    <s v="Clôturé"/>
    <x v="1"/>
    <m/>
    <x v="3"/>
    <m/>
    <x v="42"/>
    <s v="Devis 11533 : Devis Enlèvement lot 25 et 50 mg"/>
    <m/>
    <m/>
    <m/>
    <s v="INV CYB53309"/>
    <d v="2020-12-16T00:00:00"/>
    <m/>
    <s v="EUROS"/>
    <s v="OK"/>
    <n v="0"/>
    <n v="0"/>
    <m/>
  </r>
  <r>
    <s v="Clôturé"/>
    <x v="32"/>
    <m/>
    <x v="3"/>
    <m/>
    <x v="42"/>
    <s v="Devis 11533-1 - ALL Amdt ALL PO"/>
    <m/>
    <s v="Primary blister and secondary pack ABX464 Clinical study - Centralisation PO 2023"/>
    <m/>
    <s v="INV FA230306 + INV FA231002"/>
    <s v="31/01/2023 + 28/02/2023"/>
    <n v="176390"/>
    <s v="EUROS"/>
    <n v="204421.84"/>
    <n v="0"/>
    <n v="204421.84"/>
    <m/>
  </r>
  <r>
    <s v="Clôturé"/>
    <x v="32"/>
    <m/>
    <x v="3"/>
    <m/>
    <x v="42"/>
    <s v="Devis 11533-1 - P00115 (Docushare)"/>
    <m/>
    <s v="Card Blister Clinical Study - 30000 Blister card"/>
    <m/>
    <m/>
    <s v="INV CDB53301 du 28/02/2019"/>
    <m/>
    <s v="EUROS"/>
    <s v="OK"/>
    <n v="0"/>
    <n v="0"/>
    <m/>
  </r>
  <r>
    <s v="Clôturé"/>
    <x v="32"/>
    <m/>
    <x v="3"/>
    <m/>
    <x v="42"/>
    <s v="Devis 11533-1 - P00115 (Docushare)"/>
    <m/>
    <s v="Card Blister Clinical Study - Shipment"/>
    <m/>
    <m/>
    <s v="INV CEB53304 du 29/03/2019"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achat film - 5 400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Coditionnement primaire - 57 259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achat coffre 5 cartes - 3 000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mise sous caret blister - 73 090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conservation dossier de lot original - 728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expedition blister pour stabilité - 860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frais fixes - 81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ndary pack ABX464 Clinical study - TOTAL"/>
    <m/>
    <m/>
    <s v="INV CDB53302 du 28/02/2019 + INV FA210176 du 29/01/2021"/>
    <m/>
    <s v="EUROS"/>
    <s v="OK"/>
    <n v="0"/>
    <n v="0"/>
    <m/>
  </r>
  <r>
    <s v="Clôturé"/>
    <x v="5"/>
    <m/>
    <x v="3"/>
    <m/>
    <x v="42"/>
    <s v="Devis 11718-1 - P00296_2019"/>
    <s v="P00296_2019"/>
    <s v="Secondary packaging UC103 clinical study - Travaux de conditionnement Achat des livret"/>
    <m/>
    <s v="INV CHB71801"/>
    <d v="2019-06-28T00:00:00"/>
    <n v="19628.2"/>
    <s v="EUROS"/>
    <s v="OK"/>
    <n v="0"/>
    <n v="19628.2"/>
    <m/>
  </r>
  <r>
    <s v="Clôturé"/>
    <x v="5"/>
    <m/>
    <x v="3"/>
    <m/>
    <x v="42"/>
    <s v="Devis 11718-1 - P00296_2019"/>
    <s v="P00296_2019"/>
    <s v="Secondary packaging UC103 clinical study - Travaux de conditionnement Frais fixes"/>
    <m/>
    <s v="INV CHB71801"/>
    <d v="2019-06-28T00:00:00"/>
    <n v="83"/>
    <s v="EUROS"/>
    <s v="OK"/>
    <n v="0"/>
    <n v="83"/>
    <m/>
  </r>
  <r>
    <s v="Clôturé"/>
    <x v="5"/>
    <m/>
    <x v="3"/>
    <m/>
    <x v="42"/>
    <s v="Devis 11718-1 - P00296_2019"/>
    <s v="P00296_2019"/>
    <s v="Secondary packaging UC103 clinical study - Travaux de conditionnement 1ère campagne"/>
    <m/>
    <s v="INV CHB71802"/>
    <d v="2019-06-28T00:00:00"/>
    <n v="45261.440000000002"/>
    <s v="EUROS"/>
    <n v="45261.440000000002"/>
    <n v="0"/>
    <n v="45261.440000000002"/>
    <m/>
  </r>
  <r>
    <m/>
    <x v="5"/>
    <m/>
    <x v="3"/>
    <m/>
    <x v="42"/>
    <s v="Devis 11718-1 - P00296_2019"/>
    <s v="P00296_2019"/>
    <s v="Secondary packaging UC103 clinical study - Travaux de conditionnement campagne ultérieure"/>
    <d v="2020-06-01T00:00:00"/>
    <m/>
    <m/>
    <n v="8066.5599999999977"/>
    <s v="EUROS"/>
    <m/>
    <n v="8066.5599999999977"/>
    <n v="0"/>
    <m/>
  </r>
  <r>
    <m/>
    <x v="5"/>
    <m/>
    <x v="3"/>
    <m/>
    <x v="42"/>
    <s v="Devis 11718-1 - P00296_2019"/>
    <s v="P00296_2019"/>
    <s v="Secondary packaging UC103 clinical study - Conservation"/>
    <m/>
    <s v="INV CHB71802 + INV FA212716 + INV FA214662 + Inv FA216137 + INV FA220158 + INV FA220794 + INV FA221295 + INV FA221871 + NV FA222369 + INV FA223057"/>
    <s v="28/06/2019 + 30/06/2021 + 29/10/2021 + 31/12/2021 + 31/01/2022 + 28/02/2022 + 31/03/2022 + 30/04/2022 + 31/05/2022 + 01/07/2022"/>
    <n v="1456"/>
    <s v="EUROS"/>
    <n v="1212.5099999999998"/>
    <n v="243.49000000000024"/>
    <n v="1212.5099999999998"/>
    <m/>
  </r>
  <r>
    <m/>
    <x v="5"/>
    <m/>
    <x v="3"/>
    <m/>
    <x v="42"/>
    <s v="Devis 11718-1 - P00296_2019"/>
    <s v="P00296_2019"/>
    <s v="Secondary packaging UC103 clinical study - Certification Set-up"/>
    <d v="2020-06-01T00:00:00"/>
    <s v="INV CHB71802"/>
    <d v="2019-06-28T00:00:00"/>
    <n v="6800"/>
    <s v="EUROS"/>
    <n v="5550"/>
    <n v="1250"/>
    <n v="5550"/>
    <m/>
  </r>
  <r>
    <s v="Clôturé"/>
    <x v="5"/>
    <m/>
    <x v="3"/>
    <m/>
    <x v="42"/>
    <s v="Devis 11718-1 - P00296_2019"/>
    <s v="P00296_2019"/>
    <s v="Secondary packaging UC103 clinical study - Certification Certification "/>
    <m/>
    <s v="INV CHB71802"/>
    <d v="2019-06-28T00:00:00"/>
    <n v="7500"/>
    <s v="EUROS"/>
    <n v="7500"/>
    <n v="0"/>
    <n v="7500"/>
    <m/>
  </r>
  <r>
    <m/>
    <x v="5"/>
    <m/>
    <x v="3"/>
    <m/>
    <x v="42"/>
    <s v="Devis 11718-1 - P00296_2019"/>
    <s v="P00296_2019"/>
    <s v="Secondary packaging UC103 clinical study - Conférence téléphonique"/>
    <m/>
    <m/>
    <m/>
    <n v="135"/>
    <s v="EUROS"/>
    <m/>
    <n v="135"/>
    <n v="0"/>
    <m/>
  </r>
  <r>
    <m/>
    <x v="5"/>
    <m/>
    <x v="3"/>
    <m/>
    <x v="42"/>
    <s v="Devis 11718-1-Avenant n°1 - P00515_2019"/>
    <s v="P00515_2019"/>
    <s v="UC103 Extension de péremption des coffret de 24 à 30 mois - Conditonnement Bordeaux 2 campagnes"/>
    <d v="2020-03-01T00:00:00"/>
    <s v="INV COB71805 + INV CRB71809"/>
    <s v="31/01/2020 + 30/04/2020"/>
    <n v="34647"/>
    <s v="EUROS"/>
    <n v="31396.15"/>
    <n v="3250.8499999999985"/>
    <n v="31396.15"/>
    <m/>
  </r>
  <r>
    <s v="Clôturé"/>
    <x v="5"/>
    <m/>
    <x v="3"/>
    <m/>
    <x v="42"/>
    <s v="Devis 11718-1-Avenant n°1 - P00515_2019"/>
    <s v="P00515_2019"/>
    <s v="UC103 Extension de péremption des coffret de 24 à 30 mois - Conservation 10 ans"/>
    <m/>
    <s v="INV COB71805"/>
    <d v="2020-01-31T00:00:00"/>
    <n v="728"/>
    <s v="EUROS"/>
    <s v="OK"/>
    <n v="0"/>
    <n v="728"/>
    <m/>
  </r>
  <r>
    <s v="Clôturé"/>
    <x v="5"/>
    <m/>
    <x v="3"/>
    <m/>
    <x v="42"/>
    <s v="Devis 11718-1-Avenant n°1 - P00515_2019"/>
    <s v="P00515_2019"/>
    <s v="UC103 Extension de péremption des coffret de 24 à 30 mois - contre etiquetage Ukraine et Bielorussie"/>
    <m/>
    <s v="INV COB71805 + INV CPB71807 + INV CRB71809 + INV CYB71810"/>
    <s v="31/01/2020 + 28/02/2020 + 30/04/2020 + 30/11/2020"/>
    <n v="4731"/>
    <s v="EUROS"/>
    <n v="5929.79"/>
    <n v="0"/>
    <n v="5929.79"/>
    <m/>
  </r>
  <r>
    <s v="Clôturé"/>
    <x v="5"/>
    <m/>
    <x v="3"/>
    <m/>
    <x v="42"/>
    <s v="Devis 11718-1-Avenant n°2 - P00506_2019"/>
    <s v="P00506_2019"/>
    <s v="UC103 Conditionnement et conservation UK + ESP - Conditionnement clinique"/>
    <m/>
    <s v="INV COB71806"/>
    <d v="2020-01-31T00:00:00"/>
    <n v="7637"/>
    <s v="EUROS"/>
    <s v="OK"/>
    <n v="0"/>
    <n v="7637"/>
    <m/>
  </r>
  <r>
    <s v="Clôturé"/>
    <x v="5"/>
    <m/>
    <x v="3"/>
    <m/>
    <x v="42"/>
    <s v="Devis 11718-1-Avenant n°2 - P00506_2019"/>
    <s v="P00506_2019"/>
    <s v="UC103 Conditionnement et conservation UK + ESP - Conservation"/>
    <m/>
    <s v="INV COB71806"/>
    <d v="2020-01-31T00:00:00"/>
    <n v="728"/>
    <s v="EUROS"/>
    <s v="OK"/>
    <n v="0"/>
    <n v="728"/>
    <m/>
  </r>
  <r>
    <s v="Clôturé"/>
    <x v="5"/>
    <m/>
    <x v="3"/>
    <m/>
    <x v="42"/>
    <s v="Devis 11718-1-Avenant n°3 - P00579_2020"/>
    <s v="P00579_2020"/>
    <s v="UC103 - Conditionnement spécifique pour les US - Conditionnement clinique "/>
    <m/>
    <s v="INV CQB71808"/>
    <d v="2020-03-31T00:00:00"/>
    <n v="5434"/>
    <s v="EUROS"/>
    <s v="OK"/>
    <n v="0"/>
    <n v="5434"/>
    <m/>
  </r>
  <r>
    <s v="Clôturé"/>
    <x v="5"/>
    <m/>
    <x v="3"/>
    <m/>
    <x v="42"/>
    <s v="Devis 11718-1-Avenant n°3 - P00579_2020"/>
    <s v="P00579_2020"/>
    <s v="UC103 - Conditionnement spécifique pour les US - Conservation"/>
    <m/>
    <s v="INV CZB71811 + INV FA210006 + INV FA212120 + FA213788"/>
    <s v="31/12/2020 + 29/01/2021 + 31/05/2021 + 31/08/2021 + 30/09/2021"/>
    <n v="728"/>
    <s v="EUROS"/>
    <n v="1897.1799999999998"/>
    <n v="0"/>
    <n v="1897.1799999999998"/>
    <m/>
  </r>
  <r>
    <m/>
    <x v="5"/>
    <m/>
    <x v="3"/>
    <m/>
    <x v="42"/>
    <s v="Devis 11718-1-Avenant n°4 - P00837_2020 V2"/>
    <s v="P00837_2020 V2"/>
    <s v="UC103 - Extension de prémemption des coffrets"/>
    <m/>
    <s v="INV CYB71810"/>
    <d v="2020-11-30T00:00:00"/>
    <n v="34082"/>
    <s v="EUROS"/>
    <n v="22244.04"/>
    <n v="11837.96"/>
    <n v="22244.04"/>
    <m/>
  </r>
  <r>
    <m/>
    <x v="27"/>
    <m/>
    <x v="3"/>
    <m/>
    <x v="42"/>
    <s v="Devis 12539 - P00824_2020"/>
    <s v="P00824_2020"/>
    <s v="DI902 - Labelling of Wallet Cards"/>
    <m/>
    <s v="INV CZC53901 + INV CZC53902+ INV CZC53903 + INV FA212119 + INV FA212715 + INV FA213263 + INV FA211049 + INV FA213790 + INV FA214966 + FA215628 + INV FA216139 + INV FA220161 + INV FA220796 + INV FA221297 + INV FA221873 + INV FA222371 + INV FA224882"/>
    <s v="31/12/2020 + 31/12/2020 + 31/12/2020 + 31/05/2021 + 30/06/2021 + 30/07/2021 + 31/03/2021 (recu 01/08/2021) + 31/08/2021 + 29/10/2021 + 30/11/2021 + 31/12/2021 + 31/01/2022 + 28/02/2022 + 31/03/2022 + 29/04/2022 + 31/05/2022 + 30/09/2022"/>
    <n v="5956.38"/>
    <s v="EUROS"/>
    <n v="4819.6399999999976"/>
    <n v="1136.7400000000025"/>
    <n v="4819.6399999999976"/>
    <m/>
  </r>
  <r>
    <m/>
    <x v="29"/>
    <m/>
    <x v="3"/>
    <m/>
    <x v="42"/>
    <s v="Devis 12804 - P00147_2021"/>
    <s v="P00147_2021"/>
    <s v="Packing &amp; Shippement to Japan "/>
    <m/>
    <s v="INV FA212263 + INV FA213670 + INV FA214352 + INV FA221298"/>
    <s v="31/05/2021 + 31/08/2021 + 30/09/2021 + 31/03/2022"/>
    <n v="27362.199999999997"/>
    <s v="EUROS"/>
    <n v="15835.57"/>
    <n v="11526.629999999997"/>
    <n v="15835.57"/>
    <m/>
  </r>
  <r>
    <m/>
    <x v="29"/>
    <m/>
    <x v="3"/>
    <m/>
    <x v="42"/>
    <s v="Devis 12804 Amdt 2 - P00187_2021"/>
    <s v="P00187_2021"/>
    <s v="IP supply ABX464 25mg/50mg/placebo blister"/>
    <m/>
    <s v="INV FA213182"/>
    <d v="2021-07-30T00:00:00"/>
    <n v="22144.97"/>
    <s v="EUROS"/>
    <n v="8035.83"/>
    <n v="14109.140000000001"/>
    <n v="8035.83"/>
    <m/>
  </r>
  <r>
    <m/>
    <x v="33"/>
    <m/>
    <x v="3"/>
    <m/>
    <x v="42"/>
    <s v="Devis 12891-1 - Amdt 2 - P00018_2022"/>
    <s v="P00018_2022"/>
    <s v="ABX464-105/106 Packaging material purchase"/>
    <m/>
    <m/>
    <m/>
    <n v="11789"/>
    <s v="EUROS"/>
    <m/>
    <n v="11789"/>
    <n v="0"/>
    <m/>
  </r>
  <r>
    <m/>
    <x v="1"/>
    <m/>
    <x v="3"/>
    <s v="Marianne P"/>
    <x v="42"/>
    <s v="Devis 12892-1 - ALL PO"/>
    <m/>
    <s v="stability study"/>
    <m/>
    <s v="INV FACLI001799 + INV FACLI001796 + INV FACLI002009"/>
    <s v="30/09/2024 + 30/09/2024 + 31/10/2024"/>
    <n v="130604.23999999999"/>
    <s v="EUROS"/>
    <n v="119324.88"/>
    <n v="11279.359999999986"/>
    <n v="119324.88"/>
    <m/>
  </r>
  <r>
    <m/>
    <x v="13"/>
    <m/>
    <x v="3"/>
    <m/>
    <x v="42"/>
    <s v="Devis 12954 - ALL Amdt - ALL PO"/>
    <m/>
    <s v="ABX464-108 packing et distribution - Centralisation PO 2023"/>
    <m/>
    <s v="INV FA214811 + INV FA215367 + INV FA220133 + INV FA220742 + INV FA221286 - INV FA221885 + INV FA222332 + INV FA223059 + INV FA223516 + INV FA224394 + INV FA224876 + INV FA225836 + INV FA226248 + INV FA230355 + INV FA230553 + INV FA231011 + INV FA231476 + INV FA232599 + INV FA232526 + INV FA233112 + INV FA233590 + INV FA233588 + INV FA234392 + INV FA233943 + INV FA235136 + INV FA235375 + INV FA236180 + INV FACLI000200 + INV FACLI000130 + INV FACLI000367 + INV FACLI000410 + INV FACLI000728 + INV FACLI000828 + INV FACLI001122 + INV FACLI001310 + INV FACLI001565 + INV FACLI001668 + INV FACLI002008 + INv FACLI002284 + INV FACLI002498 + INV FACLI000089 + INV FACLI000222 + INV FACLI000522 + INV FACLI000789 + INV FACLI001018 + INV FACLI001256 + INV FACLI001575 + INV FACLI001671"/>
    <s v="29/10/2021 + 30/11/2021 + 31/12/2022 + 28/02/2022 + 31/03/2022 + 29/04/2022 + 31/05/2022 + 01/07/2022 + 29/07/2022 + 31/08/2022 + 30/09/2022 + 01/12/2022 + 30/12/2022 + 31/01/2023 + 31/01/2023 + 28/02/2023 + 31/03/2023 + 28/04/2023 + 28/04/2023 + 31/05/2023 + 30/06/2023 (recu en 07/2023) + 30/06/2023 (recu 07/2023) + 31/07/2023 + 31/07/2023 + 31/08/2023 + 30/09/2023 + 31/10/2023 + 29/12/2023 + 31/01/2024 + 29/02/2024 + 29/03/2024 + 30/04/2024 + 31/05/2024 + 28/06/2024 + 31/07/2024 + 30/08/2024 + 30/09/2024 + 31/10/2024 + 29/11/2024 + 31/12/2024 + 31/01/2025 + 28/02/2025 + 01/04/2025 + 02/05/2025 + 02/06/2025 + 01/07/2025 + 31/07/2025 + 01/09/2025"/>
    <n v="462714.42"/>
    <s v="EUROS"/>
    <n v="306506.90000000002"/>
    <n v="156207.51999999996"/>
    <n v="306506.90000000002"/>
    <m/>
  </r>
  <r>
    <m/>
    <x v="1"/>
    <m/>
    <x v="3"/>
    <m/>
    <x v="42"/>
    <s v="Devis 12992 - ALL PO"/>
    <m/>
    <s v="Bluk QP release &amp; certif for ABX464 studies"/>
    <m/>
    <s v="INV FA550551 + INV FA23957 + INV FA235450 + INV FACLI000221 + INV FACLI000441 + INV FACLI001249 + INV FACLI001947 + INV FACLI001315 + INV FACLI001764"/>
    <s v="28/02/2022 + 31/07/2023 + 30/09/2023 + 29/02/2024 + 29/03/2024 + 30/07/2024 + 30/09/2024 + 01/07/2025 + 01/09/2025"/>
    <n v="48669.8"/>
    <s v="EUROS"/>
    <n v="45179.239999999991"/>
    <n v="3490.5600000000122"/>
    <n v="45179.239999999991"/>
    <m/>
  </r>
  <r>
    <m/>
    <x v="3"/>
    <m/>
    <x v="3"/>
    <m/>
    <x v="42"/>
    <s v="Devis 13040 ALL Amdt ALL PO"/>
    <m/>
    <s v="UC105 - ABX464 ABTECT - Centralisation PO"/>
    <m/>
    <s v="INV FA230417 - AV FA230303 + INV FA231060 + INV FA231471 + INV FA232485 + INV FA233131 + INV FA233063 + INV FA233628 + INV FA234399 + INV FA235153 + INV FA235419 + INV FA235446 + INV FA235447 + INV FA235448 + INV FA236207 + INV FA236226 + INV FACLI000220 + INV FACLI000164 + INV FACLI000381 + INV FACLI000382  + INV FACLI000745 + INV FACLI000890 + INV FACLI000933 + INV FACLI000935 + INV FACLI000939 + INV FACLI000432 + INV FACL001159 + INV FACLI001144 + INV FACLI001400 + INV FACLI001351 + INV FACLI001627 + INV FACLI001669 + INV FACLI002011 + INV FACLI002013 + INV FACLI002329 + INV FACLI002345 + INV FACLI002574 + INV FACLI000102 + INV FACLI000396 + INV FACLI000349 + IN FACLI000839 + INV FACLI001040 + INV FACLI001325 + INV FACLI001592 + INV FACLI001738"/>
    <s v="31/01/2023 - 31/01/2023 + 28/02/2023 + 31/03/2023 + 28/04/2023 + 31/05/2023 + 31/05/2023 + 30/06/2023 (recu 07/2023) + 31/07/2023 + 31/08/2023 + 30/09/2023 + 30/09/2023 + 30/09/2023 + 30/09/2023 + 31/10/2023 + 31/10/2023 + 29/12/2023 + 31/01/2024 + 29/02/2024 + 29/02/2024 + 30/04/2024 + 31/05/2024 + 31/05/2024 + 31/05/2024 + 31/05/2024 + 29/03/2024 (recu en 07/2024) + 28/06/2024 + 28/06/2024 + 31/07/2024 + 31/07/2024 + 30/08/2024 + 30/09/2024 + 31/10/2024 + 31/10/2024 + 29/11/2024 + 29/11/2024 + 31/12/2024 + 31/01/2025 + 03/03/2025 + 03/03/2025 + 02/05/2025 + 02/06/2025 + 01/07/2025 + 01/08/2025 + 01/09/2025"/>
    <n v="1423886.28"/>
    <s v="EUROS"/>
    <n v="1375853.7499999998"/>
    <n v="48032.530000000261"/>
    <n v="1375853.7499999998"/>
    <m/>
  </r>
  <r>
    <m/>
    <x v="23"/>
    <m/>
    <x v="3"/>
    <m/>
    <x v="42"/>
    <s v="Devis 13329 - ALL Amdt - ALL PO"/>
    <m/>
    <s v="UC106 - Secondary packing clinical labelling of blister cards and distribution - Centralisation PO 2023"/>
    <m/>
    <s v="(FA224881 + FA225502 + FA225840 + FA226255)+FA230401-FA230305 + FA231058 + Fa231252 + FA231457 + FA231462 + FA232480 + FA233081 + Fa233701 + FA234423 + Fa235167 + FA235449 + FA235435 + FA236187 + FACLI000217 + FACLI000163 + AVCLI000056 + INV FACLI000373 + INV FACLI000379 + INV FACLI000774 + INV FACLI000907 + INV FACLI000941 + INV FACLI000934 + INV FACLI000431 + INV FACLI001148 + INV FACLI001350 + INV FACLI001316 + INV FACLI001315 + INV FACLI001629 + INV FACLI001674 + INV FACLI002010 + INV FACLI002084 + INV FACLI002340 + INV FACLI002344 + INv FACLI002370 + INV FACLI002588 + INV FACLI000132 + INV FACLI000395 + INV FACLI000630 + INV FACLI000842 + INV FACLI001081 + INV FACLI001039 + INv FACLI001314 + INV FACLI001589 + INV FACLI001733"/>
    <s v="(30/09/2022 + 31/10/2022 + 30/11/2022 + 30/12/2022)+31/01/2023-31/01/2023 + 28/02/2023 + 28/02/2023 + 31/03/2023 + 31/03/2023 + 28/04/2023 + 31/05/2023 + 30/06/2023 (recu 07/2023) + 31/07/2023 + 31/08/2023 + 30/09/2023 + 30/09/2023 + 31/10/2023 + 29/12/2023 + 31/01/2024 + 29/02/2024 + 29/02/2024 + 29/02/2024 + 30/04/2024 + 31/05/2024 + 31/05/2024 + 31/05/2024 + 29/03/2024 (recu en 07/2024) + 28/06/2024 + 31/07/2024 + 31/07/2024 + 31/07/2024 + 30/08/2024 + 30/09/2024 + 31/10/2024 + 31/10/2024 + 29/11/2024 + 29/11/2024 + 29/11/2024 + 31/12/2024 + 31/01/2025 + 03/03/2025 + 01/04/2025 + 02/05/2025 + 02/06/2025 +02/06/2025 + 01/07/2025 + 01/08/2025 + 01/09/2025"/>
    <n v="1175208.6700000002"/>
    <s v="EUROS"/>
    <n v="1125055.5500000003"/>
    <n v="50153.119999999879"/>
    <n v="1125055.5500000003"/>
    <m/>
  </r>
  <r>
    <m/>
    <x v="1"/>
    <m/>
    <x v="3"/>
    <s v="Marianne P"/>
    <x v="42"/>
    <s v="Devis 14079-2 - P00367_2024"/>
    <s v="P00367_2024"/>
    <s v="ABX464-CUP001 Labelling &amp; Packaging France ABX464 25mg&amp;50mg"/>
    <m/>
    <s v="INV FACLI001408"/>
    <d v="2024-07-31T00:00:00"/>
    <n v="107043.36"/>
    <s v="EUROS"/>
    <n v="18335.8"/>
    <n v="88707.56"/>
    <n v="18335.8"/>
    <m/>
  </r>
  <r>
    <m/>
    <x v="22"/>
    <m/>
    <x v="3"/>
    <s v="Marianne P"/>
    <x v="42"/>
    <s v="Devis 14179-2 - ALL PO"/>
    <m/>
    <s v="MD914 - Labelling &amp; Secondary Packaging"/>
    <m/>
    <s v="INV FACLI002352 + INV FACLI002494 + FACLI000076 + FACLI000217 + FACLI000664"/>
    <s v="29/11/2024 + 31/12/2024 + 31/01/2025 + 28/02/2025 + 01/04/2025"/>
    <n v="46389.57"/>
    <s v="EUROS"/>
    <n v="29210.940000000002"/>
    <n v="17178.629999999997"/>
    <n v="29210.940000000002"/>
    <m/>
  </r>
  <r>
    <s v="OUT ?"/>
    <x v="2"/>
    <m/>
    <x v="4"/>
    <m/>
    <x v="43"/>
    <s v="P00136_2024"/>
    <s v="P00136_2024"/>
    <s v="Socila Media Campaign - 2 Posts "/>
    <m/>
    <m/>
    <m/>
    <n v="18000"/>
    <s v="USD"/>
    <m/>
    <n v="18000"/>
    <n v="0"/>
    <m/>
  </r>
  <r>
    <s v="Clôturé"/>
    <x v="24"/>
    <m/>
    <x v="2"/>
    <m/>
    <x v="44"/>
    <s v="A 22/128"/>
    <m/>
    <s v="PK hepatic impairment - Upon signature"/>
    <m/>
    <s v="INV 2023-KI-0087"/>
    <d v="2023-07-14T00:00:00"/>
    <n v="72954"/>
    <s v="EUROS"/>
    <n v="72954"/>
    <n v="0"/>
    <n v="72954"/>
    <m/>
  </r>
  <r>
    <s v="Clôturé"/>
    <x v="24"/>
    <m/>
    <x v="2"/>
    <m/>
    <x v="44"/>
    <s v="A 22/128"/>
    <m/>
    <s v="PK hepatic impairment - FPFV (start screening)"/>
    <m/>
    <s v="INV 2023-KI-0117"/>
    <d v="2023-10-11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50% of mild and moderate group completed (total 8 patients)"/>
    <m/>
    <s v="INV 2024-KI-0008"/>
    <d v="2024-02-14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50% of matched control group completed (total 8 subjects)"/>
    <m/>
    <s v="INV 2024-KI-0026"/>
    <d v="2024-04-22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100% of mild and moderate group completed (total 8 patients each group)"/>
    <m/>
    <s v="INV 2024-KI-0070"/>
    <d v="2024-09-02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LPLV"/>
    <m/>
    <s v="INV 2024-KI-0077"/>
    <d v="2024-09-11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Data base lock (not later than 30 days after the last query is solved)"/>
    <m/>
    <s v="INV 2024-KI-0096"/>
    <d v="2024-10-28T00:00:00"/>
    <n v="95815"/>
    <s v="EUROS"/>
    <n v="95818"/>
    <n v="0"/>
    <n v="95818"/>
    <m/>
  </r>
  <r>
    <m/>
    <x v="24"/>
    <m/>
    <x v="2"/>
    <m/>
    <x v="44"/>
    <s v="A 22/128"/>
    <m/>
    <s v="PK hepatic impairment - Final study report (not later than 30 days after review comments of CRS were provided)"/>
    <m/>
    <m/>
    <m/>
    <n v="47908"/>
    <s v="EUROS"/>
    <m/>
    <n v="47908"/>
    <n v="0"/>
    <m/>
  </r>
  <r>
    <s v="Clôturé"/>
    <x v="24"/>
    <m/>
    <x v="2"/>
    <m/>
    <x v="44"/>
    <s v="A 22/128 - CO1"/>
    <m/>
    <s v="PK hepatic impairment - Upon signature CO1"/>
    <m/>
    <s v="INV 2024-KI-01103"/>
    <d v="2024-11-21T00:00:00"/>
    <n v="57288"/>
    <s v="EUROS"/>
    <n v="57288"/>
    <n v="0"/>
    <n v="57288"/>
    <m/>
  </r>
  <r>
    <s v="Clôturé"/>
    <x v="24"/>
    <m/>
    <x v="2"/>
    <m/>
    <x v="44"/>
    <s v="A 22/128 - LOI"/>
    <m/>
    <s v="PK hepatic impairment - Unit 4 - Clinical Study Protocol Activities"/>
    <m/>
    <m/>
    <m/>
    <n v="22861"/>
    <s v="EUROS"/>
    <n v="22861"/>
    <n v="0"/>
    <n v="22861"/>
    <s v="facturé via la facture ORION n° 109827 voir mail de Kira du 25/07/23"/>
  </r>
  <r>
    <s v="Clôturé"/>
    <x v="24"/>
    <m/>
    <x v="2"/>
    <m/>
    <x v="44"/>
    <s v="A 22/128 - LOI"/>
    <m/>
    <s v="PK hepatic impairment - PTC - Unit 4 Clinical Trial Application &amp; Study setup"/>
    <m/>
    <m/>
    <m/>
    <n v="0"/>
    <s v="EUROS"/>
    <m/>
    <n v="0"/>
    <n v="0"/>
    <s v="facturé via la facture ORION n° 109827 voir mail de Kira du 25/07/23"/>
  </r>
  <r>
    <s v="Clôturé"/>
    <x v="24"/>
    <m/>
    <x v="2"/>
    <m/>
    <x v="44"/>
    <s v="A 22/128 - LOI"/>
    <m/>
    <s v="PK hepatic impairment - PTC - Unit 5 Project managment"/>
    <m/>
    <m/>
    <m/>
    <n v="0"/>
    <s v="EUROS"/>
    <m/>
    <n v="0"/>
    <n v="0"/>
    <s v="facturé via la facture ORION n° 109827 voir mail de Kira du 25/07/23"/>
  </r>
  <r>
    <s v="Clôturé"/>
    <x v="24"/>
    <m/>
    <x v="2"/>
    <m/>
    <x v="44"/>
    <s v="A 22/128 - LOI"/>
    <m/>
    <s v="PK hepatic impairment - PTC - Unit 6 investigational mediclinal pdt managment"/>
    <m/>
    <m/>
    <m/>
    <n v="0"/>
    <s v="EUROS"/>
    <m/>
    <n v="0"/>
    <n v="0"/>
    <s v="facturé via la facture ORION n° 109827 voir mail de Kira du 25/07/23"/>
  </r>
  <r>
    <s v="Clôturé"/>
    <x v="25"/>
    <m/>
    <x v="2"/>
    <s v="Josainne"/>
    <x v="44"/>
    <s v="SRV_24125"/>
    <m/>
    <s v="RI907 - Renal Impairment Study - At signature"/>
    <m/>
    <s v="INV 2024-KI-0046"/>
    <d v="2024-06-26T00:00:00"/>
    <n v="158465"/>
    <s v="EUROS"/>
    <n v="158456"/>
    <n v="9"/>
    <n v="158456"/>
    <m/>
  </r>
  <r>
    <s v="Clôturé"/>
    <x v="25"/>
    <m/>
    <x v="2"/>
    <s v="Josainne"/>
    <x v="44"/>
    <s v="SRV_24125"/>
    <m/>
    <s v="RI907 - Renal Impairment Study - FPFV Start screening"/>
    <m/>
    <s v="INV 2024-KI-0080"/>
    <d v="2024-09-25T00:00:00"/>
    <n v="237698"/>
    <s v="EUROS"/>
    <n v="237698"/>
    <n v="0"/>
    <n v="237698"/>
    <m/>
  </r>
  <r>
    <s v="Clôturé"/>
    <x v="25"/>
    <m/>
    <x v="2"/>
    <s v="Josainne"/>
    <x v="44"/>
    <s v="SRV_24125"/>
    <m/>
    <s v="RI907 - Renal Impairment Study - 50% severe and matched control completed"/>
    <m/>
    <s v="INV 2024-KI-0120"/>
    <d v="2024-12-31T00:00:00"/>
    <n v="190158"/>
    <s v="EUROS"/>
    <n v="190158"/>
    <n v="0"/>
    <n v="190158"/>
    <m/>
  </r>
  <r>
    <m/>
    <x v="25"/>
    <m/>
    <x v="2"/>
    <s v="Josainne"/>
    <x v="44"/>
    <s v="SRV_24125"/>
    <m/>
    <s v="RI907 - Renal Impairment Study - 100% severe and matched control completed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50% mild and moderate group completed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100% mild and moderate group completed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LPLV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Data base lock"/>
    <d v="2025-07-01T00:00:00"/>
    <m/>
    <m/>
    <n v="158465"/>
    <s v="EUROS"/>
    <m/>
    <n v="158465"/>
    <n v="0"/>
    <m/>
  </r>
  <r>
    <m/>
    <x v="25"/>
    <m/>
    <x v="2"/>
    <s v="Josainne"/>
    <x v="44"/>
    <s v="SRV_24125"/>
    <m/>
    <s v="RI907 - Renal Impairment Study - Final study report"/>
    <d v="2025-10-01T00:00:00"/>
    <m/>
    <m/>
    <n v="79234"/>
    <s v="EUROS"/>
    <m/>
    <n v="79234"/>
    <n v="0"/>
    <m/>
  </r>
  <r>
    <m/>
    <x v="25"/>
    <m/>
    <x v="2"/>
    <s v="Josainne"/>
    <x v="44"/>
    <s v="SRV_24125"/>
    <m/>
    <s v="RI907 - Renal Impairment Study - PTC"/>
    <m/>
    <s v="INV 2024-KI-0047 + INV 2024-KI-100 + INV 2024-KI-0120 + INV 2024-KI-0132 + INV 2024-KI-0131 + INV 2025-KI-0005 + INV 2025-KI-0020 + INV 2025-KI-0025+inv 2025-KI-0037 + INV 2025-KI-0044 +INV 2025-KI-0049 + INV 2025-KI-0056 + INV 2025*KI-0071"/>
    <s v="26/06/2024 + 29/10/2024 + 31/12/2024 + 30/01/2025 + 30/01/2025 + 03/02/2025+19/03/2025+28/03/2025+30/04/2025 + 02/06/2025 +24/06/2025+15/07/2025 + 28/08/2025"/>
    <n v="48616"/>
    <s v="EUROS"/>
    <n v="232840.59000000003"/>
    <n v="0"/>
    <n v="232840.59000000003"/>
    <m/>
  </r>
  <r>
    <m/>
    <x v="3"/>
    <s v="FG veux du NOTAPP"/>
    <x v="7"/>
    <s v="Kevin S"/>
    <x v="45"/>
    <s v="MSA_24185_WO1 - 24185_WO1_ABTECT + CO1 + CO2"/>
    <m/>
    <s v="replace IQVIA in performing IDMC support services - ABTECT IDMC "/>
    <m/>
    <s v="INV PINV-14898 + INV CINV-12495 + INV CIN-12751 + INV CIN - 13066 + INV CIN -13338 + INV CINV-13647 + INV CINV-13979"/>
    <s v="18/12/2024 + 28/02/2025 +31/03/2025+30/04/2025+31/05/2025 + 30/06/2025 + 31/07/2025"/>
    <n v="556386.44000000006"/>
    <s v="USD"/>
    <n v="206036.83999999997"/>
    <n v="350349.60000000009"/>
    <n v="206036.83999999997"/>
    <m/>
  </r>
  <r>
    <m/>
    <x v="7"/>
    <s v="FG veux du NOTAPP"/>
    <x v="7"/>
    <s v="Kevin S"/>
    <x v="45"/>
    <s v="MSA_24185_WO2 - 24185_WO1_ABX464-202"/>
    <m/>
    <s v="replace IQVIA in performing IDMC support services - CD202 IDMC"/>
    <m/>
    <s v="INV PINV-14899 + INV CINV-12496 + INV CINV- 13071 + INV CINV-13015 + INV CIN 13339 + INV CINV-13648 + INV 13980 + INV VINV-14237"/>
    <s v="18/12/2024 + 28/02/2025+30/04/2025 + 10/04/2025+31/05/2025 + 30/06/2025+31/07/2025+31/08/2025"/>
    <n v="389301.84"/>
    <s v="USD"/>
    <n v="133012.79999999999"/>
    <n v="256289.04000000004"/>
    <n v="133012.79999999999"/>
    <m/>
  </r>
  <r>
    <m/>
    <x v="1"/>
    <s v="FG veux du NOTAPP"/>
    <x v="7"/>
    <s v="Kevin S"/>
    <x v="45"/>
    <s v="MSA_24185_WO3_ICVSC + CO1"/>
    <m/>
    <s v="replace Keyrus in performing independent cardiovascular safety committee (ICVSC)"/>
    <m/>
    <s v="INV PINV-14900 + INV CINV-12497 + INV CINV-12753+ INV CINV-12072 + INV CINV-13340 + INV CINV-13744 + INV CINV-14145 + INV CINV-14238 + INV CINV-14235"/>
    <s v="17/12/2024 + 28/02/2025 + 31/03/2025+30/04/2025+31/05/2025 + 30/06/2025+31/07/2025+31/08/2025+31/08/2025"/>
    <n v="671209.89"/>
    <s v="USD"/>
    <n v="245841.22"/>
    <n v="425368.67000000004"/>
    <n v="245841.22"/>
    <m/>
  </r>
  <r>
    <s v="Clôturé"/>
    <x v="1"/>
    <m/>
    <x v="3"/>
    <m/>
    <x v="46"/>
    <s v="L16_2086C"/>
    <m/>
    <s v="TRANSFERT GALENIQUE Campagne 1, lots de faisabilité "/>
    <m/>
    <m/>
    <m/>
    <n v="35319"/>
    <s v="EUROS"/>
    <s v="OK"/>
    <n v="0"/>
    <n v="35319"/>
    <m/>
  </r>
  <r>
    <s v="Clôturé"/>
    <x v="1"/>
    <m/>
    <x v="3"/>
    <m/>
    <x v="46"/>
    <s v="L16_2086C"/>
    <m/>
    <s v="TRANSFERT GALENIQUE Campagne 2, lots scale-up cliniques "/>
    <m/>
    <m/>
    <m/>
    <n v="39796"/>
    <s v="EUROS"/>
    <s v="OK"/>
    <n v="0"/>
    <n v="39796"/>
    <m/>
  </r>
  <r>
    <m/>
    <x v="1"/>
    <m/>
    <x v="3"/>
    <m/>
    <x v="46"/>
    <s v="L16_2086C"/>
    <m/>
    <s v="TRANSFERT GALENIQUE Campagne 3, conditionnement"/>
    <m/>
    <m/>
    <m/>
    <n v="18178"/>
    <s v="EUROS"/>
    <m/>
    <n v="18178"/>
    <n v="0"/>
    <m/>
  </r>
  <r>
    <m/>
    <x v="1"/>
    <m/>
    <x v="3"/>
    <m/>
    <x v="46"/>
    <s v="L16_2086C"/>
    <m/>
    <s v="TRANSFERT GALENIQUE CAMPAGNE 4 LOTS CLINIQUES"/>
    <m/>
    <m/>
    <m/>
    <n v="53873"/>
    <s v="EUROS"/>
    <m/>
    <n v="53873"/>
    <n v="0"/>
    <m/>
  </r>
  <r>
    <m/>
    <x v="1"/>
    <m/>
    <x v="3"/>
    <m/>
    <x v="46"/>
    <s v="L16_2086C"/>
    <m/>
    <s v="TRANSFERT GALENIQUE Campagne 4, conditionnement"/>
    <m/>
    <m/>
    <m/>
    <n v="18178"/>
    <s v="EUROS"/>
    <m/>
    <n v="18178"/>
    <n v="0"/>
    <m/>
  </r>
  <r>
    <s v="Clôturé"/>
    <x v="1"/>
    <m/>
    <x v="3"/>
    <m/>
    <x v="46"/>
    <s v="L16_2086C"/>
    <m/>
    <s v="Etudes de stabilités ICH Campagne 1 Conditionnement partiel pour stabilité"/>
    <m/>
    <s v="INV 10001366 "/>
    <d v="2017-02-27T00:00:00"/>
    <n v="3450"/>
    <s v="EUROS"/>
    <s v="OK"/>
    <n v="0"/>
    <n v="3450"/>
    <m/>
  </r>
  <r>
    <m/>
    <x v="1"/>
    <m/>
    <x v="3"/>
    <m/>
    <x v="46"/>
    <s v="L16_2086C"/>
    <m/>
    <s v="TRANSFERT 1312€/mois (durée 36 mois) MANAGEMENT"/>
    <m/>
    <m/>
    <m/>
    <n v="47232"/>
    <s v="EUROS"/>
    <n v="14432"/>
    <n v="32800"/>
    <n v="14432"/>
    <m/>
  </r>
  <r>
    <s v="Clôturé"/>
    <x v="1"/>
    <m/>
    <x v="3"/>
    <m/>
    <x v="46"/>
    <s v="L16_2086C"/>
    <m/>
    <s v="Etudes de stabilités ICH Campagne 1  T0"/>
    <m/>
    <m/>
    <m/>
    <n v="3526"/>
    <s v="EUROS"/>
    <s v="OK"/>
    <n v="0"/>
    <n v="3526"/>
    <m/>
  </r>
  <r>
    <m/>
    <x v="1"/>
    <m/>
    <x v="3"/>
    <m/>
    <x v="46"/>
    <s v="L16_2086C"/>
    <m/>
    <s v="Etudes de stabilités ICH Campagnes 2, 3 et 4  T0 campagne 3"/>
    <m/>
    <m/>
    <m/>
    <n v="984"/>
    <s v="EUROS"/>
    <m/>
    <n v="984"/>
    <n v="0"/>
    <m/>
  </r>
  <r>
    <m/>
    <x v="1"/>
    <m/>
    <x v="3"/>
    <m/>
    <x v="46"/>
    <s v="L16_2086C"/>
    <m/>
    <s v="Etudes de stabilités ICH Campagnes 2, 3 et 4  T0 campagne 4"/>
    <m/>
    <m/>
    <m/>
    <n v="984"/>
    <s v="EUROS"/>
    <m/>
    <n v="984"/>
    <n v="0"/>
    <m/>
  </r>
  <r>
    <s v="Clôturé"/>
    <x v="1"/>
    <m/>
    <x v="3"/>
    <m/>
    <x v="46"/>
    <s v="L16_2086C"/>
    <m/>
    <s v="Etudes de stabilités ICH Campagne 1 FA 26/03/2018  T12M"/>
    <m/>
    <m/>
    <d v="2019-03-26T00:00:00"/>
    <n v="3936"/>
    <s v="EUROS"/>
    <s v="OK"/>
    <n v="0"/>
    <n v="3936"/>
    <m/>
  </r>
  <r>
    <s v="Clôturé"/>
    <x v="1"/>
    <m/>
    <x v="3"/>
    <m/>
    <x v="46"/>
    <s v="L16_2086C"/>
    <m/>
    <s v="Etudes de stabilités ICH Campagnes 2, 3 et 4   T12M campagne 2"/>
    <m/>
    <m/>
    <m/>
    <n v="3444"/>
    <s v="EUROS"/>
    <s v="OK"/>
    <n v="0"/>
    <n v="3444"/>
    <m/>
  </r>
  <r>
    <m/>
    <x v="1"/>
    <m/>
    <x v="3"/>
    <m/>
    <x v="46"/>
    <s v="L16_2086C"/>
    <m/>
    <s v="Etudes de stabilités ICH Campagnes 2, 3 et 4   T12M campagne 3"/>
    <m/>
    <m/>
    <m/>
    <n v="3444"/>
    <s v="EUROS"/>
    <m/>
    <n v="3444"/>
    <n v="0"/>
    <m/>
  </r>
  <r>
    <m/>
    <x v="1"/>
    <m/>
    <x v="3"/>
    <m/>
    <x v="46"/>
    <s v="L16_2086C"/>
    <m/>
    <s v="Etudes de stabilités ICH Campagnes 2, 3 et 4   T12M campagne 4"/>
    <m/>
    <m/>
    <m/>
    <n v="3444"/>
    <s v="EUROS"/>
    <m/>
    <n v="3444"/>
    <n v="0"/>
    <m/>
  </r>
  <r>
    <s v="Clôturé"/>
    <x v="1"/>
    <m/>
    <x v="3"/>
    <m/>
    <x v="46"/>
    <s v="L16_2086C"/>
    <m/>
    <s v="Etudes de stabilités ICH Campagne 1 T18M"/>
    <m/>
    <s v="INV 10000266"/>
    <d v="2018-08-24T00:00:00"/>
    <n v="2460"/>
    <s v="EUROS"/>
    <s v="OK"/>
    <n v="0"/>
    <n v="2460"/>
    <m/>
  </r>
  <r>
    <s v="Clôturé"/>
    <x v="1"/>
    <m/>
    <x v="3"/>
    <m/>
    <x v="46"/>
    <s v="L16_2086C"/>
    <m/>
    <s v="Etudes de stabilités ICH Campagnes 2, 3 et 4  T18M campagne 2"/>
    <m/>
    <s v="INV10000625"/>
    <d v="2018-10-22T00:00:00"/>
    <n v="2460"/>
    <s v="EUROS"/>
    <s v="OK"/>
    <n v="0"/>
    <n v="2460"/>
    <m/>
  </r>
  <r>
    <m/>
    <x v="1"/>
    <m/>
    <x v="3"/>
    <m/>
    <x v="46"/>
    <s v="L16_2086C"/>
    <m/>
    <s v="Etudes de stabilités ICH Campagnes 2, 3 et 4   T18M campagne 3"/>
    <m/>
    <m/>
    <m/>
    <n v="2460"/>
    <s v="EUROS"/>
    <m/>
    <n v="2460"/>
    <n v="0"/>
    <m/>
  </r>
  <r>
    <m/>
    <x v="1"/>
    <m/>
    <x v="3"/>
    <m/>
    <x v="46"/>
    <s v="L16_2086C"/>
    <m/>
    <s v="Etudes de stabilités ICH Campagnes 2, 3 et 4   T18M campagne 4"/>
    <m/>
    <m/>
    <m/>
    <n v="2460"/>
    <s v="EUROS"/>
    <m/>
    <n v="2460"/>
    <n v="0"/>
    <m/>
  </r>
  <r>
    <s v="Clôturé"/>
    <x v="1"/>
    <m/>
    <x v="3"/>
    <m/>
    <x v="46"/>
    <s v="L16_2086C"/>
    <m/>
    <s v="Etudes de stabilités ICH Campagne 1 T24M"/>
    <m/>
    <s v="INV 10001449"/>
    <d v="2019-02-26T00:00:00"/>
    <n v="2788"/>
    <s v="EUROS"/>
    <s v="OK"/>
    <n v="0"/>
    <n v="2788"/>
    <m/>
  </r>
  <r>
    <s v="Clôturé"/>
    <x v="1"/>
    <m/>
    <x v="3"/>
    <m/>
    <x v="46"/>
    <s v="L16_2086C"/>
    <m/>
    <s v="Etudes de stabilités ICH Campagnes 2, 3 et 4  T24M campagne 2"/>
    <m/>
    <s v="INV 10001642"/>
    <d v="2019-03-28T00:00:00"/>
    <n v="2624"/>
    <s v="EUROS"/>
    <s v="OK"/>
    <n v="0"/>
    <n v="2624"/>
    <m/>
  </r>
  <r>
    <m/>
    <x v="1"/>
    <m/>
    <x v="3"/>
    <m/>
    <x v="46"/>
    <s v="L16_2086C"/>
    <m/>
    <s v="Etudes de stabilités ICH Campagnes 2, 3 et 4  T24M campagne 3"/>
    <m/>
    <m/>
    <m/>
    <n v="2624"/>
    <s v="EUROS"/>
    <m/>
    <n v="2624"/>
    <n v="0"/>
    <m/>
  </r>
  <r>
    <m/>
    <x v="1"/>
    <m/>
    <x v="3"/>
    <m/>
    <x v="46"/>
    <s v="L16_2086C"/>
    <m/>
    <s v="Etudes de stabilités ICH Campagnes 2, 3 et 4  T24M campagne 4"/>
    <m/>
    <m/>
    <m/>
    <n v="2624"/>
    <s v="EUROS"/>
    <m/>
    <n v="2624"/>
    <n v="0"/>
    <m/>
  </r>
  <r>
    <s v="Clôturé"/>
    <x v="1"/>
    <m/>
    <x v="3"/>
    <m/>
    <x v="46"/>
    <s v="L16_2086C"/>
    <m/>
    <s v="Etudes de stabilités ICH Campagne 1 T36M"/>
    <m/>
    <s v="INV 10001415"/>
    <d v="2020-02-26T00:00:00"/>
    <n v="2788"/>
    <s v="EUROS"/>
    <s v="OK"/>
    <n v="0"/>
    <n v="2788"/>
    <m/>
  </r>
  <r>
    <s v="Clôturé"/>
    <x v="1"/>
    <m/>
    <x v="3"/>
    <m/>
    <x v="46"/>
    <s v="L16_2086C"/>
    <m/>
    <s v="Etudes de stabilités ICH Campagnes 2, 3 et 4  T36M campagne 2"/>
    <m/>
    <s v="INV 10001818"/>
    <d v="2020-04-27T00:00:00"/>
    <n v="2624"/>
    <s v="EUROS"/>
    <s v="OK"/>
    <n v="0"/>
    <n v="2624"/>
    <m/>
  </r>
  <r>
    <m/>
    <x v="1"/>
    <m/>
    <x v="3"/>
    <m/>
    <x v="46"/>
    <s v="L16_2086C"/>
    <m/>
    <s v="Etudes de stabilités ICH Campagnes 2, 3 et 4  T36M campagne 3"/>
    <m/>
    <m/>
    <m/>
    <n v="2624"/>
    <s v="EUROS"/>
    <m/>
    <n v="2624"/>
    <n v="0"/>
    <m/>
  </r>
  <r>
    <m/>
    <x v="1"/>
    <m/>
    <x v="3"/>
    <m/>
    <x v="46"/>
    <s v="L16_2086C"/>
    <m/>
    <s v="Etudes de stabilités ICH Campagnes 2, 3 et 4  T36M campagne 4"/>
    <m/>
    <m/>
    <m/>
    <n v="2624"/>
    <s v="EUROS"/>
    <m/>
    <n v="2624"/>
    <n v="0"/>
    <m/>
  </r>
  <r>
    <s v="Clôturé"/>
    <x v="1"/>
    <m/>
    <x v="3"/>
    <m/>
    <x v="46"/>
    <s v="L16_2086C"/>
    <m/>
    <s v="Etudes de stabilités ICH Campagne 1 T6M"/>
    <m/>
    <m/>
    <m/>
    <n v="4428"/>
    <s v="EUROS"/>
    <s v="OK"/>
    <n v="0"/>
    <n v="4428"/>
    <m/>
  </r>
  <r>
    <s v="Clôturé"/>
    <x v="1"/>
    <m/>
    <x v="3"/>
    <m/>
    <x v="46"/>
    <s v="L16_2086C"/>
    <m/>
    <s v="Etudes de stabilités ICH Campagnes 2, 3 et 4  T6M campagne 2"/>
    <m/>
    <m/>
    <m/>
    <n v="3936"/>
    <s v="EUROS"/>
    <s v="OK"/>
    <n v="0"/>
    <n v="3936"/>
    <m/>
  </r>
  <r>
    <m/>
    <x v="1"/>
    <m/>
    <x v="3"/>
    <m/>
    <x v="46"/>
    <s v="L16_2086C"/>
    <m/>
    <s v="Etudes de stabilités ICH Campagnes 2, 3 et 4  T6M campagne 3"/>
    <m/>
    <m/>
    <m/>
    <n v="3936"/>
    <s v="EUROS"/>
    <m/>
    <n v="3936"/>
    <n v="0"/>
    <m/>
  </r>
  <r>
    <m/>
    <x v="1"/>
    <m/>
    <x v="3"/>
    <m/>
    <x v="46"/>
    <s v="L16_2086C"/>
    <m/>
    <s v="Etudes de stabilités ICH Campagnes 2, 3 et 4  T6M campagne 4"/>
    <m/>
    <m/>
    <m/>
    <n v="3936"/>
    <s v="EUROS"/>
    <m/>
    <n v="3936"/>
    <n v="0"/>
    <m/>
  </r>
  <r>
    <s v="Clôturé"/>
    <x v="1"/>
    <m/>
    <x v="3"/>
    <m/>
    <x v="46"/>
    <s v="L16_2086C"/>
    <m/>
    <s v="Etudes de stabilités ICH Campagne 1 T9M"/>
    <m/>
    <m/>
    <m/>
    <n v="3280"/>
    <s v="EUROS"/>
    <s v="OK"/>
    <n v="0"/>
    <n v="3280"/>
    <m/>
  </r>
  <r>
    <s v="Clôturé"/>
    <x v="1"/>
    <m/>
    <x v="3"/>
    <m/>
    <x v="46"/>
    <s v="L16_2086C"/>
    <m/>
    <s v="Etudes de stabilités ICH Campagnes 2, 3 et 4  T9M campagne 2"/>
    <m/>
    <m/>
    <m/>
    <n v="3116"/>
    <s v="EUROS"/>
    <s v="OK"/>
    <n v="0"/>
    <n v="3116"/>
    <m/>
  </r>
  <r>
    <m/>
    <x v="1"/>
    <m/>
    <x v="3"/>
    <m/>
    <x v="46"/>
    <s v="L16_2086C"/>
    <m/>
    <s v="Etudes de stabilités ICH Campagnes 2, 3 et 4  T9M campagne 3"/>
    <m/>
    <m/>
    <m/>
    <n v="3116"/>
    <s v="EUROS"/>
    <m/>
    <n v="3116"/>
    <n v="0"/>
    <m/>
  </r>
  <r>
    <m/>
    <x v="1"/>
    <m/>
    <x v="3"/>
    <m/>
    <x v="46"/>
    <s v="L16_2086C"/>
    <m/>
    <s v="Etudes de stabilités ICH Campagnes 2, 3 et 4  T9M campagne 4"/>
    <m/>
    <m/>
    <m/>
    <n v="3116"/>
    <s v="EUROS"/>
    <m/>
    <n v="3116"/>
    <n v="0"/>
    <m/>
  </r>
  <r>
    <s v="Clôturé"/>
    <x v="1"/>
    <m/>
    <x v="3"/>
    <m/>
    <x v="46"/>
    <s v="L16_2086C"/>
    <m/>
    <s v="TRANSFERT ANA Transfer T mé Thodes analy Tiques (3 mé Thodes) "/>
    <m/>
    <m/>
    <m/>
    <n v="14120"/>
    <s v="EUROS"/>
    <s v="OK"/>
    <n v="0"/>
    <n v="14120"/>
    <m/>
  </r>
  <r>
    <s v="Clôturé"/>
    <x v="1"/>
    <m/>
    <x v="3"/>
    <m/>
    <x v="46"/>
    <s v="L16_2086C"/>
    <m/>
    <s v="TRANSFERT ANA Transfer T mé Thodes analy Tiques (3 mé Thodes+ Ud T)"/>
    <m/>
    <m/>
    <m/>
    <n v="16678"/>
    <s v="EUROS"/>
    <s v="OK"/>
    <n v="0"/>
    <n v="16678"/>
    <m/>
  </r>
  <r>
    <s v="Clôturé"/>
    <x v="1"/>
    <m/>
    <x v="3"/>
    <m/>
    <x v="46"/>
    <s v="L16_2086C"/>
    <m/>
    <s v="TRANSFERT ANA Transfer T mé Thodes analy Tiques (mé Thode CPG)"/>
    <m/>
    <m/>
    <m/>
    <n v="5930"/>
    <s v="EUROS"/>
    <s v="OK"/>
    <n v="0"/>
    <n v="5930"/>
    <m/>
  </r>
  <r>
    <s v="Clôturé"/>
    <x v="1"/>
    <m/>
    <x v="3"/>
    <m/>
    <x v="46"/>
    <s v="L16_2086C"/>
    <m/>
    <s v="TRANSFERT ANA Validation de nettoyage "/>
    <m/>
    <m/>
    <m/>
    <n v="4100"/>
    <s v="EUROS"/>
    <s v="OK"/>
    <n v="0"/>
    <n v="4100"/>
    <m/>
  </r>
  <r>
    <s v="Clôturé"/>
    <x v="1"/>
    <m/>
    <x v="3"/>
    <m/>
    <x v="46"/>
    <s v="L16_2086C P00059 de 2018"/>
    <m/>
    <s v="TRANSFERT GALENIQUE  (75%) CAMPAGNE 3 LOTS CLINIQUES"/>
    <m/>
    <s v="Fact 10001523 + Fact 1000112"/>
    <s v="du 27/03/2018 (25%) +  du 31/07/2018"/>
    <n v="53873"/>
    <s v="EUROS"/>
    <n v="53873"/>
    <n v="0"/>
    <n v="53873"/>
    <m/>
  </r>
  <r>
    <s v="Clôturé"/>
    <x v="1"/>
    <m/>
    <x v="3"/>
    <m/>
    <x v="46"/>
    <s v="L16_2086D"/>
    <m/>
    <s v="TRANSFERT GALENIQUE Campagne 2, conditionnement"/>
    <m/>
    <m/>
    <m/>
    <n v="18178"/>
    <s v="EUROS"/>
    <s v="OK"/>
    <n v="0"/>
    <n v="18178"/>
    <m/>
  </r>
  <r>
    <s v="Clôturé"/>
    <x v="1"/>
    <m/>
    <x v="3"/>
    <m/>
    <x v="46"/>
    <s v="L16_2086D"/>
    <m/>
    <s v="Etudes de stabilités ICH Campagnes 2, 3 et 4  T0 campagne 2"/>
    <m/>
    <s v="INV 10001609"/>
    <d v="2017-03-30T00:00:00"/>
    <n v="984"/>
    <s v="EUROS"/>
    <s v="OK"/>
    <n v="0"/>
    <n v="984"/>
    <m/>
  </r>
  <r>
    <s v="Clôturé"/>
    <x v="1"/>
    <m/>
    <x v="3"/>
    <m/>
    <x v="46"/>
    <s v="L16_2086D"/>
    <m/>
    <s v="Etudes de stabilités ICH Campagne 1 T3M"/>
    <m/>
    <m/>
    <m/>
    <n v="4100"/>
    <s v="EUROS"/>
    <s v="OK"/>
    <n v="0"/>
    <n v="4100"/>
    <m/>
  </r>
  <r>
    <s v="Clôturé"/>
    <x v="1"/>
    <m/>
    <x v="3"/>
    <m/>
    <x v="46"/>
    <s v="L16_2086D"/>
    <m/>
    <s v="Etudes de stabilités ICH Campagnes 2, 3 et 4  T3M campagne 2"/>
    <m/>
    <m/>
    <m/>
    <n v="3772"/>
    <s v="EUROS"/>
    <s v="OK"/>
    <n v="0"/>
    <n v="3772"/>
    <m/>
  </r>
  <r>
    <m/>
    <x v="1"/>
    <m/>
    <x v="3"/>
    <m/>
    <x v="46"/>
    <s v="L16_2086D"/>
    <m/>
    <s v="Etudes de stabilités ICH Campagnes 2, 3 et 4  T3M campagne 3"/>
    <m/>
    <m/>
    <m/>
    <n v="3772"/>
    <s v="EUROS"/>
    <m/>
    <n v="3772"/>
    <n v="0"/>
    <m/>
  </r>
  <r>
    <m/>
    <x v="1"/>
    <m/>
    <x v="3"/>
    <m/>
    <x v="46"/>
    <s v="L16_2086D"/>
    <m/>
    <s v="Etudes de stabilités ICH Campagnes 2, 3 et 4  T3M campagne 4"/>
    <m/>
    <m/>
    <m/>
    <n v="3772"/>
    <s v="EUROS"/>
    <m/>
    <n v="3772"/>
    <n v="0"/>
    <m/>
  </r>
  <r>
    <s v="Clôturé"/>
    <x v="1"/>
    <m/>
    <x v="3"/>
    <m/>
    <x v="46"/>
    <s v="L16_2086E"/>
    <m/>
    <s v="Etudes de stabilités ICH Campagne 1 T48M"/>
    <m/>
    <m/>
    <m/>
    <n v="2788"/>
    <s v="EUROS"/>
    <n v="4182"/>
    <n v="0"/>
    <n v="4182"/>
    <m/>
  </r>
  <r>
    <s v="Clôturé"/>
    <x v="1"/>
    <m/>
    <x v="3"/>
    <m/>
    <x v="46"/>
    <s v="L16_2086E"/>
    <m/>
    <s v="Etudes de stabilités ICH Campagnes 2, 3 et 4  T48M campagne 2"/>
    <m/>
    <m/>
    <m/>
    <n v="0"/>
    <s v="EUROS"/>
    <m/>
    <n v="0"/>
    <n v="0"/>
    <m/>
  </r>
  <r>
    <m/>
    <x v="1"/>
    <m/>
    <x v="3"/>
    <m/>
    <x v="46"/>
    <s v="L16_2086E"/>
    <m/>
    <s v="Etudes de stabilités ICH Campagnes 2, 3 et 4  T48M campagne 3"/>
    <m/>
    <m/>
    <m/>
    <n v="2624"/>
    <s v="EUROS"/>
    <m/>
    <n v="2624"/>
    <n v="0"/>
    <m/>
  </r>
  <r>
    <m/>
    <x v="1"/>
    <m/>
    <x v="3"/>
    <m/>
    <x v="46"/>
    <s v="L16_2086E"/>
    <m/>
    <s v="Etudes de stabilités ICH Campagnes 2, 3 et 4  T30M campagne 4"/>
    <m/>
    <m/>
    <m/>
    <n v="2624"/>
    <s v="EUROS"/>
    <m/>
    <n v="2624"/>
    <n v="0"/>
    <m/>
  </r>
  <r>
    <s v="Clôturé"/>
    <x v="1"/>
    <m/>
    <x v="3"/>
    <m/>
    <x v="46"/>
    <s v="L16_2086F"/>
    <m/>
    <s v="Etudes de stabilités ICH Campagnes 2, 3 et 4  T48M campagne 2"/>
    <m/>
    <s v="INV 10001512"/>
    <d v="2021-04-06T00:00:00"/>
    <n v="2624"/>
    <s v="EUROS"/>
    <s v="OK"/>
    <n v="0"/>
    <n v="2624"/>
    <m/>
  </r>
  <r>
    <m/>
    <x v="1"/>
    <m/>
    <x v="3"/>
    <m/>
    <x v="46"/>
    <s v="L16_2086F"/>
    <m/>
    <s v="Etudes de stabilités ICH Campagnes 2, 3 et 4  T48M campagne 3"/>
    <m/>
    <m/>
    <m/>
    <n v="2624"/>
    <s v="EUROS"/>
    <m/>
    <n v="2624"/>
    <n v="0"/>
    <m/>
  </r>
  <r>
    <m/>
    <x v="1"/>
    <m/>
    <x v="3"/>
    <m/>
    <x v="46"/>
    <s v="L16_2086F"/>
    <m/>
    <s v="Etudes de stabilités ICH Campagnes 2, 3 et 4  T48M campagne 4"/>
    <m/>
    <m/>
    <m/>
    <n v="2624"/>
    <s v="EUROS"/>
    <m/>
    <n v="2624"/>
    <n v="0"/>
    <m/>
  </r>
  <r>
    <s v="Clôturé"/>
    <x v="1"/>
    <m/>
    <x v="3"/>
    <m/>
    <x v="46"/>
    <s v="L16_2086F + Mail du 20/03/2019"/>
    <m/>
    <s v=" Etudes de stabilités ICH Campagne 1  T30M"/>
    <m/>
    <s v="INV 10000125"/>
    <d v="2019-07-29T00:00:00"/>
    <n v="4182"/>
    <s v="EUROS"/>
    <s v="OK"/>
    <n v="0"/>
    <n v="4182"/>
    <m/>
  </r>
  <r>
    <s v="Clôturé"/>
    <x v="1"/>
    <m/>
    <x v="3"/>
    <m/>
    <x v="46"/>
    <s v="L16_2086F + Mail du 20/03/2019"/>
    <m/>
    <s v=" Etudes de stabilités ICH Campagne 2 T30M"/>
    <m/>
    <s v="INV 10000613"/>
    <d v="2019-10-14T00:00:00"/>
    <n v="2624"/>
    <s v="EUROS"/>
    <s v="OK"/>
    <n v="0"/>
    <n v="2624"/>
    <m/>
  </r>
  <r>
    <s v="Clôturé"/>
    <x v="1"/>
    <m/>
    <x v="3"/>
    <m/>
    <x v="46"/>
    <s v="L16_2086G"/>
    <m/>
    <s v="Etudes de stabilités ICH Campagne 1 T42M"/>
    <m/>
    <s v="INV 10000390"/>
    <d v="2020-09-21T00:00:00"/>
    <n v="2788"/>
    <s v="EUROS"/>
    <s v="OK"/>
    <n v="0"/>
    <n v="2788"/>
    <m/>
  </r>
  <r>
    <s v="Clôturé"/>
    <x v="1"/>
    <m/>
    <x v="3"/>
    <m/>
    <x v="46"/>
    <s v="L16_2086G"/>
    <m/>
    <s v="Etudes de stabilités ICH Campagne 1 T60M"/>
    <m/>
    <s v="INV 10000888"/>
    <d v="2022-02-24T00:00:00"/>
    <n v="2788"/>
    <s v="EUROS"/>
    <s v="OK"/>
    <n v="0"/>
    <n v="2788"/>
    <m/>
  </r>
  <r>
    <s v="Clôturé"/>
    <x v="1"/>
    <m/>
    <x v="3"/>
    <m/>
    <x v="46"/>
    <s v="L16_2086G"/>
    <m/>
    <s v="Etudes de stabilités ICH Campagnes 2, 3 et 4  T60M campagne 2"/>
    <m/>
    <s v="INV 10001108"/>
    <d v="2022-03-31T00:00:00"/>
    <n v="2624"/>
    <s v="EUROS"/>
    <s v="OK"/>
    <n v="0"/>
    <n v="2624"/>
    <m/>
  </r>
  <r>
    <m/>
    <x v="1"/>
    <m/>
    <x v="3"/>
    <m/>
    <x v="46"/>
    <s v="L16_2086G"/>
    <m/>
    <s v="Etudes de stabilités ICH Campagnes 2, 3 et 4  T60M campagne 3"/>
    <m/>
    <m/>
    <m/>
    <n v="2624"/>
    <s v="EUROS"/>
    <m/>
    <n v="2624"/>
    <n v="0"/>
    <m/>
  </r>
  <r>
    <m/>
    <x v="1"/>
    <m/>
    <x v="3"/>
    <m/>
    <x v="46"/>
    <s v="L16_2086G"/>
    <m/>
    <s v="Etudes de stabilités ICH Campagnes 2, 3 et 4  T60M campagne 4"/>
    <m/>
    <m/>
    <m/>
    <n v="2624"/>
    <s v="EUROS"/>
    <m/>
    <n v="2624"/>
    <n v="0"/>
    <m/>
  </r>
  <r>
    <s v="Clôturé"/>
    <x v="1"/>
    <m/>
    <x v="3"/>
    <m/>
    <x v="47"/>
    <s v="L18_2706E - Pas de PO"/>
    <m/>
    <s v="Eutude de stabilité ICH (2 lots) - T42M"/>
    <m/>
    <s v="INV 1000447"/>
    <d v="2022-10-21T00:00:00"/>
    <n v="2728"/>
    <s v="EUROS"/>
    <n v="2728"/>
    <n v="0"/>
    <n v="2728"/>
    <m/>
  </r>
  <r>
    <m/>
    <x v="1"/>
    <m/>
    <x v="3"/>
    <m/>
    <x v="47"/>
    <s v="L18_2706E - Pas de PO"/>
    <m/>
    <s v="Eutude de stabilité ICH (2 lots) - T60M"/>
    <m/>
    <m/>
    <m/>
    <n v="2678"/>
    <s v="EUROS"/>
    <m/>
    <n v="2678"/>
    <n v="0"/>
    <m/>
  </r>
  <r>
    <s v="Clôturé"/>
    <x v="1"/>
    <m/>
    <x v="3"/>
    <m/>
    <x v="47"/>
    <s v="L18_2744A P00146 (Docushare)"/>
    <m/>
    <s v="Destruction de cellulose"/>
    <m/>
    <m/>
    <s v="INV 10001163 (21/12/2018)"/>
    <n v="4544.6000000000004"/>
    <s v="EUROS"/>
    <s v="OK"/>
    <n v="0"/>
    <n v="4544.6000000000004"/>
    <m/>
  </r>
  <r>
    <s v="Clôturé"/>
    <x v="1"/>
    <m/>
    <x v="3"/>
    <m/>
    <x v="47"/>
    <s v="L19_2871B - P00313_2019"/>
    <s v="P00313_2019"/>
    <s v="Prestation analytique - 25%"/>
    <m/>
    <s v="INV 100021296"/>
    <d v="2019-06-25T00:00:00"/>
    <n v="658.25"/>
    <s v="EUROS"/>
    <s v="OK"/>
    <n v="0"/>
    <n v="658.25"/>
    <m/>
  </r>
  <r>
    <s v="Clôturé"/>
    <x v="1"/>
    <m/>
    <x v="3"/>
    <m/>
    <x v="47"/>
    <s v="L19_2871B - P00313_2019"/>
    <s v="P00313_2019"/>
    <s v="Prestation analytique - 75%"/>
    <m/>
    <s v="INV 10000165"/>
    <d v="2019-07-31T00:00:00"/>
    <n v="1974.75"/>
    <s v="EUROS"/>
    <s v="OK"/>
    <n v="0"/>
    <n v="1974.75"/>
    <m/>
  </r>
  <r>
    <s v="Clôturé"/>
    <x v="1"/>
    <m/>
    <x v="3"/>
    <m/>
    <x v="47"/>
    <s v="L19_2871B - P00313_2019"/>
    <s v="P00313_2019"/>
    <s v="Prestation de fabrication &amp; Conditionnement (Packaging) - 25%"/>
    <m/>
    <s v="INV 10001950"/>
    <d v="2019-05-28T00:00:00"/>
    <n v="4303.25"/>
    <s v="EUROS"/>
    <s v="OK"/>
    <n v="0"/>
    <n v="4303.25"/>
    <m/>
  </r>
  <r>
    <s v="Clôturé"/>
    <x v="1"/>
    <m/>
    <x v="3"/>
    <m/>
    <x v="47"/>
    <s v="L19_2871B - P00313_2019"/>
    <s v="P00313_2019"/>
    <s v="Prestation de fabrication &amp; Conditionnement (Packaging) - 75%"/>
    <m/>
    <s v="INV 10000231"/>
    <d v="2019-08-13T00:00:00"/>
    <n v="12909.75"/>
    <s v="EUROS"/>
    <s v="OK"/>
    <n v="0"/>
    <n v="12909.75"/>
    <m/>
  </r>
  <r>
    <s v="Clôturé"/>
    <x v="1"/>
    <m/>
    <x v="3"/>
    <m/>
    <x v="47"/>
    <s v="L19_2871B - P00313_2019"/>
    <s v="P00313_2019"/>
    <s v="Etude de Stabilité ICH lot clinique 80591 - T0"/>
    <m/>
    <s v="INV 1000498"/>
    <d v="2019-09-30T00:00:00"/>
    <n v="1275"/>
    <s v="EUROS"/>
    <s v="OK"/>
    <n v="0"/>
    <n v="1275"/>
    <m/>
  </r>
  <r>
    <s v="Clôturé"/>
    <x v="1"/>
    <m/>
    <x v="3"/>
    <m/>
    <x v="47"/>
    <s v="L19_2871B - P00313_2019"/>
    <s v="P00313_2019"/>
    <s v="Etude de Stabilité ICH lot clinique 80591 - T3M"/>
    <m/>
    <s v="INV 10001072"/>
    <d v="2019-12-19T00:00:00"/>
    <n v="4313"/>
    <s v="EUROS"/>
    <s v="OK"/>
    <n v="0"/>
    <n v="4313"/>
    <m/>
  </r>
  <r>
    <s v="Clôturé"/>
    <x v="1"/>
    <m/>
    <x v="3"/>
    <m/>
    <x v="47"/>
    <s v="L19_2871B - P00313_2019"/>
    <s v="P00313_2019"/>
    <s v="Etude de Stabilité ICH lot clinique 80591 - T6M"/>
    <m/>
    <s v="INV 10001447"/>
    <d v="2020-02-28T00:00:00"/>
    <n v="4538"/>
    <s v="EUROS"/>
    <s v="OK"/>
    <n v="0"/>
    <n v="4538"/>
    <m/>
  </r>
  <r>
    <s v="Clôturé"/>
    <x v="1"/>
    <m/>
    <x v="3"/>
    <m/>
    <x v="47"/>
    <s v="L19_2871B - P00313_2019"/>
    <s v="P00313_2019"/>
    <s v="Etude de Stabilité ICH lot clinique 80591 - T9M"/>
    <m/>
    <s v="INV 10002183"/>
    <s v="26/06/2020 RECU le 01/12/2020"/>
    <n v="3408"/>
    <s v="EUROS"/>
    <s v="OK"/>
    <n v="0"/>
    <n v="3408"/>
    <m/>
  </r>
  <r>
    <s v="Clôturé"/>
    <x v="1"/>
    <m/>
    <x v="3"/>
    <m/>
    <x v="47"/>
    <s v="L19_2871B - P00313_2019"/>
    <s v="P00313_2019"/>
    <s v="Etude de Stabilité ICH lot clinique 80591 - T12M"/>
    <m/>
    <s v="INV 10000472"/>
    <d v="2020-09-29T00:00:00"/>
    <n v="3858"/>
    <s v="EUROS"/>
    <s v="OK"/>
    <n v="0"/>
    <n v="3858"/>
    <m/>
  </r>
  <r>
    <s v="Clôturé"/>
    <x v="1"/>
    <m/>
    <x v="3"/>
    <m/>
    <x v="47"/>
    <s v="L19_2871B - P00313_2019"/>
    <s v="P00313_2019"/>
    <s v="Etude de Stabilité ICH lot clinique 80591 - T18M"/>
    <m/>
    <s v="INV 10000524 - AV13000060 + INV 10001394"/>
    <s v="30/09/2020 - 30/09/2020 + 18/03/2021"/>
    <n v="2503"/>
    <s v="EUROS"/>
    <s v="OK"/>
    <n v="0"/>
    <n v="2503"/>
    <m/>
  </r>
  <r>
    <s v="Clôturé"/>
    <x v="1"/>
    <m/>
    <x v="3"/>
    <m/>
    <x v="47"/>
    <s v="L19_2871B - P00313_2019"/>
    <s v="P00313_2019"/>
    <s v="Etude de Stabilité ICH lot clinique 80591 - T24M"/>
    <m/>
    <s v="INV 10000159"/>
    <d v="2021-08-31T00:00:00"/>
    <n v="2728"/>
    <s v="EUROS"/>
    <s v="OK"/>
    <n v="0"/>
    <n v="2728"/>
    <m/>
  </r>
  <r>
    <s v="Clôturé"/>
    <x v="1"/>
    <m/>
    <x v="3"/>
    <m/>
    <x v="47"/>
    <s v="L19_2871B - P00313_2019"/>
    <s v="P00313_2019"/>
    <s v="Etude de Stabilité ICH lot clinique 80591 - T48M"/>
    <m/>
    <s v="INV 10000350"/>
    <d v="2023-09-29T00:00:00"/>
    <n v="2628"/>
    <s v="EUROS"/>
    <s v="OK"/>
    <n v="0"/>
    <n v="2628"/>
    <m/>
  </r>
  <r>
    <m/>
    <x v="1"/>
    <m/>
    <x v="3"/>
    <m/>
    <x v="47"/>
    <s v="L19_2871B - P00313_2019"/>
    <s v="P00313_2019"/>
    <s v="Management de Projet pour ? mois - 1 mois = 820"/>
    <d v="2019-12-31T00:00:00"/>
    <s v="INV 10001950 + INV 10000165"/>
    <s v="28/05/2019 + 31/07/2019"/>
    <n v="4920"/>
    <s v="EUROS"/>
    <n v="1640"/>
    <n v="3280"/>
    <n v="1640"/>
    <m/>
  </r>
  <r>
    <s v="Clôturé"/>
    <x v="1"/>
    <m/>
    <x v="3"/>
    <m/>
    <x v="47"/>
    <s v="L19_2871D"/>
    <m/>
    <s v="Etude de Stabilité ICH lot clinique 80591 - T30M"/>
    <m/>
    <s v="INV 10000887"/>
    <d v="2022-02-24T00:00:00"/>
    <n v="2728"/>
    <s v="EUROS"/>
    <s v="OK"/>
    <n v="0"/>
    <n v="2728"/>
    <m/>
  </r>
  <r>
    <s v="Clôturé"/>
    <x v="1"/>
    <m/>
    <x v="3"/>
    <m/>
    <x v="47"/>
    <s v="L19_2871D"/>
    <m/>
    <s v="Etude de Stabilité ICH lot clinique 80591 - T60M"/>
    <m/>
    <s v="INV 10000292"/>
    <d v="2024-09-30T00:00:00"/>
    <n v="2728"/>
    <s v="EUROS"/>
    <n v="2678"/>
    <n v="50"/>
    <n v="2678"/>
    <m/>
  </r>
  <r>
    <s v="Clôturé"/>
    <x v="1"/>
    <m/>
    <x v="3"/>
    <m/>
    <x v="47"/>
    <s v="L19_2871D - P00313_2019"/>
    <s v="P00313_2019"/>
    <s v="Etude de Stabilité ICH lot clinique 80591 - T36M"/>
    <m/>
    <s v="INV 10000276"/>
    <d v="2022-09-21T00:00:00"/>
    <n v="2728"/>
    <s v="EUROS"/>
    <s v="OK"/>
    <n v="0"/>
    <n v="2728"/>
    <m/>
  </r>
  <r>
    <m/>
    <x v="1"/>
    <m/>
    <x v="3"/>
    <m/>
    <x v="47"/>
    <s v="L20 3127A - P00691_2020 - CAPS"/>
    <s v="2020 - CAPS"/>
    <s v="Production lot QbD phase 3 et reglementaires - Facbrication &amp; Conditionnement Campagne1"/>
    <m/>
    <m/>
    <m/>
    <n v="9139.5"/>
    <s v="EUROS"/>
    <m/>
    <n v="9139.5"/>
    <n v="0"/>
    <m/>
  </r>
  <r>
    <m/>
    <x v="1"/>
    <m/>
    <x v="3"/>
    <m/>
    <x v="47"/>
    <s v="L20 3127A - P00691_2020 - CAPS"/>
    <s v="2020 - CAPS"/>
    <s v="Production lot QbD phase 3 et reglementaires - Facbrication &amp; Conditionnement Campagne 1"/>
    <m/>
    <m/>
    <m/>
    <n v="27418.5"/>
    <s v="EUROS"/>
    <m/>
    <n v="27418.5"/>
    <n v="0"/>
    <m/>
  </r>
  <r>
    <m/>
    <x v="1"/>
    <m/>
    <x v="3"/>
    <m/>
    <x v="47"/>
    <s v="L20 3127A - P00691_2020 - CAPS"/>
    <s v="2020 - CAPS"/>
    <s v="Production lot QbD phase 3 et reglementaires - Facbrication &amp; Conditionnement Campagne2"/>
    <m/>
    <m/>
    <m/>
    <n v="18205.5"/>
    <s v="EUROS"/>
    <m/>
    <n v="18205.5"/>
    <n v="0"/>
    <m/>
  </r>
  <r>
    <m/>
    <x v="1"/>
    <m/>
    <x v="3"/>
    <m/>
    <x v="47"/>
    <s v="L20 3127A - P00691_2020 - CAPS"/>
    <s v="2020 - CAPS"/>
    <s v="Production lot QbD phase 3 et reglementaires - Facbrication &amp; Conditionnement Campagne2"/>
    <m/>
    <m/>
    <m/>
    <n v="54616.5"/>
    <s v="EUROS"/>
    <m/>
    <n v="54616.5"/>
    <n v="0"/>
    <m/>
  </r>
  <r>
    <m/>
    <x v="1"/>
    <m/>
    <x v="3"/>
    <m/>
    <x v="47"/>
    <s v="L20 3127A - P00691_2020 - CAPS"/>
    <s v="2020 - CAPS"/>
    <s v="Production lot QbD phase 3 et reglementaires - Stabilité ICH 5 ans Lot 1 T0"/>
    <d v="2020-08-01T00:00:00"/>
    <m/>
    <m/>
    <n v="1275"/>
    <s v="EUROS"/>
    <m/>
    <n v="1275"/>
    <n v="0"/>
    <m/>
  </r>
  <r>
    <m/>
    <x v="1"/>
    <m/>
    <x v="3"/>
    <m/>
    <x v="47"/>
    <s v="L20 3127A - P00691_2020 - CAPS"/>
    <s v="2020 - CAPS"/>
    <s v="Production lot QbD phase 3 et reglementaires - Stabilité ICH 5 ans Lot 1 T3M"/>
    <d v="2020-11-01T00:00:00"/>
    <m/>
    <m/>
    <n v="4313"/>
    <s v="EUROS"/>
    <m/>
    <n v="4313"/>
    <n v="0"/>
    <m/>
  </r>
  <r>
    <m/>
    <x v="1"/>
    <m/>
    <x v="3"/>
    <m/>
    <x v="47"/>
    <s v="L20 3127A - P00691_2020 - CAPS"/>
    <s v="2020 - CAPS"/>
    <s v="Production lot QbD phase 3 et reglementaires - Stabilité ICH 5 ans Lot 1 T6M"/>
    <d v="2021-02-01T00:00:00"/>
    <m/>
    <m/>
    <n v="4538"/>
    <s v="EUROS"/>
    <m/>
    <n v="4538"/>
    <n v="0"/>
    <m/>
  </r>
  <r>
    <m/>
    <x v="1"/>
    <m/>
    <x v="3"/>
    <m/>
    <x v="47"/>
    <s v="L20 3127A - P00691_2020 - CAPS"/>
    <s v="2020 - CAPS"/>
    <s v="Production lot QbD phase 3 et reglementaires - Stabilité ICH 5 ans Lot 1 T9M"/>
    <d v="2021-05-01T00:00:00"/>
    <m/>
    <m/>
    <n v="3408"/>
    <s v="EUROS"/>
    <m/>
    <n v="3408"/>
    <n v="0"/>
    <m/>
  </r>
  <r>
    <m/>
    <x v="1"/>
    <m/>
    <x v="3"/>
    <m/>
    <x v="47"/>
    <s v="L20 3127A - P00691_2020 - CAPS"/>
    <s v="2020 - CAPS"/>
    <s v="Production lot QbD phase 3 et reglementaires - Stabilité ICH 5 ans Lot 1 T12M"/>
    <d v="2021-08-01T00:00:00"/>
    <m/>
    <m/>
    <n v="3858"/>
    <s v="EUROS"/>
    <m/>
    <n v="3858"/>
    <n v="0"/>
    <m/>
  </r>
  <r>
    <m/>
    <x v="1"/>
    <m/>
    <x v="3"/>
    <m/>
    <x v="47"/>
    <s v="L20 3127A - P00691_2020 - CAPS"/>
    <s v="2020 - CAPS"/>
    <s v="Production lot QbD phase 3 et reglementaires - Stabilité ICH 5 ans Lot 1 T18M"/>
    <d v="2022-02-01T00:00:00"/>
    <m/>
    <m/>
    <n v="2503"/>
    <s v="EUROS"/>
    <m/>
    <n v="2503"/>
    <n v="0"/>
    <m/>
  </r>
  <r>
    <m/>
    <x v="1"/>
    <m/>
    <x v="3"/>
    <m/>
    <x v="47"/>
    <s v="L20 3127A - P00691_2020 - CAPS"/>
    <s v="2020 - CAPS"/>
    <s v="Production lot QbD phase 3 et reglementaires - Stabilité ICH 5 ans Lot 1 T24M"/>
    <d v="2022-08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30M"/>
    <d v="2023-02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36M"/>
    <d v="2023-08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48M"/>
    <d v="2024-08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60M"/>
    <d v="2025-08-01T00:00:00"/>
    <m/>
    <m/>
    <n v="2678"/>
    <s v="EUROS"/>
    <m/>
    <n v="2678"/>
    <n v="0"/>
    <m/>
  </r>
  <r>
    <m/>
    <x v="1"/>
    <m/>
    <x v="3"/>
    <m/>
    <x v="47"/>
    <s v="L20 3127A - P00691_2020 - CAPS"/>
    <s v="2020 - CAPS"/>
    <s v="Production lot QbD phase 3 et reglementaires - Stabilité ICH 5 ans Lot 2 &amp; 3 T0"/>
    <d v="2020-08-01T00:00:00"/>
    <m/>
    <m/>
    <n v="1650"/>
    <s v="EUROS"/>
    <m/>
    <n v="1650"/>
    <n v="0"/>
    <m/>
  </r>
  <r>
    <m/>
    <x v="1"/>
    <m/>
    <x v="3"/>
    <m/>
    <x v="47"/>
    <s v="L20 3127A - P00691_2020 - CAPS"/>
    <s v="2020 - CAPS"/>
    <s v="Production lot QbD phase 3 et reglementaires - Stabilité ICH 5 ans Lot 2 &amp; 3 T3M"/>
    <d v="2020-11-01T00:00:00"/>
    <m/>
    <m/>
    <n v="7028"/>
    <s v="EUROS"/>
    <m/>
    <n v="7028"/>
    <n v="0"/>
    <m/>
  </r>
  <r>
    <m/>
    <x v="1"/>
    <m/>
    <x v="3"/>
    <m/>
    <x v="47"/>
    <s v="L20 3127A - P00691_2020 - CAPS"/>
    <s v="2020 - CAPS"/>
    <s v="Production lot QbD phase 3 et reglementaires - Stabilité ICH 5 ans Lot 2 &amp; 3 T6M"/>
    <d v="2021-02-01T00:00:00"/>
    <m/>
    <m/>
    <n v="7478"/>
    <s v="EUROS"/>
    <m/>
    <n v="7478"/>
    <n v="0"/>
    <m/>
  </r>
  <r>
    <m/>
    <x v="1"/>
    <m/>
    <x v="3"/>
    <m/>
    <x v="47"/>
    <s v="L20 3127A - P00691_2020 - CAPS"/>
    <s v="2020 - CAPS"/>
    <s v="Production lot QbD phase 3 et reglementaires - Stabilité ICH 5 ans Lot 2 &amp; 3 T9M"/>
    <d v="2021-05-01T00:00:00"/>
    <m/>
    <m/>
    <n v="5218"/>
    <s v="EUROS"/>
    <m/>
    <n v="5218"/>
    <n v="0"/>
    <m/>
  </r>
  <r>
    <m/>
    <x v="1"/>
    <m/>
    <x v="3"/>
    <m/>
    <x v="47"/>
    <s v="L20 3127A - P00691_2020 - CAPS"/>
    <s v="2020 - CAPS"/>
    <s v="Production lot QbD phase 3 et reglementaires - Stabilité ICH 5 ans Lot 2 &amp; 3 T12M"/>
    <d v="2021-08-01T00:00:00"/>
    <m/>
    <m/>
    <n v="6118"/>
    <s v="EUROS"/>
    <m/>
    <n v="6118"/>
    <n v="0"/>
    <m/>
  </r>
  <r>
    <m/>
    <x v="1"/>
    <m/>
    <x v="3"/>
    <m/>
    <x v="47"/>
    <s v="L20 3127A - P00691_2020 - CAPS"/>
    <s v="2020 - CAPS"/>
    <s v="Production lot QbD phase 3 et reglementaires - Stabilité ICH 5 ans Lot 2 &amp; 3 T18M"/>
    <d v="2022-02-01T00:00:00"/>
    <m/>
    <m/>
    <n v="3408"/>
    <s v="EUROS"/>
    <m/>
    <n v="3408"/>
    <n v="0"/>
    <m/>
  </r>
  <r>
    <m/>
    <x v="1"/>
    <m/>
    <x v="3"/>
    <m/>
    <x v="47"/>
    <s v="L20 3127A - P00691_2020 - CAPS"/>
    <s v="2020 - CAPS"/>
    <s v="Production lot QbD phase 3 et reglementaires - Stabilité ICH 5 ans Lot 2 &amp; 3 T24M"/>
    <d v="2022-08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30M"/>
    <d v="2023-02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36M"/>
    <d v="2023-08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48M"/>
    <d v="2024-08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60M"/>
    <d v="2025-08-01T00:00:00"/>
    <m/>
    <m/>
    <n v="3533"/>
    <s v="EUROS"/>
    <m/>
    <n v="3533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d v="2020-08-01T00:00:00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s v="?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s v="?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s v="?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Complément QbD analyse stat + robustesse"/>
    <s v="?"/>
    <m/>
    <m/>
    <n v="30000"/>
    <s v="EUROS"/>
    <m/>
    <n v="30000"/>
    <n v="0"/>
    <m/>
  </r>
  <r>
    <s v="Clôturé"/>
    <x v="1"/>
    <m/>
    <x v="3"/>
    <m/>
    <x v="47"/>
    <s v="L20_3117B - P00676_2020 - CAPS"/>
    <s v="P00676_2020"/>
    <s v="ABX464 Prod. 2 lot 35 Kg (25mg&amp;50mg) gélules - Stab IHC T3M"/>
    <m/>
    <s v="INV 10001163"/>
    <d v="2021-01-29T00:00:00"/>
    <n v="5218"/>
    <s v="EUROS"/>
    <n v="5218"/>
    <n v="0"/>
    <n v="5218"/>
    <m/>
  </r>
  <r>
    <s v="Clôturé"/>
    <x v="1"/>
    <m/>
    <x v="3"/>
    <m/>
    <x v="47"/>
    <s v="L20_3117B - P00676_2020 - CAPS"/>
    <s v="P00676_2020"/>
    <s v="ABX464 Prod. 2 lot 35 Kg (25mg&amp;50mg) gélules - Stab IHC T6M"/>
    <m/>
    <s v="INV 10001625"/>
    <d v="2021-04-30T00:00:00"/>
    <n v="5443"/>
    <s v="EUROS"/>
    <n v="5443"/>
    <n v="0"/>
    <n v="5443"/>
    <m/>
  </r>
  <r>
    <s v="Clôturé"/>
    <x v="1"/>
    <m/>
    <x v="3"/>
    <m/>
    <x v="47"/>
    <s v="L20_3117B - P00676_2020 - CAPS"/>
    <s v="P00676_2020"/>
    <s v="ABX464 Prod. 2 lot 35 Kg (25mg&amp;50mg) gélules - Stab IHC T9M"/>
    <m/>
    <s v="INV 10000157"/>
    <d v="2021-08-31T00:00:00"/>
    <n v="4313"/>
    <s v="EUROS"/>
    <n v="4313"/>
    <n v="0"/>
    <n v="4313"/>
    <m/>
  </r>
  <r>
    <s v="Clôturé"/>
    <x v="1"/>
    <m/>
    <x v="3"/>
    <m/>
    <x v="47"/>
    <s v="L20_3117B - P00676_2020 - CAPS"/>
    <s v="P00676_2020"/>
    <s v="ABX464 Prod. 2 lot 35 Kg (25mg&amp;50mg) gélules - Stab IHC T12M"/>
    <m/>
    <s v="INV 10000383"/>
    <d v="2021-10-26T00:00:00"/>
    <n v="4988"/>
    <s v="EUROS"/>
    <n v="4988"/>
    <n v="0"/>
    <n v="4988"/>
    <m/>
  </r>
  <r>
    <s v="Clôturé"/>
    <x v="1"/>
    <m/>
    <x v="3"/>
    <m/>
    <x v="47"/>
    <s v="L20_3117B - P00676_2020 - CAPS"/>
    <s v="P00676_2020"/>
    <s v="ABX464 Prod. 2 lot 35 Kg (25mg&amp;50mg) gélules - Stab IHC T18M"/>
    <m/>
    <s v="INV 10001343"/>
    <d v="2022-05-16T00:00:00"/>
    <n v="3408"/>
    <s v="EUROS"/>
    <n v="3408"/>
    <n v="0"/>
    <n v="3408"/>
    <m/>
  </r>
  <r>
    <s v="Clôturé"/>
    <x v="1"/>
    <m/>
    <x v="3"/>
    <m/>
    <x v="47"/>
    <s v="L20_3117B - P00676_2020 - CAPS"/>
    <s v="P00676_2020"/>
    <s v="ABX464 Prod. 2 lot 35 Kg (25mg&amp;50mg) gélules - Stab IHC T24M"/>
    <m/>
    <s v="INV 10000682"/>
    <d v="2022-11-30T00:00:00"/>
    <n v="3633"/>
    <s v="EUROS"/>
    <n v="3633"/>
    <n v="0"/>
    <n v="3633"/>
    <m/>
  </r>
  <r>
    <s v="Clôturé"/>
    <x v="1"/>
    <m/>
    <x v="3"/>
    <m/>
    <x v="47"/>
    <s v="L20_3117B - P00676_2020 - CAPS"/>
    <s v="P00676_2020"/>
    <s v="ABX464 Prod. 2 lot 35 Kg (25mg&amp;50mg) gélules - Stab IHC T30M"/>
    <m/>
    <s v="INV 10001831"/>
    <d v="2023-06-23T00:00:00"/>
    <n v="3633"/>
    <s v="EUROS"/>
    <n v="3633"/>
    <n v="0"/>
    <n v="3633"/>
    <m/>
  </r>
  <r>
    <s v="Clôturé"/>
    <x v="1"/>
    <m/>
    <x v="3"/>
    <m/>
    <x v="47"/>
    <s v="L20_3117B - P00676_2020 - CAPS"/>
    <s v="P00676_2020"/>
    <s v="ABX464 Prod. 2 lot 35 Kg (25mg&amp;50mg) gélules - Stab IHC T36M"/>
    <m/>
    <s v="INV 10000681"/>
    <d v="2023-11-30T00:00:00"/>
    <n v="3633"/>
    <s v="EUROS"/>
    <n v="3633"/>
    <n v="0"/>
    <n v="3633"/>
    <m/>
  </r>
  <r>
    <s v="Clôturé"/>
    <x v="1"/>
    <m/>
    <x v="3"/>
    <m/>
    <x v="47"/>
    <s v="L20_3117B - P00676_2020 - CAPS"/>
    <s v="P00676_2020"/>
    <s v="ABX464 Prod. 2 lot 35 Kg (25mg&amp;50mg) gélules - Stab IHC T48M"/>
    <d v="2024-04-01T00:00:00"/>
    <s v="INV 10000551"/>
    <d v="2024-11-28T00:00:00"/>
    <n v="3633"/>
    <s v="EUROS"/>
    <n v="3633"/>
    <n v="0"/>
    <n v="3633"/>
    <m/>
  </r>
  <r>
    <m/>
    <x v="1"/>
    <m/>
    <x v="3"/>
    <m/>
    <x v="47"/>
    <s v="L20_3117B - P00676_2020 - CAPS"/>
    <s v="P00676_2020"/>
    <s v="ABX464 Prod. 2 lot 35 Kg (25mg&amp;50mg) gélules - Stab IHC T60M"/>
    <d v="2024-10-01T00:00:00"/>
    <m/>
    <m/>
    <n v="3533"/>
    <s v="EUROS"/>
    <m/>
    <n v="3533"/>
    <n v="0"/>
    <m/>
  </r>
  <r>
    <s v="Clôturé"/>
    <x v="1"/>
    <m/>
    <x v="3"/>
    <m/>
    <x v="47"/>
    <s v="L20_3117B + L21_3437C + L21_3318D - P00153_2023"/>
    <s v="P00153_2023"/>
    <s v="Consommables Labo - 03/2023"/>
    <m/>
    <s v="INV 10001569"/>
    <d v="2023-05-22T00:00:00"/>
    <n v="2706.93"/>
    <s v="EUROS"/>
    <n v="2706.93"/>
    <n v="0"/>
    <n v="2706.93"/>
    <m/>
  </r>
  <r>
    <s v="Clôturé"/>
    <x v="1"/>
    <m/>
    <x v="3"/>
    <m/>
    <x v="47"/>
    <s v="L21_3265A - P00070_2021 - CAPS"/>
    <s v="P00070_2021"/>
    <s v="ABX464 25mg &amp; 50mg gélule - Transfert technique zone HP&amp;Scale up - Prestation de fabrication &amp; Conditionnement Campagne 1"/>
    <m/>
    <s v="INV 10001318 + INV 10001440"/>
    <s v="26/02/2021 + 29/03/2021"/>
    <n v="26177"/>
    <s v="EUROS"/>
    <n v="26177"/>
    <n v="0"/>
    <n v="26177"/>
    <m/>
  </r>
  <r>
    <s v="Clôturé"/>
    <x v="1"/>
    <m/>
    <x v="3"/>
    <m/>
    <x v="47"/>
    <s v="L21_3265A - P00070_2021 - CAPS"/>
    <s v="P00070_2021"/>
    <s v="ABX464 25mg &amp; 50mg gélule - Transfert technique zone HP&amp;Scale up - Prestation de fabrication &amp; Conditionnement Campagne 2"/>
    <m/>
    <s v="INV 10001440 + INV 10001578"/>
    <s v="29/03/2021 + 26/04/2021"/>
    <n v="42852"/>
    <s v="EUROS"/>
    <n v="42852"/>
    <n v="0"/>
    <n v="42852"/>
    <m/>
  </r>
  <r>
    <s v="Clôturé"/>
    <x v="1"/>
    <m/>
    <x v="3"/>
    <m/>
    <x v="47"/>
    <s v="L21_3265A - P00070_2021 - CAPS"/>
    <s v="P00070_2021"/>
    <s v="ABX464 25mg &amp; 50mg gélule - Transfert technique zone HP&amp;Scale up - Management de projet 3 mois"/>
    <m/>
    <s v="INV 10001318"/>
    <d v="2021-02-26T00:00:00"/>
    <n v="1640"/>
    <s v="EUROS"/>
    <s v="OK"/>
    <n v="0"/>
    <n v="1640"/>
    <m/>
  </r>
  <r>
    <s v="Clôturé"/>
    <x v="1"/>
    <m/>
    <x v="3"/>
    <m/>
    <x v="47"/>
    <s v="L21_3265A - P00070_2021 - CAPS"/>
    <s v="P00070_2021"/>
    <s v="ABX464 25mg &amp; 50mg gélule - Transfert technique zone HP&amp;Scale up - Management de projet 3 mois"/>
    <m/>
    <s v="INV 10001440"/>
    <d v="2021-03-29T00:00:00"/>
    <n v="1640"/>
    <s v="EUROS"/>
    <s v="OK"/>
    <n v="0"/>
    <n v="1640"/>
    <m/>
  </r>
  <r>
    <s v="Clôturé"/>
    <x v="1"/>
    <m/>
    <x v="3"/>
    <m/>
    <x v="47"/>
    <s v="L21_3265A - P00070_2021 - CAPS"/>
    <s v="P00070_2021"/>
    <s v="ABX464 25mg &amp; 50mg gélule - Transfert technique zone HP&amp;Scale up - Management de projet 3 mois"/>
    <m/>
    <s v="INV 1001578"/>
    <d v="2021-04-26T00:00:00"/>
    <n v="1640"/>
    <s v="EUROS"/>
    <s v="OK"/>
    <n v="0"/>
    <n v="1640"/>
    <m/>
  </r>
  <r>
    <m/>
    <x v="1"/>
    <m/>
    <x v="3"/>
    <m/>
    <x v="47"/>
    <s v="L21_3265A - P00070_2021 - CAPS"/>
    <s v="P00070_2021"/>
    <s v="ABX464 25mg &amp; 50mg gélule - Transfert technique zone HP&amp;Scale up - Consomable de labo dédiés 1 Colone HPLC"/>
    <m/>
    <m/>
    <m/>
    <n v="800"/>
    <s v="EUROS"/>
    <m/>
    <n v="800"/>
    <n v="0"/>
    <m/>
  </r>
  <r>
    <m/>
    <x v="1"/>
    <m/>
    <x v="3"/>
    <m/>
    <x v="47"/>
    <s v="L21_3265A - P00070_2021 - CAPS"/>
    <s v="P00070_2021"/>
    <s v="ABX464 25mg &amp; 50mg gélule - Transfert technique zone HP&amp;Scale up - Consomable de labo dédiés 1 CPG Methode"/>
    <m/>
    <m/>
    <m/>
    <n v="1000"/>
    <s v="EUROS"/>
    <m/>
    <n v="1000"/>
    <n v="0"/>
    <m/>
  </r>
  <r>
    <m/>
    <x v="1"/>
    <m/>
    <x v="3"/>
    <m/>
    <x v="47"/>
    <s v="L21_3265A - P00070_2021 - CAPS"/>
    <s v="P00070_2021"/>
    <s v="ABX464 25mg &amp; 50mg gélule - Transfert technique zone HP&amp;Scale up - Outillage fab"/>
    <m/>
    <s v="INV 10000008"/>
    <d v="2021-07-06T00:00:00"/>
    <n v="2210"/>
    <s v="EUROS"/>
    <n v="734.43"/>
    <n v="1475.5700000000002"/>
    <n v="734.43"/>
    <m/>
  </r>
  <r>
    <s v="Clôturé"/>
    <x v="1"/>
    <m/>
    <x v="3"/>
    <m/>
    <x v="47"/>
    <s v="L21_3318D - P00261_2021 -  "/>
    <s v="P00261_2021"/>
    <s v="ABX464 25mg &amp; 50mg gélule - Lot cliniques - Etude de stabilité lots verum 12,5mg &amp; 25 mg - T24M"/>
    <m/>
    <s v="INV 10000351"/>
    <d v="2023-09-29T00:00:00"/>
    <n v="2598"/>
    <s v="EUROS"/>
    <n v="2598"/>
    <n v="0"/>
    <n v="2598"/>
    <m/>
  </r>
  <r>
    <m/>
    <x v="1"/>
    <m/>
    <x v="3"/>
    <m/>
    <x v="47"/>
    <s v="L21_3318D - P00261_2021 -  "/>
    <s v="P00261_2021"/>
    <s v="ABX464 25mg &amp; 50mg gélule - Lot cliniques - Etude de stabilité lots verum 12,5mg &amp; 25 mg - T36M"/>
    <m/>
    <s v="INV 10000293"/>
    <d v="2024-09-30T00:00:00"/>
    <n v="2598"/>
    <s v="EUROS"/>
    <n v="2598"/>
    <n v="0"/>
    <n v="2598"/>
    <m/>
  </r>
  <r>
    <m/>
    <x v="1"/>
    <m/>
    <x v="3"/>
    <m/>
    <x v="47"/>
    <s v="L21_3318D - P00261_2021 -  "/>
    <s v="P00261_2021"/>
    <s v="ABX464 25mg &amp; 50mg gélule - Lot cliniques - Etude de stabilité lots verum 12,5mg &amp; 25 mg - T48M"/>
    <m/>
    <m/>
    <m/>
    <n v="2723"/>
    <s v="EUROS"/>
    <m/>
    <n v="2723"/>
    <n v="0"/>
    <m/>
  </r>
  <r>
    <s v="Clôturé"/>
    <x v="1"/>
    <m/>
    <x v="3"/>
    <m/>
    <x v="47"/>
    <s v="L21_3318D - P00261_2021 -  "/>
    <s v="P00261_2021"/>
    <s v="ABX464 25mg &amp; 50mg gélule - Lot cliniques - Etude de stabilité 3 lots clinique verum 5 ans - T18M"/>
    <m/>
    <s v="INV 10001833"/>
    <d v="2023-06-23T00:00:00"/>
    <n v="7028"/>
    <s v="EUROS"/>
    <n v="7028"/>
    <n v="0"/>
    <n v="7028"/>
    <m/>
  </r>
  <r>
    <s v="Clôturé"/>
    <x v="1"/>
    <m/>
    <x v="3"/>
    <m/>
    <x v="47"/>
    <s v="L21_3318D - P00261_2021 -  "/>
    <s v="P00261_2021"/>
    <s v="ABX464 25mg &amp; 50mg gélule - Lot cliniques - Etude de stabilité 3 lots clinique verum 5 ans - T24M"/>
    <m/>
    <s v="INV 10000354"/>
    <d v="2023-09-29T00:00:00"/>
    <n v="8378"/>
    <s v="EUROS"/>
    <n v="8378"/>
    <n v="0"/>
    <n v="8378"/>
    <m/>
  </r>
  <r>
    <m/>
    <x v="1"/>
    <m/>
    <x v="3"/>
    <m/>
    <x v="47"/>
    <s v="L21_3318D - P00261_2021 -  "/>
    <s v="P00261_2021"/>
    <s v="ABX464 25mg &amp; 50mg gélule - Lot cliniques - Etude de stabilité 3 lots clinique verum 5 ans - T30M"/>
    <m/>
    <m/>
    <m/>
    <n v="8378"/>
    <s v="EUROS"/>
    <m/>
    <n v="8378"/>
    <n v="0"/>
    <m/>
  </r>
  <r>
    <s v="Clôturé"/>
    <x v="1"/>
    <m/>
    <x v="3"/>
    <m/>
    <x v="47"/>
    <s v="L21_3318D - P00261_2021 -  "/>
    <s v="P00261_2021"/>
    <s v="ABX464 25mg &amp; 50mg gélule - Lot cliniques - Etude de stabilité 3 lots clinique verum 5 ans - T36M"/>
    <m/>
    <s v="INV 10000445"/>
    <d v="2024-10-31T00:00:00"/>
    <n v="8378"/>
    <s v="EUROS"/>
    <n v="8378"/>
    <n v="0"/>
    <n v="8378"/>
    <m/>
  </r>
  <r>
    <m/>
    <x v="1"/>
    <m/>
    <x v="3"/>
    <m/>
    <x v="47"/>
    <s v="L21_3318D - P00261_2021 -  "/>
    <s v="P00261_2021"/>
    <s v="ABX464 25mg &amp; 50mg gélule - Lot cliniques - Etude de stabilité 3 lots clinique verum 5 ans - T48M"/>
    <m/>
    <m/>
    <m/>
    <n v="8378"/>
    <s v="EUROS"/>
    <m/>
    <n v="8378"/>
    <n v="0"/>
    <m/>
  </r>
  <r>
    <m/>
    <x v="1"/>
    <m/>
    <x v="3"/>
    <m/>
    <x v="47"/>
    <s v="L21_3318D - P00261_2021 -  "/>
    <s v="P00261_2021"/>
    <s v="ABX464 25mg &amp; 50mg gélule - Lot cliniques - Etude de stabilité 3 lots clinique verum 5 ans - T60M"/>
    <m/>
    <m/>
    <m/>
    <n v="8078"/>
    <s v="EUROS"/>
    <m/>
    <n v="8078"/>
    <n v="0"/>
    <m/>
  </r>
  <r>
    <s v="Clôturé"/>
    <x v="1"/>
    <s v="CAPS"/>
    <x v="3"/>
    <m/>
    <x v="47"/>
    <s v="L21_3318D - P00261_2021  (ex P00145) - CAPS"/>
    <s v="P00261_2021  (ex P00145) "/>
    <s v="ABX464 25mg &amp; 50mg gélule - Lot cliniques - Presta analytiques transfert des methodes ana"/>
    <m/>
    <s v="INV 10001710"/>
    <d v="2021-05-31T00:00:00"/>
    <n v="1710"/>
    <s v="EUROS"/>
    <n v="1710"/>
    <n v="0"/>
    <n v="171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1/2 - Documentation"/>
    <m/>
    <s v="INV 10001710 + INV 10000351"/>
    <s v="31/05/2021 + 20/10/2021"/>
    <n v="5760"/>
    <s v="EUROS"/>
    <n v="5760"/>
    <n v="0"/>
    <n v="576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1/2 - fabrication &amp; coodination"/>
    <m/>
    <s v="INV 10001662 + INV 10000122"/>
    <s v="19/05/2021 + 24/08/2021"/>
    <n v="47830"/>
    <s v="EUROS"/>
    <n v="47830"/>
    <n v="0"/>
    <n v="4783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1/2 - analyse"/>
    <m/>
    <s v="INV 10000083"/>
    <d v="2021-07-29T00:00:00"/>
    <n v="7830"/>
    <s v="EUROS"/>
    <n v="7830"/>
    <n v="0"/>
    <n v="783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2/2 - Documentation"/>
    <m/>
    <s v="INV 10001662 + INV 10000351"/>
    <s v="19/05/2021 + 20/10/2021"/>
    <n v="3780"/>
    <s v="EUROS"/>
    <n v="3780"/>
    <n v="0"/>
    <n v="378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2/2 - fabrication &amp; coodination"/>
    <m/>
    <s v="INV 10001662 + INV 10000122"/>
    <s v="19/05/2021 + 25/08/2021"/>
    <n v="38009"/>
    <s v="EUROS"/>
    <n v="38009"/>
    <n v="0"/>
    <n v="38009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2/2 - analyse"/>
    <m/>
    <s v="INV 10000122 + INV 10000351"/>
    <s v="25/08/2021 + 20/10/2021"/>
    <n v="11430"/>
    <s v="EUROS"/>
    <n v="11430"/>
    <n v="0"/>
    <n v="1143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s v="EUROS"/>
    <n v="1640"/>
    <n v="0"/>
    <n v="164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s v="EUROS"/>
    <n v="1640"/>
    <n v="0"/>
    <n v="164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1889"/>
    <d v="2021-06-26T00:00:00"/>
    <n v="1640"/>
    <s v="EUROS"/>
    <n v="1640"/>
    <n v="0"/>
    <n v="164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0083"/>
    <d v="2021-07-29T00:00:00"/>
    <n v="1640"/>
    <s v="EUROS"/>
    <n v="1640"/>
    <n v="0"/>
    <n v="1640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0"/>
    <m/>
    <s v="INV 10000287"/>
    <d v="2021-09-30T00:00:00"/>
    <n v="1370"/>
    <s v="EUROS"/>
    <n v="1370"/>
    <n v="0"/>
    <n v="1370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6M"/>
    <m/>
    <s v="INV 10001160"/>
    <d v="2022-04-12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9M"/>
    <m/>
    <s v="INV 10001622"/>
    <d v="2022-06-29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12M"/>
    <m/>
    <s v="INV 10000355"/>
    <d v="2022-09-30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18M"/>
    <m/>
    <s v="INV 10001280"/>
    <d v="2023-03-27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0"/>
    <m/>
    <s v="INV 10000424"/>
    <d v="2021-10-29T00:00:00"/>
    <n v="6203"/>
    <s v="EUROS"/>
    <n v="6203"/>
    <n v="0"/>
    <n v="6203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3M"/>
    <m/>
    <s v="INV 10000746"/>
    <d v="2022-01-21T00:00:00"/>
    <n v="12458"/>
    <s v="EUROS"/>
    <n v="12458"/>
    <n v="0"/>
    <n v="12458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6M"/>
    <m/>
    <s v="INV 10001205"/>
    <d v="2022-04-26T00:00:00"/>
    <n v="13133"/>
    <s v="EUROS"/>
    <n v="13133"/>
    <n v="0"/>
    <n v="13133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9M"/>
    <m/>
    <s v="INV 10000018"/>
    <d v="2022-07-06T00:00:00"/>
    <n v="9743"/>
    <s v="EUROS"/>
    <n v="9743"/>
    <n v="0"/>
    <n v="9743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12M"/>
    <m/>
    <s v="INV 10000684"/>
    <d v="2022-11-30T00:00:00"/>
    <n v="11768"/>
    <s v="EUROS"/>
    <n v="11768"/>
    <n v="0"/>
    <n v="11768"/>
    <m/>
  </r>
  <r>
    <s v="Clôturé"/>
    <x v="1"/>
    <m/>
    <x v="3"/>
    <m/>
    <x v="47"/>
    <s v="L21_3318D &amp; L21_3434C - P00115_2023"/>
    <s v="P00115_2023"/>
    <s v="Refacturation analytique consommbale Labo + sous-traitance 2022 Q1"/>
    <m/>
    <s v="INV 10001329"/>
    <d v="2023-03-30T00:00:00"/>
    <n v="6900.01"/>
    <s v="EUROS"/>
    <n v="6900.01"/>
    <n v="0"/>
    <n v="6900.01"/>
    <m/>
  </r>
  <r>
    <s v="Clôturé"/>
    <x v="1"/>
    <m/>
    <x v="3"/>
    <m/>
    <x v="47"/>
    <s v="L21_3318D &amp; L21_3434C - P00115_2023"/>
    <s v="P00115_2023"/>
    <s v="Refacturation analytique consommbale Labo + sous-traitance 2022 Q2"/>
    <m/>
    <s v="INV 10001329"/>
    <d v="2023-03-30T00:00:00"/>
    <n v="4725.6000000000004"/>
    <s v="EUROS"/>
    <n v="4725.6000000000004"/>
    <n v="0"/>
    <n v="4725.6000000000004"/>
    <m/>
  </r>
  <r>
    <s v="Clôturé"/>
    <x v="1"/>
    <m/>
    <x v="3"/>
    <m/>
    <x v="47"/>
    <s v="L21_3318D &amp; L21_3434C - P00115_2023"/>
    <s v="P00115_2023"/>
    <s v="Refacturation analytique consommbale Labo + sous-traitance 2022 Q3"/>
    <m/>
    <s v="INV 10001329"/>
    <d v="2023-03-30T00:00:00"/>
    <n v="1520.5"/>
    <s v="EUROS"/>
    <n v="1520.5"/>
    <n v="0"/>
    <n v="1520.5"/>
    <m/>
  </r>
  <r>
    <s v="Clôturé"/>
    <x v="1"/>
    <m/>
    <x v="3"/>
    <m/>
    <x v="47"/>
    <s v="L21_3318D &amp; L21_3434C - P00115_2023"/>
    <s v="P00115_2023"/>
    <s v="Refacturation analytique consommbale Labo + sous-traitance 2022 Octobre Novembre"/>
    <m/>
    <s v="INV 10001329"/>
    <d v="2023-03-30T00:00:00"/>
    <n v="1520.5"/>
    <s v="EUROS"/>
    <n v="1520.5"/>
    <n v="0"/>
    <n v="1520.5"/>
    <m/>
  </r>
  <r>
    <s v="Clôturé"/>
    <x v="1"/>
    <m/>
    <x v="3"/>
    <m/>
    <x v="47"/>
    <s v="L21_3437A - P00026_2022"/>
    <s v="P00026_2022"/>
    <s v="ABX464, 6.25mg &amp; 12.5mg &amp; 25mg &amp; 50mg, gélule - Lots cliniques Q1 2022"/>
    <m/>
    <s v="INV 10000743 + INV 10000884 + INV 10000900 + INV 10000895 + INV 10001076 + INV 10001228 + INV 10001357 + INV 10001376"/>
    <s v="20/01/2022 + 22/02/2022 + 25/02/2022 + 25/02/2022 + 30/03/2022 + 28/04/2022 + 18/05/2022 + 24/05/2022"/>
    <n v="0"/>
    <s v="EUROS"/>
    <n v="0"/>
    <n v="0"/>
    <n v="0"/>
    <s v="Annulé et remplacé par PO00176_2022"/>
  </r>
  <r>
    <m/>
    <x v="1"/>
    <m/>
    <x v="3"/>
    <m/>
    <x v="47"/>
    <s v="L21_3437C - P00176_2022"/>
    <s v="P00176_2022"/>
    <s v="ABX464, 6.25mg &amp; 12.5mg &amp; 25mg &amp; 50mg, gélule - Lots cliniques Q1-Q2 2022"/>
    <m/>
    <s v="INV 10000743 + INV 10000884 + INV 10000900 + INV 10000895 + INV 10001076 + INV 10001228 + INV 10001357 + INV 10001376 + INV 10001513 + INV 10001510 + INV 10001615 + INV 10000121 + INV 10000356 + INV 10000527 + INV 10000798 + INV 10001132 + INV 10001279 + INV 10001281 + INV 10001390 + INV 10001832 + INV 10001942 + INV 10000352 + INV 10000524 + INV 10000682 + INV 10000820 + INV 10001001 + INV 10001326 + INV 10001652 + INV 10001861 + INV 10000065 + INV 10000294 +INV 10001166 + INV 10001377 + INV 10001378 + INV 10000080 + INV 10000176 "/>
    <s v="20/01/2022 + 22/02/2022 + 25/02/2022 + 25/02/2022 + 30/03/2022 + 28/04/2022 + 18/05/2022 + 24/05/2022 + 16/06/2022 + 16/06/2022 + 28/06/2022 + 29/07/2022 + 30/09/2022 + 28/10/2022 + 20/12/2022 + 28/02/2023 + 27/03/2023 + 27/03/2023 + 17/04/2023 + 23/06/2023 + 30/06/2023 + 29/09/2023 + 30/10/2023 + 30/11/2023 + 01/01/2024 + 31/01/2024 + 27/03/2024 + 28/05/2024 + 27/06/2024 + 22/07/2024 + 30/09/2024 + 25/03/2025 + 30/04/2025 + 30/04/2025 +25/07/2025+29/08/25"/>
    <n v="470836"/>
    <s v="EUROS"/>
    <n v="399041.1"/>
    <n v="71794.900000000023"/>
    <n v="399041.1"/>
    <m/>
  </r>
  <r>
    <m/>
    <x v="1"/>
    <m/>
    <x v="3"/>
    <m/>
    <x v="47"/>
    <s v="L22_3662B - P00392_2022"/>
    <s v="P00392_2022"/>
    <s v="Etude d'optimisation du process de fabrication - Campagne 1"/>
    <m/>
    <s v="INV 10000780 - AV 13000032 + INV 10000914"/>
    <s v="16/12/2022 - 19/01/2023 + 19/01/2023"/>
    <n v="12929"/>
    <s v="EUROS"/>
    <n v="5283.25"/>
    <n v="7645.75"/>
    <n v="5283.25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Campagne 2"/>
    <m/>
    <s v="INV 10000780 - AV 13000032 + INV 10000914"/>
    <s v="16/12/2022 - 19/01/2023 + 19/01/2023"/>
    <n v="20631"/>
    <s v="EUROS"/>
    <n v="6771.75"/>
    <n v="13859.25"/>
    <n v="6771.75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Campgane 3"/>
    <m/>
    <m/>
    <m/>
    <n v="33981"/>
    <s v="EUROS"/>
    <m/>
    <n v="33981"/>
    <n v="0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Campagne 4"/>
    <m/>
    <m/>
    <m/>
    <n v="42440"/>
    <s v="EUROS"/>
    <m/>
    <n v="42440"/>
    <n v="0"/>
    <s v="C'est du ABX464 et non du ABX711 : erreur d'Adrien sur le PO"/>
  </r>
  <r>
    <s v="Clôturé"/>
    <x v="1"/>
    <m/>
    <x v="3"/>
    <m/>
    <x v="47"/>
    <s v="L22_3662B - P00392_2022"/>
    <s v="P00392_2022"/>
    <s v="Etude d'optimisation du process de fabrication - Remise prestation de fabrication"/>
    <m/>
    <m/>
    <m/>
    <n v="-16780"/>
    <s v="EUROS"/>
    <m/>
    <n v="0"/>
    <n v="0"/>
    <s v="C'est du ABX464 et non du ABX711 : erreur d'Adrien sur le PO"/>
  </r>
  <r>
    <s v="Clôturé"/>
    <x v="1"/>
    <m/>
    <x v="3"/>
    <m/>
    <x v="47"/>
    <s v="L22_3662B - P00392_2022"/>
    <s v="P00392_2022"/>
    <s v="Etude d'optimisation du process de fabrication - Magement de projet 4 mois - mois 1"/>
    <m/>
    <s v="INV 10000780 - AV 13000032 + INV 10000914"/>
    <s v="16/12/2022 - 19/01/2023 + 19/01/2023"/>
    <n v="1800"/>
    <s v="EUROS"/>
    <n v="1800"/>
    <n v="0"/>
    <n v="1800"/>
    <s v="C'est du ABX464 et non du ABX711 : erreur d'Adrien sur le PO"/>
  </r>
  <r>
    <s v="Clôturé"/>
    <x v="1"/>
    <m/>
    <x v="3"/>
    <m/>
    <x v="47"/>
    <s v="L22_3662B - P00392_2022"/>
    <s v="P00392_2022"/>
    <s v="Etude d'optimisation du process de fabrication - Magement de projet 4 mois - mois 2"/>
    <m/>
    <s v="INV 10000780 - AV 13000032 + INV 10000914"/>
    <s v="16/12/2022 - 19/01/2023 + 19/01/2023"/>
    <n v="1800"/>
    <s v="EUROS"/>
    <n v="1800"/>
    <n v="0"/>
    <n v="1800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Magement de projet 4 mois - mois 3"/>
    <m/>
    <m/>
    <m/>
    <n v="1800"/>
    <s v="EUROS"/>
    <m/>
    <n v="1800"/>
    <n v="0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Magement de projet 4 mois - mois 4"/>
    <m/>
    <m/>
    <m/>
    <n v="1800"/>
    <s v="EUROS"/>
    <m/>
    <n v="1800"/>
    <n v="0"/>
    <s v="C'est du ABX464 et non du ABX711 : erreur d'Adrien sur le PO"/>
  </r>
  <r>
    <s v="Clôturé"/>
    <x v="1"/>
    <m/>
    <x v="3"/>
    <m/>
    <x v="47"/>
    <s v="L22_3685A - P00009_2023"/>
    <s v="P00009_2023"/>
    <s v="Support reglementaire Q4 2022 &amp; Q1 2023"/>
    <m/>
    <s v="INV 10000916"/>
    <d v="2023-01-23T00:00:00"/>
    <n v="4500"/>
    <s v="EUROS"/>
    <n v="4500"/>
    <n v="0"/>
    <n v="4500"/>
    <m/>
  </r>
  <r>
    <m/>
    <x v="1"/>
    <m/>
    <x v="3"/>
    <m/>
    <x v="47"/>
    <s v="L23_3702B - P00116_2023"/>
    <s v="P00116_2023"/>
    <s v="ABX464, 6.25mg &amp; 12.5mg &amp; 25mg &amp; 50mg, gélule - Lots cliniques Q2 2023"/>
    <m/>
    <s v="INV 10001426 + INV 10001663 + INV 10001876 + INV 10001923 + INV 10001940 + INV 10000051 + INV 10000353 + INV 10000746 + INV 10001803 + INV 10000291 + INV 10001165"/>
    <s v="24/04/2023 + 31/05/2023 + 28/06/2023 + 30/06/2023 + 30/06/2023 + 20/07/2023 + 29/09/2023 + 01/01/2024 + 24/06/2024 + 30/09/2024+25/03/2025"/>
    <n v="167375"/>
    <s v="EUROS"/>
    <n v="146594"/>
    <n v="20781"/>
    <n v="146594"/>
    <m/>
  </r>
  <r>
    <m/>
    <x v="1"/>
    <m/>
    <x v="3"/>
    <m/>
    <x v="47"/>
    <s v="L23_3794A - P00190_2023"/>
    <s v="P00190_2023"/>
    <s v="Optimisation de procédé / Det. Caractère liant de la cellule - Option 1"/>
    <m/>
    <m/>
    <m/>
    <n v="3000"/>
    <s v="EUROS"/>
    <m/>
    <n v="3000"/>
    <n v="0"/>
    <m/>
  </r>
  <r>
    <s v="Clôturé"/>
    <x v="1"/>
    <m/>
    <x v="3"/>
    <m/>
    <x v="47"/>
    <s v="L23_3794A - P00190_2023"/>
    <s v="P00190_2023"/>
    <s v="Optimisation de procédé / Det. Caractère liant de la cellule - Option 2"/>
    <m/>
    <s v="INV 10001811 + INV 10000073"/>
    <s v="22/06/2023 + 26/07/2023"/>
    <n v="9052"/>
    <s v="EUROS"/>
    <n v="9052"/>
    <n v="0"/>
    <n v="9052"/>
    <m/>
  </r>
  <r>
    <s v="Clôturé"/>
    <x v="1"/>
    <m/>
    <x v="3"/>
    <m/>
    <x v="47"/>
    <s v="L23_3872A - P00344_2023"/>
    <s v="P00344_2023"/>
    <s v="Prélèvement et envoi de 580g du lot 22015440"/>
    <m/>
    <s v="INV 10000414"/>
    <d v="2023-10-13T00:00:00"/>
    <n v="1273"/>
    <s v="EUROS"/>
    <n v="1273"/>
    <n v="0"/>
    <n v="1273"/>
    <m/>
  </r>
  <r>
    <m/>
    <x v="1"/>
    <m/>
    <x v="3"/>
    <m/>
    <x v="47"/>
    <s v="L24_3932A - P00108_2024"/>
    <s v="P00108_2024"/>
    <s v="Dissolution testing with new method"/>
    <m/>
    <m/>
    <m/>
    <n v="1200"/>
    <s v="EUROS"/>
    <m/>
    <n v="1200"/>
    <n v="0"/>
    <m/>
  </r>
  <r>
    <m/>
    <x v="1"/>
    <m/>
    <x v="3"/>
    <m/>
    <x v="47"/>
    <s v="L24_3961A - P00107_2024"/>
    <s v="P00107_2024"/>
    <s v="ABX464 - Fabrication &amp; conditionnement 25mg"/>
    <m/>
    <s v="INV 10001377"/>
    <d v="2024-03-29T00:00:00"/>
    <n v="77100"/>
    <s v="EUROS"/>
    <n v="38175"/>
    <n v="38925"/>
    <n v="38175"/>
    <m/>
  </r>
  <r>
    <m/>
    <x v="1"/>
    <m/>
    <x v="3"/>
    <s v="Adrien K"/>
    <x v="47"/>
    <s v="L24_4003A - P00247_2024"/>
    <s v="P00247_2024"/>
    <s v="Second lot technique 25mg avec API Jetpharma"/>
    <m/>
    <s v="INV 10001670 "/>
    <d v="2024-05-29T00:00:00"/>
    <n v="50300"/>
    <s v="EUROS"/>
    <n v="38175"/>
    <n v="12125"/>
    <n v="38175"/>
    <m/>
  </r>
  <r>
    <m/>
    <x v="1"/>
    <m/>
    <x v="3"/>
    <s v="Adrien K"/>
    <x v="47"/>
    <s v="L24_4171A - P00542_2024"/>
    <s v="P00542_2024"/>
    <s v="Production lot technique avec API JP 5000rpm"/>
    <m/>
    <s v="INV 10000667 + INV 10000548"/>
    <s v="18/12/2024 + 28/11/2024"/>
    <n v="50300"/>
    <s v="EUROS"/>
    <n v="50300"/>
    <n v="0"/>
    <n v="50300"/>
    <m/>
  </r>
  <r>
    <m/>
    <x v="1"/>
    <m/>
    <x v="3"/>
    <s v="Adrien K"/>
    <x v="47"/>
    <s v="L25_4230A - P00042_2025"/>
    <s v="P00042_2025"/>
    <s v="Commande de gélule Blanches Taille 1 B12"/>
    <m/>
    <m/>
    <m/>
    <n v="11213.3"/>
    <s v="EUROS"/>
    <m/>
    <n v="11213.3"/>
    <n v="0"/>
    <m/>
  </r>
  <r>
    <s v="Clôturé"/>
    <x v="1"/>
    <m/>
    <x v="3"/>
    <s v="Adrien K"/>
    <x v="47"/>
    <s v="L24_4171A - P00047_2025"/>
    <s v="P00047_2025"/>
    <s v="Lots cliniques Q1 2025"/>
    <m/>
    <s v="INV 10000817 + INV 10000981 + INV 10001148 + INV 10001315"/>
    <s v="29/01/2025 + 25/02/2025+21/03/25 + 25/04/2025"/>
    <n v="104160"/>
    <s v="EUROS"/>
    <n v="104160"/>
    <n v="0"/>
    <n v="104160"/>
    <m/>
  </r>
  <r>
    <m/>
    <x v="1"/>
    <m/>
    <x v="3"/>
    <m/>
    <x v="48"/>
    <s v="B 24 039 v1 - P00371_2023"/>
    <s v="P00371_2023"/>
    <s v="ABX464 Dissolution Tests"/>
    <m/>
    <s v="INV 10000574"/>
    <d v="2024-01-01T00:00:00"/>
    <n v="8480"/>
    <s v="EUROS"/>
    <n v="6180"/>
    <n v="2300"/>
    <n v="6180"/>
    <m/>
  </r>
  <r>
    <m/>
    <x v="1"/>
    <m/>
    <x v="3"/>
    <m/>
    <x v="48"/>
    <s v="B 24 039 V1 - P00067_2024"/>
    <s v="P00067_2024"/>
    <s v="ABX464 Dossolution tests on API"/>
    <m/>
    <s v="INV 10000986"/>
    <d v="2024-03-19T00:00:00"/>
    <n v="7330"/>
    <s v="EUROS"/>
    <n v="3880"/>
    <n v="3450"/>
    <n v="3880"/>
    <m/>
  </r>
  <r>
    <s v="Clôturé"/>
    <x v="1"/>
    <m/>
    <x v="3"/>
    <m/>
    <x v="48"/>
    <s v="B 24 039 V1 - P00137_2024"/>
    <s v="P00137_2024"/>
    <s v="ABX464 Dissolution tests on API"/>
    <m/>
    <s v="INV 10001044"/>
    <d v="2024-03-28T00:00:00"/>
    <n v="3880"/>
    <s v="EUROS"/>
    <n v="3880"/>
    <n v="0"/>
    <n v="3880"/>
    <m/>
  </r>
  <r>
    <m/>
    <x v="1"/>
    <m/>
    <x v="3"/>
    <m/>
    <x v="48"/>
    <s v="B 24 039 V1 - P00164_2024"/>
    <s v="P00164_2024"/>
    <s v="ABX464 Dissolution retests on API"/>
    <m/>
    <m/>
    <m/>
    <n v="2730"/>
    <s v="EUROS"/>
    <m/>
    <n v="2730"/>
    <n v="0"/>
    <m/>
  </r>
  <r>
    <m/>
    <x v="1"/>
    <m/>
    <x v="3"/>
    <s v="Saadia"/>
    <x v="48"/>
    <s v="B 24 039 V1 - P00202_2024"/>
    <s v="P00202_2024"/>
    <s v="ABX464 Dissolution retests on API Paddle dissolution"/>
    <m/>
    <m/>
    <m/>
    <n v="1580"/>
    <s v="EUROS"/>
    <m/>
    <n v="1580"/>
    <n v="0"/>
    <m/>
  </r>
  <r>
    <s v="Clôturé"/>
    <x v="1"/>
    <m/>
    <x v="3"/>
    <s v="Saadia"/>
    <x v="48"/>
    <s v="B 24 039 V1 - P00284_2024"/>
    <s v="P00284_2024"/>
    <s v="ABX464 Dissolution consommable"/>
    <m/>
    <s v="INV 10001390"/>
    <d v="2024-06-10T00:00:00"/>
    <n v="460.16"/>
    <s v="EUROS"/>
    <n v="460.16"/>
    <n v="0"/>
    <n v="460.16"/>
    <m/>
  </r>
  <r>
    <s v="Clôturé"/>
    <x v="1"/>
    <m/>
    <x v="3"/>
    <m/>
    <x v="48"/>
    <s v="B 24 039 V1 - P00283_2024"/>
    <s v="P00283_2024"/>
    <s v="ABX464 Dossolution retests on API"/>
    <m/>
    <s v="INV 10001483"/>
    <d v="2024-06-25T00:00:00"/>
    <n v="3880"/>
    <s v="EUROS"/>
    <n v="3880"/>
    <n v="0"/>
    <n v="3880"/>
    <m/>
  </r>
  <r>
    <s v="Clôturé"/>
    <x v="1"/>
    <m/>
    <x v="3"/>
    <s v="Saadia"/>
    <x v="48"/>
    <s v="B 24 039 V1 - P00382_2024"/>
    <s v="P00382_2024"/>
    <s v="ABX464 Dissolution tests on API"/>
    <m/>
    <s v="INV 10000135"/>
    <d v="2024-08-27T00:00:00"/>
    <n v="1580"/>
    <s v="EUROS"/>
    <n v="1580"/>
    <n v="0"/>
    <n v="1580"/>
    <m/>
  </r>
  <r>
    <s v="Clôturé"/>
    <x v="1"/>
    <m/>
    <x v="3"/>
    <s v="Saadia"/>
    <x v="48"/>
    <s v="B 24 039 V1 - P00429_2424"/>
    <s v="P00429_2424"/>
    <s v="ABX464 Dissolution tests on API"/>
    <m/>
    <s v="INV 10000218"/>
    <d v="2024-09-24T00:00:00"/>
    <n v="2730"/>
    <s v="EUROS"/>
    <n v="2730"/>
    <n v="0"/>
    <n v="2730"/>
    <m/>
  </r>
  <r>
    <m/>
    <x v="1"/>
    <m/>
    <x v="3"/>
    <s v="Saadia"/>
    <x v="48"/>
    <s v="B 24 039 V1 - P00429_2024"/>
    <s v="P00429_2024"/>
    <s v="ABX464 Dissolution tests on API"/>
    <m/>
    <m/>
    <m/>
    <n v="2730"/>
    <s v="EUROS"/>
    <m/>
    <n v="2730"/>
    <n v="0"/>
    <m/>
  </r>
  <r>
    <s v="Clôturé"/>
    <x v="1"/>
    <m/>
    <x v="3"/>
    <s v="Saadia"/>
    <x v="48"/>
    <s v="B 24 039 V1 - P00474_2024"/>
    <s v="P00474_2024"/>
    <s v="ABX464 Dissolution tests on API"/>
    <m/>
    <m/>
    <m/>
    <n v="9630"/>
    <s v="EUROS"/>
    <m/>
    <n v="9630"/>
    <n v="0"/>
    <m/>
  </r>
  <r>
    <s v="Clôturé"/>
    <x v="1"/>
    <m/>
    <x v="3"/>
    <s v="Saadia"/>
    <x v="48"/>
    <s v="B 24 039 V1 - P00019_2025"/>
    <s v="P00019_2025"/>
    <s v="ABX464 Dissolution tests on API"/>
    <m/>
    <s v="INV 10000621"/>
    <d v="2025-01-23T00:00:00"/>
    <n v="1580"/>
    <s v="EUROS"/>
    <n v="1580"/>
    <n v="0"/>
    <n v="1580"/>
    <m/>
  </r>
  <r>
    <s v="Clôturé"/>
    <x v="1"/>
    <m/>
    <x v="3"/>
    <m/>
    <x v="49"/>
    <s v="DDR 2020 087 V1 -  "/>
    <m/>
    <s v="ABX464 Dev. Tablet PHASE III - QBD program"/>
    <m/>
    <m/>
    <m/>
    <n v="0"/>
    <s v="EUROS"/>
    <n v="0"/>
    <n v="0"/>
    <n v="0"/>
    <m/>
  </r>
  <r>
    <s v="Clôturé"/>
    <x v="1"/>
    <m/>
    <x v="3"/>
    <m/>
    <x v="49"/>
    <s v="DDR 2020 087 V1 -  "/>
    <m/>
    <s v="ABX464 Dev. Tablet PHASE V - CLINICAL Phase Pilot Program"/>
    <m/>
    <m/>
    <m/>
    <n v="0"/>
    <s v="EUROS"/>
    <n v="0"/>
    <n v="0"/>
    <n v="0"/>
    <m/>
  </r>
  <r>
    <m/>
    <x v="1"/>
    <m/>
    <x v="3"/>
    <m/>
    <x v="49"/>
    <s v="DDR 2020 087 V1 - P00658_2020"/>
    <s v="P00658_2020"/>
    <s v="ABX464 Dev. Tablet PHASE I - Preformulation/Formulation - STAB"/>
    <m/>
    <s v="INV 0124/22 + INV 0213/22 + INV 0503/22 + INV 0685/22 + INV 0084/23 + INV 0236/23 + INV 0595/23 + INV 0681/23 + INV 0701/23 + INV 0600/24 + INV 0489/25 + INV 0591/25"/>
    <s v="27/09/2021 + 27/10/2021 + 23/02/2022 + 25/04/2022 + 30/08/2022 + 26/10/2022 + 27/02/2023 + 31/03/2023 + 19/04/2023 + 29/03/2024 + 19/02/2025+31/03/2025"/>
    <n v="121241"/>
    <s v="EUROS"/>
    <n v="92098"/>
    <n v="29143"/>
    <n v="92098"/>
    <s v="Split : voir fichier excel &quot;DDR 2020 087 V1 - ABX464&quot;"/>
  </r>
  <r>
    <s v="Clôturé"/>
    <x v="1"/>
    <m/>
    <x v="3"/>
    <m/>
    <x v="49"/>
    <s v="DDR 2020 087 V1 - P00658_2020 -  "/>
    <s v="58_2020 -  "/>
    <s v="ABX464 Dev. Tablet PHASE I - Preformulation/Formulation"/>
    <m/>
    <s v="INV 0233/21 + INV 0320/21 + INV 0312/21 + INV 0355/21 + INV 0394/21 + INV 0446/21 + INV 0524/21 + INV 0563/21 + INV 0604/21 + INV 0626/21 + INV 0716/21 + INV 0851/21 + INV 0906/21 + INV 0450/22"/>
    <s v="29/10/2020 + 30/11/2020 + 30/11/2020 + 21/12/2020 + 14/01/2021 + 28/01/2021 + 28/02/2021 + 23/03/2021 + 31/03/2021 + 15/04/2021 + 19/05/2021 + 25/06/2021 + 29/06/2021 + 28/01/2022"/>
    <n v="251317"/>
    <s v="EUROS"/>
    <n v="251317"/>
    <n v="0"/>
    <n v="251317"/>
    <m/>
  </r>
  <r>
    <s v="Clôturé"/>
    <x v="1"/>
    <m/>
    <x v="3"/>
    <m/>
    <x v="49"/>
    <s v="DDR 2020 087 V1 - P00658_2020 -  "/>
    <s v="58_2020 -  "/>
    <s v="ABX464 Dev. Tablet PHASE I - Preformulation/Formulation - 30% à signature"/>
    <m/>
    <s v="INV 0810/20"/>
    <d v="2020-06-24T00:00:00"/>
    <n v="73890"/>
    <s v="EUROS"/>
    <n v="73890"/>
    <n v="0"/>
    <n v="73890"/>
    <m/>
  </r>
  <r>
    <m/>
    <x v="1"/>
    <m/>
    <x v="3"/>
    <m/>
    <x v="49"/>
    <s v="DDR 2020 087 V1 - P00879_2020"/>
    <s v="P00879_2020"/>
    <s v="ABX464 Dev. Tablet PHASE IV - CLINICAL LABSCALE PROGRAM - STAB"/>
    <m/>
    <s v="INV 0018/22 + INV 0216/22 + INV 0350/22 + INV 0369/22 + INV 0619/22 + INV 0744/22 + INV 0497/23 + INV 0841/23 + INV 0772/24 + INV  0762/25"/>
    <s v="22/07/2021 + 27/10/2021 + 17/12/2021 + 20/12/2021 + 30/03/2022 + 30/05/2022 + 31/01/2023 + 16/06/2023 + 19/06/2024+16/06/2025"/>
    <n v="61236"/>
    <s v="EUROS"/>
    <n v="62431"/>
    <n v="0"/>
    <n v="62431"/>
    <s v="Split : voir fichier excel &quot;DDR 2020 087 V1 - ABX464&quot;"/>
  </r>
  <r>
    <s v="Clôturé"/>
    <x v="1"/>
    <m/>
    <x v="3"/>
    <m/>
    <x v="49"/>
    <s v="DDR 2020 087 V1 - P00879_2020 -  "/>
    <s v="P00879_2020"/>
    <s v="ABX464 Dev. Tablet PHASE IV - CLINICAL LABSCALE PROGRAM - 30% signature"/>
    <m/>
    <s v="INV 0428/21 + INV 0511/21 + INV 0608/21"/>
    <s v="25/01/2021 + 22/02/2021 + 31/03/2021"/>
    <n v="53280"/>
    <s v="EUROS"/>
    <n v="53280"/>
    <n v="0"/>
    <n v="53280"/>
    <m/>
  </r>
  <r>
    <s v="Clôturé"/>
    <x v="1"/>
    <m/>
    <x v="3"/>
    <m/>
    <x v="49"/>
    <s v="DDR 2020 087 V1 - P00879_2020 -  "/>
    <s v="P00879_2020"/>
    <s v="ABX464 Dev. Tablet PHASE IV - CLINICAL LABSCALE PROGRAM"/>
    <s v="Stand by"/>
    <s v="INV 0608/21 + INV 0690/21 + INV 0854/21 + INV 0886/21"/>
    <s v="31/03/2021 + 29/04/2021 + 25/06/2021 + 28/06/2021"/>
    <n v="65947"/>
    <s v="EUROS"/>
    <n v="65947"/>
    <n v="0"/>
    <n v="65947"/>
    <m/>
  </r>
  <r>
    <m/>
    <x v="1"/>
    <m/>
    <x v="3"/>
    <m/>
    <x v="49"/>
    <s v="DDR 2020 087 V1 - P00880_2020"/>
    <s v="P00880_2020"/>
    <s v="ABX464 Dev. Tablet PHASE II - PILOT SCALE PROGRAM - STAB"/>
    <m/>
    <s v="INV 0017/22 + INV 0215/22 + INV 0368/22 + INV 06002/22 + INV 0706/22 + INV 0387/23 + INV 0776/23 + INV 0771/24 + INV 0761/25"/>
    <s v="22/07/2021 + 27/10/2021 + 20/12/2021 + 25/03/2022 + 26/04/2022 + 19/12/2022 + 22/05/2023 + 19/06/2024 + 16/06/2025"/>
    <n v="27468"/>
    <s v="EUROS"/>
    <n v="27468"/>
    <n v="0"/>
    <n v="27468"/>
    <s v="Split : voir fichier excel &quot;DDR 2020 087 V1 - ABX464&quot;"/>
  </r>
  <r>
    <s v="Clôturé"/>
    <x v="1"/>
    <m/>
    <x v="3"/>
    <m/>
    <x v="49"/>
    <s v="DDR 2020 087 V1 - P00880_2020 -  "/>
    <s v="P00880_2020"/>
    <s v="ABX464 Dev. Tablet PHASE II - PILOT SCALE PROGRAM - 30% signature"/>
    <m/>
    <s v="INV 0427/21 + INV 0510/21 + INV 0590/21"/>
    <s v="25/01/2021 + 22/02/2021 + 25/03/2021"/>
    <n v="84600"/>
    <s v="EUROS"/>
    <n v="84600"/>
    <n v="0"/>
    <n v="84600"/>
    <m/>
  </r>
  <r>
    <s v="Clôturé"/>
    <x v="1"/>
    <m/>
    <x v="3"/>
    <m/>
    <x v="49"/>
    <s v="DDR 2020 087 V1 - P00880_2020 -  "/>
    <s v="P00880_2020"/>
    <s v="ABX464 Dev. Tablet PHASE II - PILOT SCALE PROGRAM"/>
    <s v="Stand by"/>
    <s v="INV 0590/21 + INV 0681/21 + INV 0728/21 + INV 0907/21"/>
    <s v="25/03/2021 + 28/04/2021 + 21/05/2021 + 26/06/2021"/>
    <n v="33057"/>
    <s v="EUROS"/>
    <n v="33057"/>
    <n v="0"/>
    <n v="33057"/>
    <m/>
  </r>
  <r>
    <s v="Clôturé"/>
    <x v="1"/>
    <m/>
    <x v="3"/>
    <m/>
    <x v="49"/>
    <s v="DDR 2020 091 V1 - P00659_2020 - CAPS"/>
    <m/>
    <s v="Analyze step - Setp 1 - 30% a signature"/>
    <m/>
    <s v="INV 0809/20"/>
    <d v="2020-06-24T00:00:00"/>
    <n v="10230"/>
    <s v="EUROS"/>
    <s v="OK"/>
    <n v="0"/>
    <n v="10230"/>
    <m/>
  </r>
  <r>
    <s v="Clôturé"/>
    <x v="1"/>
    <m/>
    <x v="3"/>
    <m/>
    <x v="49"/>
    <s v="DDR 2020 091 V1 - P00659_2020 - CAPS"/>
    <m/>
    <s v="Analyze step - Setp 1 - 70% draft report"/>
    <m/>
    <s v="INV 0146/21 + INV 0232/21 + INV 0354/21 + INV 0445/21 + INV 0715/21 + INV 0035/22"/>
    <s v="28/09/2020 + 29/10/2020 + 21/12/2020 + 28/01/2021 + 19/05/2021 + 23/07/2021"/>
    <n v="23870"/>
    <s v="EUROS"/>
    <n v="23870"/>
    <n v="0"/>
    <n v="23870"/>
    <m/>
  </r>
  <r>
    <s v="Clôturé"/>
    <x v="1"/>
    <m/>
    <x v="3"/>
    <m/>
    <x v="49"/>
    <s v="DDR 2020 092 V1 - P00673_2020 - CAPS"/>
    <s v="2020 - CAPS"/>
    <s v="ABX464 Dev. Tablet PHASE II - EXECUTION - 30% à signature"/>
    <m/>
    <s v="INV 0862/20"/>
    <d v="2020-06-30T00:00:00"/>
    <n v="45000"/>
    <s v="EUROS"/>
    <s v="OK"/>
    <n v="0"/>
    <n v="45000"/>
    <m/>
  </r>
  <r>
    <m/>
    <x v="1"/>
    <m/>
    <x v="3"/>
    <m/>
    <x v="49"/>
    <s v="DDR 2020 092 V1 - P00673_2020 - CAPS"/>
    <s v="2020 - CAPS"/>
    <s v="ABX464 Dev. Tablet PHASE II - EXECUTION"/>
    <s v="QUAND ?"/>
    <m/>
    <m/>
    <n v="105000"/>
    <s v="EUROS"/>
    <m/>
    <n v="105000"/>
    <n v="0"/>
    <m/>
  </r>
  <r>
    <s v="Clôturé"/>
    <x v="1"/>
    <m/>
    <x v="3"/>
    <m/>
    <x v="49"/>
    <s v="DDR 2021 049 V1 - P00068_2021"/>
    <s v="P00068_2021"/>
    <s v="API dissolution analytical complements"/>
    <m/>
    <s v="INV 0525/21 + INV 0658/21"/>
    <s v="28/02/2021 + 21/04/2021"/>
    <n v="9600"/>
    <s v="EUROS"/>
    <n v="9600"/>
    <n v="0"/>
    <n v="9600"/>
    <m/>
  </r>
  <r>
    <m/>
    <x v="1"/>
    <m/>
    <x v="3"/>
    <m/>
    <x v="49"/>
    <s v="DDR 2021 049 V1 - P00068_2021"/>
    <s v="P00068_2021"/>
    <s v="API dissolution analytical complements - OPTIONS"/>
    <m/>
    <s v="INV 0019/22"/>
    <d v="2021-07-22T00:00:00"/>
    <n v="4800"/>
    <s v="EUROS"/>
    <n v="863"/>
    <n v="3937"/>
    <n v="863"/>
    <m/>
  </r>
  <r>
    <s v="Clôturé"/>
    <x v="1"/>
    <m/>
    <x v="3"/>
    <m/>
    <x v="49"/>
    <s v="DDR 2021 072 V1 - P00165_2021"/>
    <s v="P00165_2021"/>
    <s v="ABX464 CAPS new size - Batch manufacturing / analysis + Project management"/>
    <m/>
    <s v="INV 0926/21 + INV 0026/22 + INV 0044/22 + INV 0074/22 + INV 0076/22 + INV 0110/22 + INV 0133/22 + INV 0240/22"/>
    <s v="30/06/2021 + 22/07/2021 + 10/08/2021 + 31/08/2021 + 31/08/2021 + 21/09/2021 + 27/09/2021 + 29/10/2021"/>
    <n v="77100"/>
    <s v="EUROS"/>
    <n v="77100"/>
    <n v="0"/>
    <n v="77100"/>
    <m/>
  </r>
  <r>
    <m/>
    <x v="1"/>
    <m/>
    <x v="3"/>
    <m/>
    <x v="49"/>
    <s v="DDR 2021 072 V1 - P00165_2021"/>
    <s v="P00165_2021"/>
    <s v="ABX464 CAPS new size - Option"/>
    <m/>
    <s v="INV 0240/22 + INV 0311/22"/>
    <s v="29/10/2021 + 30/11/2021"/>
    <n v="36400"/>
    <s v="EUROS"/>
    <n v="23021"/>
    <n v="13379"/>
    <n v="23021"/>
    <m/>
  </r>
  <r>
    <m/>
    <x v="1"/>
    <m/>
    <x v="3"/>
    <m/>
    <x v="49"/>
    <s v="DDR 2022 013 V1 - P00279_2021"/>
    <s v="P00279_2021"/>
    <s v="Stability studies size 4 and size 1"/>
    <m/>
    <s v="INV 0222/22 + INV 0506/22 + INV 0627/22 + INV 0624/22 + INV 0690/22 + INV 0720/22 + INV 0716/22 + INV 0767/22 + INV 0065/23 + INV 0253/23 + INV 0237/23 + INV 0504/23 + INV 0500/23 + INV 0911/23 + INV 0933/23 + INV 0335/25 + INV 0336/25"/>
    <s v="27/10/2021 + 23/02/2022 + 30/03/2022 + 30/03/2022 + 25/04/2022 + 29/04/2022 + 29/04/2022 + 30/05/2022 + 25/08/2022 + 28/10/2022 + 26/10/2022 + 31/01/2023 + 31/01/2023 + 28/06/2023 + 30/06/2023 + 16/12/2024 + 16/12/2024"/>
    <n v="247500"/>
    <s v="EUROS"/>
    <n v="231500"/>
    <n v="16000"/>
    <n v="231500"/>
    <m/>
  </r>
  <r>
    <s v="Clôturé"/>
    <x v="1"/>
    <m/>
    <x v="3"/>
    <m/>
    <x v="49"/>
    <s v="DDR 2022 027 V1 - P00325_2021"/>
    <s v="P00325_2021"/>
    <s v="ABX464 - Technical confirmation batches (3 batches)"/>
    <m/>
    <s v="INV 0321/22 + INV 0341/22"/>
    <s v="30/11/2021 + 14/12/2021"/>
    <n v="39500"/>
    <s v="EUROS"/>
    <n v="39500"/>
    <n v="0"/>
    <n v="39500"/>
    <m/>
  </r>
  <r>
    <m/>
    <x v="1"/>
    <m/>
    <x v="3"/>
    <m/>
    <x v="49"/>
    <s v="DDR 2022 027 V1 - P00348_2021"/>
    <s v="P00348_2021"/>
    <s v="MANUFACTURE OF TECHNICAL BATCHES ABX464 CAPSULE"/>
    <m/>
    <s v="INV 0375/22 + INV 0461/22 + INV 0536/22 + INV 0535/22 + INV 0534/22"/>
    <s v="20/12/2021 + 28/01/2022 + 28/02/2022 + 28/02/2022 + 28/02/2022"/>
    <n v="77100"/>
    <s v="EUROS"/>
    <n v="71689"/>
    <n v="5411"/>
    <n v="71689"/>
    <m/>
  </r>
  <r>
    <m/>
    <x v="1"/>
    <m/>
    <x v="3"/>
    <m/>
    <x v="49"/>
    <s v="DDR 2022 035 V1 - P00349_2021"/>
    <s v="P00349_2021"/>
    <s v="stability study on 4 technical batches"/>
    <m/>
    <s v="INV 0633/22 + INV 0693/22 + INV 0762/22 + INV 0149/23 + INV 0247/23 + INV 0390/23 + INV 0627/23 + INV 0118/24 + INV 0436/24 + INV 0601/24 + INV 0487/25"/>
    <s v="31/03/2022 + 25/04/2022 + 30/05/2022 + 28/09/2022 + 28/10/2022 + 19/12/2022 + 17/03/2023 + 28/09/2023 + 31/01/2024 + 29/03/2024 + 19/02/2025"/>
    <n v="158500"/>
    <s v="EUROS"/>
    <n v="108224"/>
    <n v="50276"/>
    <n v="108224"/>
    <m/>
  </r>
  <r>
    <m/>
    <x v="1"/>
    <m/>
    <x v="3"/>
    <m/>
    <x v="49"/>
    <s v="DDR 2022 035 V1 (option part) - P00355_2021"/>
    <s v="P00355_2021"/>
    <s v="stability study on 4 technical batches"/>
    <m/>
    <s v="INV 0467/22 + INV 0634/22 + INV 0694/22 + INV 0763/22 + INV 0883/22 + INV 0091/23 + INV 0238/23 + INV 0308/23 + INV 0502/23 + INV 0596/23 + INV 0684/23 + INV 0705/23 + INV 0063/24 + INV 0203/24 + INV 0602/24 + INV 0491/25+INV 0675/25"/>
    <s v="28/01/2022 + 31/03/2022 + 25/04/2022 + 30/05/2022 + 27/06/2022 + 31/08/2022 + 26/10/2022 + 28/11/2022 + 31/01/2023 + 27/02/2023 + 31/03/2023 + 19/04/2023 + 24/08/2023 + 30/10/2023 + 29/03/2024+ 19/02/2025+30/04/2025"/>
    <n v="145000"/>
    <s v="EUROS"/>
    <n v="103400"/>
    <n v="41600"/>
    <n v="103400"/>
    <m/>
  </r>
  <r>
    <m/>
    <x v="1"/>
    <m/>
    <x v="3"/>
    <m/>
    <x v="49"/>
    <s v="DDR 2022 054 V1 - P00124_2022"/>
    <s v="P00124_2022"/>
    <s v="stability study on 3 technical batches"/>
    <m/>
    <s v="INV 0709/22 + INV 0779/22 + INV 0067/23 + INV 0248/23 + INV 0231/23 + INV 0391/23 + INV 0506/23 + INV 0628/23 + INV 0821/23 + INV 0924/23 + INV 0437/24 + INV 0413/24 + INV 0833/24 + INV0763/25"/>
    <s v="26/04/2022 + 30/05/2022 + 25/08/2022 + 28/10/2022 + 26/10/2022 + 19/12/2022 + 31/01/2023 + 17/03/2023 + 31/05/2023 + 29/06/2023 + 31/01/2024 + 29/01/2024 + 28/06/2024+16/06/2025"/>
    <n v="126625"/>
    <s v="EUROS"/>
    <n v="117853"/>
    <n v="8772"/>
    <n v="117853"/>
    <m/>
  </r>
  <r>
    <m/>
    <x v="1"/>
    <m/>
    <x v="3"/>
    <m/>
    <x v="49"/>
    <s v="DDR 2024 037 V1 - P00100_2024"/>
    <s v="P00100_2024"/>
    <s v="ABX464 Process Optimization Trial Complements"/>
    <m/>
    <s v="INV 0605/24 + INV 0569/24 + INV 0835/24 +INV0384/25 + INV 0595/25"/>
    <s v="29/03/2024 + 22/03/2024 + 28/06/2024 +30/12/2024+31/03/2025"/>
    <n v="44000"/>
    <s v="EUROS"/>
    <n v="24220"/>
    <n v="19780"/>
    <n v="24220"/>
    <m/>
  </r>
  <r>
    <m/>
    <x v="1"/>
    <m/>
    <x v="3"/>
    <m/>
    <x v="49"/>
    <s v="DDR 2024 55 V1.0 - P00190_2024"/>
    <s v="P00190_2024"/>
    <s v="JetPharma API Technical batches"/>
    <m/>
    <s v="INV 0710/24"/>
    <d v="2024-05-28T00:00:00"/>
    <n v="42600"/>
    <s v="EUROS"/>
    <n v="2100"/>
    <n v="40500"/>
    <n v="2100"/>
    <m/>
  </r>
  <r>
    <m/>
    <x v="1"/>
    <m/>
    <x v="3"/>
    <s v="Saadia"/>
    <x v="49"/>
    <s v="DDR 2024 62 V1 - P00278_2024"/>
    <s v="P00278_2024"/>
    <s v="Assay method robustness activites"/>
    <m/>
    <s v="INV 0743/24 + INV 0830/24 + INV 0039/25"/>
    <s v="14/06/2024 + 27/06/2024 + 25/07/2024"/>
    <n v="13000"/>
    <s v="EUROS"/>
    <n v="12090"/>
    <n v="910"/>
    <n v="12090"/>
    <m/>
  </r>
  <r>
    <m/>
    <x v="1"/>
    <m/>
    <x v="3"/>
    <s v="Adrien K"/>
    <x v="49"/>
    <s v="DDR 2025 008 V1.0 - P00435_2024"/>
    <s v="P00435_2024"/>
    <s v="Blister PVC Stability Study"/>
    <m/>
    <s v="INV 0368/25 + INV 0442/25 + INV 0593/25"/>
    <s v="20/12/2024+31/01/2025+31/03/2025"/>
    <n v="13100"/>
    <s v="EUROS"/>
    <n v="7600"/>
    <n v="5500"/>
    <n v="7600"/>
    <m/>
  </r>
  <r>
    <s v="Clôturé"/>
    <x v="1"/>
    <m/>
    <x v="3"/>
    <s v="Saadia"/>
    <x v="49"/>
    <s v="DDR 2025 007 V1 - P00455_2024"/>
    <s v="P00455_2024"/>
    <s v="Assay method complementary validation"/>
    <m/>
    <s v="INV 0163/25  +INV 0488/25"/>
    <s v="15/10/2024+19/02/2025"/>
    <n v="2900"/>
    <s v="EUROS"/>
    <n v="2900"/>
    <n v="0"/>
    <n v="2900"/>
    <m/>
  </r>
  <r>
    <m/>
    <x v="1"/>
    <m/>
    <x v="3"/>
    <m/>
    <x v="49"/>
    <s v="DDR 2025 014 V1.0 - P00513_2024"/>
    <s v="P00513_2024"/>
    <s v="Transparent PVC-PVDC Blister Stab Study"/>
    <m/>
    <s v="INV 0369/25 + INV 0381/25 + INV 0594/25 + INV 0729/25 + INV 0033/26"/>
    <s v="20/12/2024 + 30/12/2024 + 31/03/2025 + 28/05/2025 + 25/07/2025"/>
    <n v="26500"/>
    <s v="EUROS"/>
    <n v="19071"/>
    <n v="7429"/>
    <n v="19071"/>
    <m/>
  </r>
  <r>
    <s v="Clôturé"/>
    <x v="2"/>
    <m/>
    <x v="3"/>
    <s v="Adrien K"/>
    <x v="49"/>
    <s v="DDR 2025 23 V1.0 - P00563_2024"/>
    <s v="P00563_2024"/>
    <s v="Discriminatory dissolution method"/>
    <m/>
    <s v="INV 0313/25 + INV 0401/25 + INV 0449/25"/>
    <s v="10/12/2024 + 15/01/2024 + 31/01/2025"/>
    <n v="52600"/>
    <s v="EUROS"/>
    <n v="52600"/>
    <n v="0"/>
    <n v="52600"/>
    <m/>
  </r>
  <r>
    <s v="Clôturé"/>
    <x v="1"/>
    <m/>
    <x v="3"/>
    <s v="Saadia"/>
    <x v="49"/>
    <s v="DDR 2025 021 V1 - P00558_2024"/>
    <s v="P00558_2024"/>
    <s v="WP1 +WP 2 - Solubility test + commun cost + Option 3"/>
    <m/>
    <s v="INV 0337/25 + INV 0502/25 + INV 0523/25 +INV 0676/25"/>
    <s v="16/12/2024+21/02/225+28/02/2025+30/04/2025"/>
    <n v="10800"/>
    <s v="EUROS"/>
    <n v="10800"/>
    <n v="0"/>
    <n v="10800"/>
    <m/>
  </r>
  <r>
    <s v="Clôturé"/>
    <x v="1"/>
    <m/>
    <x v="3"/>
    <s v="Saadia"/>
    <x v="49"/>
    <s v="DDR 2025 021 V1 - P00029_2025"/>
    <s v="P00029_2025"/>
    <s v="WP3 - Skin conditions for 3 drugs product"/>
    <m/>
    <s v="INV 0408/25 + INV0503/25"/>
    <s v="28/01/2025+21/02/2025"/>
    <n v="6000"/>
    <s v="EUROS"/>
    <n v="6000"/>
    <n v="0"/>
    <n v="6000"/>
    <m/>
  </r>
  <r>
    <m/>
    <x v="1"/>
    <m/>
    <x v="3"/>
    <s v="Saadia"/>
    <x v="49"/>
    <s v="DDR 2024 028 V1 - P00028_2025"/>
    <s v="P00028_2025"/>
    <s v="Dissolution trials"/>
    <m/>
    <s v="INV 0412/25 + INV 0413/25 + INV 0504/25+ INV 0524/25 + 0682/2025"/>
    <s v="28/01/2025 + 28/01/2025 + 21/02/2025 + 28/02/2025 + 30/04/2025"/>
    <n v="31400"/>
    <s v="EUROS"/>
    <n v="27400"/>
    <n v="4000"/>
    <n v="27400"/>
    <m/>
  </r>
  <r>
    <s v="Clôturé"/>
    <x v="1"/>
    <m/>
    <x v="3"/>
    <s v="Adrien K"/>
    <x v="49"/>
    <s v="DDR 2025 024 v1.0 - P00040_2025"/>
    <s v="P00040_2025"/>
    <s v="Comparaison Reims &amp; Lille results batch 50kg"/>
    <m/>
    <s v="INV 0452/25+ INV 0597/25"/>
    <s v="31/01/2025+31/03/2025"/>
    <n v="4300"/>
    <s v="EUROS"/>
    <n v="6800"/>
    <n v="0"/>
    <n v="6800"/>
    <m/>
  </r>
  <r>
    <s v="Clôturé"/>
    <x v="1"/>
    <m/>
    <x v="3"/>
    <s v="Adrien K"/>
    <x v="47"/>
    <s v="DDR 2025 024 v1.0 - P00040_2025"/>
    <s v="P00040_2025"/>
    <s v="Comparaison Reims &amp; Lille results batch 50kg"/>
    <m/>
    <s v="INV 10000879 + INV 10001317"/>
    <s v="07/02/2025+25/04/25"/>
    <n v="2500"/>
    <s v="EUROS"/>
    <n v="2500"/>
    <n v="0"/>
    <n v="2500"/>
    <m/>
  </r>
  <r>
    <m/>
    <x v="1"/>
    <m/>
    <x v="3"/>
    <s v="Adrien K"/>
    <x v="49"/>
    <s v="DDR 2025 015 v1.0 - P00065_2025"/>
    <s v="P00065_2025"/>
    <s v="JetPharma API Technical batches Q1 2025"/>
    <m/>
    <s v="INV 0445/25+INV 0545/25 + INV 0596/25 + INV 0892/25"/>
    <s v="31/01/2025+12/03/2025+31/03/2025+30/06/2025"/>
    <n v="56900"/>
    <s v="EUROS"/>
    <n v="39715"/>
    <n v="17185"/>
    <n v="39715"/>
    <m/>
  </r>
  <r>
    <s v="OUT ?"/>
    <x v="9"/>
    <m/>
    <x v="3"/>
    <m/>
    <x v="50"/>
    <s v="ABI-1026 - P00264"/>
    <s v="P00264"/>
    <s v="Synthèse chimique of matrials for GMP ABX ABX196"/>
    <m/>
    <m/>
    <m/>
    <n v="52000"/>
    <s v="GBP"/>
    <n v="66040"/>
    <n v="0"/>
    <n v="66040"/>
    <m/>
  </r>
  <r>
    <s v="Clôturé"/>
    <x v="1"/>
    <m/>
    <x v="8"/>
    <m/>
    <x v="51"/>
    <s v="SRV_21066 - P00189_2021"/>
    <s v="P00189_2021"/>
    <s v="EMA Scientific Advise Briefing Package Prepartion and Sub ABX464"/>
    <m/>
    <s v="INV 3455 + INV 3539 + INV 3640 + INV 3725 + INV 3831 + INV 3942 + INV 4054 + INV 4154 + INV 4245"/>
    <s v="30/06/2021 + 31/07/2021 + 31/08/2021 + 30/09/2021 + 31/10/2021 + 30/11/2021 + 31/12/2021 + 31/01/2022 + 28/02/2022"/>
    <n v="40205"/>
    <s v="GBP"/>
    <n v="55381.25"/>
    <n v="0"/>
    <n v="55381.25"/>
    <m/>
  </r>
  <r>
    <s v="OUT ?"/>
    <x v="1"/>
    <m/>
    <x v="8"/>
    <m/>
    <x v="51"/>
    <s v="SRV_21066 - P00189_2021"/>
    <s v="P00189_2021"/>
    <s v="Preparation for US FDA breifing book for EOP2 Meeting"/>
    <m/>
    <s v="INV 4346 + INV 4414 + INV 5047"/>
    <s v="31/03/2022 + 30/04/2022 + 31/12/2022"/>
    <n v="25455"/>
    <s v="GBP"/>
    <n v="6957.5"/>
    <n v="18497.5"/>
    <n v="6957.5"/>
    <s v="A CLOTURER ?"/>
  </r>
  <r>
    <s v="OUT ?"/>
    <x v="1"/>
    <m/>
    <x v="8"/>
    <m/>
    <x v="51"/>
    <s v="SRV_21067 - P00190_2021"/>
    <s v="P00190_2021"/>
    <s v="EMA CMC Scientific Advise Packaging Review and Sub"/>
    <m/>
    <s v="INV 4346"/>
    <d v="2022-03-31T00:00:00"/>
    <n v="6350"/>
    <s v="GBP"/>
    <n v="472.5"/>
    <n v="5877.5"/>
    <n v="472.5"/>
    <s v="A CLOTURER ?"/>
  </r>
  <r>
    <s v="OUT ?"/>
    <x v="1"/>
    <m/>
    <x v="8"/>
    <m/>
    <x v="51"/>
    <s v="SRV_21072_A1  - P00225_2022"/>
    <s v="P00225_2022"/>
    <s v="Support adhoc"/>
    <m/>
    <s v="INV 4723"/>
    <d v="2022-08-31T00:00:00"/>
    <n v="30460"/>
    <s v="GBP"/>
    <n v="2562.5"/>
    <n v="27897.5"/>
    <n v="2562.5"/>
    <s v="A CLOTURER ?"/>
  </r>
  <r>
    <s v="OUT ?"/>
    <x v="1"/>
    <m/>
    <x v="8"/>
    <m/>
    <x v="51"/>
    <s v="SRV_21072_A2  - P00281_2022"/>
    <s v="P00281_2022"/>
    <s v="Support adhoc"/>
    <m/>
    <m/>
    <m/>
    <n v="43485"/>
    <s v="GBP"/>
    <m/>
    <n v="43485"/>
    <n v="0"/>
    <s v="A CLOTURER ? mail envoyé a Mary pour savoir si remplace PO00225 le 19/09/22"/>
  </r>
  <r>
    <s v="OUT ?"/>
    <x v="1"/>
    <m/>
    <x v="8"/>
    <m/>
    <x v="51"/>
    <s v="SRV_22103  - P00352_2022"/>
    <s v="P00352_2022"/>
    <s v="WO7 - Senior Regulatory Executive 585 € - 11/2022 a 04/2023"/>
    <m/>
    <s v="INV 4969 + INV 5044 + INV 5137 + INV 5199 + INV 5273 + INV 5364 + INV 5456 + INV 5541 + INV 5670"/>
    <s v="30/11/2022 + 31/12/2022 + 31/01/2023 + 28/02/2023 + 31/03/2023 + 30/04/2023 + 31/05/2023 + 30/06/2023 (recu 07/2023) + 31/07/2023"/>
    <n v="61425"/>
    <s v="GBP"/>
    <n v="57055"/>
    <n v="4370"/>
    <n v="57055"/>
    <s v="A CLOTURER ?"/>
  </r>
  <r>
    <s v="Clôturé"/>
    <x v="2"/>
    <m/>
    <x v="0"/>
    <s v="Aude G"/>
    <x v="52"/>
    <s v="783085 - P00035_2025"/>
    <s v="P00035_2025"/>
    <s v="Consommable Labo"/>
    <m/>
    <s v="INV 4063741"/>
    <d v="2025-01-24T00:00:00"/>
    <n v="864.44"/>
    <s v="EUROS"/>
    <n v="864.44"/>
    <n v="0"/>
    <n v="864.44"/>
    <m/>
  </r>
  <r>
    <m/>
    <x v="3"/>
    <m/>
    <x v="7"/>
    <s v="Kevin S"/>
    <x v="53"/>
    <s v="MSA_24154_W1"/>
    <m/>
    <s v="UC105 - WO#1 biostatistics programming"/>
    <m/>
    <s v="INV ABX001 + INV ABX005 + INV ABX009 + INV ABX013 + INV ABX017 + INV ABX021 + INV ABX025 + ABX033 +ABX029 + Inv ABX037 + INV ABX040 - CM-ABX040"/>
    <s v="16/01/2025 + 16/01/2025 + 16/01/2025 + 16/01/2025 + 09/04/2025 + 09/04/2025 + 09/04/2025 + 19/06/2025 + 30/05/2025 + 17/07/2025 + 22/08/2025 + 22/09/2025"/>
    <n v="359450"/>
    <s v="USD"/>
    <n v="424329.27"/>
    <n v="0"/>
    <n v="424329.27"/>
    <m/>
  </r>
  <r>
    <m/>
    <x v="23"/>
    <m/>
    <x v="7"/>
    <s v="Kevin S"/>
    <x v="53"/>
    <s v="MSA_24154_W2"/>
    <m/>
    <s v="UC106 - WO#2 biostatistics programming"/>
    <m/>
    <s v="INV ABX002 + INV ABX006 + INV ABX010 + INV ABX014 + INV ABX018 + ABX022 + ABX026 + ABX034 +ABX030 + INV ABX038 + INV ABX041 - CM-ABX041"/>
    <s v="16/01/2025 + 16/01/2025 + 16/01/2025 + 16/01/2025 + 09/04/2025 + 09/04/2025 + 09/04/2025 + 19/06/2025 + 30/05+2025 + 17/07/2025 + 22/08/2025 + 22/09/2025"/>
    <n v="355174"/>
    <s v="USD"/>
    <n v="390251.04999999993"/>
    <n v="0"/>
    <n v="390251.04999999993"/>
    <m/>
  </r>
  <r>
    <m/>
    <x v="8"/>
    <m/>
    <x v="7"/>
    <s v="Kevin S"/>
    <x v="53"/>
    <s v="MSA_24154_W3"/>
    <m/>
    <s v="UC107 - WO#3 biostatistics programming"/>
    <m/>
    <s v="INV ABX003 + INV ABX007 + INV ABX011 + INV ABX015 + INV ABX019 + INV ABX023 + INV ABX027 +INV ABX035 +INV ABX031 - CM-ABX031 - CM-ABX035 + INV ABX039 + INV ABX042"/>
    <s v="16/01/2025 + 16/01/2025 + 16/01/2025 + 16/01/2025 + 09/04/2025 + 09/04/2025 + 09/04/2025 + 19/06/2025 + 30/05/2025 + 23/07/2025 + 23/07/2025 + 17/07/2025 + 22/08/2025"/>
    <n v="622346"/>
    <s v="USD"/>
    <n v="150633.54999999999"/>
    <n v="471712.45"/>
    <n v="150633.54999999999"/>
    <m/>
  </r>
  <r>
    <m/>
    <x v="7"/>
    <m/>
    <x v="7"/>
    <s v="Kevin S"/>
    <x v="53"/>
    <s v="MSA_24154_W4"/>
    <m/>
    <s v="CD202 - WO#4 biostatistics programming"/>
    <m/>
    <s v="INV ABX004 + INV ABX008 + INV ABX012 + INV ABX016 + INV ABX020 + INV ABX024 + INV ABX028 + INVABX032 + INV ABX036 - CM-ABX032 - CM-ABX036 + INV ABX036V2"/>
    <s v="16/01/2025 + 16/01/2025 + 16/01/2025 + 16/01/2025 + 09/04/2025 + 09/04/2025 + 09/04/2025+30/05/2025 + 23/07/2025 + 23/07/2025 + 23/07/2025"/>
    <n v="784541"/>
    <s v="USD"/>
    <n v="4864.8100000000022"/>
    <n v="779676.19"/>
    <n v="4864.8100000000022"/>
    <m/>
  </r>
  <r>
    <s v="Clôturé"/>
    <x v="1"/>
    <m/>
    <x v="3"/>
    <s v="Saadia"/>
    <x v="54"/>
    <s v="10049679 - P00453_2024"/>
    <s v="P00453_2024"/>
    <s v="Online EP access renewal 2025 - 01/2025 to 12/2025"/>
    <m/>
    <s v="INV 90655372 "/>
    <d v="2024-10-03T00:00:00"/>
    <n v="2166"/>
    <s v="EUROS"/>
    <n v="2166"/>
    <n v="0"/>
    <n v="2166"/>
    <m/>
  </r>
  <r>
    <s v="Clôturé"/>
    <x v="1"/>
    <m/>
    <x v="0"/>
    <s v="Aude G"/>
    <x v="55"/>
    <s v="commande janvier 2025 - P00568_2024"/>
    <s v="P00568_2024"/>
    <s v="Consommable Labo - janvier 2025"/>
    <m/>
    <s v="INV 0090076357 + INV 0090076358 + INV 0090076359 + INV 0090076360 - (0090093484+0090096483+0090096482+0090096481) + (235+234+232+236)"/>
    <s v="31/01/2025x4 - (25/03/2025) + (30/03/2025)"/>
    <n v="735.86"/>
    <s v="EUROS"/>
    <n v="735.8599999999999"/>
    <n v="0"/>
    <n v="735.8599999999999"/>
    <m/>
  </r>
  <r>
    <s v="Clôturé"/>
    <x v="1"/>
    <m/>
    <x v="0"/>
    <s v="Aude G"/>
    <x v="55"/>
    <s v="commande février 2025 - P00569_2024"/>
    <s v="P00569_2024"/>
    <s v="Consommable Labo - février 2025"/>
    <m/>
    <s v="INV 0090087774 + INV 0090087769 + INV 0090087770 + INV 0090087771 + 0090087772 + INV 0090087773 - (0090096499+0090096498+0090096497+0090096496+0090096494+0090096493) + (0090099242+0090099241+240+239+238+237)"/>
    <s v="28/02/2025 + 28/02/2025 + 28/02/2025 + 28/02/2025 + 28/02/2025 + 28/02/2025 - (25/03/2025) + 30/03/2025"/>
    <n v="1471.72"/>
    <s v="EUROS"/>
    <n v="1103.79"/>
    <n v="0"/>
    <n v="1103.79"/>
    <m/>
  </r>
  <r>
    <s v="Clôturé"/>
    <x v="1"/>
    <m/>
    <x v="0"/>
    <s v="Aude G"/>
    <x v="55"/>
    <s v="commande mars 2025 - P00570_2024"/>
    <s v="P00570_2024"/>
    <s v="Consommable Labo - mars 2025"/>
    <m/>
    <s v="INV 0090099243+INV 0090099244+INV 0090099233+INV 0090099249+INV 0090099245+INV 0090099246+INV 0090099247+INV 0090099248)"/>
    <d v="2025-03-31T00:00:00"/>
    <n v="1471.72"/>
    <s v="EUROS"/>
    <n v="1471.7199999999998"/>
    <n v="2.2737367544323206E-13"/>
    <n v="1471.7199999999998"/>
    <m/>
  </r>
  <r>
    <s v="Clôturé"/>
    <x v="1"/>
    <m/>
    <x v="0"/>
    <s v="Aude G"/>
    <x v="55"/>
    <s v="commande avril 2025 - P00571_2024"/>
    <s v="P00571_2024"/>
    <s v="Consommable Labo - avril 2025"/>
    <m/>
    <s v="INV 0090115790 + INV 0090115791 + INV 0090115792 + INV 0090115793 + INV 0090115794"/>
    <s v="30/04/2025*5"/>
    <n v="1103.79"/>
    <s v="EUROS"/>
    <n v="739.3"/>
    <n v="0"/>
    <n v="739.3"/>
    <m/>
  </r>
  <r>
    <s v="Clôturé"/>
    <x v="1"/>
    <m/>
    <x v="0"/>
    <s v="Aude G"/>
    <x v="55"/>
    <s v="commande mai 2025 - P00572_2024"/>
    <s v="P00572_2024"/>
    <s v="Consommable Labo - mai 2025"/>
    <m/>
    <s v="INV 0090126866 + INV 0090126865"/>
    <s v="31/05/2025 + 31/05/2025"/>
    <n v="367.93"/>
    <s v="EUROS"/>
    <n v="247.58"/>
    <n v="0"/>
    <n v="247.58"/>
    <m/>
  </r>
  <r>
    <s v="Clôturé"/>
    <x v="1"/>
    <m/>
    <x v="0"/>
    <s v="Aude G"/>
    <x v="55"/>
    <s v="commande juin 2025 - P00573_2024"/>
    <s v="P00573_2024"/>
    <s v="Consommable Labo - juin 2025"/>
    <m/>
    <s v="INV 0090139054 + INV 0090139053 + INV 0090139052 + INV 0090139051"/>
    <d v="2025-06-30T00:00:00"/>
    <n v="735.86"/>
    <s v="EUROS"/>
    <n v="735.86"/>
    <n v="0"/>
    <n v="735.86"/>
    <m/>
  </r>
  <r>
    <s v="OUT ?"/>
    <x v="16"/>
    <m/>
    <x v="8"/>
    <m/>
    <x v="56"/>
    <s v="EMA - P00252_2021"/>
    <s v="P00252_2021"/>
    <s v="Scientific Advise EMA 2021"/>
    <m/>
    <m/>
    <m/>
    <n v="6680"/>
    <s v="EUROS"/>
    <m/>
    <n v="6680"/>
    <n v="0"/>
    <m/>
  </r>
  <r>
    <s v="Clôturé"/>
    <x v="5"/>
    <m/>
    <x v="2"/>
    <m/>
    <x v="57"/>
    <s v="UC-103 WO3 - WO3 A1 - WO3 A2 - WO3 A3"/>
    <m/>
    <s v="I. Study start-up - 2019"/>
    <m/>
    <s v="INV 21900023"/>
    <d v="2019-01-15T00:00:00"/>
    <n v="42600"/>
    <s v="EUROS"/>
    <n v="42600"/>
    <n v="0"/>
    <n v="42600"/>
    <s v="CENTRAL LAB TOUJOURS D'ACTU ? 07/2025?"/>
  </r>
  <r>
    <s v="Clôturé"/>
    <x v="5"/>
    <m/>
    <x v="2"/>
    <m/>
    <x v="57"/>
    <s v="UC-103 WO3 - WO3 A1 - WO3 A2 - WO3 A3"/>
    <m/>
    <s v="I. Study start-up - 2020"/>
    <m/>
    <s v="INV 22000097 + INV 22000235 + INV 22001607"/>
    <s v="20/01/2020 + 17/02/2020 + 21/12/2020"/>
    <n v="44462.5"/>
    <s v="EUROS"/>
    <n v="44462.5"/>
    <n v="0"/>
    <n v="44462.5"/>
    <s v="CENTRAL LAB TOUJOURS D'ACTU ? 07/2025?"/>
  </r>
  <r>
    <s v="Clôturé"/>
    <x v="5"/>
    <m/>
    <x v="2"/>
    <m/>
    <x v="57"/>
    <s v="UC-103 WO3 - WO3 A1 - WO3 A2 - WO3 A3"/>
    <m/>
    <s v="I. Study start-up - 2021"/>
    <m/>
    <s v="INV 22100621 + INV 22100967"/>
    <s v="31/05/2021 + 22/08/2021"/>
    <n v="6000"/>
    <s v="EUROS"/>
    <n v="6000"/>
    <n v="0"/>
    <n v="6000"/>
    <s v="CENTRAL LAB TOUJOURS D'ACTU ? 07/2025?"/>
  </r>
  <r>
    <m/>
    <x v="5"/>
    <m/>
    <x v="2"/>
    <m/>
    <x v="57"/>
    <s v="UC-103 WO3 - WO3 A1 - WO3 A2 - WO3 A3"/>
    <m/>
    <s v="I. Study start-up - 2022 ?"/>
    <m/>
    <m/>
    <m/>
    <n v="501"/>
    <s v="EUROS"/>
    <m/>
    <n v="501"/>
    <n v="0"/>
    <s v="CENTRAL LAB TOUJOURS D'ACTU ? 07/2025?"/>
  </r>
  <r>
    <s v="Clôturé"/>
    <x v="5"/>
    <m/>
    <x v="2"/>
    <m/>
    <x v="57"/>
    <s v="UC-103 WO3 - WO3 A1 - WO3 A2 - WO3 A3"/>
    <m/>
    <s v="II. Project &amp; Data Management - 2019"/>
    <m/>
    <s v="INV 21900878+INV 21901052+INV 21901206+INV 21901295+INV 201901484+INV 21901615"/>
    <s v="08/07/2019+16/08/2019+16/09/2019+16/10/2019+18/11/2019+16/12/2019"/>
    <n v="20030.5"/>
    <s v="EUROS"/>
    <n v="20030.5"/>
    <n v="0"/>
    <n v="20030.5"/>
    <s v="CENTRAL LAB TOUJOURS D'ACTU ? 07/2025?"/>
  </r>
  <r>
    <s v="Clôturé"/>
    <x v="5"/>
    <m/>
    <x v="2"/>
    <m/>
    <x v="57"/>
    <s v="UC-103 WO3 - WO3 A1 - WO3 A2 - WO3 A3"/>
    <m/>
    <s v="II. Project &amp; Data Management - 2020"/>
    <m/>
    <s v="INV 22000097 + INV 22000235 + INV 22000385 + INV 22000519 + INV 22000642 + INV 22000745 + INV 22000943 + INV 22001050 + INV 22001189 + INV 22001290 + INV 22001429 + INV 22001607"/>
    <s v="20/01/2020 + 17/02/2020+ 18/03/2020 + 17/04/2020 + 18/05/2020 + 15/06/2020 + 15/07/2020 + 14/08/2020 + 17/09/2020 + 15/10/2020 + 24/11/2020 + 21/12/2020"/>
    <n v="136608.82999999999"/>
    <s v="EUROS"/>
    <n v="136608.82999999999"/>
    <n v="0"/>
    <n v="136608.82999999999"/>
    <s v="CENTRAL LAB TOUJOURS D'ACTU ? 07/2025?"/>
  </r>
  <r>
    <m/>
    <x v="5"/>
    <m/>
    <x v="2"/>
    <m/>
    <x v="57"/>
    <s v="UC-103 WO3 - WO3 A1 - WO3 A2 - WO3 A3"/>
    <m/>
    <s v="II. Project &amp; Data Management - 2021-2022-2023"/>
    <m/>
    <s v="INV 22100067 + INV 22100200 + INV 22100344 + INV 22100476 + INV 22100621 + INV 22100723 + INV 22100867 + INV 22200148"/>
    <s v="22/01/2021 + 18/02/2021 + 23/03/2021 + 22/04/2021 + 31/05/2021 + 22/06/2021 + 23/07/2021 + 21/02/2022"/>
    <n v="-101639.32999999999"/>
    <s v="EUROS"/>
    <n v="37900"/>
    <n v="0"/>
    <n v="37900"/>
    <s v="CENTRAL LAB TOUJOURS D'ACTU ? 07/2025?"/>
  </r>
  <r>
    <s v="Clôturé"/>
    <x v="5"/>
    <m/>
    <x v="2"/>
    <m/>
    <x v="57"/>
    <s v="UC-103 WO3 - WO3 A1 - WO3 A2 - WO3 A3"/>
    <m/>
    <s v="III. Kits and Supplies - 2019"/>
    <m/>
    <s v="INV 21901295+INV 21901484+ INV 21901615"/>
    <s v="16/10/2019+18/11/2021+16/12/2019"/>
    <n v="194904.36"/>
    <s v="EUROS"/>
    <n v="194904.36"/>
    <n v="0"/>
    <n v="194904.36"/>
    <s v="CENTRAL LAB TOUJOURS D'ACTU ? 07/2025?"/>
  </r>
  <r>
    <s v="Clôturé"/>
    <x v="5"/>
    <m/>
    <x v="2"/>
    <m/>
    <x v="57"/>
    <s v="UC-103 WO3 - WO3 A1 - WO3 A2 - WO3 A3"/>
    <m/>
    <s v="III. Kits and Supplies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28097.5"/>
    <s v="EUROS"/>
    <n v="328097.5"/>
    <n v="0"/>
    <n v="328097.5"/>
    <s v="CENTRAL LAB TOUJOURS D'ACTU ? 07/2025?"/>
  </r>
  <r>
    <s v="Clôturé"/>
    <x v="5"/>
    <m/>
    <x v="2"/>
    <m/>
    <x v="57"/>
    <s v="UC-103 WO3 - WO3 A1 - WO3 A2 - WO3 A3"/>
    <m/>
    <s v="III. Kits and Supplies - 2021"/>
    <m/>
    <s v="INV 22100067 + INV 22100200 + INV 22100344 + INV 22100476 + INV 22100621 + INV 22100867"/>
    <s v="22/01/2021 + 18/02/2021 + 23/03/2021 + 22/04/2021 + 31/05/2021 + 23/07/2021"/>
    <n v="19290.38"/>
    <s v="EUROS"/>
    <n v="19290.38"/>
    <n v="0"/>
    <n v="19290.38"/>
    <s v="CENTRAL LAB TOUJOURS D'ACTU ? 07/2025?"/>
  </r>
  <r>
    <m/>
    <x v="5"/>
    <m/>
    <x v="2"/>
    <m/>
    <x v="57"/>
    <s v="UC-103 WO3 - WO3 A1 - WO3 A2 - WO3 A3"/>
    <m/>
    <s v="III. Kits and Supplies - 2022-2023"/>
    <m/>
    <s v="INV 22200148"/>
    <d v="2022-02-21T00:00:00"/>
    <n v="67889.760000000009"/>
    <s v="EUROS"/>
    <n v="1340.69"/>
    <n v="66549.070000000007"/>
    <n v="1340.69"/>
    <s v="CENTRAL LAB TOUJOURS D'ACTU ? 07/2025?"/>
  </r>
  <r>
    <s v="Clôturé"/>
    <x v="5"/>
    <m/>
    <x v="2"/>
    <m/>
    <x v="57"/>
    <s v="UC-103 WO3 - WO3 A1 - WO3 A2 - WO3 A3"/>
    <m/>
    <s v="IV. Specimen Management - 2019"/>
    <m/>
    <m/>
    <m/>
    <n v="0"/>
    <s v="EUROS"/>
    <m/>
    <n v="0"/>
    <n v="0"/>
    <s v="CENTRAL LAB TOUJOURS D'ACTU ? 07/2025?"/>
  </r>
  <r>
    <s v="Clôturé"/>
    <x v="5"/>
    <m/>
    <x v="2"/>
    <m/>
    <x v="57"/>
    <s v="UC-103 WO3 - WO3 A1 - WO3 A2 - WO3 A3"/>
    <m/>
    <s v="IV. Specimen Management - 2020"/>
    <m/>
    <s v="INV 22001429 + INV 22001607"/>
    <s v="24/11/2020 + 21/12/2020"/>
    <n v="27485.260000000002"/>
    <s v="EUROS"/>
    <n v="27485.260000000002"/>
    <n v="0"/>
    <n v="27485.260000000002"/>
    <s v="CENTRAL LAB TOUJOURS D'ACTU ? 07/2025?"/>
  </r>
  <r>
    <s v="Clôturé"/>
    <x v="5"/>
    <m/>
    <x v="2"/>
    <m/>
    <x v="57"/>
    <s v="UC-103 WO3 - WO3 A1 - WO3 A2 - WO3 A3"/>
    <m/>
    <s v="IV. Specimen Management - 2021"/>
    <m/>
    <s v="INV 22100067 + INV 22100200 + INV 22100344 + INV 22100476 + INV 22100621 + INV 22100723 + INV 22100867 + INV 22100967 + INV 22101124 + INV 22101260 + INV 22101309 + INV 22101514"/>
    <s v="22/01/2021 + 18/02/2021 + 23/03/2021 + 22/04/2021 + 31/05/2021 + 22/06/2021 + 23/07/2021 + 22/08/2021 + 23/09/2021 + 20/10/2021 + 18/11/2021 + 21/12/2021"/>
    <n v="119550.70999999999"/>
    <s v="EUROS"/>
    <n v="119550.70999999999"/>
    <n v="0"/>
    <n v="119550.70999999999"/>
    <s v="CENTRAL LAB TOUJOURS D'ACTU ? 07/2025?"/>
  </r>
  <r>
    <s v="Clôturé"/>
    <x v="5"/>
    <m/>
    <x v="2"/>
    <m/>
    <x v="57"/>
    <s v="UC-103 WO3 - WO3 A1 - WO3 A2 - WO3 A3"/>
    <m/>
    <s v="IV. Specimen Management - 2022"/>
    <m/>
    <s v="INV 22200042 + INV 22200148 + INV 22200347 + INV 22200429 + INV 22200551 + INV 22200641 + INV 22200765 + INV 22200957 + INV 22200958 + INV 22201103 + INV 22201272 + INV 22201472"/>
    <s v="20/01/2022 + 21/02/2022 + 23/03/2022 + 22/04/2022 + 19/05/2022 + 22/06/2022 + 20/07/2022 + 22/08/2022 + 21/09/2022 + 20/10/2022 + 18/11/2022 + 21/12/2022"/>
    <n v="69801.780000000013"/>
    <s v="EUROS"/>
    <n v="69801.780000000013"/>
    <n v="0"/>
    <n v="69801.780000000013"/>
    <s v="CENTRAL LAB TOUJOURS D'ACTU ? 07/2025?"/>
  </r>
  <r>
    <m/>
    <x v="5"/>
    <m/>
    <x v="2"/>
    <m/>
    <x v="57"/>
    <s v="UC-103 WO3 - WO3 A1 - WO3 A2 - WO3 A3"/>
    <m/>
    <s v="IV. Specimen Management - 2023"/>
    <m/>
    <s v="INV 22300003"/>
    <d v="2023-01-20T00:00:00"/>
    <n v="83707.25"/>
    <s v="EUROS"/>
    <n v="2652.19"/>
    <n v="81055.06"/>
    <n v="2652.19"/>
    <s v="CENTRAL LAB TOUJOURS D'ACTU ? 07/2025?"/>
  </r>
  <r>
    <s v="Clôturé"/>
    <x v="5"/>
    <m/>
    <x v="2"/>
    <m/>
    <x v="57"/>
    <s v="UC-103 WO3 - WO3 A1 - WO3 A2 - WO3 A3"/>
    <m/>
    <s v="V. Laboratory Analysis - 2019"/>
    <m/>
    <m/>
    <m/>
    <n v="0"/>
    <s v="EUROS"/>
    <m/>
    <n v="0"/>
    <n v="0"/>
    <s v="CENTRAL LAB TOUJOURS D'ACTU ? 07/2025?"/>
  </r>
  <r>
    <s v="Clôturé"/>
    <x v="5"/>
    <m/>
    <x v="2"/>
    <m/>
    <x v="57"/>
    <s v="UC-103 WO3 - WO3 A1 - WO3 A2 - WO3 A3"/>
    <m/>
    <s v="V. Laboratory Analysis - 2020"/>
    <m/>
    <s v="INV 22000385 + INV 22000519 + INV 22000642 + INV 22000745 + INV 22000943 + INV 22001050 + INV 22001189 + INV 22001290 + INV 22001429 + INV 22001607"/>
    <s v="18/03/2020 + 17/04/2020 + 18/05/2020 + 15/06/2020 + 15/07/2020 + 14/08/2020 + 17/09/2020 + 15/10/2020 + 24/11/2020 + 21/12/2020"/>
    <n v="271821.99"/>
    <s v="EUROS"/>
    <n v="271821.99"/>
    <n v="0"/>
    <n v="271821.99"/>
    <s v="CENTRAL LAB TOUJOURS D'ACTU ? 07/2025?"/>
  </r>
  <r>
    <s v="Clôturé"/>
    <x v="5"/>
    <m/>
    <x v="2"/>
    <m/>
    <x v="57"/>
    <s v="UC-103 WO3 - WO3 A1 - WO3 A2 - WO3 A3"/>
    <m/>
    <s v="V. Laboratory Analysis - 2021"/>
    <m/>
    <s v="INV 22100067 + INV 22100200 + INV 22100344 + INV 22100476 + INV 22100621 + INV 22100723 + INV 22101124"/>
    <s v="22/01/2021 + 18/02/2021 + 23/03/2021 + 22/04/2021 + 31/05/2021 + 22/06/2021 + 23/09/2021"/>
    <n v="154629.57"/>
    <s v="EUROS"/>
    <n v="154629.57"/>
    <n v="0"/>
    <n v="154629.57"/>
    <s v="CENTRAL LAB TOUJOURS D'ACTU ? 07/2025?"/>
  </r>
  <r>
    <m/>
    <x v="5"/>
    <m/>
    <x v="2"/>
    <m/>
    <x v="57"/>
    <s v="UC-103 WO3 - WO3 A1 - WO3 A2 - WO3 A3"/>
    <m/>
    <s v="V. Laboratory Analysis - 2022-2023"/>
    <m/>
    <s v="INV 22200148"/>
    <d v="2022-02-21T00:00:00"/>
    <n v="74273.440000000002"/>
    <s v="EUROS"/>
    <n v="-1445.85"/>
    <n v="75719.290000000008"/>
    <n v="-1445.85"/>
    <s v="CENTRAL LAB TOUJOURS D'ACTU ? 07/2025?"/>
  </r>
  <r>
    <s v="Clôturé"/>
    <x v="5"/>
    <m/>
    <x v="2"/>
    <m/>
    <x v="57"/>
    <s v="UC-103 WO3 - WO3 A1 - WO3 A2 - WO3 A3"/>
    <m/>
    <s v="VI. PTC Transport and Rental - 2019"/>
    <m/>
    <s v="INV 21900878+INV 21901052+INV 21901206+INV 21901295+INV 201901484+INV 21901615"/>
    <s v="08/07/2019+16/08/2021+16/09/2021+16/10/2019+18/11/2019+16/12/2019"/>
    <n v="30706.559999999998"/>
    <s v="EUROS"/>
    <n v="30706.559999999998"/>
    <n v="0"/>
    <n v="30706.559999999998"/>
    <s v="CENTRAL LAB TOUJOURS D'ACTU ? 07/2025?"/>
  </r>
  <r>
    <s v="Clôturé"/>
    <x v="5"/>
    <m/>
    <x v="2"/>
    <m/>
    <x v="57"/>
    <s v="UC-103 WO3 - WO3 A1 - WO3 A2 - WO3 A3"/>
    <m/>
    <s v="VI. PTC Transport and Rental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30442.26999999996"/>
    <s v="EUROS"/>
    <n v="330442.26999999996"/>
    <n v="0"/>
    <n v="330442.26999999996"/>
    <s v="CENTRAL LAB TOUJOURS D'ACTU ? 07/2025?"/>
  </r>
  <r>
    <s v="Clôturé"/>
    <x v="5"/>
    <m/>
    <x v="2"/>
    <m/>
    <x v="57"/>
    <s v="UC-103 WO3 - WO3 A1 - WO3 A2 - WO3 A3"/>
    <m/>
    <s v="VI. PTC Transport and Rental - 2021"/>
    <m/>
    <s v="INV 22100067 + INV 22100200 + INV 22100344 + INV 22100476 + INV 22100621 + INV 22100723 + INV 22100867 + INV 22100967 + INV 22101260 + INV 22101309 + INV 22101514"/>
    <s v="22/01/2021 + 18/02/2021 + 23/03/2021 + 22/04/2021 + 31/05/2021 + 22/06/2021 + 23/07/2021 + 22/08/2021 + 20/10/2021 + 18/11/2021 + 21/12/2021"/>
    <n v="95658.54"/>
    <s v="EUROS"/>
    <n v="95658.54"/>
    <n v="0"/>
    <n v="95658.54"/>
    <s v="CENTRAL LAB TOUJOURS D'ACTU ? 07/2025?"/>
  </r>
  <r>
    <s v="Clôturé"/>
    <x v="5"/>
    <m/>
    <x v="2"/>
    <m/>
    <x v="57"/>
    <s v="UC-103 WO3 - WO3 A1 - WO3 A2 - WO3 A3"/>
    <m/>
    <s v="VI. PTC Transport and Rental - 2022"/>
    <m/>
    <s v="INV 22200042 + INV 22200148 + INV 22200347 + INV 22200429 + INV 22200551 + INV 22200641 + INV 22200765 + INV 22200957 + INV 22200958 + INV 22201103 + INV 22201272 + INV 22201472"/>
    <s v="20/01/2022 + 21/02/2022 + 22/03/2022 + 22/04/2022 + 19/05/2022 + 22/06/2022 + 20/07/2022 + 22/08/2022 + 21/09/2022 + 20/10/2022 + 18/11/2022 + 21/12/2022"/>
    <n v="16962.420000000002"/>
    <s v="EUROS"/>
    <n v="16962.420000000002"/>
    <n v="0"/>
    <n v="16962.420000000002"/>
    <s v="CENTRAL LAB TOUJOURS D'ACTU ? 07/2025?"/>
  </r>
  <r>
    <m/>
    <x v="5"/>
    <m/>
    <x v="2"/>
    <m/>
    <x v="57"/>
    <s v="UC-103 WO3 - WO3 A1 - WO3 A2 - WO3 A3"/>
    <m/>
    <s v="VI. PTC Transport and Rental - 2023"/>
    <m/>
    <s v="INV 22300003"/>
    <d v="2023-01-20T00:00:00"/>
    <n v="194971.21"/>
    <s v="EUROS"/>
    <n v="360.46"/>
    <n v="194610.75"/>
    <n v="360.46"/>
    <s v="CENTRAL LAB TOUJOURS D'ACTU ? 07/2025?"/>
  </r>
  <r>
    <s v="Clôturé"/>
    <x v="12"/>
    <m/>
    <x v="2"/>
    <m/>
    <x v="57"/>
    <s v="UC-104 WO4 + Amendement 2 +  Amendement 3"/>
    <m/>
    <s v="I. Study start-up - 2019"/>
    <m/>
    <s v="INV 21901217"/>
    <d v="2019-09-26T00:00:00"/>
    <n v="37000"/>
    <s v="EUROS"/>
    <n v="37000"/>
    <n v="0"/>
    <n v="37000"/>
    <s v="CENTRAL LAB TOUJOURS D'ACTU ? 07/2025?"/>
  </r>
  <r>
    <s v="Clôturé"/>
    <x v="12"/>
    <m/>
    <x v="2"/>
    <m/>
    <x v="57"/>
    <s v="UC-104 WO4 + Amendement 2 +  Amendement 3"/>
    <m/>
    <s v="I. Study start-up - 2020"/>
    <m/>
    <s v="INV 22001608"/>
    <d v="2020-12-21T00:00:00"/>
    <n v="10070.799999999999"/>
    <s v="EUROS"/>
    <n v="10070.799999999999"/>
    <n v="0"/>
    <n v="10070.799999999999"/>
    <s v="CENTRAL LAB TOUJOURS D'ACTU ? 07/2025?"/>
  </r>
  <r>
    <s v="Clôturé"/>
    <x v="12"/>
    <m/>
    <x v="2"/>
    <m/>
    <x v="57"/>
    <s v="UC-104 WO4 + Amendement 2 +  Amendement 3"/>
    <m/>
    <s v="I. Study start-up - 2021 part. 1"/>
    <m/>
    <s v="INV 22100724 + INV 22100868"/>
    <s v="22/06/2021 + 23/07/2021"/>
    <n v="6750.2000000000007"/>
    <s v="EUROS"/>
    <n v="6750"/>
    <n v="0.2000000000007276"/>
    <n v="6750"/>
    <s v="CENTRAL LAB TOUJOURS D'ACTU ? 07/2025?"/>
  </r>
  <r>
    <s v="Clôturé"/>
    <x v="12"/>
    <m/>
    <x v="2"/>
    <m/>
    <x v="57"/>
    <s v="UC-104 WO4 + Amendement 2 +  Amendement 3"/>
    <m/>
    <s v="II. Project &amp; Data Management - 2019"/>
    <m/>
    <s v="INV 21901625"/>
    <d v="2019-12-13T00:00:00"/>
    <n v="2400"/>
    <s v="EUROS"/>
    <n v="2400"/>
    <n v="0"/>
    <n v="2400"/>
    <s v="CENTRAL LAB TOUJOURS D'ACTU ? 07/2025?"/>
  </r>
  <r>
    <s v="Clôturé"/>
    <x v="12"/>
    <m/>
    <x v="2"/>
    <m/>
    <x v="57"/>
    <s v="UC-104 WO4 + Amendement 2 +  Amendement 3"/>
    <m/>
    <s v="II. Project &amp; Data Management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39202.6"/>
    <s v="EUROS"/>
    <n v="39202.6"/>
    <n v="0"/>
    <n v="39202.6"/>
    <s v="CENTRAL LAB TOUJOURS D'ACTU ? 07/2025?"/>
  </r>
  <r>
    <s v="Clôturé"/>
    <x v="12"/>
    <m/>
    <x v="2"/>
    <m/>
    <x v="57"/>
    <s v="UC-104 WO4 + Amendement 2 +  Amendement 3"/>
    <m/>
    <s v="II. Project &amp; Data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3700"/>
    <s v="EUROS"/>
    <n v="33700"/>
    <n v="0"/>
    <n v="33700"/>
    <s v="CENTRAL LAB TOUJOURS D'ACTU ? 07/2025?"/>
  </r>
  <r>
    <s v="Clôturé"/>
    <x v="12"/>
    <m/>
    <x v="2"/>
    <m/>
    <x v="57"/>
    <s v="UC-104 WO4 + Amendement 2 +  Amendement 3"/>
    <m/>
    <s v="II. Project &amp; Data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33000"/>
    <s v="EUROS"/>
    <n v="33000"/>
    <n v="0"/>
    <n v="33000"/>
    <s v="CENTRAL LAB TOUJOURS D'ACTU ? 07/2025?"/>
  </r>
  <r>
    <s v="Clôturé"/>
    <x v="12"/>
    <m/>
    <x v="2"/>
    <m/>
    <x v="57"/>
    <s v="UC-104 WO4 + Amendement 2 +  Amendement 3"/>
    <m/>
    <s v="II. Project &amp; Data Management - 2023"/>
    <m/>
    <s v="INV 22300131 + INV 22300289 + INV 22300505 + INV 22300564 + INV 22300689 + INV 22300809 + INV 22300923 + INV 22301035 + INV 22301153 + INV 22301265 + INV 22301319 + INV 22301445 - INV 922400002 - INV 22400001"/>
    <s v="23/01/2023 + 20/02/2023 + 23/03/2023 + 19/04/2023 + 23/05/2023 + 21/06/2023 + 20/07/2023 + 22/08/2023 + 22/09/2023 + 20/10/2023 + 21/11/2023 + 01/01/2024 + 04/01/2024 + 03/01/2024"/>
    <n v="8297.3999999999942"/>
    <s v="EUROS"/>
    <n v="27820"/>
    <n v="0"/>
    <n v="27820"/>
    <s v="CENTRAL LAB TOUJOURS D'ACTU ? 07/2025?"/>
  </r>
  <r>
    <s v="Clôturé"/>
    <x v="12"/>
    <m/>
    <x v="2"/>
    <m/>
    <x v="57"/>
    <s v="UC-104 WO4 + Amendement 2 +  Amendement 3"/>
    <m/>
    <s v="III. Kits &amp; Supplies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9086.699999999983"/>
    <s v="EUROS"/>
    <n v="79086.699999999983"/>
    <n v="0"/>
    <n v="79086.699999999983"/>
    <s v="CENTRAL LAB TOUJOURS D'ACTU ? 07/2025?"/>
  </r>
  <r>
    <s v="Clôturé"/>
    <x v="12"/>
    <m/>
    <x v="2"/>
    <m/>
    <x v="57"/>
    <s v="UC-104 WO4 + Amendement 2 +  Amendement 3"/>
    <m/>
    <s v="V. Laboratory Analysis - 2020"/>
    <m/>
    <s v="INV 22000214 + INV 22000386 + INV 22000520 + INV 22000643 + INV 22000746 + INV 22000944 + INV 22001051 + INV 22001191 + INV 22001291 + INV 22001432 + INV 22001608"/>
    <s v="17/02/2021 + 18/03/2020 + 17/04/2020 + 18/05/2020 + 15/06/2020 + 15/07/2020 + 14/08/2020 + 17/09/2020 + 15/10/2020 + 24/11/2020 + 21/12/2020"/>
    <n v="92406.62"/>
    <s v="EUROS"/>
    <n v="92406.62"/>
    <n v="0"/>
    <n v="92406.62"/>
    <s v="CENTRAL LAB TOUJOURS D'ACTU ? 07/2025?"/>
  </r>
  <r>
    <s v="Clôturé"/>
    <x v="12"/>
    <m/>
    <x v="2"/>
    <m/>
    <x v="57"/>
    <s v="UC-104 WO4 + Amendement 2 +  Amendement 3"/>
    <m/>
    <s v="VI. PTC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1220.91"/>
    <s v="EUROS"/>
    <n v="71220.91"/>
    <n v="0"/>
    <n v="71220.91"/>
    <s v="CENTRAL LAB TOUJOURS D'ACTU ? 07/2025?"/>
  </r>
  <r>
    <s v="Clôturé"/>
    <x v="12"/>
    <m/>
    <x v="2"/>
    <m/>
    <x v="57"/>
    <s v="UC-104 WO4 + Amendement 2 +  Amendement 3 + Amendement 4"/>
    <m/>
    <s v="I. Study start-up - 2021 part.2"/>
    <m/>
    <s v="INV 22101310"/>
    <d v="2021-11-18T00:00:00"/>
    <n v="10000"/>
    <s v="EUROS"/>
    <n v="10000"/>
    <n v="0"/>
    <n v="10000"/>
    <s v="CENTRAL LAB TOUJOURS D'ACTU ? 07/2025?"/>
  </r>
  <r>
    <s v="Clôturé"/>
    <x v="12"/>
    <m/>
    <x v="2"/>
    <m/>
    <x v="57"/>
    <s v="UC-104 WO4 + Amendement 2 +  Amendement 3 + Amendement 4"/>
    <m/>
    <s v="III. Kits &amp; Supplies -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84584.23"/>
    <s v="EUROS"/>
    <n v="84584.23"/>
    <n v="0"/>
    <n v="84584.23"/>
    <s v="CENTRAL LAB TOUJOURS D'ACTU ? 07/2025?"/>
  </r>
  <r>
    <s v="Clôturé"/>
    <x v="12"/>
    <m/>
    <x v="2"/>
    <m/>
    <x v="57"/>
    <s v="UC-104 WO4 + Amendement 2 +  Amendement 3 + Amendement 4"/>
    <m/>
    <s v="III. Kits &amp; Supplies -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28511.13"/>
    <s v="EUROS"/>
    <n v="28511.13"/>
    <n v="0"/>
    <n v="28511.13"/>
    <s v="CENTRAL LAB TOUJOURS D'ACTU ? 07/2025?"/>
  </r>
  <r>
    <m/>
    <x v="12"/>
    <m/>
    <x v="2"/>
    <m/>
    <x v="57"/>
    <s v="UC-104 WO4 + Amendement 2 +  Amendement 3 + Amendement 4"/>
    <m/>
    <s v="III. Kits &amp; Supplies -2023+2024"/>
    <m/>
    <s v="INV 22300131 + INV 22300289 + INV 22300505"/>
    <s v="23/01/2023 + 20/02/2023 + 23/03/2023"/>
    <n v="103254.94"/>
    <s v="EUROS"/>
    <n v="6071.39"/>
    <n v="97183.55"/>
    <n v="6071.39"/>
    <s v="CENTRAL LAB TOUJOURS D'ACTU ? 07/2025?"/>
  </r>
  <r>
    <s v="Clôturé"/>
    <x v="12"/>
    <m/>
    <x v="2"/>
    <m/>
    <x v="57"/>
    <s v="UC-104 WO4 + Amendement 2 +  Amendement 3 + Amendement 4"/>
    <m/>
    <s v="IV. Speciemen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67953.05"/>
    <s v="EUROS"/>
    <n v="67953.05"/>
    <n v="0"/>
    <n v="67953.05"/>
    <s v="CENTRAL LAB TOUJOURS D'ACTU ? 07/2025?"/>
  </r>
  <r>
    <s v="Clôturé"/>
    <x v="12"/>
    <m/>
    <x v="2"/>
    <m/>
    <x v="57"/>
    <s v="UC-104 WO4 + Amendement 2 +  Amendement 3 + Amendement 4"/>
    <m/>
    <s v="IV. Speciemen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61681.660000000011"/>
    <s v="EUROS"/>
    <n v="61681.660000000011"/>
    <n v="0"/>
    <n v="61681.660000000011"/>
    <s v="CENTRAL LAB TOUJOURS D'ACTU ? 07/2025?"/>
  </r>
  <r>
    <m/>
    <x v="12"/>
    <m/>
    <x v="2"/>
    <m/>
    <x v="57"/>
    <s v="UC-104 WO4 + Amendement 2 +  Amendement 3 + Amendement 4"/>
    <m/>
    <s v="IV. Speciemen Management - 2023+2024"/>
    <m/>
    <s v="INV 22300131 + INV 22300289 + INV 22300505 + INV 22300564 + INV 22300689 + INV 22300809 + INV 22300923 + INV 22301035 + INV 22301153 + INV 22301265 + INV 22301319 + INV 22301445"/>
    <s v="23/01/2023 + 20/02/2023 + 23/03/2023 + 19/04/2023 + 23/05/2023 + 21/06/2023 + 20/07/2023 + 23/08/2023 + 22/09/2023 + 20/10/2023 + 21/11/2023 + 01/01/2024"/>
    <n v="62420.289999999986"/>
    <s v="EUROS"/>
    <n v="27844.6"/>
    <n v="34575.689999999988"/>
    <n v="27844.6"/>
    <s v="CENTRAL LAB TOUJOURS D'ACTU ? 07/2025?"/>
  </r>
  <r>
    <s v="Clôturé"/>
    <x v="12"/>
    <m/>
    <x v="2"/>
    <m/>
    <x v="57"/>
    <s v="UC-104 WO4 + Amendement 2 +  Amendement 3 + Amendement 4"/>
    <m/>
    <s v="V. Laboratory Analysis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42919.19999999995"/>
    <s v="EUROS"/>
    <n v="342919.19999999995"/>
    <n v="0"/>
    <n v="342919.19999999995"/>
    <s v="CENTRAL LAB TOUJOURS D'ACTU ? 07/2025?"/>
  </r>
  <r>
    <s v="Clôturé"/>
    <x v="12"/>
    <m/>
    <x v="2"/>
    <m/>
    <x v="57"/>
    <s v="UC-104 WO4 + Amendement 2 +  Amendement 3 + Amendement 4"/>
    <m/>
    <s v="V. Laboratory Analysis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159559.31"/>
    <s v="EUROS"/>
    <n v="159559.31"/>
    <n v="0"/>
    <n v="159559.31"/>
    <s v="CENTRAL LAB TOUJOURS D'ACTU ? 07/2025?"/>
  </r>
  <r>
    <m/>
    <x v="12"/>
    <m/>
    <x v="2"/>
    <m/>
    <x v="57"/>
    <s v="UC-104 WO4 + Amendement 2 +  Amendement 3 + Amendement 4"/>
    <m/>
    <s v="V. Laboratory Analysis - 2023+2024"/>
    <m/>
    <s v="INV 22300131 + INV 22300289 + INV 22300505 + INV 22300564 + INV 22300689 + INV 22301153 + INV 23301265"/>
    <s v="23/01/2023 + 20/02/2023 + 23/03/2023 + 19/04/2023 + 23/05/2023 + 22/09/2023 + 20/10/2023"/>
    <n v="316672.87"/>
    <s v="EUROS"/>
    <n v="38877.85"/>
    <n v="277795.02"/>
    <n v="38877.85"/>
    <s v="CENTRAL LAB TOUJOURS D'ACTU ? 07/2025?"/>
  </r>
  <r>
    <s v="Clôturé"/>
    <x v="12"/>
    <m/>
    <x v="2"/>
    <m/>
    <x v="57"/>
    <s v="UC-104 WO4 + Amendement 2 +  Amendement 3 + Amendement 4"/>
    <m/>
    <s v="VI. PTC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268548.02"/>
    <s v="EUROS"/>
    <n v="268548.02"/>
    <n v="0"/>
    <n v="268548.02"/>
    <s v="CENTRAL LAB TOUJOURS D'ACTU ? 07/2025?"/>
  </r>
  <r>
    <s v="Clôturé"/>
    <x v="12"/>
    <m/>
    <x v="2"/>
    <m/>
    <x v="57"/>
    <s v="UC-104 WO4 + Amendement 2 +  Amendement 3 + Amendement 4"/>
    <m/>
    <s v="VI. PTC - 2022"/>
    <m/>
    <s v="INV 22200043 + INV 22200146 + INV 22200348 + INV 22200399 + INV 22200586 + INV 22200642 + INV 22200766 + INV 22200853 + INV 22200986 + INV 22201105 + INV 22201274 + INV 22201473"/>
    <s v="20/01/2022 + 21/01/2022 + 23/03/2022 + 22/04/2022 + 19/05/2022 + 22/06/2022 + 20/07/2022 + 22/08/2022 + 21/09/2022 + 20/10/2022 + 18/11/2022 + 21/12/2022"/>
    <n v="148519.44999999998"/>
    <s v="EUROS"/>
    <n v="148519.44999999998"/>
    <n v="0"/>
    <n v="148519.44999999998"/>
    <s v="CENTRAL LAB TOUJOURS D'ACTU ? 07/2025?"/>
  </r>
  <r>
    <m/>
    <x v="12"/>
    <m/>
    <x v="2"/>
    <m/>
    <x v="57"/>
    <s v="UC-104 WO4 + Amendement 2 +  Amendement 3 + Amendement 4"/>
    <m/>
    <s v="VI. PTC - 2023+2024"/>
    <m/>
    <s v="INV 22300131 + INV 22300289 + INV 22300505 + INV 22300564 + INV 22300689 + INV 22300809 + INV 22300923 + INV 22301035 + INV 22301153 + INV 22301265 + INV 22301445 + INV 22400007"/>
    <s v="23/01/2023 + 20/02/2023 + 23/03/2023 + 19/04/2023 + 23/05/2023 + 21/06/2023 + 20/07/2023 + 23/08/2023 + 22/09/2023 + 20/10/2023 + 01/01/2024 + 24/01/2024"/>
    <n v="479991.62"/>
    <s v="EUROS"/>
    <n v="53205.719999999994"/>
    <n v="426785.9"/>
    <n v="53205.719999999994"/>
    <s v="CENTRAL LAB TOUJOURS D'ACTU ? 07/2025?"/>
  </r>
  <r>
    <m/>
    <x v="1"/>
    <m/>
    <x v="3"/>
    <m/>
    <x v="58"/>
    <s v="20240307v1 - P00165_2024"/>
    <s v="P00165_2024"/>
    <s v="Destruction of material"/>
    <m/>
    <m/>
    <m/>
    <n v="1475"/>
    <s v="EUROS"/>
    <m/>
    <n v="1475"/>
    <n v="0"/>
    <m/>
  </r>
  <r>
    <s v="Clôturé"/>
    <x v="10"/>
    <m/>
    <x v="2"/>
    <m/>
    <x v="59"/>
    <s v="LOI - TP906 - Serra a écraser par le WO (soon 09/2023)"/>
    <m/>
    <s v="Phase I DDI BCRP"/>
    <m/>
    <m/>
    <m/>
    <n v="0"/>
    <s v="EUROS"/>
    <m/>
    <n v="0"/>
    <n v="0"/>
    <s v="LOI Ecrasée par le WO"/>
  </r>
  <r>
    <s v="Clôturé"/>
    <x v="10"/>
    <m/>
    <x v="2"/>
    <m/>
    <x v="59"/>
    <s v="LOI - TP906 - WO - P00378_2023"/>
    <s v="P00378_2023"/>
    <s v="Phase I DDI BCRP - Signature of contract"/>
    <m/>
    <s v="INV F020-SIN-0002475"/>
    <d v="2023-11-07T00:00:00"/>
    <n v="109537.47"/>
    <s v="EUROS"/>
    <n v="109537.47"/>
    <n v="0"/>
    <n v="109537.47"/>
    <m/>
  </r>
  <r>
    <s v="Clôturé"/>
    <x v="10"/>
    <m/>
    <x v="2"/>
    <m/>
    <x v="59"/>
    <s v="LOI - TP906 - WO - P00378_2023"/>
    <s v="P00378_2023"/>
    <s v="Phase I DDI BCRP - FPI part A"/>
    <m/>
    <s v="INV F020-SIN-0002719"/>
    <d v="2024-06-27T00:00:00"/>
    <n v="87629.975999999995"/>
    <s v="EUROS"/>
    <n v="87629.98"/>
    <n v="0"/>
    <n v="87629.98"/>
    <m/>
  </r>
  <r>
    <s v="Clôturé"/>
    <x v="10"/>
    <m/>
    <x v="2"/>
    <m/>
    <x v="59"/>
    <s v="LOI - TP906 - WO_A1 - P00378_2023"/>
    <s v="P00378_2023"/>
    <s v="Phase I DDI BCRP - LPI part A"/>
    <m/>
    <s v="INV F020-SIN-0002785"/>
    <d v="2024-08-29T00:00:00"/>
    <n v="92883.67"/>
    <s v="EUROS"/>
    <n v="92883.67"/>
    <n v="0"/>
    <n v="92883.67"/>
    <m/>
  </r>
  <r>
    <s v="Clôturé"/>
    <x v="10"/>
    <m/>
    <x v="2"/>
    <m/>
    <x v="59"/>
    <s v="LOI - TP906 - WO_A1 - P00378_2023"/>
    <s v="P00378_2023"/>
    <s v="Phase I DDI BCRP - LPI part B"/>
    <m/>
    <s v="INV F020-SIN-0002928"/>
    <d v="2025-01-07T00:00:00"/>
    <n v="92883.67"/>
    <s v="EUROS"/>
    <n v="92883.87"/>
    <n v="0"/>
    <n v="92883.87"/>
    <m/>
  </r>
  <r>
    <s v="Clôturé"/>
    <x v="10"/>
    <m/>
    <x v="2"/>
    <m/>
    <x v="59"/>
    <s v="LOI - TP906 - WO_A1 - P00378_2023"/>
    <s v="P00378_2023"/>
    <s v="Phase I DDI BCRP - Database Lock"/>
    <m/>
    <s v="INV F020-SIN-0003030"/>
    <d v="2025-04-08T00:00:00"/>
    <n v="46441.84"/>
    <s v="EUROS"/>
    <n v="46441.84"/>
    <n v="0"/>
    <n v="46441.84"/>
    <m/>
  </r>
  <r>
    <s v="Clôturé"/>
    <x v="10"/>
    <m/>
    <x v="2"/>
    <m/>
    <x v="59"/>
    <s v="LOI - TP906 - WO_A1 - P00378_2023"/>
    <s v="P00378_2023"/>
    <s v="Phase I DDI BCRP - Close out visit"/>
    <m/>
    <s v="INV F020-SIN-0003058"/>
    <d v="2025-04-28T00:00:00"/>
    <n v="35041.730000000003"/>
    <s v="EUROS"/>
    <n v="35041.730000000003"/>
    <n v="0"/>
    <n v="35041.730000000003"/>
    <m/>
  </r>
  <r>
    <m/>
    <x v="10"/>
    <m/>
    <x v="2"/>
    <m/>
    <x v="59"/>
    <s v="LOI - TP906 - WO_A1 - P00378_2023"/>
    <s v="P00378_2023"/>
    <s v="Phase I DDI BCRP - PTC"/>
    <m/>
    <s v="INV F020-SIN-0002748 + INV F020-SIN-0002850 + INV F020-SIN-0002891 + INV F020-SIN-0002950 + INV F020-SIN-0002947 + INV F020-SIN-0002979 + INV F020-SIN-0002988 + INV F020-SIN-0003035 + INC F020-SIN-0003059 + INV F020-SIN-0003063 + INV F020-SIN-0003182"/>
    <s v="24/07/2024 + 28/10/2024 + 02/12/2024+27/01/2025+20/01/2025+14/02/2025 + 26/02/2025 + 08/04/2025 + 28/04/2025 + 29/04/2025 + 03/09/2025"/>
    <n v="25178.87"/>
    <s v="EUROS"/>
    <n v="18036.25"/>
    <n v="7142.619999999999"/>
    <n v="18036.25"/>
    <m/>
  </r>
  <r>
    <s v="Clôturé"/>
    <x v="10"/>
    <m/>
    <x v="2"/>
    <m/>
    <x v="59"/>
    <s v="LOI - TP906 - WO_A1 - P00378_2023"/>
    <s v="P00378_2023"/>
    <s v="Phase I DDI BCRP - Compensation to volunteers costs"/>
    <m/>
    <s v="INV F020-SIN-0002788 + INV F020-SIN-0002789 + INV F020-SIN-0002830 + INV F020-SIN-0002866 + INV F020-SIN-0002831 + INV F020-SIN-0002951 + INV F020-SIN-0002964 + INV F020-SIN-0002965 + INV F020-SIN-0002978 + INV F020-SIN-0002942 + INV F020-SIN-0003004 + INV F020-SIN-0003031 + INV f020- SIN- 0003107+ INV F0202-SIN-0003104 + INv F020-SIN-0003156"/>
    <s v="02/09/2024 + 02/09/2024 + 08/10/2024 + 13/11/2024 + 08/10/2024 + 27/01/2025 + 30/02/2025 + 03/02/2025 + 14/02/2025 + 16/01/2025 + 05/03/2025 + 08/04/2025+13/06/2025+11/06/2025  + 01/08/2025"/>
    <n v="96472.5"/>
    <s v="EUROS"/>
    <n v="113881.05"/>
    <n v="0"/>
    <n v="113881.05"/>
    <s v="28/02/2025 - Fini ? Demander a Josianne"/>
  </r>
  <r>
    <s v="Clôturé"/>
    <x v="1"/>
    <m/>
    <x v="0"/>
    <s v="Aude G"/>
    <x v="60"/>
    <s v="DE-51793 - P00004_2025"/>
    <s v="P00004_2025"/>
    <s v="Consomable Labo"/>
    <m/>
    <s v="INV FV25REC00196"/>
    <d v="2025-01-09T00:00:00"/>
    <n v="4575"/>
    <s v="EUROS"/>
    <n v="4575"/>
    <n v="0"/>
    <n v="4575"/>
    <m/>
  </r>
  <r>
    <s v="Clôturé"/>
    <x v="2"/>
    <m/>
    <x v="7"/>
    <s v="David D"/>
    <x v="61"/>
    <s v="MSA_23179_WO2 - Obefazimod NDA"/>
    <m/>
    <s v="Statistics and Statistical Programming Services - Upfront payment - 5% To be credited toward completion of Wave 1 cross checks for 10 studies in 2024."/>
    <m/>
    <s v="INV ABIV202402"/>
    <d v="2024-02-21T00:00:00"/>
    <n v="123023.39"/>
    <s v="USD"/>
    <n v="123023.39"/>
    <n v="0"/>
    <n v="123023.39"/>
    <m/>
  </r>
  <r>
    <m/>
    <x v="2"/>
    <m/>
    <x v="7"/>
    <s v="David D"/>
    <x v="61"/>
    <s v="MSA_23179_WO2 - Obefazimod NDA"/>
    <m/>
    <s v="Statistics and Statistical Programming Services - 6,5% - Fee of $8,880 per study - Total 28 studies (10 alrready inclued into the uprfont payment) - 18 * 8800 USD"/>
    <m/>
    <s v="INV ABIV202414 + INV ABIV202501 + INV ABIV202505"/>
    <s v="08/11/2024 + 06/02/2025 + 19/03/2025"/>
    <n v="159840"/>
    <s v="USD"/>
    <n v="62160"/>
    <n v="97680"/>
    <n v="62160"/>
    <m/>
  </r>
  <r>
    <s v="Clôturé"/>
    <x v="2"/>
    <m/>
    <x v="7"/>
    <s v="David D"/>
    <x v="61"/>
    <s v="MSA_23179_WO2 - Obefazimod NDA"/>
    <m/>
    <s v="Statistics and Statistical Programming Services - Upon programming completion of legacy data to CDISC compliant SDTM."/>
    <m/>
    <s v="INV ABIV202408 + INV ABIV202409 + INV ABIV202411 + INV ABIV202501"/>
    <s v="30/06/2024 + 31/07/2024 + 09/09/2024 + 06/02/2025"/>
    <n v="229320"/>
    <s v="USD"/>
    <n v="229320"/>
    <n v="0"/>
    <n v="229320"/>
    <m/>
  </r>
  <r>
    <s v="Clôturé"/>
    <x v="2"/>
    <m/>
    <x v="7"/>
    <s v="David D"/>
    <x v="61"/>
    <s v="MSA_23179_WO2 - Obefazimod NDA"/>
    <m/>
    <s v="Statistics and Statistical Programming Services - Upon preparation of raw data for integration for 3 studies"/>
    <m/>
    <s v="INV ABIV202414 + INV ABIV202501"/>
    <s v="08/11/2024 + 06/02/2025"/>
    <n v="45360"/>
    <s v="USD"/>
    <n v="45360"/>
    <n v="0"/>
    <n v="4536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3"/>
    <d v="2024-03-3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5"/>
    <d v="2024-05-0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7"/>
    <d v="2024-05-3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8"/>
    <d v="2024-06-30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9"/>
    <d v="2024-07-3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1"/>
    <d v="2024-09-09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2"/>
    <d v="2024-10-04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4"/>
    <d v="2024-11-08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6"/>
    <d v="2024-12-03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9"/>
    <d v="2024-12-19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501"/>
    <d v="2025-02-06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05"/>
    <d v="2025-03-19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06"/>
    <d v="2025-03-26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08"/>
    <d v="2025-05-01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302510"/>
    <d v="2025-05-27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12"/>
    <d v="2025-06-27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14"/>
    <d v="2025-07-29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17"/>
    <d v="2025-09-02T00:00:00"/>
    <n v="9750"/>
    <s v="USD"/>
    <n v="9750"/>
    <n v="0"/>
    <n v="975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08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09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10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11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12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6 - Aug 2026"/>
    <s v="Année 2026"/>
    <m/>
    <m/>
    <n v="78000"/>
    <s v="USD"/>
    <m/>
    <n v="78000"/>
    <n v="0"/>
    <m/>
  </r>
  <r>
    <s v="Clôturé"/>
    <x v="2"/>
    <m/>
    <x v="7"/>
    <s v="David D"/>
    <x v="61"/>
    <s v="MSA_23179_WO2 - Obefazimod NDA"/>
    <m/>
    <s v="Statistics and Statistical Programming Services - ISS - Development of ISS SAP text and mocks"/>
    <m/>
    <s v="INV ABIV202416"/>
    <d v="2024-12-03T00:00:00"/>
    <n v="44360"/>
    <s v="USD"/>
    <n v="44360"/>
    <n v="0"/>
    <n v="44360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05"/>
    <d v="2025-03-19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06"/>
    <d v="2025-03-28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08"/>
    <d v="2025-05-01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10"/>
    <d v="2025-05-27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12"/>
    <d v="2025-06-27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14"/>
    <d v="2025-07-29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7 month / 7"/>
    <m/>
    <s v="INV ABIV202517"/>
    <d v="2025-09-02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2"/>
    <m/>
    <m/>
    <m/>
    <n v="168135.5"/>
    <s v="USD"/>
    <m/>
    <n v="168135.5"/>
    <n v="0"/>
    <m/>
  </r>
  <r>
    <m/>
    <x v="2"/>
    <m/>
    <x v="7"/>
    <s v="David D"/>
    <x v="61"/>
    <s v="MSA_23179_WO2 - Obefazimod NDA"/>
    <m/>
    <s v="Statistics and Statistical Programming Services - ISS SAP Finalization"/>
    <d v="2026-05-01T00:00:00"/>
    <m/>
    <m/>
    <n v="11090"/>
    <s v="USD"/>
    <m/>
    <n v="11090"/>
    <n v="0"/>
    <m/>
  </r>
  <r>
    <m/>
    <x v="2"/>
    <m/>
    <x v="7"/>
    <s v="David D"/>
    <x v="61"/>
    <s v="MSA_23179_WO2 - Obefazimod NDA"/>
    <m/>
    <s v="Statistics and Statistical Programming Services - ISS Final Run"/>
    <d v="2026-06-01T00:00:00"/>
    <m/>
    <m/>
    <n v="85000"/>
    <s v="USD"/>
    <m/>
    <n v="85000"/>
    <n v="0"/>
    <m/>
  </r>
  <r>
    <s v="Clôturé"/>
    <x v="2"/>
    <m/>
    <x v="7"/>
    <s v="David D"/>
    <x v="61"/>
    <s v="MSA_23179_WO2 - Obefazimod NDA"/>
    <m/>
    <s v="Statistics and Statistical Programming Services - ISE - Development of ISE SAP text and"/>
    <m/>
    <s v="INV ABIV202505"/>
    <d v="2025-03-19T00:00:00"/>
    <n v="30480"/>
    <s v="USD"/>
    <n v="30480"/>
    <n v="0"/>
    <n v="30480"/>
    <m/>
  </r>
  <r>
    <m/>
    <x v="2"/>
    <m/>
    <x v="7"/>
    <s v="David D"/>
    <x v="61"/>
    <s v="MSA_23179_WO2 - Obefazimod NDA"/>
    <m/>
    <s v="Statistics and Statistical Programming Services - ISE Dry Run 1 100 000 USD*3 month"/>
    <d v="2025-04-01T00:00:00"/>
    <m/>
    <m/>
    <n v="100000"/>
    <s v="USD"/>
    <m/>
    <n v="100000"/>
    <n v="0"/>
    <m/>
  </r>
  <r>
    <m/>
    <x v="2"/>
    <m/>
    <x v="7"/>
    <s v="David D"/>
    <x v="61"/>
    <s v="MSA_23179_WO2 - Obefazimod NDA"/>
    <m/>
    <s v="Statistics and Statistical Programming Services - ISE Dry Run 1 100 000 USD*3 month"/>
    <d v="2025-05-01T00:00:00"/>
    <m/>
    <m/>
    <n v="100000"/>
    <s v="USD"/>
    <m/>
    <n v="100000"/>
    <n v="0"/>
    <m/>
  </r>
  <r>
    <m/>
    <x v="2"/>
    <m/>
    <x v="7"/>
    <s v="David D"/>
    <x v="61"/>
    <s v="MSA_23179_WO2 - Obefazimod NDA"/>
    <m/>
    <s v="Statistics and Statistical Programming Services - ISE Dry Run 1 100 000 USD*3 month"/>
    <d v="2025-06-01T00:00:00"/>
    <m/>
    <m/>
    <n v="100000"/>
    <s v="USD"/>
    <m/>
    <n v="100000"/>
    <n v="0"/>
    <m/>
  </r>
  <r>
    <m/>
    <x v="2"/>
    <m/>
    <x v="7"/>
    <s v="David D"/>
    <x v="61"/>
    <s v="MSA_23179_WO2 - Obefazimod NDA"/>
    <m/>
    <s v="Statistics and Statistical Programming Services - ISE Dry Run 2"/>
    <d v="2025-09-01T00:00:00"/>
    <m/>
    <m/>
    <n v="125000"/>
    <s v="USD"/>
    <m/>
    <n v="125000"/>
    <n v="0"/>
    <m/>
  </r>
  <r>
    <m/>
    <x v="2"/>
    <m/>
    <x v="7"/>
    <s v="David D"/>
    <x v="61"/>
    <s v="MSA_23179_WO2 - Obefazimod NDA"/>
    <m/>
    <s v="Statistics and Statistical Programming Services - ISE SAP Finalization"/>
    <d v="2025-10-01T00:00:00"/>
    <m/>
    <m/>
    <n v="7620"/>
    <s v="USD"/>
    <m/>
    <n v="7620"/>
    <n v="0"/>
    <m/>
  </r>
  <r>
    <m/>
    <x v="2"/>
    <m/>
    <x v="7"/>
    <s v="David D"/>
    <x v="61"/>
    <s v="MSA_23179_WO2 - Obefazimod NDA"/>
    <m/>
    <s v="Statistics and Statistical Programming Services - ISE Final Run"/>
    <d v="2025-12-01T00:00:00"/>
    <m/>
    <m/>
    <n v="60000"/>
    <s v="USD"/>
    <m/>
    <n v="60000"/>
    <n v="0"/>
    <m/>
  </r>
  <r>
    <m/>
    <x v="2"/>
    <m/>
    <x v="7"/>
    <s v="David D"/>
    <x v="61"/>
    <s v="MSA_23179_WO2 - Obefazimod NDA"/>
    <m/>
    <s v="Statistics and Statistical Programming Services - BIMO Dry Run Complete"/>
    <d v="2026-01-01T00:00:00"/>
    <m/>
    <m/>
    <n v="69278.48"/>
    <s v="USD"/>
    <m/>
    <n v="69278.48"/>
    <n v="0"/>
    <m/>
  </r>
  <r>
    <m/>
    <x v="2"/>
    <m/>
    <x v="7"/>
    <s v="David D"/>
    <x v="61"/>
    <s v="MSA_23179_WO2 - Obefazimod NDA"/>
    <m/>
    <s v="Statistics and Statistical Programming Services - Everest Support of Submission Complete (ISS, ISE, BIMO Final Run, Packaging and Production Run)"/>
    <d v="2026-08-01T00:00:00"/>
    <m/>
    <m/>
    <n v="130000"/>
    <s v="USD"/>
    <m/>
    <n v="130000"/>
    <n v="0"/>
    <m/>
  </r>
  <r>
    <m/>
    <x v="2"/>
    <m/>
    <x v="7"/>
    <s v="David D"/>
    <x v="61"/>
    <s v="MSA_23179_WO2 - Obefazimod NDA"/>
    <m/>
    <s v="Statistics and Statistical Programming Services - Pinnacle 21 Enterprise License fees. Fee of $3,500 per annual license, per study."/>
    <m/>
    <m/>
    <m/>
    <n v="94500"/>
    <s v="USD"/>
    <m/>
    <n v="94500"/>
    <n v="0"/>
    <m/>
  </r>
  <r>
    <s v="Clôturé"/>
    <x v="2"/>
    <m/>
    <x v="7"/>
    <s v="Keija"/>
    <x v="61"/>
    <s v="MSA_23179_WO1 A1+A2+A3+A4+A5"/>
    <m/>
    <s v="Biostatistics and Statistical Programming Services"/>
    <m/>
    <s v="INV ABIV202301 + INV ABIV202401 + INV ABIV202404 + INV ABIV202406 + INV ABIV202410 + INV ABIV202413 + INV BAIV202415 + INV ABIV202417 + INV ABIV202503 + INV ABIV202507 + INV ABIV202509 + INV ABIV202511 + INV ABIV202512 + INV ABIV202513 + INV ABIV202515"/>
    <s v="31/12/2023 + 01/02/2024 + 03/04/2024 + 02/05/2024 + 09/09/2024 + 04/10/2024 + 08/11/2024 + 06/12/2024 + 05/03/2025 + 31/03/2025 + 01/05/2025 + 02/06/2025 + 27/06/2025 + 02/07/2025 + 01/08/2025"/>
    <n v="317000"/>
    <s v="USD"/>
    <n v="364006.36"/>
    <n v="0"/>
    <n v="364006.36"/>
    <m/>
  </r>
  <r>
    <s v="Clôturé"/>
    <x v="2"/>
    <m/>
    <x v="0"/>
    <m/>
    <x v="62"/>
    <s v="EVT07074 - Pas de PO"/>
    <m/>
    <s v="Project Management - 10 500 € / an pendant 5 ans - année 2023 - mois 1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2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3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4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5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6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7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8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9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10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11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12"/>
    <m/>
    <s v="PJ20230218"/>
    <d v="2023-02-09T00:00:00"/>
    <n v="875"/>
    <s v="EUROS"/>
    <n v="1000.7399999999998"/>
    <n v="0"/>
    <n v="1000.7399999999998"/>
    <m/>
  </r>
  <r>
    <s v="Clôturé"/>
    <x v="2"/>
    <m/>
    <x v="0"/>
    <m/>
    <x v="62"/>
    <s v="EVT07074 - Pas de PO"/>
    <m/>
    <s v="Project Management - 10 500 € / an pendant 5 ans - année 2024"/>
    <m/>
    <s v="PJ20250154"/>
    <d v="2025-01-31T00:00:00"/>
    <n v="10500"/>
    <s v="EUROS"/>
    <n v="10500"/>
    <n v="0"/>
    <n v="10500"/>
    <m/>
  </r>
  <r>
    <m/>
    <x v="2"/>
    <m/>
    <x v="0"/>
    <m/>
    <x v="62"/>
    <s v="EVT07074 - Pas de PO"/>
    <m/>
    <s v="Project Management - 10 500 € / an pendant 5 ans - année 2025"/>
    <m/>
    <m/>
    <m/>
    <n v="10500"/>
    <s v="EUROS"/>
    <m/>
    <n v="10500"/>
    <n v="0"/>
    <m/>
  </r>
  <r>
    <m/>
    <x v="2"/>
    <m/>
    <x v="0"/>
    <m/>
    <x v="62"/>
    <s v="EVT07074 - Pas de PO"/>
    <m/>
    <s v="Project Management - 10 500 € / an pendant 5 ans - année 2026"/>
    <m/>
    <m/>
    <m/>
    <n v="10500"/>
    <s v="EUROS"/>
    <m/>
    <n v="10500"/>
    <n v="0"/>
    <m/>
  </r>
  <r>
    <m/>
    <x v="2"/>
    <m/>
    <x v="0"/>
    <m/>
    <x v="62"/>
    <s v="EVT07074 - Pas de PO"/>
    <m/>
    <s v="Project Management - 10 500 € / an pendant 5 ans - année 2027"/>
    <m/>
    <m/>
    <m/>
    <n v="10500"/>
    <s v="EUROS"/>
    <m/>
    <n v="10500"/>
    <n v="0"/>
    <m/>
  </r>
  <r>
    <s v="Clôturé"/>
    <x v="2"/>
    <m/>
    <x v="0"/>
    <m/>
    <x v="62"/>
    <s v="EVT07074 - Pas de PO"/>
    <m/>
    <s v="Web service Maintenance &amp; Support  - 2 800 € / an pendant 5 ans - année 2023"/>
    <m/>
    <s v="PJ20240972"/>
    <d v="2024-05-16T00:00:00"/>
    <n v="2800"/>
    <s v="EUROS"/>
    <n v="3955"/>
    <n v="0"/>
    <n v="3955"/>
    <m/>
  </r>
  <r>
    <s v="Clôturé"/>
    <x v="2"/>
    <m/>
    <x v="0"/>
    <m/>
    <x v="62"/>
    <s v="EVT07074 - Pas de PO"/>
    <m/>
    <s v="Web service Maintenance &amp; Support  - 2 800 € / an pendant 5 ans - année 2024"/>
    <m/>
    <s v="PJ20250154"/>
    <d v="2025-01-31T00:00:00"/>
    <n v="2800"/>
    <s v="EUROS"/>
    <n v="2800"/>
    <n v="0"/>
    <n v="2800"/>
    <m/>
  </r>
  <r>
    <m/>
    <x v="2"/>
    <m/>
    <x v="0"/>
    <m/>
    <x v="62"/>
    <s v="EVT07074 - Pas de PO"/>
    <m/>
    <s v="Web service Maintenance &amp; Support  - 2 800 € / an pendant 5 ans - année 2025"/>
    <d v="2026-01-01T00:00:00"/>
    <m/>
    <m/>
    <n v="2800"/>
    <s v="EUROS"/>
    <m/>
    <n v="2800"/>
    <n v="0"/>
    <m/>
  </r>
  <r>
    <m/>
    <x v="2"/>
    <m/>
    <x v="0"/>
    <m/>
    <x v="62"/>
    <s v="EVT07074 - Pas de PO"/>
    <m/>
    <s v="Web service Maintenance &amp; Support  - 2 800 € / an pendant 5 ans - année 2026"/>
    <d v="2027-01-01T00:00:00"/>
    <m/>
    <m/>
    <n v="2800"/>
    <s v="EUROS"/>
    <m/>
    <n v="2800"/>
    <n v="0"/>
    <m/>
  </r>
  <r>
    <m/>
    <x v="2"/>
    <m/>
    <x v="0"/>
    <m/>
    <x v="62"/>
    <s v="EVT07074 - Pas de PO"/>
    <m/>
    <s v="Web service Maintenance &amp; Support  - 2 800 € / an pendant 5 ans - année 2027"/>
    <d v="2028-01-01T00:00:00"/>
    <m/>
    <m/>
    <n v="2800"/>
    <s v="EUROS"/>
    <m/>
    <n v="2800"/>
    <n v="0"/>
    <m/>
  </r>
  <r>
    <s v="Clôturé"/>
    <x v="1"/>
    <m/>
    <x v="0"/>
    <m/>
    <x v="62"/>
    <s v="EVT08074 - PAS DE PO"/>
    <m/>
    <s v="ACTIVITY 1 - Initial Transfert registration et Storage"/>
    <m/>
    <s v="INV PJ20181749"/>
    <d v="2018-12-31T00:00:00"/>
    <n v="3466"/>
    <s v="EUROS"/>
    <s v="OK"/>
    <n v="0"/>
    <n v="3466"/>
    <m/>
  </r>
  <r>
    <s v="Clôturé"/>
    <x v="1"/>
    <m/>
    <x v="0"/>
    <m/>
    <x v="62"/>
    <s v="EVT08074 - PAS DE PO"/>
    <m/>
    <s v="ACTIVITY 2 - Web services "/>
    <m/>
    <s v="INV PJ20181749"/>
    <d v="2018-12-31T00:00:00"/>
    <n v="5331"/>
    <s v="EUROS"/>
    <s v="OK"/>
    <n v="0"/>
    <n v="5331"/>
    <m/>
  </r>
  <r>
    <s v="Clôturé"/>
    <x v="1"/>
    <m/>
    <x v="0"/>
    <m/>
    <x v="62"/>
    <s v="EVT08074 - PAS DE PO"/>
    <m/>
    <s v="ACTIVITY 3 - Storage cost"/>
    <m/>
    <s v="INV PJ20181749 +  INV PJ20190207"/>
    <s v="31/12/2018 + 28/02/2019"/>
    <n v="46"/>
    <s v="EUROS"/>
    <s v="OK"/>
    <n v="0"/>
    <n v="46"/>
    <m/>
  </r>
  <r>
    <s v="Clôturé"/>
    <x v="1"/>
    <m/>
    <x v="0"/>
    <m/>
    <x v="62"/>
    <s v="EVT08074 - PAS DE PO"/>
    <m/>
    <s v="ACTIVITY 4 - Web services maintenance &amp; support"/>
    <m/>
    <s v="INV PJ20190207"/>
    <d v="2019-02-28T00:00:00"/>
    <n v="2132"/>
    <s v="EUROS"/>
    <s v="OK"/>
    <n v="0"/>
    <n v="2132"/>
    <m/>
  </r>
  <r>
    <s v="Clôturé"/>
    <x v="1"/>
    <m/>
    <x v="0"/>
    <m/>
    <x v="62"/>
    <s v="EVT08074 - PAS DE PO"/>
    <m/>
    <s v="ACTIVITY 5 Shipment"/>
    <m/>
    <m/>
    <m/>
    <n v="0"/>
    <s v="EUROS"/>
    <m/>
    <n v="0"/>
    <n v="0"/>
    <m/>
  </r>
  <r>
    <s v="Clôturé"/>
    <x v="1"/>
    <m/>
    <x v="0"/>
    <m/>
    <x v="62"/>
    <s v="EVT08074 - PAS DE PO"/>
    <m/>
    <s v="ACTIVITY 6 - Optional : Management of the powder inventory"/>
    <m/>
    <s v="INV PJ20181749"/>
    <d v="2018-12-31T00:00:00"/>
    <n v="6932"/>
    <s v="EUROS"/>
    <s v="OK"/>
    <n v="0"/>
    <n v="6932"/>
    <m/>
  </r>
  <r>
    <s v="Clôturé"/>
    <x v="1"/>
    <m/>
    <x v="0"/>
    <m/>
    <x v="62"/>
    <s v="EVT08074 - PAS DE PO"/>
    <m/>
    <s v="ACTIVITY 6bis - Optional : Storage cost of the powder inventory"/>
    <m/>
    <s v="INV PJ20181749 + INV PJ20190207"/>
    <s v="31/12/2018 + 28/02/2019"/>
    <n v="3600"/>
    <s v="EUROS"/>
    <s v="OK"/>
    <n v="0"/>
    <n v="3600"/>
    <m/>
  </r>
  <r>
    <m/>
    <x v="1"/>
    <m/>
    <x v="0"/>
    <m/>
    <x v="62"/>
    <s v="EVT08074 - PAS DE PO"/>
    <m/>
    <s v="ACTIVITY 7 - Optional : Pre-trade &amp; pre-labelled 1d vidal"/>
    <s v="QUAND ?"/>
    <m/>
    <m/>
    <n v="200"/>
    <s v="EUROS"/>
    <m/>
    <n v="200"/>
    <n v="0"/>
    <m/>
  </r>
  <r>
    <m/>
    <x v="1"/>
    <m/>
    <x v="0"/>
    <m/>
    <x v="62"/>
    <s v="EVT08074 - PAS DE PO"/>
    <m/>
    <s v="ACTIVITY 8 - Optional : LCMS analysis"/>
    <s v="QUAND ?"/>
    <m/>
    <m/>
    <n v="100"/>
    <s v="EUROS"/>
    <m/>
    <n v="100"/>
    <n v="0"/>
    <m/>
  </r>
  <r>
    <m/>
    <x v="1"/>
    <m/>
    <x v="0"/>
    <m/>
    <x v="62"/>
    <s v="EVT11251 - P00207_2021"/>
    <s v="P00207_2021"/>
    <s v="Tissue distribution study 2 test on Lon Evans RATS"/>
    <m/>
    <s v="INV PJ202113017"/>
    <d v="2021-12-20T00:00:00"/>
    <n v="38915"/>
    <s v="EUROS"/>
    <n v="31020"/>
    <n v="7895"/>
    <n v="31020"/>
    <m/>
  </r>
  <r>
    <s v="Clôturé"/>
    <x v="34"/>
    <m/>
    <x v="0"/>
    <m/>
    <x v="62"/>
    <s v="EVT86332"/>
    <m/>
    <s v="Abivax01 follow-up for PDC nomination - Mois 1"/>
    <m/>
    <s v="INV PJ20231325"/>
    <s v="30/06/2023 (recu 07/2023)"/>
    <n v="58750"/>
    <s v="EUROS"/>
    <n v="58750"/>
    <n v="0"/>
    <n v="58750"/>
    <m/>
  </r>
  <r>
    <s v="Clôturé"/>
    <x v="34"/>
    <m/>
    <x v="0"/>
    <m/>
    <x v="62"/>
    <s v="EVT86332"/>
    <m/>
    <s v="Abivax01 follow-up for PDC nomination - Mois 2"/>
    <m/>
    <s v="INV PJ20231325 + INV PJ20231487"/>
    <s v="30/06/2023 (recu 07/2023) + 31/07/2023"/>
    <n v="67187"/>
    <s v="EUROS"/>
    <n v="67187"/>
    <n v="0"/>
    <n v="67187"/>
    <m/>
  </r>
  <r>
    <s v="Clôturé"/>
    <x v="34"/>
    <m/>
    <x v="0"/>
    <m/>
    <x v="62"/>
    <s v="EVT86332"/>
    <m/>
    <s v="Abivax01 follow-up for PDC nomination - Mois 3"/>
    <m/>
    <s v="INV PJ20231487 + INV PJ20231055"/>
    <s v="31/07/2023 + 30/06/2023 (reçu 08/2023)"/>
    <n v="56771"/>
    <s v="EUROS"/>
    <n v="56771"/>
    <n v="0"/>
    <n v="56771"/>
    <m/>
  </r>
  <r>
    <s v="Clôturé"/>
    <x v="34"/>
    <m/>
    <x v="0"/>
    <m/>
    <x v="62"/>
    <s v="EVT86332"/>
    <m/>
    <s v="Abivax01 follow-up for PDC nomination - Mois 4"/>
    <m/>
    <s v="INV PJ20231055"/>
    <s v="30/06/2023 (reçu 08/2023)"/>
    <n v="79271"/>
    <s v="EUROS"/>
    <n v="79271"/>
    <n v="0"/>
    <n v="79271"/>
    <m/>
  </r>
  <r>
    <s v="Clôturé"/>
    <x v="34"/>
    <m/>
    <x v="0"/>
    <m/>
    <x v="62"/>
    <s v="EVT86332"/>
    <m/>
    <s v="Abivax01 follow-up for PDC nomination - Mois 5"/>
    <m/>
    <s v="INV PJ20231055 + INV PJ20231733"/>
    <s v="30/06/2023 (reçu 08/2023) + 31/08/2023"/>
    <n v="38021"/>
    <s v="EUROS"/>
    <n v="38021"/>
    <n v="0"/>
    <n v="38021"/>
    <m/>
  </r>
  <r>
    <s v="Clôturé"/>
    <x v="34"/>
    <m/>
    <x v="0"/>
    <m/>
    <x v="62"/>
    <s v="EVT86332"/>
    <m/>
    <s v="Abivax01 follow-up for PDC nomination - Mois 6"/>
    <m/>
    <s v="INV PJ20231733 + INV PJ20232057"/>
    <s v="31/08/2023 + 30/09/2023"/>
    <n v="36146"/>
    <s v="EUROS"/>
    <n v="36146"/>
    <n v="0"/>
    <n v="36146"/>
    <m/>
  </r>
  <r>
    <s v="Clôturé"/>
    <x v="34"/>
    <m/>
    <x v="0"/>
    <m/>
    <x v="62"/>
    <s v="EVT86332"/>
    <m/>
    <s v="Abivax01 follow-up for PDC nomination - Mois 7"/>
    <m/>
    <s v="INV PJ20232057 + INV PJ20232379 "/>
    <s v="30/09/2023 + 31/10/2023"/>
    <n v="64271"/>
    <s v="EUROS"/>
    <n v="64271"/>
    <n v="0"/>
    <n v="64271"/>
    <m/>
  </r>
  <r>
    <s v="Clôturé"/>
    <x v="34"/>
    <m/>
    <x v="0"/>
    <m/>
    <x v="62"/>
    <s v="EVT86332"/>
    <m/>
    <s v="Abivax01 follow-up for PDC nomination - Mois 8"/>
    <m/>
    <s v="INV PJ20232379 + INV PJ20232626"/>
    <s v="31/10/2023 + 30/11/2023"/>
    <n v="78645"/>
    <s v="EUROS"/>
    <n v="78645"/>
    <n v="0"/>
    <n v="78645"/>
    <m/>
  </r>
  <r>
    <s v="Clôturé"/>
    <x v="34"/>
    <m/>
    <x v="0"/>
    <m/>
    <x v="62"/>
    <s v="EVT86332"/>
    <m/>
    <s v="Abivax01 follow-up for PDC nomination - Mois 9"/>
    <m/>
    <s v="INV PJ20232626"/>
    <d v="2023-11-30T00:00:00"/>
    <n v="59895"/>
    <s v="EUROS"/>
    <n v="59895"/>
    <n v="0"/>
    <n v="59895"/>
    <m/>
  </r>
  <r>
    <s v="Clôturé"/>
    <x v="34"/>
    <m/>
    <x v="0"/>
    <m/>
    <x v="62"/>
    <s v="EVT86332"/>
    <m/>
    <s v="Abivax01 follow-up for PDC nomination - Mois 10"/>
    <m/>
    <s v="INV PJ20232626 + INV PJ20233069"/>
    <s v="30/11/2023 + 22/12/2023 (recu 2024)"/>
    <n v="43020"/>
    <s v="EUROS"/>
    <n v="43019.999999999993"/>
    <n v="7.2759576141834259E-12"/>
    <n v="43019.999999999993"/>
    <m/>
  </r>
  <r>
    <m/>
    <x v="34"/>
    <m/>
    <x v="0"/>
    <m/>
    <x v="62"/>
    <s v="EVT86332"/>
    <m/>
    <s v="Abivax01 follow-up for PDC nomination - Mois 11"/>
    <m/>
    <s v="INV PJ20233069"/>
    <s v="22/12/2023 (recu 2024)"/>
    <n v="41979"/>
    <s v="EUROS"/>
    <n v="17591.549999999996"/>
    <n v="24387.450000000004"/>
    <n v="17591.549999999996"/>
    <m/>
  </r>
  <r>
    <m/>
    <x v="34"/>
    <m/>
    <x v="0"/>
    <m/>
    <x v="62"/>
    <s v="EVT86332"/>
    <m/>
    <s v="Abivax01 follow-up for PDC nomination - Mois 12"/>
    <m/>
    <m/>
    <m/>
    <n v="41979"/>
    <s v="EUROS"/>
    <m/>
    <n v="41979"/>
    <n v="0"/>
    <m/>
  </r>
  <r>
    <m/>
    <x v="34"/>
    <m/>
    <x v="0"/>
    <m/>
    <x v="62"/>
    <s v="EVT86332"/>
    <m/>
    <s v="Abivax01 follow-up for PDC nomination - Mois 13"/>
    <m/>
    <m/>
    <m/>
    <n v="41979"/>
    <s v="EUROS"/>
    <m/>
    <n v="41979"/>
    <n v="0"/>
    <m/>
  </r>
  <r>
    <s v="Clôturé"/>
    <x v="35"/>
    <m/>
    <x v="0"/>
    <m/>
    <x v="62"/>
    <s v="EVT86332 + EVT86333"/>
    <m/>
    <s v="2m€ / an pour les 2 études"/>
    <m/>
    <s v="INV PJ20232038 + INV PJ20232377 + INV PJ20232639"/>
    <s v="30/09/2023 + 31/10/2023 + 30/11/2023"/>
    <n v="-18525.280000000028"/>
    <s v="EUROS"/>
    <n v="1104885.8500000001"/>
    <n v="0"/>
    <n v="1104885.8500000001"/>
    <m/>
  </r>
  <r>
    <s v="Clôturé"/>
    <x v="1"/>
    <s v="Backup"/>
    <x v="0"/>
    <m/>
    <x v="62"/>
    <s v="EVT86333 - P00025_2023"/>
    <s v="P00025_2023"/>
    <s v="ABX464 Backup ID - Month 1"/>
    <m/>
    <s v="INV PJ20230301"/>
    <d v="2023-02-28T00:00:00"/>
    <n v="111206"/>
    <s v="EUROS"/>
    <n v="111206"/>
    <n v="0"/>
    <n v="111206"/>
    <m/>
  </r>
  <r>
    <s v="Clôturé"/>
    <x v="1"/>
    <s v="Backup"/>
    <x v="0"/>
    <m/>
    <x v="62"/>
    <s v="EVT86333 - P00025_2023"/>
    <s v="P00025_2023"/>
    <s v="   ABX464 Backup ID  - Month 2"/>
    <m/>
    <s v="INV PJ20230301 + INV PJ20231324"/>
    <s v="28/02/2023 + 30/06/2023 (recu 07/2023)"/>
    <n v="124665"/>
    <s v="EUROS"/>
    <n v="124665"/>
    <n v="0"/>
    <n v="124665"/>
    <m/>
  </r>
  <r>
    <s v="Clôturé"/>
    <x v="1"/>
    <s v="Backup"/>
    <x v="0"/>
    <m/>
    <x v="62"/>
    <s v="EVT86333 - P00025_2023"/>
    <s v="P00025_2023"/>
    <s v="   ABX464 Backup ID  - Month 3"/>
    <m/>
    <s v="INV PJ20230720"/>
    <d v="2023-03-31T00:00:00"/>
    <n v="124831"/>
    <s v="EUROS"/>
    <n v="226898.72"/>
    <n v="0"/>
    <n v="226898.72"/>
    <m/>
  </r>
  <r>
    <s v="Clôturé"/>
    <x v="1"/>
    <s v="Backup"/>
    <x v="0"/>
    <m/>
    <x v="62"/>
    <s v="EVT86333 - P00025_2023"/>
    <s v="P00025_2023"/>
    <s v="   ABX464 Backup ID  - Month 4"/>
    <m/>
    <s v="INV PJ20231324"/>
    <s v="30/06/2023 (recu 07/2023)"/>
    <n v="123123"/>
    <s v="EUROS"/>
    <n v="123123"/>
    <n v="0"/>
    <n v="123123"/>
    <m/>
  </r>
  <r>
    <s v="Clôturé"/>
    <x v="1"/>
    <s v="Backup"/>
    <x v="0"/>
    <m/>
    <x v="62"/>
    <s v="EVT86333 - P00025_2023"/>
    <s v="P00025_2023"/>
    <s v="   ABX464 Backup ID  - Month 5"/>
    <m/>
    <s v="INV PJ20231324 + INV PJ20231486"/>
    <s v="30/06/2023 (recu 07/2023) + 31/07/2023"/>
    <n v="123123"/>
    <s v="EUROS"/>
    <n v="123123"/>
    <n v="0"/>
    <n v="123123"/>
    <m/>
  </r>
  <r>
    <s v="Clôturé"/>
    <x v="1"/>
    <s v="Backup"/>
    <x v="0"/>
    <m/>
    <x v="62"/>
    <s v="EVT86333 - P00025_2023"/>
    <s v="P00025_2023"/>
    <s v="   ABX464 Backup ID  - Month 6"/>
    <m/>
    <s v="INV PJ20231486 + INV PJ20231757"/>
    <s v="31/07/2023 + 31/08/2023"/>
    <n v="72500"/>
    <s v="EUROS"/>
    <n v="72500"/>
    <n v="0"/>
    <n v="72500"/>
    <m/>
  </r>
  <r>
    <s v="Clôturé"/>
    <x v="1"/>
    <s v="Backup"/>
    <x v="0"/>
    <m/>
    <x v="62"/>
    <s v="EVT86333 - P00025_2023"/>
    <s v="P00025_2023"/>
    <s v="   ABX464 Backup ID  - Month 7"/>
    <m/>
    <s v="INV PJ20231757"/>
    <d v="2023-08-31T00:00:00"/>
    <n v="64792"/>
    <s v="EUROS"/>
    <n v="64792"/>
    <n v="0"/>
    <n v="64792"/>
    <m/>
  </r>
  <r>
    <s v="Clôturé"/>
    <x v="1"/>
    <s v="Backup"/>
    <x v="0"/>
    <m/>
    <x v="62"/>
    <s v="EVT86333 - P00025_2023"/>
    <s v="P00025_2023"/>
    <s v="   ABX464 Backup ID  - Month 8"/>
    <m/>
    <s v="INV PJ20231757"/>
    <d v="2023-08-31T00:00:00"/>
    <n v="78645"/>
    <s v="EUROS"/>
    <n v="78645"/>
    <n v="0"/>
    <n v="78645"/>
    <m/>
  </r>
  <r>
    <s v="Clôturé"/>
    <x v="1"/>
    <s v="Backup"/>
    <x v="0"/>
    <m/>
    <x v="62"/>
    <s v="EVT86333 - P00025_2023"/>
    <s v="P00025_2023"/>
    <s v="   ABX464 Backup ID  - Month 9"/>
    <m/>
    <s v="INV PJ20231757"/>
    <d v="2023-08-31T00:00:00"/>
    <n v="41145"/>
    <s v="EUROS"/>
    <n v="41145"/>
    <n v="0"/>
    <n v="41145"/>
    <m/>
  </r>
  <r>
    <s v="Clôturé"/>
    <x v="1"/>
    <s v="Backup"/>
    <x v="0"/>
    <m/>
    <x v="62"/>
    <s v="EVT86333 - P00025_2023"/>
    <s v="P00025_2023"/>
    <s v="   ABX464 Backup ID  - Month 10"/>
    <m/>
    <s v="INV PJ20231757"/>
    <d v="2023-08-31T00:00:00"/>
    <n v="41145"/>
    <s v="EUROS"/>
    <n v="41145"/>
    <n v="0"/>
    <n v="41145"/>
    <m/>
  </r>
  <r>
    <s v="Clôturé"/>
    <x v="1"/>
    <s v="Backup"/>
    <x v="0"/>
    <m/>
    <x v="62"/>
    <s v="EVT86333 - P00025_2023"/>
    <s v="P00025_2023"/>
    <s v="   ABX464 Backup ID  - Month11"/>
    <m/>
    <s v="INV PJ20231757"/>
    <d v="2023-08-31T00:00:00"/>
    <n v="40104"/>
    <s v="EUROS"/>
    <n v="40104"/>
    <n v="0"/>
    <n v="40104"/>
    <m/>
  </r>
  <r>
    <s v="Clôturé"/>
    <x v="1"/>
    <s v="Backup"/>
    <x v="0"/>
    <m/>
    <x v="62"/>
    <s v="EVT86333 - P00025_2023"/>
    <s v="P00025_2023"/>
    <s v="   ABX464 Backup ID  - Month 12"/>
    <m/>
    <s v="INV PJ20231757"/>
    <d v="2023-08-31T00:00:00"/>
    <n v="40104"/>
    <s v="EUROS"/>
    <n v="40104"/>
    <n v="0"/>
    <n v="40104"/>
    <m/>
  </r>
  <r>
    <s v="Clôturé"/>
    <x v="1"/>
    <s v="Backup"/>
    <x v="0"/>
    <m/>
    <x v="62"/>
    <s v="EVT86333 - P00025_2023"/>
    <s v="P00025_2023"/>
    <s v="   ABX464 Backup ID  - Month 13"/>
    <m/>
    <s v="INV PJ20231757 + INV PJ20231056"/>
    <s v="31/08/2023 + 30/06/2023 (recu 08/2023)"/>
    <n v="40104"/>
    <s v="EUROS"/>
    <n v="331506.01"/>
    <n v="0"/>
    <n v="331506.01"/>
    <m/>
  </r>
  <r>
    <s v="Clôturé"/>
    <x v="36"/>
    <m/>
    <x v="3"/>
    <m/>
    <x v="62"/>
    <s v="EVT86427 - P00037_2023"/>
    <s v="P00037_2023"/>
    <s v="WP1. 2 steps dissolution measurements in fed human models"/>
    <m/>
    <s v="PJ20231996"/>
    <d v="2023-09-30T00:00:00"/>
    <n v="2800"/>
    <s v="EUROS"/>
    <n v="2800"/>
    <n v="0"/>
    <n v="2800"/>
    <m/>
  </r>
  <r>
    <s v="Clôturé"/>
    <x v="36"/>
    <m/>
    <x v="3"/>
    <m/>
    <x v="62"/>
    <s v="EVT86427 - P00037_2023"/>
    <s v="P00037_2023"/>
    <s v="WP2. 2 steps dissolution measurements in fasted human models"/>
    <m/>
    <s v="PJ20231996"/>
    <d v="2023-09-30T00:00:00"/>
    <n v="2800"/>
    <s v="EUROS"/>
    <n v="2800"/>
    <n v="0"/>
    <n v="2800"/>
    <m/>
  </r>
  <r>
    <m/>
    <x v="1"/>
    <m/>
    <x v="3"/>
    <m/>
    <x v="62"/>
    <s v="EVT89679 - P00305_2023"/>
    <s v="P00305_2023"/>
    <s v="Permeability measurment of Obefazimod"/>
    <m/>
    <m/>
    <m/>
    <n v="12330"/>
    <s v="EUROS"/>
    <m/>
    <n v="12330"/>
    <n v="0"/>
    <m/>
  </r>
  <r>
    <s v="Clôturé"/>
    <x v="1"/>
    <m/>
    <x v="3"/>
    <m/>
    <x v="63"/>
    <s v="Devis 2111002 - P00294_2021"/>
    <s v="P00294_2021"/>
    <s v="Specific surface Area Analysis"/>
    <m/>
    <s v="INV 2111002"/>
    <d v="2021-11-05T00:00:00"/>
    <n v="3665"/>
    <s v="EUROS"/>
    <n v="3665"/>
    <n v="0"/>
    <n v="3665"/>
    <m/>
  </r>
  <r>
    <s v="OUT ?"/>
    <x v="1"/>
    <m/>
    <x v="3"/>
    <m/>
    <x v="63"/>
    <s v="Devis D217276 - P00335_2021"/>
    <s v="P00335_2021"/>
    <s v="Specific surface Area Analysis"/>
    <m/>
    <m/>
    <m/>
    <n v="820"/>
    <s v="EUROS"/>
    <m/>
    <n v="820"/>
    <n v="0"/>
    <m/>
  </r>
  <r>
    <s v="Clôturé"/>
    <x v="16"/>
    <m/>
    <x v="6"/>
    <m/>
    <x v="64"/>
    <s v="Quote du 04/08/2021 - P00228_2021"/>
    <s v="P00228_2021"/>
    <s v="Audit of Intuvigilance vendor"/>
    <m/>
    <s v="INV-1040 + INV-1045 + INV-1046 + INV-1050 + INV-1056"/>
    <s v="06/08/2021 + 04/10/2021 + 02/11/2021 + 01/12/2021 + 04/02/2022"/>
    <n v="5125"/>
    <s v="GBP"/>
    <n v="5468.75"/>
    <n v="0"/>
    <n v="5468.75"/>
    <m/>
  </r>
  <r>
    <s v="Clôturé"/>
    <x v="37"/>
    <m/>
    <x v="6"/>
    <m/>
    <x v="64"/>
    <s v="Quote du 07/01/2021 - P00005_2021"/>
    <s v="P00005_2021"/>
    <s v="6 Audit of Abivax UC study ABX464-103/104 Ukraine  - Conduct of the audits"/>
    <m/>
    <s v="INV-1029"/>
    <d v="2021-04-19T00:00:00"/>
    <n v="1625"/>
    <s v="GBP"/>
    <n v="1625"/>
    <n v="0"/>
    <n v="1625"/>
    <m/>
  </r>
  <r>
    <s v="Clôturé"/>
    <x v="37"/>
    <m/>
    <x v="6"/>
    <m/>
    <x v="64"/>
    <s v="Quote du 07/01/2021 - P00005_2021"/>
    <s v="P00005_2021"/>
    <s v="6 Audit of Abivax UC study ABX464-103/104 Ukraine - Post audit activities"/>
    <m/>
    <s v="INV-1029 + INV-1032"/>
    <s v="19/04/2021 + 25/05/2021"/>
    <n v="1375"/>
    <s v="GBP"/>
    <n v="2000"/>
    <n v="0"/>
    <n v="2000"/>
    <m/>
  </r>
  <r>
    <s v="Clôturé"/>
    <x v="37"/>
    <m/>
    <x v="6"/>
    <m/>
    <x v="64"/>
    <s v="Quote du 07/01/2021 - P00005_2021"/>
    <s v="P00005_2021"/>
    <s v="6 Audit of Abivax UC study ABX464-103/104 Ukraine - review of the proposed CAPA plans"/>
    <m/>
    <s v="INV-1029 + INV-1032 + INV-1035"/>
    <s v="19/04/2021 + 25/05/2021 + 01/07/2021"/>
    <n v="250"/>
    <s v="GBP"/>
    <n v="2375"/>
    <n v="0"/>
    <n v="2375"/>
    <m/>
  </r>
  <r>
    <s v="Clôturé"/>
    <x v="37"/>
    <m/>
    <x v="6"/>
    <m/>
    <x v="64"/>
    <s v="Quote du 07/01/2021 - P00005_2021"/>
    <s v="P00005_2021"/>
    <s v="6 Audit of Abivax UC study ABX464-103/104 Poland  - Conduct of the audits"/>
    <s v="Q1 2021"/>
    <s v="INV-1029"/>
    <d v="2021-04-19T00:00:00"/>
    <n v="1625"/>
    <s v="GBP"/>
    <n v="1625"/>
    <n v="0"/>
    <n v="1625"/>
    <m/>
  </r>
  <r>
    <s v="OUT ?"/>
    <x v="37"/>
    <m/>
    <x v="6"/>
    <m/>
    <x v="64"/>
    <s v="Quote du 07/01/2021 - P00005_2021"/>
    <s v="P00005_2021"/>
    <s v="6 Audit of Abivax UC study ABX464-103/104  Poland  - Post audit activities"/>
    <s v="Q1 2021"/>
    <s v="INV-1032"/>
    <d v="2021-05-25T00:00:00"/>
    <n v="1375"/>
    <s v="GBP"/>
    <n v="125"/>
    <n v="1250"/>
    <n v="125"/>
    <m/>
  </r>
  <r>
    <s v="OUT ?"/>
    <x v="37"/>
    <m/>
    <x v="6"/>
    <m/>
    <x v="64"/>
    <s v="Quote du 07/01/2021 - P00005_2021"/>
    <s v="P00005_2021"/>
    <s v="6 Audit of Abivax UC study ABX464-103/104  Poland  - review of the proposed CAPA plans"/>
    <s v="Q1 2021"/>
    <s v="INV-1032 + INV-1035"/>
    <s v="25/05/2021 + 01/07/2021"/>
    <n v="250"/>
    <s v="GBP"/>
    <n v="93.75"/>
    <n v="156.25"/>
    <n v="93.75"/>
    <m/>
  </r>
  <r>
    <s v="Clôturé"/>
    <x v="37"/>
    <m/>
    <x v="6"/>
    <m/>
    <x v="64"/>
    <s v="Quote du 07/01/2021 - P00005_2021"/>
    <s v="P00005_2021"/>
    <s v="6 Audit of Abivax UC study ABX464-103/104 Poland - Conduct of the audits"/>
    <m/>
    <s v="INV-1024"/>
    <d v="2021-03-15T00:00:00"/>
    <n v="1625"/>
    <s v="GBP"/>
    <n v="2375"/>
    <n v="0"/>
    <n v="2375"/>
    <m/>
  </r>
  <r>
    <s v="Clôturé"/>
    <x v="37"/>
    <m/>
    <x v="6"/>
    <m/>
    <x v="64"/>
    <s v="Quote du 07/01/2021 - P00005_2021"/>
    <s v="P00005_2021"/>
    <s v="6 Audit of Abivax UC study ABX464-103/104  Poland - Post audit activities"/>
    <s v="Q1 2021"/>
    <s v="INV-1024 + INV-1026"/>
    <s v="15/03/2021 + 19/04/2021"/>
    <n v="1375"/>
    <s v="GBP"/>
    <n v="1500"/>
    <n v="0"/>
    <n v="1500"/>
    <m/>
  </r>
  <r>
    <s v="Clôturé"/>
    <x v="37"/>
    <m/>
    <x v="6"/>
    <m/>
    <x v="64"/>
    <s v="Quote du 07/01/2021 - P00005_2021"/>
    <s v="P00005_2021"/>
    <s v="6 Audit of Abivax UC study ABX464-103/104 Poland - review of the proposed CAPA plans"/>
    <s v="Q1 2021"/>
    <s v="INV-1032 + INV-1035"/>
    <s v="25/05/2021 + 01/07/2021"/>
    <n v="250"/>
    <s v="GBP"/>
    <n v="343.75"/>
    <n v="0"/>
    <n v="343.75"/>
    <m/>
  </r>
  <r>
    <s v="OUT ?"/>
    <x v="37"/>
    <m/>
    <x v="6"/>
    <m/>
    <x v="64"/>
    <s v="Quote du 07/01/2021 - P00005_2021"/>
    <s v="P00005_2021"/>
    <s v="6 Audit of Abivax UC study ABX464-103/104 Poland - Conduct of the audits"/>
    <s v="Q1 2021"/>
    <s v="INV-1032"/>
    <d v="2021-05-25T00:00:00"/>
    <n v="1625"/>
    <s v="GBP"/>
    <n v="1500"/>
    <n v="125"/>
    <n v="1500"/>
    <m/>
  </r>
  <r>
    <s v="Clôturé"/>
    <x v="37"/>
    <m/>
    <x v="6"/>
    <m/>
    <x v="64"/>
    <s v="Quote du 07/01/2021 - P00005_2021"/>
    <s v="P00005_2021"/>
    <s v="6 Audit of Abivax UC study ABX464-103/104  Poland - Post audit activities"/>
    <s v="Q1 2021"/>
    <s v="INV-1032"/>
    <d v="2021-05-25T00:00:00"/>
    <n v="1375"/>
    <s v="GBP"/>
    <n v="1812.5"/>
    <n v="0"/>
    <n v="1812.5"/>
    <m/>
  </r>
  <r>
    <s v="OUT ?"/>
    <x v="37"/>
    <m/>
    <x v="6"/>
    <m/>
    <x v="64"/>
    <s v="Quote du 07/01/2021 - P00005_2021"/>
    <s v="P00005_2021"/>
    <s v="6 Audit of Abivax UC study ABX464-103/104 Poland - review of the proposed CAPA plans"/>
    <s v="Q1 2021"/>
    <s v="INV-1035 + INV-1040 + INV-1045"/>
    <s v="01/07/2021 + 06/08/2021 + 04/10/2021"/>
    <n v="250"/>
    <s v="GBP"/>
    <n v="187.5"/>
    <n v="62.5"/>
    <n v="187.5"/>
    <m/>
  </r>
  <r>
    <s v="OUT ?"/>
    <x v="37"/>
    <m/>
    <x v="6"/>
    <m/>
    <x v="64"/>
    <s v="Quote du 07/01/2021 - P00005_2021"/>
    <s v="P00005_2021"/>
    <s v="6 Audit of Abivax UC study ABX464-103/104 Poland - Conduct of the audits"/>
    <s v="Q1 2021"/>
    <s v="INV-1032"/>
    <d v="2021-05-25T00:00:00"/>
    <n v="1625"/>
    <s v="GBP"/>
    <n v="1500"/>
    <n v="125"/>
    <n v="1500"/>
    <m/>
  </r>
  <r>
    <s v="Clôturé"/>
    <x v="37"/>
    <m/>
    <x v="6"/>
    <m/>
    <x v="64"/>
    <s v="Quote du 07/01/2021 - P00005_2021"/>
    <s v="P00005_2021"/>
    <s v="6 Audit of Abivax UC study ABX464-103/104  Poland - Post audit activities"/>
    <s v="Q1 2021"/>
    <s v="INV-1032"/>
    <d v="2021-05-25T00:00:00"/>
    <n v="1375"/>
    <s v="GBP"/>
    <n v="2062.5"/>
    <n v="0"/>
    <n v="2062.5"/>
    <m/>
  </r>
  <r>
    <s v="Clôturé"/>
    <x v="37"/>
    <m/>
    <x v="6"/>
    <m/>
    <x v="64"/>
    <s v="Quote du 07/01/2021 - P00005_2021"/>
    <s v="P00005_2021"/>
    <s v="6 Audit of Abivax UC study ABX464-103/104 Poland - review of the proposed CAPA plans"/>
    <s v="Q1 2021"/>
    <s v="INV-1035 + INV-1040"/>
    <s v="01/07/2021 + 06/08/2021"/>
    <n v="250"/>
    <s v="GBP"/>
    <n v="343.75"/>
    <n v="0"/>
    <n v="343.75"/>
    <m/>
  </r>
  <r>
    <s v="OUT ?"/>
    <x v="37"/>
    <m/>
    <x v="6"/>
    <m/>
    <x v="64"/>
    <s v="Quote du 07/01/2021 - P00005_2021"/>
    <s v="P00005_2021"/>
    <s v="6 Audit of Abivax UC study ABX464-103/104 Hungary - Conduct of the audits"/>
    <s v="Q1 2021"/>
    <m/>
    <m/>
    <n v="1625"/>
    <s v="GBP"/>
    <m/>
    <n v="1625"/>
    <n v="0"/>
    <m/>
  </r>
  <r>
    <s v="OUT ?"/>
    <x v="37"/>
    <m/>
    <x v="6"/>
    <m/>
    <x v="64"/>
    <s v="Quote du 07/01/2021 - P00005_2021"/>
    <s v="P00005_2021"/>
    <s v="6 Audit of Abivax UC study ABX464-103/104 Hungary - Post audit activities"/>
    <s v="Q1 2021"/>
    <m/>
    <m/>
    <n v="1375"/>
    <s v="GBP"/>
    <m/>
    <n v="1375"/>
    <n v="0"/>
    <m/>
  </r>
  <r>
    <s v="OUT ?"/>
    <x v="37"/>
    <m/>
    <x v="6"/>
    <m/>
    <x v="64"/>
    <s v="Quote du 07/01/2021 - P00005_2021"/>
    <s v="P00005_2021"/>
    <s v="6 Audit of Abivax UC study ABX464-103/104  Hungary - review of the proposed CAPA plans"/>
    <s v="Q1 2021"/>
    <m/>
    <m/>
    <n v="250"/>
    <s v="GBP"/>
    <m/>
    <n v="250"/>
    <n v="0"/>
    <m/>
  </r>
  <r>
    <s v="OUT ?"/>
    <x v="37"/>
    <m/>
    <x v="6"/>
    <m/>
    <x v="64"/>
    <s v="Quote du 07/01/2021 - P00005_2021 Site 3603"/>
    <s v="P00005_2021"/>
    <s v="6 Audit of Abivax UC study ABX464-103/104 Hungary - site audit planning"/>
    <s v="Q1 2021"/>
    <m/>
    <m/>
    <n v="1250"/>
    <s v="GBP"/>
    <m/>
    <n v="1250"/>
    <n v="0"/>
    <m/>
  </r>
  <r>
    <s v="OUT ?"/>
    <x v="37"/>
    <m/>
    <x v="6"/>
    <m/>
    <x v="64"/>
    <s v="Quote du 07/01/2021 - P00005_2021 Site 4802"/>
    <s v="P00005_2021"/>
    <s v="6 Audit of Abivax UC study ABX464-103/104 Poland - site audit planning"/>
    <s v="Q1 2021"/>
    <s v="INV-1026 + INV-1029"/>
    <s v="15/03/2021 + 19/04/2021"/>
    <n v="1250"/>
    <s v="GBP"/>
    <n v="958.33666666666659"/>
    <n v="291.66333333333341"/>
    <n v="958.33666666666659"/>
    <m/>
  </r>
  <r>
    <s v="OUT ?"/>
    <x v="37"/>
    <m/>
    <x v="6"/>
    <m/>
    <x v="64"/>
    <s v="Quote du 07/01/2021 - P00005_2021 Site 4804"/>
    <s v="P00005_2021"/>
    <s v="6 Audit of Abivax UC study ABX464-103/104 Poland - site audit planning"/>
    <s v="Q1 2021"/>
    <s v="INV-1026 + INV-1029 + INV-1032"/>
    <s v="15/03/2021 + 19/04/2021 + 25/05/2021"/>
    <n v="1250"/>
    <s v="GBP"/>
    <n v="854.16666666666663"/>
    <n v="395.83333333333337"/>
    <n v="854.16666666666663"/>
    <m/>
  </r>
  <r>
    <s v="Clôturé"/>
    <x v="37"/>
    <m/>
    <x v="6"/>
    <m/>
    <x v="64"/>
    <s v="Quote du 07/01/2021 - P00005_2021 Site 4818"/>
    <s v="P00005_2021"/>
    <s v="6 Audit of Abivax UC study ABX464-103/104 Poland - site audit planning"/>
    <m/>
    <s v="INV-1024 + INV-1026"/>
    <s v="16/02/2021 + 15/03/2021"/>
    <n v="1250"/>
    <s v="GBP"/>
    <n v="1781.25"/>
    <n v="0"/>
    <n v="1781.25"/>
    <m/>
  </r>
  <r>
    <s v="Clôturé"/>
    <x v="37"/>
    <m/>
    <x v="6"/>
    <m/>
    <x v="64"/>
    <s v="Quote du 07/01/2021 - P00005_2021 Site 4823"/>
    <s v="P00005_2021"/>
    <s v="6 Audit of Abivax UC study ABX464-103/104 Poland  - site audit planning"/>
    <s v="Q1 2021"/>
    <s v="INV-1025 + INV-1026 + INV-1029"/>
    <s v="01/02/2021 + 15/03/2021 + 19/04/2021"/>
    <n v="1250"/>
    <s v="GBP"/>
    <n v="1249.9966666666667"/>
    <n v="3.3333333333303017E-3"/>
    <n v="1249.9966666666667"/>
    <m/>
  </r>
  <r>
    <s v="Clôturé"/>
    <x v="37"/>
    <m/>
    <x v="6"/>
    <m/>
    <x v="64"/>
    <s v="Quote du 07/01/2021 - P00005_2021 Site 7313 + 7316"/>
    <s v="P00005_2021"/>
    <s v="6 Audit of Abivax UC study ABX464-103/104 Ukraine - site audit planning"/>
    <m/>
    <s v="INV-1020 + INV-1024 + INV-1026"/>
    <s v="01/02/2021 + 16/02/2021 + 15/03/2021"/>
    <n v="1250"/>
    <s v="GBP"/>
    <n v="1531.25"/>
    <n v="0"/>
    <n v="1531.25"/>
    <m/>
  </r>
  <r>
    <s v="Clôturé"/>
    <x v="12"/>
    <m/>
    <x v="6"/>
    <m/>
    <x v="64"/>
    <s v="Quote du 09/09/2021 - P00241_2021 Site 3307"/>
    <s v="P00241_2021"/>
    <s v="Audit Sites UC104 - French sites Site 3307"/>
    <m/>
    <s v="INV-1045 + INV-1046 + INV-1050"/>
    <s v="04/10/2021 + 02/11/2021 + 01/12/2021"/>
    <n v="5312.5"/>
    <s v="GBP"/>
    <n v="5375"/>
    <n v="0"/>
    <n v="5375"/>
    <m/>
  </r>
  <r>
    <s v="Clôturé"/>
    <x v="37"/>
    <m/>
    <x v="6"/>
    <m/>
    <x v="64"/>
    <s v="Quote du 14/06/2021 - P00173_2021 Site 3316 (France) "/>
    <m/>
    <s v="Audit site France site 3316"/>
    <m/>
    <s v="INV-1035 + INV-1040 + INV-1045"/>
    <s v="01/07/2021 + 06/08/2021 + 04/10/2021"/>
    <n v="4625"/>
    <s v="GBP"/>
    <n v="5125"/>
    <n v="0"/>
    <n v="5125"/>
    <m/>
  </r>
  <r>
    <s v="Clôturé"/>
    <x v="16"/>
    <m/>
    <x v="6"/>
    <m/>
    <x v="64"/>
    <s v="Quote du 17/01/2023 - P00018_2023"/>
    <s v="P00018_2023"/>
    <s v="Agenda Audit IQVIA + VOISIN CONSULTING"/>
    <m/>
    <s v="INV-1086"/>
    <d v="2023-01-27T00:00:00"/>
    <n v="1260"/>
    <s v="GBP"/>
    <n v="1260"/>
    <n v="0"/>
    <n v="1260"/>
    <m/>
  </r>
  <r>
    <s v="Clôturé"/>
    <x v="37"/>
    <m/>
    <x v="6"/>
    <m/>
    <x v="64"/>
    <s v="Quote du 29/04/2021 - P00133_2021 Site 4104"/>
    <s v="P00133_2021"/>
    <s v="Audit site Slovenie site 4104"/>
    <m/>
    <s v="INV-1032 + INV-1035 + INV-1040 + INV-1045"/>
    <s v="25/05/2021 + 01/07/2021 + 06/08/2021 + 04/10/2021"/>
    <n v="4500"/>
    <s v="GBP"/>
    <n v="4875"/>
    <n v="0"/>
    <n v="4875"/>
    <m/>
  </r>
  <r>
    <s v="OUT ?"/>
    <x v="5"/>
    <m/>
    <x v="6"/>
    <m/>
    <x v="64"/>
    <s v="Quote du 29/06/2020 - P00682_2020"/>
    <s v="P00682_2020"/>
    <s v="Audite site Rep. Tcheque UC103 Q4 2020"/>
    <s v="Q4 2020"/>
    <s v="INV-1011 + INV-1018 + INV 1026"/>
    <s v="19/10/2020 + 30/12/2020 + 15/03/2021"/>
    <n v="6125"/>
    <s v="GBP"/>
    <n v="5031.25"/>
    <n v="1093.75"/>
    <n v="5031.25"/>
    <m/>
  </r>
  <r>
    <s v="Clôturé"/>
    <x v="5"/>
    <m/>
    <x v="6"/>
    <m/>
    <x v="64"/>
    <s v="Quote du 29/06/2020 - P00683_2020"/>
    <s v="P00683_2020"/>
    <s v="Audite site Hongrie UC103 Q4 2020"/>
    <m/>
    <s v="INV-1011 + INV-1018 + INV 1020 + Inv 1024"/>
    <s v="19/10/2020 + 30/12/2020 + 01/02/2021 + 16/02/2021"/>
    <n v="5437.5"/>
    <s v="GBP"/>
    <n v="5437.5"/>
    <n v="0"/>
    <n v="5437.5"/>
    <m/>
  </r>
  <r>
    <s v="OUT ?"/>
    <x v="5"/>
    <m/>
    <x v="6"/>
    <m/>
    <x v="64"/>
    <s v="Quote du 29/06/2020 - P00684_2020"/>
    <s v="P00684_2020"/>
    <s v="Audite site Pologne UC103 Q4 2020"/>
    <s v="Q4 2020"/>
    <s v="INV-1011 + INV-1014 + INV-1018 + INV-1035"/>
    <s v="19/10/2020 + 13/11/2020 + 30/12/2020 + 01/07/2021"/>
    <n v="5875"/>
    <s v="GBP"/>
    <n v="5187.5"/>
    <n v="687.5"/>
    <n v="5187.5"/>
    <m/>
  </r>
  <r>
    <s v="OUT ?"/>
    <x v="5"/>
    <m/>
    <x v="6"/>
    <m/>
    <x v="64"/>
    <s v="Quote du 29/06/2020 - P00685_2020"/>
    <s v="P00685_2020"/>
    <s v="Audite site Belgique UC103 Q4 2020"/>
    <s v="Q4 2020"/>
    <s v="INV-1011 + INV-1020 + INV 1024"/>
    <s v="19/10/2020 + 01/02/2021 + 16/02/2021"/>
    <n v="5312.5"/>
    <s v="GBP"/>
    <n v="4281.25"/>
    <n v="1031.25"/>
    <n v="4281.25"/>
    <m/>
  </r>
  <r>
    <s v="Clôturé ?"/>
    <x v="15"/>
    <m/>
    <x v="3"/>
    <m/>
    <x v="65"/>
    <s v="PSG-1004037 v4 + V6 - P00293_2019"/>
    <s v="P00293_2019"/>
    <s v="Packaging - I."/>
    <m/>
    <s v="INV 407174 + INV 407289 + INV 407811 + INV 408776 + INV 408775 + INV 408843 + INV 409004"/>
    <s v="15/07/2019 + 23/08/2019 + 26/02/2020 + 22/02/2021 + 22/02/2021 + 22/02/2021 + 14/04/2021"/>
    <n v="38724.910000000003"/>
    <s v="EUROS"/>
    <n v="39441.389999999985"/>
    <n v="0"/>
    <n v="39441.389999999985"/>
    <s v="FNP S1 2019"/>
  </r>
  <r>
    <s v="Clôturé ?"/>
    <x v="15"/>
    <m/>
    <x v="3"/>
    <m/>
    <x v="65"/>
    <s v="PSG-1004037 v4 + V6 - P00293_2019"/>
    <s v="P00293_2019"/>
    <s v="Labeling Services - II."/>
    <m/>
    <s v="INV 407174 + INV 407289 + INV 409052"/>
    <s v="15/07/2019 + 23/08/2019 + 29/04/2021"/>
    <n v="2629.96"/>
    <s v="EUROS"/>
    <n v="12389.49"/>
    <n v="0"/>
    <n v="12389.49"/>
    <m/>
  </r>
  <r>
    <s v="Clôturé ?"/>
    <x v="15"/>
    <m/>
    <x v="3"/>
    <m/>
    <x v="65"/>
    <s v="PSG-1004037 v4 + V6 - P00293_2019"/>
    <s v="P00293_2019"/>
    <s v="Inventory Management - III."/>
    <m/>
    <s v="INV 407289 + INV 5148232 + INV 407395 + INV 407403 + INV 407404 + INV 407496 + INV 407541 + INV 407621 + INV 407717 + INV 407811 + INV 407890 + INV 407979 + INV 408044 + INV 408113 + INV 408243 + INV 408386 + INV 408384 + INV 408467 + INV 408599 + INV 408621 + INV 409052 + INV 409286 + INV 409309 + INV 40572 + INV 409608 + INV 408776 + INV 409922 + INV 410041"/>
    <s v="23/08/2019 + 15/08/2019 + 27/09/2019 + 08/10/2019 + 08/10/2019 bis + 31/10/2019 + 28/11/2019 + 18/12/2019 + 29/01/2020 + 26/02/2020 + 27/03/2020 + 29/04/2020 + 26/05/2020 + 16/06/2020 + 27/07/2020 + 23/09/2020 + 23/09/2020 + 16/10/2020 + 26/11/2020 + 12/12/2020 + 29/04/2021 + 23/06/2021 + 28/06/2021 + 06/08/2021 + 18/08/2021 + 01/10/2021 + 02/11/2021 + 03/12/2021"/>
    <n v="15472.65"/>
    <s v="EUROS"/>
    <n v="30225.669999999991"/>
    <n v="0"/>
    <n v="30225.669999999991"/>
    <m/>
  </r>
  <r>
    <m/>
    <x v="15"/>
    <m/>
    <x v="3"/>
    <m/>
    <x v="65"/>
    <s v="PSG-1004037 v4 + V6 - P00293_2019"/>
    <s v="P00293_2019"/>
    <s v="Distribution - IV."/>
    <m/>
    <s v="INV 407309 + INV 407271 + INV 407395 + INV 407403 + INV 407405 + INV 407541 + INV 407542 + INV 407621 + INV 407979 + INV 407044 + INV 408621 + INV 408734 + INV 408843 + INV 409004 + INV 409052 + INV 409310 + INV 409573 + INV 409635 + INV 409777 + INV 410428  + INV 410690 + INV 410845 + INV 410897"/>
    <s v="29/08/2019 + 15/08/2019 + 27/09/2019 + 08/10/2019 + 08/10/2019 bis + 28/11/2019 + 28/11/2019 Bis + 18/12/2019 + 29/04/2020 + 26/05/2020 + 11/12/2020 + 05/02/2021 + 22/02/2021 + 14/04/2021 + 29/04/2021 + 28/06/2021 + 06/08/2021 + 26/08/2021 + 01/10/2021 + 28/02/2022 +  + 04/05/2022 + 09/06/2022 + 27/06/2022"/>
    <n v="66863.22"/>
    <s v="EUROS"/>
    <n v="44112.739999999983"/>
    <n v="22750.480000000018"/>
    <n v="44112.739999999983"/>
    <m/>
  </r>
  <r>
    <m/>
    <x v="15"/>
    <m/>
    <x v="3"/>
    <m/>
    <x v="65"/>
    <s v="PSG-1004037 v4 + V6 - P00293_2019"/>
    <s v="P00293_2019"/>
    <s v="Total Transportation Mangement - V."/>
    <m/>
    <s v="INV 410428 + INV 410691 + INV 4108445 - INV 410566CN + INV 410897 + INV 413993 + INV 414177 + INV 414252 + INV 414246 + INV 414245 + INV 414244 + INV 414243 + INV 414242 + INV 414241 + INV 414240 + INV 414239 + INV 414238 + INV 414237 + INV 414336 + INV 414477 + INV 414599 + INV 414748 + INV 415019 + INV 415287 + INV 415632 + INV 415840 + INV 415963 + INV 416160"/>
    <s v="28/02/2022 + 04/05/2022 + 09/06/2022 - 29/06/2022 + 27/06/2022 + 29/04/2024 + 30/05/2024 + 07/06/2024 + 07/06/2024 + 07/06/2024 + 07/06/2024 + 07/06/2024 + 07/06/2024 + 07/06/2024 + 07/06/2024 + 07/06/2024 + 07/06/2024 + 07/06/2024 + 27/06/2024 + 25/07/2024 + 26/08/2024 + 16/09/2024 + 30/10/2024 + 18/12/2024 +20/02/2025 + 28/03/2025 + 28/04/2025 + 30/05/2025"/>
    <n v="9440"/>
    <s v="EUROS"/>
    <n v="2308.33"/>
    <n v="7131.67"/>
    <n v="2308.33"/>
    <m/>
  </r>
  <r>
    <m/>
    <x v="15"/>
    <m/>
    <x v="3"/>
    <m/>
    <x v="65"/>
    <s v="Quote 67467 Order 1 V2 - P00321_2019"/>
    <s v="P00321_2019"/>
    <s v="Sourcing of medicinal product for CT - 100% à la livraison des produits"/>
    <m/>
    <m/>
    <s v="INV 5144119 du 13/06/2019 + Estimated handing &amp; shipping fees a venir"/>
    <n v="2267.6799999999998"/>
    <s v="USD"/>
    <n v="767.68000000000006"/>
    <n v="1499.9999999999998"/>
    <n v="767.68000000000006"/>
    <m/>
  </r>
  <r>
    <m/>
    <x v="15"/>
    <m/>
    <x v="3"/>
    <m/>
    <x v="65"/>
    <s v="Quote PSG-A-1027572.V2 - P00789_2020"/>
    <s v="P00789_2020"/>
    <s v="Ancillaries and kit manufacturing - Clinical Ancillaries"/>
    <m/>
    <m/>
    <m/>
    <n v="1009.88"/>
    <s v="EUROS"/>
    <m/>
    <n v="1009.88"/>
    <n v="0"/>
    <m/>
  </r>
  <r>
    <m/>
    <x v="15"/>
    <m/>
    <x v="3"/>
    <m/>
    <x v="65"/>
    <s v="Quote PSG-A-1027572.V2 - P00789_2020"/>
    <s v="P00789_2020"/>
    <s v="Ancillaries and kit manufacturing - Packaging"/>
    <m/>
    <s v="INV 408517"/>
    <d v="2020-10-28T00:00:00"/>
    <n v="11456.29"/>
    <s v="EUROS"/>
    <n v="2723.3"/>
    <n v="8732.9900000000016"/>
    <n v="2723.3"/>
    <m/>
  </r>
  <r>
    <m/>
    <x v="15"/>
    <m/>
    <x v="3"/>
    <m/>
    <x v="65"/>
    <s v="Quote PSG-A-1027572.V2 - P00789_2020"/>
    <s v="P00789_2020"/>
    <s v="Ancillaries and kit manufacturing - Labeling Services"/>
    <m/>
    <m/>
    <m/>
    <n v="2413.25"/>
    <s v="EUROS"/>
    <m/>
    <n v="2413.25"/>
    <n v="0"/>
    <m/>
  </r>
  <r>
    <m/>
    <x v="15"/>
    <m/>
    <x v="3"/>
    <m/>
    <x v="65"/>
    <s v="Quote PSG-A-1027572.V2 - P00789_2020"/>
    <s v="P00789_2020"/>
    <s v="Ancillaries and kit manufacturing - Inveroty Management"/>
    <m/>
    <m/>
    <m/>
    <n v="719.36"/>
    <s v="EUROS"/>
    <m/>
    <n v="719.36"/>
    <n v="0"/>
    <m/>
  </r>
  <r>
    <m/>
    <x v="15"/>
    <m/>
    <x v="3"/>
    <m/>
    <x v="66"/>
    <s v="67467.O4.V1 - P00096_2022"/>
    <s v="P00096_2022"/>
    <s v="Sourcing of Medicinal Product(s) for Clinical Trials + Transport"/>
    <m/>
    <s v="INV 5232316P + INV 5233604"/>
    <s v="10/03/2022 + 23/03/2022"/>
    <n v="4207.6000000000004"/>
    <s v="USD"/>
    <n v="3271.6000000000004"/>
    <n v="936"/>
    <n v="3271.6000000000004"/>
    <m/>
  </r>
  <r>
    <s v="OUT ?"/>
    <x v="1"/>
    <m/>
    <x v="8"/>
    <m/>
    <x v="67"/>
    <s v="P00262_2022"/>
    <s v="P00262_2022"/>
    <s v="Publishing and Sumbission Support + IND Publishing and submission Support"/>
    <m/>
    <s v="INV FRGRE2022411 + INV FRGRE2022467 + INV FRGRE2022539 + INV FRGRE2022606 + INV FRGRE2022760 + INV FRGRE2023118"/>
    <s v="10/08/2022 + 06/09/2022 + 06/10/2022 + 10/11/2022 + 04/01/2023 + 10/04/2023"/>
    <n v="30000"/>
    <s v="EUROS"/>
    <n v="18506"/>
    <n v="11494"/>
    <n v="18506"/>
    <s v="50% signature + 50% a la publication"/>
  </r>
  <r>
    <s v="OUT ?"/>
    <x v="4"/>
    <m/>
    <x v="6"/>
    <m/>
    <x v="68"/>
    <s v="Quote du 03/03/2020 - P00582_2020"/>
    <s v="P00582_2020"/>
    <s v="Audit site Hongrie Avril 2020"/>
    <d v="2020-12-01T00:00:00"/>
    <s v="INV 2020-018"/>
    <d v="2020-11-27T00:00:00"/>
    <n v="4750"/>
    <s v="GBP"/>
    <n v="2750"/>
    <n v="2000"/>
    <n v="2750"/>
    <m/>
  </r>
  <r>
    <s v="OUT ?"/>
    <x v="4"/>
    <m/>
    <x v="6"/>
    <m/>
    <x v="68"/>
    <s v="Quote du 26/06/2020 - P00681_2020"/>
    <s v="P00681_2020"/>
    <s v="Audit site Belgique Octobre 2020"/>
    <d v="2020-12-01T00:00:00"/>
    <s v="INV 2020-019"/>
    <d v="2020-11-27T00:00:00"/>
    <n v="4750"/>
    <s v="GBP"/>
    <n v="3000"/>
    <n v="1750"/>
    <n v="3000"/>
    <m/>
  </r>
  <r>
    <s v="OUT ?"/>
    <x v="9"/>
    <m/>
    <x v="0"/>
    <m/>
    <x v="69"/>
    <s v="D1700119 M00031"/>
    <m/>
    <s v="tumor Image analysis"/>
    <m/>
    <m/>
    <m/>
    <n v="5118"/>
    <s v="EUROS"/>
    <n v="1940"/>
    <n v="3178"/>
    <n v="1940"/>
    <s v="reste il des choses a attendre?"/>
  </r>
  <r>
    <s v="Clôturé"/>
    <x v="12"/>
    <m/>
    <x v="2"/>
    <m/>
    <x v="70"/>
    <s v="Devis Q2100099 - P00101_2021 (Supplé P00852)"/>
    <s v="P00101_2021 (Supplé P00852)"/>
    <s v="Histopathology Scoring ABX464-104 - BLOCK MANUFACTURING"/>
    <m/>
    <s v="INV F21001585 + INV F22000407 + INV FE22000692 + INV F22000969 + INV F22001380 + INV FE23000112 + INV F23000394"/>
    <s v="30/11/2021 + 30/03/2022 + 31/05/2022 + 28/07/2022 + 28/10/2022 + 31/01/2023 + 31/03/2023"/>
    <n v="2450"/>
    <s v="EUROS"/>
    <n v="2600"/>
    <n v="0"/>
    <n v="2600"/>
    <m/>
  </r>
  <r>
    <m/>
    <x v="12"/>
    <m/>
    <x v="2"/>
    <m/>
    <x v="70"/>
    <s v="Devis Q2100099 - P00101_2021 (Supplé P00852)"/>
    <s v="P00101_2021 (Supplé P00852)"/>
    <s v="Histopathology Scoring ABX464-104 - HE STAINING"/>
    <m/>
    <s v="INV F21001585 + INV F22000407 + INV FE22000692 + INV F22000969 + INV F22001380 + INV FE23000112 + INV F23000394"/>
    <s v="30/11/2021 + 30/03/2022 + 31/05/2022 + 28/07/2022 + 28/10/2022 + 31/01/2023 + 31/03/2023"/>
    <n v="8575"/>
    <s v="EUROS"/>
    <n v="5499.5"/>
    <n v="3075.5"/>
    <n v="5499.5"/>
    <m/>
  </r>
  <r>
    <m/>
    <x v="12"/>
    <m/>
    <x v="2"/>
    <m/>
    <x v="70"/>
    <s v="Devis Q2100099 - P00101_2021 (Supplé P00852)"/>
    <s v="P00101_2021 (Supplé P00852)"/>
    <s v="Histopathology Scoring ABX464-104 - HISTOPATHOLOGY SCORING"/>
    <m/>
    <s v="INV F22000407 + INV F22000692 + INV F22000969 + INV F22001380 + INV FE23000112 + INV F23000394"/>
    <s v="30/03/2022 + 31/05/2022 + 28/07/2022 + 28/10/2022 + 30/01/2023 + 31/03/2023"/>
    <n v="128380"/>
    <s v="EUROS"/>
    <n v="94320"/>
    <n v="34060"/>
    <n v="94320"/>
    <m/>
  </r>
  <r>
    <s v="Clôturé"/>
    <x v="12"/>
    <m/>
    <x v="2"/>
    <m/>
    <x v="70"/>
    <s v="Devis Q2100099 - P00101_2021 (Supplé P00852)"/>
    <s v="P00101_2021 (Supplé P00852)"/>
    <s v="Histopathology Scoring ABX464-104 - STUDY MANAGEMENT &amp; FEES"/>
    <m/>
    <s v="INV F22000692 + INV F22000969 + F22001380 + INV FE23000112 + INV F23000394 + INV F23001092 + INV F23001093"/>
    <s v="31/05/2022 + 28/07/2022 + 28/10/2022 + 31/01/2023 + 31/03/2023 + 28/08/2023 + 28/08/2023"/>
    <n v="22200"/>
    <s v="EUROS"/>
    <n v="24810.54"/>
    <n v="0"/>
    <n v="24810.54"/>
    <m/>
  </r>
  <r>
    <m/>
    <x v="12"/>
    <m/>
    <x v="2"/>
    <m/>
    <x v="70"/>
    <s v="Devis Q2100407 - P00320_2021"/>
    <s v="P00320_2021"/>
    <s v="Histopathology Scoring ABX464-104 - Ajout prélèvement W96"/>
    <m/>
    <s v="INV F23001094"/>
    <d v="2023-08-28T00:00:00"/>
    <n v="129839"/>
    <s v="EUROS"/>
    <n v="13703.2"/>
    <n v="116135.8"/>
    <n v="13703.2"/>
    <m/>
  </r>
  <r>
    <m/>
    <x v="5"/>
    <m/>
    <x v="2"/>
    <m/>
    <x v="70"/>
    <s v="Q2100226 - P00088_2022 (add au P00342_2021)"/>
    <s v="P00088_2022"/>
    <s v="Cytokines Simplex protocol dev addotion to PO000342"/>
    <m/>
    <s v="INV F22000968 + INV F22001124 + INV FA22001381"/>
    <s v="28/07/2022 + 31/08/2022 + 28/10/2022"/>
    <n v="148388"/>
    <s v="EUROS"/>
    <n v="41633.619999999995"/>
    <n v="106754.38"/>
    <n v="41633.619999999995"/>
    <m/>
  </r>
  <r>
    <s v="Clôturé"/>
    <x v="8"/>
    <m/>
    <x v="2"/>
    <m/>
    <x v="70"/>
    <s v="Q2200254 - P00380_2022"/>
    <s v="P00380_2022"/>
    <s v="Histopathology Scoring ABX464-107 - année 2023"/>
    <n v="2023"/>
    <s v="INV F23000216 + INV F23000398 + INV F23000559 + INV F23000693 + INV F23000870 + INV F23001057 + INV F23001321 + INV F23001437"/>
    <s v="27/02/2023 + 31/03/2023 + 27/04/2023 + 26/05/2023 + 30/06/2023 + 31/07/2023 + 29/09/2023 + 31/10/2023"/>
    <n v="93859.199999999997"/>
    <s v="EUROS"/>
    <n v="93859.199999999997"/>
    <n v="0"/>
    <n v="93859.199999999997"/>
    <s v="08/2023 sera facturé en 10/2023 voir mail Julien"/>
  </r>
  <r>
    <m/>
    <x v="8"/>
    <m/>
    <x v="2"/>
    <m/>
    <x v="70"/>
    <s v="Q2200254_A1 - P00152_2024"/>
    <s v="P00152_2024"/>
    <s v="Histopathology Scoring ABX464-107 - année 2024"/>
    <n v="2024"/>
    <s v="INV F24000637 + INV F24000820"/>
    <s v="30/05/2024 + 28/06/2024"/>
    <n v="98623.32"/>
    <s v="EUROS"/>
    <n v="49311.66"/>
    <n v="49311.66"/>
    <n v="49311.66"/>
    <m/>
  </r>
  <r>
    <m/>
    <x v="8"/>
    <m/>
    <x v="2"/>
    <m/>
    <x v="70"/>
    <s v="Q2200254_A1 - P00152_2024"/>
    <s v="P00152_2024"/>
    <s v="Histopathology Scoring ABX464-107 - année 2025"/>
    <n v="2025"/>
    <m/>
    <m/>
    <n v="98623.32"/>
    <s v="EUROS"/>
    <m/>
    <n v="98623.32"/>
    <n v="0"/>
    <m/>
  </r>
  <r>
    <m/>
    <x v="8"/>
    <m/>
    <x v="2"/>
    <m/>
    <x v="70"/>
    <s v="Q2200254_A1 - P00152_2024"/>
    <s v="P00152_2024"/>
    <s v="Histopathology Scoring ABX464-107 - année 2026"/>
    <n v="2026"/>
    <m/>
    <m/>
    <n v="32874.44"/>
    <s v="EUROS"/>
    <m/>
    <n v="32874.44"/>
    <n v="0"/>
    <m/>
  </r>
  <r>
    <s v="Clôturé"/>
    <x v="3"/>
    <m/>
    <x v="2"/>
    <m/>
    <x v="70"/>
    <s v="Q2200284 - P00378_2022"/>
    <s v="P00378_2022"/>
    <s v="Histopathology Scoring ABX464-105 - année 2022"/>
    <m/>
    <s v="INV F22001693"/>
    <d v="2022-12-29T00:00:00"/>
    <n v="12354"/>
    <s v="EUROS"/>
    <n v="12354"/>
    <n v="0"/>
    <n v="12354"/>
    <m/>
  </r>
  <r>
    <s v="Clôturé"/>
    <x v="3"/>
    <m/>
    <x v="2"/>
    <m/>
    <x v="70"/>
    <s v="Q2200284 - P00378_2022"/>
    <s v="P00378_2022"/>
    <s v="Histopathology Scoring ABX464-105 - année 2023"/>
    <n v="2023"/>
    <s v="INV F22000114 + INV F23000214 + INV F23000396 + INV F23000557 + INV F23000691 + INV F23000868 + INV F23001055 + INV F23001319 + INV 23001435"/>
    <s v="31/01/2023 + 27/02/2023 + 31/03/2023 + 27/04/2023 + 26/05/2023 + 30/06/2023 + 31/07/2023 + 29/09/2023 + 31/10/2023"/>
    <n v="181770"/>
    <s v="EUROS"/>
    <n v="181770"/>
    <n v="0"/>
    <n v="181770"/>
    <s v="08/2023 sera facturé en 10/2023 voir mail Julien"/>
  </r>
  <r>
    <m/>
    <x v="3"/>
    <m/>
    <x v="2"/>
    <m/>
    <x v="70"/>
    <s v="Q2200284_A1 - P00150_2024"/>
    <s v="P00150_2024"/>
    <s v="Histopathology Scoring ABX464-105 - année 2024"/>
    <n v="2024"/>
    <s v="INV F24000635 + INV F24000818 + INV F24000917 + INV F24001072 + INV 24001149 + INV F24001387 INV F24001508"/>
    <s v="30/05/2024 + 28/06/2024 + 29/07/2024 + 30/08/2024+30/09/2024+28/11/2024+24/12/2024"/>
    <n v="146484.72"/>
    <s v="EUROS"/>
    <n v="146484.72"/>
    <n v="0"/>
    <n v="146484.72"/>
    <m/>
  </r>
  <r>
    <m/>
    <x v="3"/>
    <m/>
    <x v="2"/>
    <m/>
    <x v="70"/>
    <s v="Q2200284_A1 - P00150_2024"/>
    <s v="P00150_2024"/>
    <s v="Histopathology Scoring ABX464-105 - année 2025"/>
    <n v="2025"/>
    <s v="INV F25000105+ INV F25000261 + INV F25000376 + INV 25000507 + INV F25000599"/>
    <s v="28/02/2025+31/12/2025+31/03/2025+30/04/2025+30/05/2025"/>
    <n v="61035.299999999996"/>
    <s v="EUROS"/>
    <n v="61035.71"/>
    <n v="0"/>
    <n v="61035.71"/>
    <m/>
  </r>
  <r>
    <s v="Clôturé"/>
    <x v="23"/>
    <m/>
    <x v="2"/>
    <m/>
    <x v="70"/>
    <s v="Q2200285 - P00379_2022"/>
    <s v="P00379_2022"/>
    <s v="Histopathology Scoring ABX464-106 - année 2022"/>
    <m/>
    <s v="INV F22001694"/>
    <d v="2022-12-29T00:00:00"/>
    <n v="12354"/>
    <s v="EUROS"/>
    <n v="12354"/>
    <n v="0"/>
    <n v="12354"/>
    <m/>
  </r>
  <r>
    <s v="Clôturé"/>
    <x v="23"/>
    <m/>
    <x v="2"/>
    <m/>
    <x v="70"/>
    <s v="Q2200285 - P00379_2022"/>
    <s v="P00379_2022"/>
    <s v="Histopathology Scoring ABX464-106 - année 2023"/>
    <n v="2023"/>
    <s v="INV F23000113 + INV F23000215 + INV F23000397 + INV F23000558 + INV F23000692 + INV F23000869 + INV F23001056 + INV F23001320 + INV F23001436"/>
    <s v="31/01/2023 + 27/02/2023 + 31/03/2023 + 27/04/2023 + 26/05/2023 + 30/06/2023 + 30/07/2023 + 29/09/2023 + 31/10/2023"/>
    <n v="181770"/>
    <s v="EUROS"/>
    <n v="181770"/>
    <n v="0"/>
    <n v="181770"/>
    <s v="08/2023 sera facturé en 10/2023 voir mail Julien"/>
  </r>
  <r>
    <m/>
    <x v="23"/>
    <m/>
    <x v="2"/>
    <m/>
    <x v="70"/>
    <s v="Q2200285_A1 - P00151_2024"/>
    <s v="P00151_2024"/>
    <s v="Histopathology Scoring ABX464-106 - année 2024"/>
    <n v="2024"/>
    <s v="INV F24000636 + INV F24000819 + INV F24000918 + INV F24001073 + INV F24001150 + INV F24001507"/>
    <s v="30/05/2024 + 28/06/2024 + 29/07/2024 + 30/08/2024 + 30/09/2024 + 24/12/2024"/>
    <n v="146484.72"/>
    <s v="EUROS"/>
    <n v="122070.59999999999"/>
    <n v="24414.12000000001"/>
    <n v="122070.59999999999"/>
    <m/>
  </r>
  <r>
    <m/>
    <x v="23"/>
    <m/>
    <x v="2"/>
    <m/>
    <x v="70"/>
    <s v="Q2200285_A1 - P00151_2024"/>
    <s v="P00151_2024"/>
    <s v="Histopathology Scoring ABX464-106 - année 2025"/>
    <n v="2025"/>
    <s v="INV F25000106 + INV F25000262 + INV F25000377+INV F25000508+ INV F25000600"/>
    <s v="31/01/2025+28/02/2025+31/03/2025+30/04/2025+31/05/2025"/>
    <n v="61035.299999999996"/>
    <s v="EUROS"/>
    <n v="51035.300999999999"/>
    <n v="9999.9989999999962"/>
    <n v="51035.300999999999"/>
    <m/>
  </r>
  <r>
    <m/>
    <x v="7"/>
    <m/>
    <x v="2"/>
    <m/>
    <x v="70"/>
    <s v="Q2300304_V3 - P00448_2023"/>
    <s v="P00448_2023"/>
    <s v="Histopathology Geboes Scoring"/>
    <m/>
    <m/>
    <m/>
    <n v="594740.16"/>
    <s v="EUROS"/>
    <m/>
    <n v="594740.16"/>
    <n v="0"/>
    <m/>
  </r>
  <r>
    <m/>
    <x v="1"/>
    <m/>
    <x v="2"/>
    <s v="Julien S"/>
    <x v="70"/>
    <s v="Q2300304_V4 - P00297_2024"/>
    <s v="P00297_2024"/>
    <s v="Histopathology Geboes Scoring - Amdt 1 + 212 patients"/>
    <m/>
    <m/>
    <m/>
    <n v="274902.89"/>
    <s v="EUROS"/>
    <m/>
    <n v="274902.89"/>
    <n v="0"/>
    <m/>
  </r>
  <r>
    <s v="Clôturé"/>
    <x v="12"/>
    <m/>
    <x v="2"/>
    <m/>
    <x v="71"/>
    <s v="CNF 2 - Ecrasé par CO3"/>
    <m/>
    <s v="CNF2"/>
    <m/>
    <m/>
    <m/>
    <n v="0"/>
    <s v="EUROS"/>
    <m/>
    <n v="0"/>
    <n v="0"/>
    <m/>
  </r>
  <r>
    <s v="OUT ?"/>
    <x v="29"/>
    <m/>
    <x v="2"/>
    <m/>
    <x v="71"/>
    <s v="MSA_18231_W3  - P00203_2021 + WO1 - P00336_2021"/>
    <s v="P00336_2021"/>
    <s v="Pass-Through costs*"/>
    <m/>
    <s v="INV FRA-002695 + INV FRA-002762 + INV FRA-002803 + INV FRA-002875 + INV FRA-002955 + INV FRA-003023 + INV FRA-003086 + INV FRA-003152 + INV FRA-003244 + INV FRA-003297 + INV FRA-003351 + INV FRA-003440 + INV FRA-003865"/>
    <s v="11/08/2021 + 14/09/2021 + 12/10/2021 + 10/11/2021 + 09/12/2021 + 13/01/2022 + 11/02/2022 + 08/03/2022 + 11/04/2022 + 10/05/2022 + 08/06/2022 + 12/07/2022 + 12/12/2022"/>
    <n v="82370.067999999999"/>
    <s v="EUROS"/>
    <n v="51342.57"/>
    <n v="31027.498"/>
    <n v="51342.57"/>
    <m/>
  </r>
  <r>
    <s v="Clôturé"/>
    <x v="29"/>
    <m/>
    <x v="2"/>
    <m/>
    <x v="71"/>
    <s v="MSA_18231_W3  - P00203_2021 + WO1 + WO2 - P00336_2021 + P00123_2022"/>
    <s v="P00123_2022"/>
    <s v="Investigator costs**"/>
    <m/>
    <s v="INV FRA-002876 + INV FRA-003296"/>
    <s v="10/11/2021 + 10/05/2022"/>
    <n v="784532.78199999989"/>
    <s v="EUROS"/>
    <n v="866102.02"/>
    <n v="0"/>
    <n v="866102.02"/>
    <m/>
  </r>
  <r>
    <s v="Clôturé"/>
    <x v="29"/>
    <m/>
    <x v="2"/>
    <m/>
    <x v="71"/>
    <s v="MSA_18231_W3 - P00203_2021"/>
    <s v="P00203_2021"/>
    <s v="Pre-payment upon Signature of WO"/>
    <m/>
    <s v="INV FRA-002668"/>
    <d v="2021-07-22T00:00:00"/>
    <n v="250000"/>
    <s v="EUROS"/>
    <n v="250000"/>
    <n v="0"/>
    <n v="250000"/>
    <m/>
  </r>
  <r>
    <s v="Clôturé"/>
    <x v="29"/>
    <m/>
    <x v="2"/>
    <m/>
    <x v="71"/>
    <s v="MSA_18231_W3 - P00203_2021"/>
    <s v="P00203_2021"/>
    <s v="50% of Site Qualification Visits &amp; Reports Completed"/>
    <m/>
    <s v="INV FRA-002668"/>
    <d v="2021-07-22T00:00:00"/>
    <n v="109000"/>
    <s v="EUROS"/>
    <n v="109000"/>
    <n v="0"/>
    <n v="109000"/>
    <m/>
  </r>
  <r>
    <s v="Clôturé"/>
    <x v="29"/>
    <m/>
    <x v="2"/>
    <m/>
    <x v="71"/>
    <s v="MSA_18231_W3 - P00203_2021"/>
    <s v="P00203_2021"/>
    <s v="First Site Initiated"/>
    <m/>
    <s v="INV FRA-002804"/>
    <d v="2021-10-12T00:00:00"/>
    <n v="103000"/>
    <s v="EUROS"/>
    <n v="103000"/>
    <n v="0"/>
    <n v="103000"/>
    <m/>
  </r>
  <r>
    <s v="Clôturé"/>
    <x v="29"/>
    <m/>
    <x v="2"/>
    <m/>
    <x v="71"/>
    <s v="MSA_18231_W3 - P00203_2021"/>
    <s v="P00203_2021"/>
    <s v="FPI on Single Dose Part"/>
    <m/>
    <s v="INV FRA-002804"/>
    <d v="2021-10-12T00:00:00"/>
    <n v="63000"/>
    <s v="EUROS"/>
    <n v="63000"/>
    <n v="0"/>
    <n v="63000"/>
    <m/>
  </r>
  <r>
    <s v="Clôturé"/>
    <x v="29"/>
    <m/>
    <x v="2"/>
    <m/>
    <x v="71"/>
    <s v="MSA_18231_W3 - P00203_2021"/>
    <s v="P00203_2021"/>
    <s v="FPI of Multiple Dose Part"/>
    <m/>
    <s v="INV FRA-002922"/>
    <d v="2021-12-02T00:00:00"/>
    <n v="63000"/>
    <s v="EUROS"/>
    <n v="63000"/>
    <n v="0"/>
    <n v="63000"/>
    <m/>
  </r>
  <r>
    <s v="Clôturé"/>
    <x v="29"/>
    <m/>
    <x v="2"/>
    <m/>
    <x v="71"/>
    <s v="MSA_18231_W3 - P00203_2021"/>
    <s v="P00203_2021"/>
    <s v="Credit Back"/>
    <m/>
    <s v="INV FRA-003896 + INV FRA-003895"/>
    <s v="19/12/2022 + 19/12/2022 (saisie 01/2023)"/>
    <n v="-250000"/>
    <s v="EUROS"/>
    <n v="-266928"/>
    <n v="0"/>
    <n v="-266928"/>
    <m/>
  </r>
  <r>
    <s v="Clôturé"/>
    <x v="29"/>
    <m/>
    <x v="2"/>
    <m/>
    <x v="71"/>
    <s v="MSA_18231_W3 - P00203_2021"/>
    <s v="P00203_2021"/>
    <s v="Monthly Payment 1"/>
    <m/>
    <s v="INV FRA-002701"/>
    <d v="2021-08-11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2"/>
    <m/>
    <s v="INV FRA-002745"/>
    <d v="2021-09-09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3"/>
    <m/>
    <s v="INV FRA-002804"/>
    <d v="2021-10-12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4"/>
    <m/>
    <s v="INV FRA-002874"/>
    <d v="2021-11-10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5"/>
    <m/>
    <s v="INV FRA-002982"/>
    <d v="2021-12-23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6"/>
    <m/>
    <s v="INV FRA-003188"/>
    <d v="2022-03-28T00:00:00"/>
    <n v="57041"/>
    <s v="EUROS"/>
    <n v="57041"/>
    <n v="0"/>
    <n v="57041"/>
    <m/>
  </r>
  <r>
    <s v="Clôturé"/>
    <x v="29"/>
    <m/>
    <x v="2"/>
    <m/>
    <x v="71"/>
    <s v="MSA_18231_W3 - P00203_2021"/>
    <s v="P00203_2021"/>
    <s v="Monthly Payment 7"/>
    <m/>
    <s v="INV FRA-003188"/>
    <d v="2022-03-28T00:00:00"/>
    <n v="57041"/>
    <s v="EUROS"/>
    <n v="57041"/>
    <n v="0"/>
    <n v="57041"/>
    <m/>
  </r>
  <r>
    <s v="Clôturé"/>
    <x v="29"/>
    <m/>
    <x v="2"/>
    <m/>
    <x v="71"/>
    <s v="MSA_18231_W3 - P00203_2021"/>
    <s v="P00203_2021"/>
    <s v="Monthly Payment 8"/>
    <m/>
    <s v="INV FRA-003188"/>
    <d v="2022-03-28T00:00:00"/>
    <n v="57041"/>
    <s v="EUROS"/>
    <n v="57041"/>
    <n v="0"/>
    <n v="57041"/>
    <m/>
  </r>
  <r>
    <s v="Clôturé"/>
    <x v="29"/>
    <m/>
    <x v="2"/>
    <m/>
    <x v="71"/>
    <s v="MSA_18231_W3 - P00203_2021"/>
    <s v="P00203_2021"/>
    <s v="Monthly Payment 9"/>
    <m/>
    <s v="INV FRA-003260"/>
    <d v="2022-04-28T00:00:00"/>
    <n v="57042"/>
    <s v="EUROS"/>
    <n v="57042"/>
    <n v="0"/>
    <n v="57042"/>
    <m/>
  </r>
  <r>
    <s v="Clôturé"/>
    <x v="29"/>
    <m/>
    <x v="2"/>
    <m/>
    <x v="71"/>
    <s v="MSA_18231_W3 - P00203_2021"/>
    <s v="P00203_2021"/>
    <s v="Pass-Through costs - Upfront 20%"/>
    <m/>
    <s v="INV FRA-002907"/>
    <d v="2021-11-24T00:00:00"/>
    <n v="16928.432000000001"/>
    <s v="EUROS"/>
    <n v="16928"/>
    <n v="0.43200000000069849"/>
    <n v="16928"/>
    <m/>
  </r>
  <r>
    <s v="Clôturé"/>
    <x v="29"/>
    <m/>
    <x v="2"/>
    <m/>
    <x v="71"/>
    <s v="MSA_18231_W3 - P00203_2021"/>
    <s v="P00203_2021"/>
    <s v="Investigator costs - Upfont 20%"/>
    <m/>
    <s v="INV FRA-002908 - INV FRA-003897"/>
    <s v="24/11/2021 - 19/12/2022 (Recu 01/2023)"/>
    <n v="148641.758"/>
    <s v="EUROS"/>
    <n v="0"/>
    <n v="0"/>
    <n v="0"/>
    <m/>
  </r>
  <r>
    <s v="Clôturé"/>
    <x v="29"/>
    <m/>
    <x v="2"/>
    <m/>
    <x v="71"/>
    <s v="MSA_18231_W3 - WO1 - P00336_2021"/>
    <s v="P00336_2021"/>
    <s v="Database Lock (DBL)"/>
    <m/>
    <s v="INV FRA-003188"/>
    <d v="2022-03-28T00:00:00"/>
    <n v="50000"/>
    <s v="EUROS"/>
    <n v="50000"/>
    <n v="0"/>
    <n v="50000"/>
    <m/>
  </r>
  <r>
    <s v="Clôturé"/>
    <x v="29"/>
    <m/>
    <x v="2"/>
    <m/>
    <x v="71"/>
    <s v="MSA_18231_W3 - WO2 - P00123_2022"/>
    <s v="P00123_2022"/>
    <s v="Planned Statistical Analysis Complete"/>
    <m/>
    <s v="INV FRA-003724"/>
    <d v="2022-10-12T00:00:00"/>
    <n v="38633.199999999997"/>
    <s v="EUROS"/>
    <n v="38633.199999999997"/>
    <n v="0"/>
    <n v="38633.199999999997"/>
    <m/>
  </r>
  <r>
    <s v="Clôturé"/>
    <x v="29"/>
    <m/>
    <x v="2"/>
    <m/>
    <x v="71"/>
    <s v="MSA_18231_W3_CO1 - P00059_2021"/>
    <s v="P00059_2021"/>
    <s v="Japan PMDE support ABX464"/>
    <m/>
    <s v="INV QJP-040943 + INV QJP-040942 + INV QJP-041894 - INV QJP-041895"/>
    <s v="11/03/2021 + 11/03/2021 + 07/05/2021 + 07/05/2021"/>
    <n v="6840"/>
    <s v="EUROS"/>
    <n v="6840"/>
    <n v="0"/>
    <n v="6840"/>
    <m/>
  </r>
  <r>
    <s v="Clôturé"/>
    <x v="29"/>
    <m/>
    <x v="2"/>
    <m/>
    <x v="71"/>
    <s v="MSA_18231_W3LOA - P00167_2021"/>
    <s v="P00167_2021"/>
    <s v="Pre-payment upon Signature of ATP"/>
    <m/>
    <s v="INV FRA-002598"/>
    <d v="2021-05-28T00:00:00"/>
    <n v="159042"/>
    <s v="EUROS"/>
    <n v="159042"/>
    <n v="0"/>
    <n v="159042"/>
    <m/>
  </r>
  <r>
    <s v="Clôturé"/>
    <x v="29"/>
    <m/>
    <x v="2"/>
    <m/>
    <x v="71"/>
    <s v="MSA_18231_W3LOA - P00167_2021"/>
    <s v="P00167_2021"/>
    <s v="Site Selection Approval"/>
    <m/>
    <s v="INV FRA-002668"/>
    <d v="2021-07-22T00:00:00"/>
    <n v="159042"/>
    <s v="EUROS"/>
    <n v="159042"/>
    <n v="0"/>
    <n v="159042"/>
    <m/>
  </r>
  <r>
    <s v="Clôturé"/>
    <x v="12"/>
    <m/>
    <x v="2"/>
    <m/>
    <x v="71"/>
    <s v="MSA_19087 LOA"/>
    <m/>
    <s v="Professionnal Fee due Upon LOA signature - 25%"/>
    <m/>
    <s v="INV FRA-001701"/>
    <d v="2019-07-10T00:00:00"/>
    <n v="263581.40749999997"/>
    <s v="EUROS"/>
    <s v="OK"/>
    <n v="0"/>
    <n v="263581.40749999997"/>
    <s v="Vu que la signature a été décalée à Juin j'ai décalé tout les milestones d'un mois"/>
  </r>
  <r>
    <s v="Clôturé"/>
    <x v="12"/>
    <m/>
    <x v="2"/>
    <m/>
    <x v="71"/>
    <s v="MSA_19087 LOA"/>
    <m/>
    <s v="Monthly fee Juillet 2019 - 20%"/>
    <m/>
    <s v="INV FRA-001701"/>
    <d v="2019-07-10T00:00:00"/>
    <n v="210865.12599999999"/>
    <s v="EUROS"/>
    <s v="OK"/>
    <n v="0"/>
    <n v="210865.12599999999"/>
    <s v="Vu que la signature a été décalée à Juin j'ai décalé tout les milestones d'un mois : C'était pas la peine ils ont facturé upfront + mois n°1 en meme temps"/>
  </r>
  <r>
    <s v="Clôturé"/>
    <x v="12"/>
    <m/>
    <x v="2"/>
    <m/>
    <x v="71"/>
    <s v="MSA_19087 LOA"/>
    <m/>
    <s v="Monthly fee Août 2019 - 20%"/>
    <m/>
    <s v="INV FRA-001724"/>
    <d v="2019-08-09T00:00:00"/>
    <n v="210865.12599999999"/>
    <s v="EUROS"/>
    <s v="OK"/>
    <n v="0"/>
    <n v="210865.12599999999"/>
    <s v="Vu que la signature a été décalée à Juin j'ai décalé tout les milestones d'un mois"/>
  </r>
  <r>
    <s v="Clôturé"/>
    <x v="12"/>
    <m/>
    <x v="2"/>
    <m/>
    <x v="71"/>
    <s v="MSA_19087 LOA"/>
    <m/>
    <s v="Monthly fee Septembre 2019 - 20%"/>
    <m/>
    <s v="INV FRA-001730"/>
    <d v="2019-09-04T00:00:00"/>
    <n v="210865.12599999999"/>
    <s v="EUROS"/>
    <s v="OK"/>
    <n v="0"/>
    <n v="210865.12599999999"/>
    <s v="Vu que la signature a été décalée à Juin j'ai décalé tout les milestones d'un mois"/>
  </r>
  <r>
    <s v="Clôturé"/>
    <x v="12"/>
    <m/>
    <x v="2"/>
    <m/>
    <x v="71"/>
    <s v="MSA_19087 LOA"/>
    <m/>
    <s v="Monthly fee Octobre 2019 - 15%"/>
    <m/>
    <s v="INV FRA-001786"/>
    <d v="2019-10-22T00:00:00"/>
    <n v="158148.84449999998"/>
    <s v="EUROS"/>
    <s v="OK"/>
    <n v="0"/>
    <n v="158148.84449999998"/>
    <s v="Vu que la signature a été décalée à Juin j'ai décalé tout les milestones d'un mois"/>
  </r>
  <r>
    <s v="Clôturé"/>
    <x v="12"/>
    <m/>
    <x v="2"/>
    <m/>
    <x v="71"/>
    <s v="MSA_19087 LOA"/>
    <m/>
    <s v="PTC due upon signature"/>
    <m/>
    <s v="INV FRA-001735 + INV FRA-001778 + INV FRA-001795"/>
    <s v="10/09/2019 + 17/10/2019 + 08/11/2019"/>
    <n v="73358.86"/>
    <s v="EUROS"/>
    <n v="73358.86"/>
    <n v="0"/>
    <n v="73358.86"/>
    <s v="PTC hors milestone"/>
  </r>
  <r>
    <s v="Clôturé"/>
    <x v="12"/>
    <m/>
    <x v="2"/>
    <m/>
    <x v="71"/>
    <s v="MSA_19087 WO1"/>
    <m/>
    <s v="Upon execution of WO"/>
    <m/>
    <s v="INV FRA-001804"/>
    <d v="2019-11-21T00:00:00"/>
    <n v="500000"/>
    <s v="EUROS"/>
    <s v="OK"/>
    <n v="0"/>
    <n v="500000"/>
    <m/>
  </r>
  <r>
    <s v="Clôturé"/>
    <x v="12"/>
    <m/>
    <x v="2"/>
    <m/>
    <x v="71"/>
    <s v="MSA_19087 WO1"/>
    <m/>
    <s v="First Patient Randomized"/>
    <m/>
    <s v="INV FRA-001884"/>
    <d v="2020-01-15T00:00:00"/>
    <n v="400000"/>
    <s v="EUROS"/>
    <s v="OK"/>
    <n v="0"/>
    <n v="400000"/>
    <m/>
  </r>
  <r>
    <s v="Clôturé"/>
    <x v="12"/>
    <m/>
    <x v="2"/>
    <m/>
    <x v="71"/>
    <s v="MSA_19087 WO1"/>
    <m/>
    <s v="15% of Site Initiation Visits &amp; Reports Completed"/>
    <m/>
    <s v="INV FRA-002069"/>
    <d v="2020-05-26T00:00:00"/>
    <n v="400000"/>
    <s v="EUROS"/>
    <s v="OK"/>
    <n v="0"/>
    <n v="400000"/>
    <m/>
  </r>
  <r>
    <s v="Clôturé"/>
    <x v="12"/>
    <m/>
    <x v="2"/>
    <m/>
    <x v="71"/>
    <s v="MSA_19087 WO1"/>
    <m/>
    <s v="10% of Monitoring Visit &amp; Reports Completed"/>
    <m/>
    <s v="INV FRA-002205"/>
    <d v="2020-10-08T00:00:00"/>
    <n v="400000"/>
    <s v="EUROS"/>
    <s v="OK"/>
    <n v="0"/>
    <n v="400000"/>
    <m/>
  </r>
  <r>
    <s v="Clôturé"/>
    <x v="12"/>
    <m/>
    <x v="2"/>
    <m/>
    <x v="71"/>
    <s v="MSA_19087 WO1"/>
    <m/>
    <s v="25% of Total CRF Pages Monitored (Source Data Verified)"/>
    <m/>
    <s v="INV FRA-002412"/>
    <d v="2021-02-04T00:00:00"/>
    <n v="200000"/>
    <s v="EUROS"/>
    <s v="OK"/>
    <n v="0"/>
    <n v="200000"/>
    <m/>
  </r>
  <r>
    <s v="Clôturé"/>
    <x v="12"/>
    <m/>
    <x v="2"/>
    <m/>
    <x v="71"/>
    <s v="MSA_19087 WO1"/>
    <m/>
    <s v="75% of Patients Randomized"/>
    <m/>
    <s v="INV FRA-002461"/>
    <d v="2021-03-05T00:00:00"/>
    <n v="200000"/>
    <s v="EUROS"/>
    <s v="OK"/>
    <n v="0"/>
    <n v="200000"/>
    <m/>
  </r>
  <r>
    <s v="Clôturé"/>
    <x v="12"/>
    <m/>
    <x v="2"/>
    <m/>
    <x v="71"/>
    <s v="MSA_19087 WO1"/>
    <m/>
    <s v="35% of Total CRF Pages Monitored (Source Data Verified)"/>
    <m/>
    <s v="INV FRA-002540"/>
    <d v="2021-04-15T00:00:00"/>
    <n v="200000"/>
    <s v="EUROS"/>
    <s v="OK"/>
    <n v="0"/>
    <n v="200000"/>
    <m/>
  </r>
  <r>
    <s v="Clôturé"/>
    <x v="12"/>
    <m/>
    <x v="2"/>
    <m/>
    <x v="71"/>
    <s v="MSA_19087 WO1"/>
    <m/>
    <s v="45% of Total CRF Pages Monitored (Source Data Verified)"/>
    <m/>
    <s v="INV FRA-002540"/>
    <d v="2021-04-15T00:00:00"/>
    <n v="150000"/>
    <s v="EUROS"/>
    <s v="OK"/>
    <n v="0"/>
    <n v="150000"/>
    <m/>
  </r>
  <r>
    <s v="Clôturé"/>
    <x v="12"/>
    <m/>
    <x v="2"/>
    <m/>
    <x v="71"/>
    <s v="MSA_19087 WO1"/>
    <m/>
    <s v="55% of Total CRF Pages Monitored (Source Data Verified)"/>
    <m/>
    <s v="INV FRA-002588"/>
    <d v="2021-05-19T00:00:00"/>
    <n v="150000"/>
    <s v="EUROS"/>
    <s v="OK"/>
    <n v="0"/>
    <n v="150000"/>
    <m/>
  </r>
  <r>
    <s v="Clôturé"/>
    <x v="12"/>
    <m/>
    <x v="2"/>
    <m/>
    <x v="71"/>
    <s v="MSA_19087 WO1"/>
    <m/>
    <s v="PTC - 10% upon execution"/>
    <m/>
    <s v="INV FRA-001812"/>
    <d v="2019-12-05T00:00:00"/>
    <n v="200520.91399999999"/>
    <s v="EUROS"/>
    <s v="OK"/>
    <n v="0"/>
    <n v="200520.91399999999"/>
    <s v="Avance provisionnée PTC"/>
  </r>
  <r>
    <s v="Clôturé"/>
    <x v="12"/>
    <m/>
    <x v="2"/>
    <m/>
    <x v="71"/>
    <s v="MSA_19087 WO1"/>
    <m/>
    <s v="Investigator cost - 10% au First Patient Screened (Janv. 2020)"/>
    <m/>
    <s v="INV FRA-002168"/>
    <d v="2020-08-21T00:00:00"/>
    <n v="256888.7"/>
    <s v="EUROS"/>
    <s v="OK"/>
    <n v="0"/>
    <n v="256888.7"/>
    <s v="Avance provisionnée PTC"/>
  </r>
  <r>
    <m/>
    <x v="12"/>
    <m/>
    <x v="2"/>
    <m/>
    <x v="71"/>
    <s v="MSA_19087 WO1 +  CO1 + CO2 + CO3"/>
    <m/>
    <s v="PTC"/>
    <m/>
    <s v="INV FRA-001819 + INV FRA-001850 + INV FRA-001930 + INV FRA-001964 + INV FRA-0020221 + INV FRA-002043 + INV FRA-002125 + INV FRA-002151 + INV FRA-002188 + INV FRA-002213 + INV FRA-002088 + INV FRA-002250 + INV FRA-002312 + INV FRA-002375 + INV FRA-002420 + INV FRA-002468 + INV FRA-002528 + INV FRA-002576 + INV FRA-002624 + INV FRA-002658 + INV FRA-002703 + INV FRA-002765 + INV FRA-002807 + INV FRA-002884 + INV FRA-002970 + INV FRA-003034 + INV FRA-003030 + INV FRA-003125 + INV FRA-003137 + INV FRA-003185 + INV FRA-003250 + INV FRA-003310 + INV FRA-003375 + INV FRA-003456 + INV FRA-003532 + INV FRA-003652 + INV FRA-003812 + INV FRA-003864 + INV FRA-003964 + INV FRA-004045 + INV FRA-004113 + INV FRA-004170 + INV FRA-004222 + INV FRA-004278 + INV FRA-004307 + INV FRA-004406 + INV FRA-004441 + INV FRA-004475 + INV FRA-004556 + INV FRA-004637 + INV FRA-004748 + INv FRA-004847 + INV FRA-004886 - INV FRA-004977 + INV FRA-004993 + INV FRA-005163 + INV FRA-005321 + INV FRA-005387 + INV FRA-005661 + INC FRA-005741+ INV FR-005823 + INV FRA-005897 + INV FRA-006045 + INV FRA-006640"/>
    <s v="09/12/2019 + 09/01/2020 + 10/02/2020 + 10/03/2020 + 15/04/2020 + 14/05/2020 + 20/07/2020 + 11/08/2020 + 11/09/2020 + 13/10/2020 + 10/06/2020 + 11/11/2020 + 11/12/2020 + 14/01/2021 + 11/02/2021 + 11/03/2021 + 09/04/2021 + 12/05/2021 + 10/06/2021 + 14/07/2021 + 12/08/2021 + 14/09/2021 + 14/10/2021 + 18/11/2021 + 15/12/2021 + 14/01/2022 + 14/01/2022 + 21/02/2022 + 02/03/2022 + 22/03/2022 + 13/04/2022 + 16/05/2022 + 13/06/2022 + 14/07/2022 + 11/08/2022 + 16/09/2022 + 15/11/2022 + 09/12/2022 + 13/01/2023 + 15/02/2023 + 14/03/2023 + 12/04/2023 + 10/05/2023 + 01/06/2023 + 13/06/2023 + 14/07/2023 + 27/07/2023 + 11/08/2023 + 13/09/2023 + 12/10/2023 + 10/11/2023 + 01/01/2024 + 08/01/2024 - 09/02/2024 + 13/02/2024 + 12/04/2024 + 18/06/2024 + 12/07/2024 + 14/11/2024 + 09/12/2024 + 10/01/2025+12/02/2025+14/03/2025+10/09/2025"/>
    <n v="2381021.8760000002"/>
    <s v="EUROS"/>
    <n v="1816108.67"/>
    <n v="564913.20600000024"/>
    <n v="1816108.67"/>
    <m/>
  </r>
  <r>
    <m/>
    <x v="12"/>
    <m/>
    <x v="2"/>
    <m/>
    <x v="71"/>
    <s v="MSA_19087 WO1 +  CO1 + CO2 + CO3"/>
    <m/>
    <s v="Investigator cost"/>
    <m/>
    <s v="INV FRA-002022 + INV FRA-002045 + INV FRA-002090  + INV FRA-002118 + INV FRA-002151 + INV FRA-002187 + INV FRA-002212 + INV FRA-002249 + INV FRA-002313 + INV FRA-002376 + INV FRA-002417 + INV FRA-002467 + INV FRA-002527 + INV FRA-002577 + INV FRA-002623 + INV FRA-002659 + INV FRA-002705 + INV FRA-002763 + iNV FRA-002808 + INV FRA-002891 + INV FRA-002971 + INV FRA-003033 + INV FRA-003126 + INV FRA-003135 + INV FRA-003186 + INV FRA-003248 + INV FRA-003309 - CR FRA-003134 + INV FRA-003373 + INV FRA-003458 + INV FRA-003533 + INV FRA-003653 + INV FRA-003727 + INV FRA-003813 + INV FRA-003862 + INV FRA-003961 + INV FRA-004048 + INV FRA-004116 + INV FRA-004171 + INV FRA-004224 + INV FRA-004308 + INV FRA-004408 + INV FRA-004476 + INV FRA-004557 + INV FRA-004639 + INV FRA-004746 + INv FRA-004845 + INV FRA-004884 + INV FRA-005164 + INV FRA-005236 - INV FRA-005325 + INV FRA-005388 + INV FRA-005444 + INV FRA-05590 + INV FRA-005662 + INV FRA-005740 + INV FRA-005824 + INV FRA-005898 + INV FRA-006319 + INV FRA - 006564"/>
    <s v="15/04/2020 + 14/05/2020 + 10/06/2020 + 13/07/2020 + 11/08/2020 + 11/09/2020 + 13/10/2020 + 11/11/2020 + 11/12/2020 + 14/01/2021 + 11/02/2021 + 11/03/2021 + 08/04/2021 + 12/05/2021 + 10/06/2021 + 14/07/2021 + 12/08/2021 + 14/09/2021 + 14/10/2021 + 19/11/2021 + 15/12/2021 + 14/01/2022 + 21/02/2022 + 24/02/2022 + 22/03/2022 + 13/04/2022 + 16/05/2022 + 24/02/2022 (saisie 05/2022) + 13/06/2022 + 14/07/2022 + 11/08/2022 + 16/09/2022 + 13/10/2022 + 15/11/2022 + 09/12/2022 + 13/01/2023 + 15/02/2023 + 14/03/2023 + 12/04/2023 + 10/05/2023 + 13/06/2023 + 14/07/2023 + 11/08/2023 + 13/09/2023 + 12/10/2023 + 10/11/2023 + 15/12/2023 + 08/01/2024 + 12/04/2024 + 13/05/2024 + 18/06/2024 + 12/07/2024 + 14/08/2024 + 11/10/2024 + 14/11/2024 + 09/12/2024 + 10/01/2025 + 12/02/2025 + 12/06/2025+13/08/2025"/>
    <n v="2386811"/>
    <s v="EUROS"/>
    <n v="2323165.21"/>
    <n v="63645.790000000037"/>
    <n v="2323165.21"/>
    <s v="dépassement de 70 537,91 €, mail envoyé à Josianne le 23/10/2023"/>
  </r>
  <r>
    <s v="Clôturé"/>
    <x v="12"/>
    <m/>
    <x v="2"/>
    <m/>
    <x v="71"/>
    <s v="MSA_19087 WO1 + MSA_19087 WO1 CO2"/>
    <m/>
    <s v="30% of Monitoring Visita &amp; Reports Completed"/>
    <m/>
    <s v="INV FRA-002811"/>
    <d v="2021-10-14T00:00:00"/>
    <n v="500000"/>
    <s v="EUROS"/>
    <s v="OK"/>
    <n v="0"/>
    <n v="500000"/>
    <m/>
  </r>
  <r>
    <s v="Clôturé"/>
    <x v="12"/>
    <m/>
    <x v="2"/>
    <m/>
    <x v="71"/>
    <s v="MSA_19087 WO1 + MSA_19087 WO1 CO2"/>
    <m/>
    <s v="40% of Monitoring Visits &amp; Reports Completed"/>
    <m/>
    <s v="INV FRA-003014"/>
    <d v="2022-01-12T00:00:00"/>
    <n v="600000"/>
    <s v="EUROS"/>
    <s v="OK"/>
    <n v="0"/>
    <n v="600000"/>
    <m/>
  </r>
  <r>
    <s v="Clôturé"/>
    <x v="12"/>
    <m/>
    <x v="2"/>
    <m/>
    <x v="71"/>
    <s v="MSA_19087 WO1 + MSA_19087 WO1 CO2"/>
    <m/>
    <s v="50% of Monitoring Visits &amp; Reports Completed"/>
    <m/>
    <s v="INV FRA-003129"/>
    <d v="2022-02-24T00:00:00"/>
    <n v="600000"/>
    <s v="EUROS"/>
    <s v="OK"/>
    <n v="0"/>
    <n v="600000"/>
    <m/>
  </r>
  <r>
    <s v="Clôturé"/>
    <x v="12"/>
    <m/>
    <x v="2"/>
    <m/>
    <x v="71"/>
    <s v="MSA_19087 WO1 + MSA_19087 WO1 CO2"/>
    <m/>
    <s v="60% of Monitoring Visits &amp; Reports Completed"/>
    <m/>
    <s v="INV FRA-003451"/>
    <d v="2022-07-13T00:00:00"/>
    <n v="150000"/>
    <s v="EUROS"/>
    <s v="OK"/>
    <n v="0"/>
    <n v="150000"/>
    <m/>
  </r>
  <r>
    <s v="Clôturé"/>
    <x v="12"/>
    <m/>
    <x v="2"/>
    <m/>
    <x v="71"/>
    <s v="MSA_19087 WO1 + MSA_19087 WO1 CO2"/>
    <m/>
    <s v="65% of Total CRF Pages Monitored (Source Data Verified)"/>
    <m/>
    <s v="INV FRA-003024"/>
    <d v="2022-01-13T00:00:00"/>
    <n v="280000"/>
    <s v="EUROS"/>
    <s v="OK"/>
    <n v="0"/>
    <n v="280000"/>
    <m/>
  </r>
  <r>
    <s v="Clôturé"/>
    <x v="12"/>
    <m/>
    <x v="2"/>
    <m/>
    <x v="71"/>
    <s v="MSA_19087 WO1 + MSA_19087 WO1 CO2"/>
    <m/>
    <s v="70% of Monitoring Visits &amp; Reports Completed"/>
    <m/>
    <s v="INV FRA-003746"/>
    <d v="2022-10-21T00:00:00"/>
    <n v="100000"/>
    <s v="EUROS"/>
    <s v="OK"/>
    <n v="0"/>
    <n v="100000"/>
    <m/>
  </r>
  <r>
    <s v="Clôturé"/>
    <x v="12"/>
    <m/>
    <x v="2"/>
    <m/>
    <x v="71"/>
    <s v="MSA_19087 WO1 + MSA_19087 WO1 CO2"/>
    <m/>
    <s v="75% of Total CRF Pages Monitored (Source Data Verifsed)"/>
    <m/>
    <s v="INV FRA-003136"/>
    <d v="2022-02-25T00:00:00"/>
    <n v="100000"/>
    <s v="EUROS"/>
    <s v="OK"/>
    <n v="0"/>
    <n v="100000"/>
    <m/>
  </r>
  <r>
    <s v="Clôturé"/>
    <x v="12"/>
    <m/>
    <x v="2"/>
    <m/>
    <x v="71"/>
    <s v="MSA_19087 WO1 + MSA_19087 WO1 CO2"/>
    <m/>
    <s v="85% of Total CRF Pages Monitored (Source Data Verified)"/>
    <m/>
    <s v="INV FRA-003625"/>
    <d v="2022-09-09T00:00:00"/>
    <n v="100000"/>
    <s v="EUROS"/>
    <s v="OK"/>
    <n v="0"/>
    <n v="100000"/>
    <m/>
  </r>
  <r>
    <s v="Clôturé"/>
    <x v="12"/>
    <m/>
    <x v="2"/>
    <m/>
    <x v="71"/>
    <s v="MSA_19087 WO1 + MSA_19087 WO1 CO3"/>
    <m/>
    <s v="Upon exceution CO3"/>
    <m/>
    <s v="INV FRA-003933"/>
    <d v="2023-01-06T00:00:00"/>
    <n v="600000"/>
    <s v="EUROS"/>
    <s v="OK"/>
    <n v="0"/>
    <n v="600000"/>
    <m/>
  </r>
  <r>
    <s v="Clôturé"/>
    <x v="12"/>
    <m/>
    <x v="2"/>
    <m/>
    <x v="71"/>
    <s v="MSA_19087 WO1 + MSA_19087 WO1 CO3"/>
    <m/>
    <s v="80% of Monitoring Visits &amp; Reports Completed"/>
    <m/>
    <s v="INV FRA-003990"/>
    <d v="2023-02-02T00:00:00"/>
    <n v="500000"/>
    <s v="EUROS"/>
    <s v="OK"/>
    <n v="0"/>
    <n v="500000"/>
    <m/>
  </r>
  <r>
    <s v="Clôturé"/>
    <x v="12"/>
    <m/>
    <x v="2"/>
    <m/>
    <x v="71"/>
    <s v="MSA_19087 WO1 + MSA_19087 WO1 CO3"/>
    <m/>
    <s v="90% of Monitoring Visita &amp; Reports Completed"/>
    <m/>
    <s v="INV FRA-004143"/>
    <d v="2023-03-23T00:00:00"/>
    <n v="300000"/>
    <s v="EUROS"/>
    <s v="OK"/>
    <n v="0"/>
    <n v="300000"/>
    <m/>
  </r>
  <r>
    <s v="Clôturé"/>
    <x v="12"/>
    <m/>
    <x v="2"/>
    <m/>
    <x v="71"/>
    <s v="MSA_19087 WO1 + MSA_19087 WO1 CO3"/>
    <m/>
    <s v="Database Lock (DBL)"/>
    <m/>
    <s v="INV FRA-004152"/>
    <d v="2023-04-04T00:00:00"/>
    <n v="170000"/>
    <s v="EUROS"/>
    <s v="OK"/>
    <n v="0"/>
    <n v="170000"/>
    <m/>
  </r>
  <r>
    <s v="Clôturé"/>
    <x v="12"/>
    <m/>
    <x v="2"/>
    <m/>
    <x v="71"/>
    <s v="MSA_19087 WO1 + MSA_19087 WO1 CO3"/>
    <m/>
    <s v="Final Clinical Study Report (CSR) Delivered to Sponsor"/>
    <m/>
    <s v="INV FRA-005592"/>
    <d v="2024-10-11T00:00:00"/>
    <n v="50000"/>
    <s v="EUROS"/>
    <n v="50000"/>
    <n v="0"/>
    <n v="50000"/>
    <m/>
  </r>
  <r>
    <m/>
    <x v="12"/>
    <m/>
    <x v="2"/>
    <m/>
    <x v="71"/>
    <s v="MSA_19087 WO1 + MSA_19087 WO1 CO4"/>
    <m/>
    <s v="Transfer of Trial Master File (TMF) to Sponsor"/>
    <m/>
    <s v="INV FRA-006442"/>
    <d v="2025-07-10T00:00:00"/>
    <n v="57894.38"/>
    <s v="EUROS"/>
    <n v="57894.38"/>
    <n v="0"/>
    <n v="57894.38"/>
    <m/>
  </r>
  <r>
    <s v="Clôturé"/>
    <x v="12"/>
    <m/>
    <x v="2"/>
    <m/>
    <x v="71"/>
    <s v="MSA_19087 WO1 + MSA_19087 WO1 CO4"/>
    <m/>
    <s v="Upon execution CO4"/>
    <m/>
    <s v="INV FRA-006159"/>
    <d v="2025-04-25T00:00:00"/>
    <n v="321706.2"/>
    <s v="EUROS"/>
    <n v="321706.2"/>
    <n v="0"/>
    <n v="321706.2"/>
    <m/>
  </r>
  <r>
    <s v="Clôturé"/>
    <x v="12"/>
    <m/>
    <x v="2"/>
    <m/>
    <x v="71"/>
    <s v="MSA_19087 WO1 CO1"/>
    <m/>
    <s v="Upon execution of CO1 8.12%"/>
    <m/>
    <s v="INV FRA-002199"/>
    <d v="2020-10-06T00:00:00"/>
    <n v="520000"/>
    <s v="EUROS"/>
    <s v="OK"/>
    <n v="0"/>
    <n v="520000"/>
    <m/>
  </r>
  <r>
    <s v="Clôturé"/>
    <x v="12"/>
    <m/>
    <x v="2"/>
    <m/>
    <x v="71"/>
    <s v="MSA_19087 WO1 CO1"/>
    <m/>
    <s v="15% of Total CRF Pages Monitored (Source Data Verified)"/>
    <m/>
    <s v="INV FRA-002240"/>
    <d v="2020-11-06T00:00:00"/>
    <n v="400000"/>
    <s v="EUROS"/>
    <s v="OK"/>
    <n v="0"/>
    <n v="400000"/>
    <m/>
  </r>
  <r>
    <s v="Clôturé"/>
    <x v="12"/>
    <m/>
    <x v="2"/>
    <m/>
    <x v="71"/>
    <s v="MSA_19087 WO1 CO1"/>
    <m/>
    <s v="20% of Monitoring Visits &amp; Reports Completed"/>
    <m/>
    <s v="INV FRA-002442"/>
    <d v="2021-02-24T00:00:00"/>
    <n v="400000"/>
    <s v="EUROS"/>
    <s v="OK"/>
    <n v="0"/>
    <n v="400000"/>
    <m/>
  </r>
  <r>
    <s v="Clôturé"/>
    <x v="12"/>
    <m/>
    <x v="2"/>
    <m/>
    <x v="71"/>
    <s v="MSA_19087 WO1 CO2"/>
    <m/>
    <s v="Upon execution of WO2"/>
    <m/>
    <s v="INV FRA-002640"/>
    <d v="2021-07-02T00:00:00"/>
    <n v="450000"/>
    <s v="EUROS"/>
    <s v="OK"/>
    <n v="0"/>
    <n v="450000"/>
    <m/>
  </r>
  <r>
    <s v="Clôturé"/>
    <x v="12"/>
    <m/>
    <x v="2"/>
    <m/>
    <x v="71"/>
    <s v="MSA_19087 WO1_CNF1"/>
    <m/>
    <s v="Professional fees COVID"/>
    <m/>
    <s v="INV FRA-0021167"/>
    <d v="2020-08-21T00:00:00"/>
    <n v="30126.06"/>
    <s v="EUROS"/>
    <s v="OK"/>
    <n v="0"/>
    <n v="30126.06"/>
    <m/>
  </r>
  <r>
    <s v="Clôturé"/>
    <x v="38"/>
    <m/>
    <x v="2"/>
    <m/>
    <x v="71"/>
    <s v="MSA_LOI-21109"/>
    <m/>
    <s v="Professional fee - Pre payement due upon ATP - 2 880 942,63 €"/>
    <m/>
    <s v="INV FRA-002852"/>
    <d v="2021-11-09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rofessional fee - Monthly fee 1 - 617 344,85 €"/>
    <m/>
    <s v="INV FRA-002851"/>
    <d v="2021-11-09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rofessional fee - Monthly fee 2 - 617 344,85 €"/>
    <m/>
    <s v="INV FRA-003189 - CN FRA-002916"/>
    <s v="29/03/2022 + 30/11/2021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TC - Pre payelent upon ATP - 1 108 296,71 €"/>
    <m/>
    <s v="INV FRA-002873"/>
    <d v="2021-11-10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TC - Monthly expenses instalment 1 - 237 492,15 €"/>
    <m/>
    <s v="INV FRA-002873"/>
    <d v="2021-11-10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TC - Monthly expenses instalment 2 - 237 492,15 €"/>
    <m/>
    <s v="INV FRA-003190"/>
    <d v="2022-03-29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2"/>
    <m/>
    <s v="Professional fee - Monthly fee 3 - 234 421,91 €"/>
    <m/>
    <s v="INV FRA-003283"/>
    <d v="2022-05-06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2"/>
    <m/>
    <s v="Professional fee - Monthly fee 4 - 234 421,91 €"/>
    <m/>
    <s v="INV FRA-003283"/>
    <d v="2022-05-06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2"/>
    <m/>
    <s v="PTC - To be invoice monthly based on actual - 1 214 164 €"/>
    <m/>
    <s v="INV FRA-003153 + INV FRA-003302 + INV FRA-003303 + INV FRA-003393 + INV FRA-003392 + INV FRA-003391"/>
    <s v="08/03/2022 + 11/05/2022 + 11/05/2022 + 16/06/2022 + 16/06/2022 + 16/06/2022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5"/>
    <m/>
    <s v="Professional fee - Monthly fee 5 - 1 269 762 €"/>
    <m/>
    <s v="INV FRA-003412"/>
    <d v="2022-07-05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5"/>
    <m/>
    <s v="PTC - Monthly expenses instalment 3"/>
    <m/>
    <m/>
    <m/>
    <n v="0"/>
    <s v="EUROS"/>
    <s v="OK"/>
    <n v="0"/>
    <n v="0"/>
    <s v="OUT vu avec Trinidad le 30/11/22"/>
  </r>
  <r>
    <s v="Clôturé"/>
    <x v="5"/>
    <m/>
    <x v="2"/>
    <m/>
    <x v="71"/>
    <s v="SRV_18230 LOA"/>
    <m/>
    <s v="Upon execution"/>
    <m/>
    <s v="INV FRA-001653"/>
    <d v="2019-01-24T00:00:00"/>
    <n v="625000"/>
    <s v="EUROS"/>
    <s v="OK"/>
    <n v="0"/>
    <n v="625000"/>
    <s v="FNP 2018"/>
  </r>
  <r>
    <s v="Clôturé"/>
    <x v="5"/>
    <m/>
    <x v="2"/>
    <m/>
    <x v="71"/>
    <s v="SRV_18230 LOA"/>
    <m/>
    <s v="Monthly fee - Janvier 2019"/>
    <m/>
    <s v="INV FRA-001653"/>
    <d v="2019-01-24T00:00:00"/>
    <n v="305000"/>
    <s v="EUROS"/>
    <s v="OK"/>
    <n v="0"/>
    <n v="305000"/>
    <m/>
  </r>
  <r>
    <s v="Clôturé"/>
    <x v="5"/>
    <m/>
    <x v="2"/>
    <m/>
    <x v="71"/>
    <s v="SRV_18230 LOA"/>
    <m/>
    <s v="Monthly fee - Fevrier 2019"/>
    <m/>
    <s v="INV FRA-001654"/>
    <d v="2019-02-06T00:00:00"/>
    <n v="255000"/>
    <s v="EUROS"/>
    <s v="OK"/>
    <n v="0"/>
    <n v="255000"/>
    <m/>
  </r>
  <r>
    <s v="Clôturé"/>
    <x v="5"/>
    <m/>
    <x v="2"/>
    <m/>
    <x v="71"/>
    <s v="SRV_18230 LOA"/>
    <m/>
    <s v="Monthly fee - Mars 2019"/>
    <m/>
    <s v="INV FRA-001659"/>
    <d v="2019-03-06T00:00:00"/>
    <n v="245000"/>
    <s v="EUROS"/>
    <s v="OK"/>
    <n v="0"/>
    <n v="245000"/>
    <m/>
  </r>
  <r>
    <s v="Clôturé"/>
    <x v="5"/>
    <m/>
    <x v="2"/>
    <m/>
    <x v="71"/>
    <s v="SRV_18230 LOA"/>
    <m/>
    <s v="Monthly fee - Avril 2019"/>
    <m/>
    <s v="INV FRA-001662"/>
    <d v="2019-04-03T00:00:00"/>
    <n v="206895.04"/>
    <s v="EUROS"/>
    <s v="OK"/>
    <n v="0"/>
    <n v="206895.04"/>
    <m/>
  </r>
  <r>
    <s v="Clôturé"/>
    <x v="5"/>
    <m/>
    <x v="2"/>
    <m/>
    <x v="71"/>
    <s v="SRV_18230 LOA"/>
    <m/>
    <s v="PTC - Decembre 2018 - Avril 2019"/>
    <m/>
    <s v="INV FRA-001655 + INV FRA-001660 "/>
    <s v="07/02/2019 + 07/03/2019"/>
    <n v="0"/>
    <s v="EUROS"/>
    <s v="OK"/>
    <n v="0"/>
    <n v="0"/>
    <m/>
  </r>
  <r>
    <s v="Clôturé"/>
    <x v="39"/>
    <m/>
    <x v="4"/>
    <m/>
    <x v="71"/>
    <s v="SRV_21008"/>
    <m/>
    <s v="PIP Module D.4 Support + Clinical Study Synopses"/>
    <m/>
    <s v="INV INC-265070"/>
    <d v="2021-09-29T00:00:00"/>
    <n v="85000"/>
    <s v="USD"/>
    <n v="85000"/>
    <n v="0"/>
    <n v="85000"/>
    <m/>
  </r>
  <r>
    <s v="Clôturé"/>
    <x v="39"/>
    <m/>
    <x v="4"/>
    <m/>
    <x v="71"/>
    <s v="SRV_21008_CO1"/>
    <m/>
    <s v="PIP Module D.4 Support + Clinical Study Synopses"/>
    <m/>
    <s v="INV INC-265070"/>
    <d v="2021-09-29T00:00:00"/>
    <n v="18000"/>
    <s v="USD"/>
    <n v="18000"/>
    <n v="0"/>
    <n v="18000"/>
    <m/>
  </r>
  <r>
    <s v="Clôturé"/>
    <x v="38"/>
    <m/>
    <x v="2"/>
    <m/>
    <x v="71"/>
    <s v="SRV_21077 - P00202_2021"/>
    <s v="P00202_2021"/>
    <s v="Redaction protocol études UC105 / UC106 / UC107"/>
    <m/>
    <s v="INV FRA-002737"/>
    <d v="2021-09-07T00:00:00"/>
    <n v="45175.78"/>
    <s v="EUROS"/>
    <n v="45175.78"/>
    <n v="0"/>
    <n v="45175.78"/>
    <m/>
  </r>
  <r>
    <s v="Clôturé"/>
    <x v="7"/>
    <m/>
    <x v="2"/>
    <m/>
    <x v="71"/>
    <s v="SRV_23176 - ATP"/>
    <m/>
    <s v="CD202 - Pre-Payment Due Upon ATP Execution"/>
    <m/>
    <s v="INV FRA-004663"/>
    <d v="2023-10-13T00:00:00"/>
    <n v="1208618.24"/>
    <s v="EUROS"/>
    <n v="1208618.24"/>
    <n v="0"/>
    <n v="1208618.24"/>
    <m/>
  </r>
  <r>
    <s v="Clôturé"/>
    <x v="7"/>
    <m/>
    <x v="2"/>
    <m/>
    <x v="71"/>
    <s v="SRV_23176 - ATP"/>
    <m/>
    <s v="CD202 - Monthly professional fees instalment 1"/>
    <m/>
    <s v="INV FRA-004736"/>
    <d v="2023-11-07T00:00:00"/>
    <n v="258989.63"/>
    <s v="EUROS"/>
    <n v="258989.63"/>
    <n v="0"/>
    <n v="258989.63"/>
    <m/>
  </r>
  <r>
    <s v="Clôturé"/>
    <x v="7"/>
    <m/>
    <x v="2"/>
    <m/>
    <x v="71"/>
    <s v="SRV_23176 - ATP"/>
    <m/>
    <s v="CD202 - Monthly professional fees instalment 2"/>
    <m/>
    <s v="INV FRA-004805"/>
    <d v="2023-12-06T00:00:00"/>
    <n v="258989.62"/>
    <s v="EUROS"/>
    <n v="258989.63"/>
    <n v="0"/>
    <n v="258989.63"/>
    <m/>
  </r>
  <r>
    <s v="Clôturé"/>
    <x v="7"/>
    <m/>
    <x v="2"/>
    <m/>
    <x v="71"/>
    <s v="SRV_23176 - ATP"/>
    <m/>
    <s v="CD202 - PTC - Pre-Payment Due Upon ATP Execution"/>
    <m/>
    <s v="INV FRA-004844"/>
    <d v="2023-12-14T00:00:00"/>
    <n v="261776.83"/>
    <s v="EUROS"/>
    <n v="261776.83"/>
    <n v="0"/>
    <n v="261776.83"/>
    <m/>
  </r>
  <r>
    <s v="Clôturé"/>
    <x v="7"/>
    <m/>
    <x v="2"/>
    <m/>
    <x v="71"/>
    <s v="SRV_23176 - ATP"/>
    <m/>
    <s v="CD202 - Monthly expenses instalment"/>
    <m/>
    <s v="INV FRA-004844"/>
    <d v="2023-12-14T00:00:00"/>
    <n v="56095.040000000001"/>
    <s v="EUROS"/>
    <n v="56095.040000000001"/>
    <n v="0"/>
    <n v="56095.040000000001"/>
    <m/>
  </r>
  <r>
    <s v="Clôturé"/>
    <x v="7"/>
    <m/>
    <x v="2"/>
    <m/>
    <x v="71"/>
    <s v="SRV_23176 - ATP"/>
    <m/>
    <s v="CD202 - Monthly expenses instalment"/>
    <m/>
    <s v="INV FRA-004844"/>
    <d v="2023-12-14T00:00:00"/>
    <n v="56095.03"/>
    <s v="EUROS"/>
    <n v="56095.03"/>
    <n v="0"/>
    <n v="56095.03"/>
    <m/>
  </r>
  <r>
    <s v="Clôturé"/>
    <x v="7"/>
    <m/>
    <x v="2"/>
    <m/>
    <x v="71"/>
    <s v="SRV_23176_A1 - ATP"/>
    <m/>
    <s v="CD202 - PTC - To be invoiced monthly based on actuals "/>
    <m/>
    <m/>
    <m/>
    <n v="0"/>
    <s v="EUROS"/>
    <n v="0"/>
    <n v="0"/>
    <n v="0"/>
    <s v="Récupéré dans WO1"/>
  </r>
  <r>
    <s v="Clôturé"/>
    <x v="23"/>
    <m/>
    <x v="2"/>
    <m/>
    <x v="71"/>
    <s v="WO ZZA92069"/>
    <m/>
    <s v="Signature of the ATP"/>
    <m/>
    <s v="INV FRA-002852"/>
    <d v="2021-11-09T00:00:00"/>
    <n v="1104752.56"/>
    <s v="EUROS"/>
    <n v="1104752.56"/>
    <n v="0"/>
    <n v="1104752.56"/>
    <m/>
  </r>
  <r>
    <s v="Clôturé"/>
    <x v="23"/>
    <m/>
    <x v="2"/>
    <m/>
    <x v="71"/>
    <s v="WO ZZA92069"/>
    <m/>
    <s v="Monthly Payment - 01 Nov 2021 (ATP)"/>
    <m/>
    <s v="INV FRA-002851"/>
    <d v="2021-11-09T00:00:00"/>
    <n v="236732.69"/>
    <s v="EUROS"/>
    <n v="236732.69"/>
    <n v="0"/>
    <n v="236732.69"/>
    <m/>
  </r>
  <r>
    <s v="Clôturé"/>
    <x v="23"/>
    <m/>
    <x v="2"/>
    <m/>
    <x v="71"/>
    <s v="WO ZZA92069"/>
    <m/>
    <s v="Monthly Payment - 01 Dec 2021 (ATP)"/>
    <m/>
    <s v="INV FRA-003189 - CN FRA-002916"/>
    <s v="29/03/2022 + 30/11/2021"/>
    <n v="236732.69"/>
    <s v="EUROS"/>
    <n v="236732.69"/>
    <n v="0"/>
    <n v="236732.69"/>
    <m/>
  </r>
  <r>
    <s v="Clôturé"/>
    <x v="23"/>
    <m/>
    <x v="2"/>
    <m/>
    <x v="71"/>
    <s v="WO ZZA92069"/>
    <m/>
    <s v="Monthly Payment - 01 Apr 2022 (ATP)"/>
    <m/>
    <s v="INV FRA-003283"/>
    <d v="2022-05-06T00:00:00"/>
    <n v="89893.57"/>
    <s v="EUROS"/>
    <n v="89893.57"/>
    <n v="0"/>
    <n v="89893.57"/>
    <m/>
  </r>
  <r>
    <s v="Clôturé"/>
    <x v="23"/>
    <m/>
    <x v="2"/>
    <m/>
    <x v="71"/>
    <s v="WO ZZA92069"/>
    <m/>
    <s v="Monthly Payment - 01 May 2022 (ATP)"/>
    <m/>
    <s v="INV FRA-003283"/>
    <d v="2022-05-06T00:00:00"/>
    <n v="89893.57"/>
    <s v="EUROS"/>
    <n v="89893.57"/>
    <n v="0"/>
    <n v="89893.57"/>
    <m/>
  </r>
  <r>
    <s v="Clôturé"/>
    <x v="23"/>
    <m/>
    <x v="2"/>
    <m/>
    <x v="71"/>
    <s v="WO ZZA92069"/>
    <m/>
    <s v="Monthly Payment - June - July 2022 (ATP)"/>
    <m/>
    <s v="INV FRA-003412"/>
    <d v="2022-07-05T00:00:00"/>
    <n v="391023"/>
    <s v="EUROS"/>
    <n v="391023"/>
    <n v="0"/>
    <n v="391023"/>
    <m/>
  </r>
  <r>
    <s v="Clôturé"/>
    <x v="23"/>
    <m/>
    <x v="2"/>
    <m/>
    <x v="71"/>
    <s v="WO ZZA92069"/>
    <m/>
    <s v="Upon execution of WO Part 1 [A]"/>
    <m/>
    <s v="IN FRA-003502"/>
    <d v="2022-08-05T00:00:00"/>
    <n v="1222207"/>
    <s v="EUROS"/>
    <n v="1222207"/>
    <n v="0"/>
    <n v="1222207"/>
    <m/>
  </r>
  <r>
    <s v="Clôturé"/>
    <x v="23"/>
    <m/>
    <x v="2"/>
    <m/>
    <x v="71"/>
    <s v="WO ZZA92069"/>
    <m/>
    <s v="Upon execution of WO Part 2 [A]"/>
    <m/>
    <s v="INV FRA-003626"/>
    <d v="2022-09-09T00:00:00"/>
    <n v="2523013"/>
    <s v="EUROS"/>
    <n v="2523013"/>
    <n v="0"/>
    <n v="2523013"/>
    <m/>
  </r>
  <r>
    <s v="Clôturé"/>
    <x v="23"/>
    <m/>
    <x v="2"/>
    <m/>
    <x v="71"/>
    <s v="WO ZZA92069"/>
    <m/>
    <s v="First site initiated"/>
    <m/>
    <s v="INV FRA-003758"/>
    <d v="2022-11-01T00:00:00"/>
    <n v="392993"/>
    <s v="EUROS"/>
    <n v="392993"/>
    <n v="0"/>
    <n v="392993"/>
    <m/>
  </r>
  <r>
    <s v="Clôturé"/>
    <x v="23"/>
    <m/>
    <x v="2"/>
    <m/>
    <x v="71"/>
    <s v="WO ZZA92069"/>
    <m/>
    <s v="5% of Site Initiation Visits &amp; Reports Completed"/>
    <m/>
    <s v="INV FRA-003916"/>
    <d v="2023-01-05T00:00:00"/>
    <n v="392993"/>
    <s v="EUROS"/>
    <n v="392993"/>
    <n v="0"/>
    <n v="392993"/>
    <m/>
  </r>
  <r>
    <s v="Clôturé"/>
    <x v="23"/>
    <m/>
    <x v="2"/>
    <m/>
    <x v="71"/>
    <s v="WO ZZA92069"/>
    <m/>
    <s v="20% of Site Initiation Visits &amp; Reports Completed"/>
    <m/>
    <s v="INV FRA-004366"/>
    <d v="2023-06-26T00:00:00"/>
    <n v="1964964"/>
    <s v="EUROS"/>
    <n v="1964964"/>
    <n v="0"/>
    <n v="1964964"/>
    <m/>
  </r>
  <r>
    <s v="Clôturé"/>
    <x v="23"/>
    <m/>
    <x v="2"/>
    <m/>
    <x v="71"/>
    <s v="WO ZZA92069"/>
    <m/>
    <s v="PTC - Upfront payment - Pass-Through [A]"/>
    <m/>
    <s v="INV FRA-003503"/>
    <d v="2022-08-05T00:00:00"/>
    <n v="1994443"/>
    <s v="EUROS"/>
    <n v="1994443"/>
    <n v="0"/>
    <n v="1994443"/>
    <m/>
  </r>
  <r>
    <m/>
    <x v="23"/>
    <m/>
    <x v="2"/>
    <m/>
    <x v="71"/>
    <s v="WO ZZA92069"/>
    <m/>
    <s v="PTC - Upfront payment - Pass-Through Reimbursement"/>
    <m/>
    <m/>
    <m/>
    <n v="-1994443"/>
    <s v="EUROS"/>
    <m/>
    <n v="-1994443"/>
    <n v="0"/>
    <m/>
  </r>
  <r>
    <s v="Clôturé"/>
    <x v="23"/>
    <m/>
    <x v="2"/>
    <m/>
    <x v="71"/>
    <s v="WO ZZA92069"/>
    <m/>
    <s v="PTC - Pre-Payment Due Upon ATP Execution"/>
    <m/>
    <s v="INV FRA-002873"/>
    <d v="2021-11-10T00:00:00"/>
    <n v="424997.57"/>
    <s v="EUROS"/>
    <n v="424997.57"/>
    <n v="0"/>
    <n v="424997.57"/>
    <m/>
  </r>
  <r>
    <s v="Clôturé"/>
    <x v="23"/>
    <m/>
    <x v="2"/>
    <m/>
    <x v="71"/>
    <s v="WO ZZA92069"/>
    <m/>
    <s v="PTC - Monthly Payment - 01 Nov 2021"/>
    <m/>
    <s v="INV FRA-002873"/>
    <d v="2021-11-10T00:00:00"/>
    <n v="91070.91"/>
    <s v="EUROS"/>
    <n v="91070.91"/>
    <n v="0"/>
    <n v="91070.91"/>
    <m/>
  </r>
  <r>
    <s v="Clôturé"/>
    <x v="23"/>
    <m/>
    <x v="2"/>
    <m/>
    <x v="71"/>
    <s v="WO ZZA92069"/>
    <m/>
    <s v="PTC - Monthly Payment - 01 Dec 2021"/>
    <m/>
    <s v="INV FRA-003190"/>
    <d v="2022-03-29T00:00:00"/>
    <n v="91070.91"/>
    <s v="EUROS"/>
    <n v="91070.91"/>
    <n v="0"/>
    <n v="91070.91"/>
    <m/>
  </r>
  <r>
    <s v="Clôturé"/>
    <x v="23"/>
    <m/>
    <x v="2"/>
    <m/>
    <x v="71"/>
    <s v="WO ZZA92069"/>
    <m/>
    <s v="PTC - Other payments based on actual"/>
    <m/>
    <s v="INV FRA-003153 + INV FRA-003302 + INV FRA-003303 + INV FRA-003393 + INV FRA-003392 + INV FRA-003391 + INV FRA-003467"/>
    <s v="08/03/2022 + 11/05/2022 + 11/05/2022 + 16/06/2022 + 16/06/2022 + 16/06/2022 + 18/07/2022"/>
    <n v="391616.08"/>
    <s v="EUROS"/>
    <n v="391616.08"/>
    <n v="0"/>
    <n v="391616.08"/>
    <m/>
  </r>
  <r>
    <s v="Clôturé"/>
    <x v="23"/>
    <m/>
    <x v="2"/>
    <m/>
    <x v="71"/>
    <s v="WO ZZA92069"/>
    <m/>
    <s v="Investigator fee - Upfront payment - Investigator Fees [A]"/>
    <m/>
    <s v="INV FRA-003627"/>
    <d v="2022-09-09T00:00:00"/>
    <n v="1065333"/>
    <s v="EUROS"/>
    <n v="1065333"/>
    <n v="0"/>
    <n v="1065333"/>
    <m/>
  </r>
  <r>
    <m/>
    <x v="23"/>
    <m/>
    <x v="2"/>
    <m/>
    <x v="71"/>
    <s v="WO ZZA92069"/>
    <m/>
    <s v="Upfront payment - Investigator Fees Reimbursement"/>
    <m/>
    <m/>
    <m/>
    <n v="-1065333"/>
    <s v="EUROS"/>
    <m/>
    <n v="-1065333"/>
    <n v="0"/>
    <m/>
  </r>
  <r>
    <s v="Clôturé"/>
    <x v="23"/>
    <m/>
    <x v="2"/>
    <m/>
    <x v="71"/>
    <s v="WO ZZA92069"/>
    <m/>
    <s v="Investigator fees - Upfront payment - Q2 [A]"/>
    <m/>
    <s v="INV FRA-004008"/>
    <d v="2023-02-03T00:00:00"/>
    <n v="477449"/>
    <s v="EUROS"/>
    <n v="477449"/>
    <n v="0"/>
    <n v="477449"/>
    <m/>
  </r>
  <r>
    <m/>
    <x v="23"/>
    <m/>
    <x v="2"/>
    <m/>
    <x v="71"/>
    <s v="WO ZZA92069"/>
    <m/>
    <s v="Investigator fees - Upfront payment - Q2 Reimbursement"/>
    <m/>
    <m/>
    <m/>
    <n v="-477449"/>
    <s v="EUROS"/>
    <m/>
    <n v="-477449"/>
    <n v="0"/>
    <m/>
  </r>
  <r>
    <s v="Clôturé"/>
    <x v="23"/>
    <m/>
    <x v="2"/>
    <m/>
    <x v="71"/>
    <s v="WO ZZA92069 - CO1"/>
    <m/>
    <s v="Upon execution of CO1"/>
    <m/>
    <s v="INV FRA-004521"/>
    <d v="2023-08-24T00:00:00"/>
    <n v="4111390"/>
    <s v="EUROS"/>
    <n v="4111390"/>
    <n v="0"/>
    <n v="4111390"/>
    <m/>
  </r>
  <r>
    <s v="Clôturé"/>
    <x v="23"/>
    <m/>
    <x v="2"/>
    <m/>
    <x v="71"/>
    <s v="WO ZZA92069 - CO1"/>
    <m/>
    <s v="40% of Site Initiation Visits &amp; Reports Completed"/>
    <m/>
    <s v="INV FRA-004591"/>
    <d v="2023-09-18T00:00:00"/>
    <n v="2245434"/>
    <s v="EUROS"/>
    <n v="2245434"/>
    <n v="0"/>
    <n v="2245434"/>
    <m/>
  </r>
  <r>
    <s v="Clôturé"/>
    <x v="23"/>
    <m/>
    <x v="2"/>
    <m/>
    <x v="71"/>
    <s v="WO ZZA92069 - CO1"/>
    <m/>
    <s v="60% of Site Initiation Visits &amp; Reports Completed"/>
    <m/>
    <s v="INV FRA-004819"/>
    <d v="2023-12-11T00:00:00"/>
    <n v="2245434"/>
    <s v="EUROS"/>
    <n v="2245434"/>
    <n v="0"/>
    <n v="2245434"/>
    <m/>
  </r>
  <r>
    <s v="Clôturé"/>
    <x v="23"/>
    <m/>
    <x v="2"/>
    <m/>
    <x v="71"/>
    <s v="WO ZZA92069 - CO2"/>
    <m/>
    <s v="80% of Site Initiation Visits &amp; Reports Completed"/>
    <m/>
    <s v="INV FRA-005102"/>
    <d v="2024-03-27T00:00:00"/>
    <n v="2941173"/>
    <s v="EUROS"/>
    <n v="2941173"/>
    <n v="0"/>
    <n v="2941173"/>
    <m/>
  </r>
  <r>
    <s v="Clôturé"/>
    <x v="23"/>
    <m/>
    <x v="2"/>
    <m/>
    <x v="71"/>
    <s v="WO ZZA92069 - CO1"/>
    <m/>
    <s v="15% Patients randomised &amp; 80% of Site Initiation Visits &amp; Reports Completed"/>
    <m/>
    <s v="INV FRA-004819 - INV FRA-004851 + INV FRA-004925"/>
    <s v="11/12/2023 - 01/01/2024 + 17/01/2024"/>
    <n v="2694521"/>
    <s v="EUROS"/>
    <n v="2694521"/>
    <n v="0"/>
    <n v="2694521"/>
    <m/>
  </r>
  <r>
    <s v="Clôturé"/>
    <x v="23"/>
    <m/>
    <x v="2"/>
    <m/>
    <x v="71"/>
    <s v="WO ZZA92069 - CO1"/>
    <m/>
    <s v="25% Patients randomised"/>
    <m/>
    <s v="INV FRA-005020"/>
    <d v="2024-02-16T00:00:00"/>
    <n v="3143608"/>
    <s v="EUROS"/>
    <n v="3143608"/>
    <n v="0"/>
    <n v="3143608"/>
    <m/>
  </r>
  <r>
    <s v="Clôturé"/>
    <x v="23"/>
    <m/>
    <x v="2"/>
    <m/>
    <x v="71"/>
    <s v="WO ZZA92069 - CO2"/>
    <m/>
    <s v="Upon execution CO2"/>
    <m/>
    <s v="INV FRA-005101"/>
    <d v="2024-03-26T00:00:00"/>
    <n v="3431368"/>
    <s v="EUROS"/>
    <n v="3431368"/>
    <n v="0"/>
    <n v="3431368"/>
    <m/>
  </r>
  <r>
    <s v="Clôturé"/>
    <x v="23"/>
    <m/>
    <x v="2"/>
    <m/>
    <x v="71"/>
    <s v="WO ZZA92069 - CO2"/>
    <m/>
    <s v="40% Patients randomised"/>
    <m/>
    <s v="INV FRA-005327"/>
    <d v="2024-06-19T00:00:00"/>
    <n v="1960782"/>
    <s v="EUROS"/>
    <n v="1960782"/>
    <n v="0"/>
    <n v="1960782"/>
    <m/>
  </r>
  <r>
    <s v="Clôturé"/>
    <x v="23"/>
    <m/>
    <x v="2"/>
    <m/>
    <x v="71"/>
    <s v="WO ZZA92069 - CO2"/>
    <m/>
    <s v="50% Patients randomised"/>
    <m/>
    <s v="INV FRA-005434"/>
    <s v="09/008/2024"/>
    <n v="1960782"/>
    <s v="EUROS"/>
    <n v="1960782"/>
    <n v="0"/>
    <n v="1960782"/>
    <m/>
  </r>
  <r>
    <s v="Clôturé"/>
    <x v="23"/>
    <m/>
    <x v="2"/>
    <m/>
    <x v="71"/>
    <s v="WO ZZA92069 - CO2"/>
    <m/>
    <s v="60% Patients randomised"/>
    <m/>
    <s v="INV FRA-005543"/>
    <d v="2024-09-27T00:00:00"/>
    <n v="2450977"/>
    <s v="EUROS"/>
    <n v="2941172.4"/>
    <n v="0"/>
    <n v="2941172.4"/>
    <m/>
  </r>
  <r>
    <s v="Clôturé"/>
    <x v="23"/>
    <m/>
    <x v="2"/>
    <m/>
    <x v="71"/>
    <s v="WO ZZA92069 - CO2"/>
    <m/>
    <s v="70% Patients randomised"/>
    <m/>
    <s v="INV FRA-005693"/>
    <d v="2024-11-29T00:00:00"/>
    <n v="2450977"/>
    <s v="EUROS"/>
    <n v="2450977"/>
    <n v="0"/>
    <n v="2450977"/>
    <m/>
  </r>
  <r>
    <s v="Clôturé"/>
    <x v="23"/>
    <m/>
    <x v="2"/>
    <m/>
    <x v="71"/>
    <s v="WO ZZA92069 - CO2"/>
    <m/>
    <s v="80% Patients randomised"/>
    <m/>
    <s v="INV FRA-005793"/>
    <d v="2024-12-31T00:00:00"/>
    <n v="2450977"/>
    <s v="EUROS"/>
    <n v="2450977"/>
    <n v="0"/>
    <n v="2450977"/>
    <m/>
  </r>
  <r>
    <s v="Clôturé"/>
    <x v="23"/>
    <m/>
    <x v="2"/>
    <m/>
    <x v="71"/>
    <s v="WO ZZA92069 - CO2"/>
    <m/>
    <s v="Last patient entered"/>
    <m/>
    <s v="INV FRA-006169"/>
    <d v="2025-05-01T00:00:00"/>
    <n v="2941173"/>
    <s v="EUROS"/>
    <n v="2941173"/>
    <n v="0"/>
    <n v="2941173"/>
    <m/>
  </r>
  <r>
    <s v="Clôturé"/>
    <x v="23"/>
    <m/>
    <x v="2"/>
    <m/>
    <x v="71"/>
    <s v="WO ZZA92069 - CO3"/>
    <m/>
    <s v="Upon signature CO3 - Last Patient Entered CO3 adjustment"/>
    <m/>
    <s v="INV FRA-006269"/>
    <d v="2025-05-29T00:00:00"/>
    <n v="2101003"/>
    <s v="EUROS"/>
    <n v="2101003"/>
    <n v="0"/>
    <n v="2101003"/>
    <m/>
  </r>
  <r>
    <s v="Clôturé"/>
    <x v="23"/>
    <m/>
    <x v="2"/>
    <m/>
    <x v="71"/>
    <s v="WO ZZA92069 - CO3"/>
    <m/>
    <s v="Database Lock (DBL)"/>
    <d v="2025-06-01T00:00:00"/>
    <s v="INV FRA-006478"/>
    <d v="2025-07-23T00:00:00"/>
    <n v="3781632"/>
    <s v="EUROS"/>
    <n v="3781632"/>
    <n v="0"/>
    <n v="3781632"/>
    <m/>
  </r>
  <r>
    <m/>
    <x v="23"/>
    <m/>
    <x v="2"/>
    <m/>
    <x v="71"/>
    <s v="WO ZZA92069 - CO3"/>
    <m/>
    <s v="Final Clinical Study Report (CSR) Delivered to Sponsor"/>
    <d v="2025-10-01T00:00:00"/>
    <m/>
    <m/>
    <n v="756326"/>
    <s v="EUROS"/>
    <m/>
    <n v="756326"/>
    <n v="0"/>
    <m/>
  </r>
  <r>
    <m/>
    <x v="23"/>
    <m/>
    <x v="2"/>
    <m/>
    <x v="71"/>
    <s v="WO ZZA92069 - CO3"/>
    <m/>
    <s v="Transfer of Trial Master File (TMF) to Sponsor"/>
    <d v="2026-02-01T00:00:00"/>
    <m/>
    <m/>
    <n v="109003"/>
    <s v="EUROS"/>
    <m/>
    <n v="109003"/>
    <n v="0"/>
    <m/>
  </r>
  <r>
    <m/>
    <x v="23"/>
    <m/>
    <x v="2"/>
    <m/>
    <x v="71"/>
    <s v="WO ZZA92069 - CO3"/>
    <m/>
    <s v="PTC - Pass-Through Costs*"/>
    <m/>
    <s v="INV FRA-003541 + INV FRA-003637 + INV FRA-003700 + INV FRA-003776 + INV FRA-003792 + INV FRA-003866 + INV FRA-003843 + FRA-003950 + INV FRA-004041 + INV FRA-004130 + INV FRA-004179 + INV FRA-004253 + INV FRA-004321 + INV FRA-004422 + INV FRA-004497 + INV FRA-004585 + INV FRA-004649 + INV FRA-004766 + IN FRA-004837 + INV FRA-004918 + INV FRA-004983 + INV FRA-005013 + INV FRA-005162 + INV FRA-005072 + INV FRA-005228 + INV FRA-005308 + INV FRA-005437 + INV FRA-005513 + INV FRA-005580 + INV FRA-005654 + INV FRA-005766 + INV FRA-005916 + INV FRA-005935+INV FRA-006037 + INV FRA-006127 + INV FRA-006318 + INV FRA-006458 + INV FRA-006567+ INV FRA- 006657"/>
    <s v="16/08/2022 + 13/09/2022 + 10/10/2022 + 04/11/2022 + 09/11/2022 + 12/12/2022 + 06/12/2022 + 12/01/2023 + 15/02/2023 + 15/03/2023 + 13/04/2023 + 15/05/2023 + 15/06/2023 + 17/07/2023 + 14/08/2023 + 15/09/2023 + 13/10/2023 + 13/11/2023 + 13/12/2023 + 12/01/2024 + 09/02/2024 + 15/02/2024 + 12/04/2024 + 13/03/2024 + 10/05/2024 + 13/06/2024 + 14/008/2024 + 13/09/2024 + 11/10/2024 + 13/11/2024 + 12/12/2024 + 13/02/2025+18/02/2025+13/03/2025 + 11/04/2025+ 13/05/2025 + 12/06/2025 +15/07/2025 + 13/08/2025+12/09/2025"/>
    <n v="8447255.5299999993"/>
    <s v="EUROS"/>
    <n v="8273398.2300000004"/>
    <n v="173857.29999999888"/>
    <n v="8273398.2300000004"/>
    <m/>
  </r>
  <r>
    <m/>
    <x v="23"/>
    <m/>
    <x v="2"/>
    <m/>
    <x v="71"/>
    <s v="WO ZZA92069 - CO3"/>
    <m/>
    <s v="Investigator fees"/>
    <m/>
    <s v="INV FRA-003850 + INV FRA-003943 + INV FRA-004039 + INV FRA-004131 + INV FRA-004176 + INV FRA-004260 + INV FRA-004326 + INV FRA-004417 + INV FRA-004498 + INV 004573 + INV FRA-004634 + INV FRA-004767 + INV FRA-004839 + INV FRA-004907 + INV FRA-005012 + INV FRA-005144 + INV FRA-005074 + INV FRA-005224 + INV FRA-005309 + INV FRA-005384 + INV FRA-005439 + INV FRA-005517 + INV FRA-005577 + INV FRA-005650 + INV FRA-005767  + INV FRA-005937 + INV FRA-005917 + INV FRA-006036 + INV FRA-006123 + INV FRA-006218 + INV FRA-006326 + INV FRA- 006455+ INV FRA- 006568 + INV FRA-006658"/>
    <s v="08/12/2022 + 10/01/2023 + 15/02/2023 + 14/03/2023 + 13/04/2023 + 15/05/2023 + 15/06/2023 + 17/07/2023 + 14/08/2023 + 14/09/2023 + 12/10/2023 + 13/11/2023 + 13/12/2023 + 12/01/2024 + 15/02/2024 + 11/04/2024 + 13/03/2024 + 10/05/2024 + 13/06/2024 + 12/07/2024 + 14/08/2024 + 13/09/2024 + 11/10/2024 + 13/11/2024 + 12/12/2024+ 18/02/2025 + 13/02/2025+13/03/2025 + 11/04/2025 + 13/05/2025 + 12/06/2025 + 15/07/2025+ 13/08/2025+12/09/2025"/>
    <n v="9380962"/>
    <s v="EUROS"/>
    <n v="8208536.9600000018"/>
    <n v="1172425.0399999982"/>
    <n v="8208536.9600000018"/>
    <m/>
  </r>
  <r>
    <m/>
    <x v="23"/>
    <m/>
    <x v="2"/>
    <m/>
    <x v="71"/>
    <s v="WO ZZA92069 - CO3"/>
    <m/>
    <s v="Q2 (Fees and PTCs)***"/>
    <m/>
    <s v="INV FRA-003776 + INV FRA-003925 + INV FRA-004002 + INV FRA-004129 + INV FRA-004258 + INV FRA-004323 + INV FRA-004424 + INV FRA-004496 + INV FRA-004574 + INV FRA-004633 + INV FRA-004765 + INV FRA-004840 + INV FRA-004909 + INV FRA-005011 + INV FRA-005071 + INV FRA-005147 + INV FRA-005071 + INV FRA-005307 + INV FRA-005378 + INV FRA-005438 + INV FRA-005512 + INV FRA-005578 + INV FRA-005651 + INV FRA-005768 + INV FRA-005939 + INV FRA-005915+ INV FRA-006035 + INV FRA-006129 + INV FRA-006217 + INV FRA-006327 +INV FRA- 006457 + INV FRA- 006562+ INV FRA-006650"/>
    <s v="04/11/2022 + 06/01/2023 + 03/02/2023 + 14/03/2023 + 15/05/2023 + 15/06/2023 + 17/07/2023 + 14/08/2023 + 14/09/2023 + 12/10/2023 + 13/11/2023 + 13/12/2023 (recu 2024) + 12/01/2024 + 15/02/2024 + 13/03/2024 + 11/04/2024 + 13/03/2024 + 13/06/2024 + 12/07/2024 + 14/08/2024 + 13/09/2024 + 11/10/2024 + 13/11/2024 + 12/12/2024  + 18/02/2025+13/02/2025+13/03/2025 + 11/04/2025 + 13/05/2025 + 12/06/2025+15/07/2025+13/08/2025+12/09/2025"/>
    <n v="10366398"/>
    <s v="EUROS"/>
    <n v="9388764.7100000009"/>
    <n v="977633.28999999911"/>
    <n v="9388764.7100000009"/>
    <m/>
  </r>
  <r>
    <s v="Clôturé"/>
    <x v="8"/>
    <m/>
    <x v="2"/>
    <m/>
    <x v="71"/>
    <s v="WO ZZA92074"/>
    <m/>
    <s v="Signature of the ATP"/>
    <m/>
    <s v="INV FRA-002852"/>
    <d v="2021-11-09T00:00:00"/>
    <n v="355320.77"/>
    <s v="EUROS"/>
    <n v="355320.77"/>
    <n v="0"/>
    <n v="355320.77"/>
    <m/>
  </r>
  <r>
    <s v="Clôturé"/>
    <x v="8"/>
    <m/>
    <x v="2"/>
    <m/>
    <x v="71"/>
    <s v="WO ZZA92074"/>
    <m/>
    <s v="Monthly Payment - 01 Nov 2021 (ATP)"/>
    <m/>
    <s v="INV FRA-002851"/>
    <d v="2021-11-09T00:00:00"/>
    <n v="76140.17"/>
    <s v="EUROS"/>
    <n v="76140.17"/>
    <n v="0"/>
    <n v="76140.17"/>
    <m/>
  </r>
  <r>
    <s v="Clôturé"/>
    <x v="8"/>
    <m/>
    <x v="2"/>
    <m/>
    <x v="71"/>
    <s v="WO ZZA92074"/>
    <m/>
    <s v="Monthly Payment - 01 Dec 2021 (ATP)"/>
    <m/>
    <s v="INV FRA-003189 - CN FRA-002916"/>
    <s v="29/03/2022 + 30/11/2021"/>
    <n v="76140.17"/>
    <s v="EUROS"/>
    <n v="76140.17"/>
    <n v="0"/>
    <n v="76140.17"/>
    <m/>
  </r>
  <r>
    <s v="Clôturé"/>
    <x v="8"/>
    <m/>
    <x v="2"/>
    <m/>
    <x v="71"/>
    <s v="WO ZZA92074"/>
    <m/>
    <s v="Monthly Payment - 01 Apr 2022 (ATP)"/>
    <m/>
    <s v="INV FRA-003283"/>
    <d v="2022-05-06T00:00:00"/>
    <n v="28912.400000000001"/>
    <s v="EUROS"/>
    <n v="28912.400000000001"/>
    <n v="0"/>
    <n v="28912.400000000001"/>
    <m/>
  </r>
  <r>
    <s v="Clôturé"/>
    <x v="8"/>
    <m/>
    <x v="2"/>
    <m/>
    <x v="71"/>
    <s v="WO ZZA92074"/>
    <m/>
    <s v="Monthly Payment - 01 May 2022 (ATP)"/>
    <m/>
    <s v="INV FRA-003283"/>
    <d v="2022-05-06T00:00:00"/>
    <n v="28912.400000000001"/>
    <s v="EUROS"/>
    <n v="28912.400000000001"/>
    <n v="0"/>
    <n v="28912.400000000001"/>
    <m/>
  </r>
  <r>
    <s v="Clôturé"/>
    <x v="8"/>
    <m/>
    <x v="2"/>
    <m/>
    <x v="71"/>
    <s v="WO ZZA92074"/>
    <m/>
    <s v="Monthly Payment - June - July 2022 (ATP)"/>
    <m/>
    <s v="INV FRA-003412"/>
    <d v="2022-07-05T00:00:00"/>
    <n v="479262"/>
    <s v="EUROS"/>
    <n v="479262"/>
    <n v="0"/>
    <n v="479262"/>
    <m/>
  </r>
  <r>
    <s v="Clôturé"/>
    <x v="8"/>
    <m/>
    <x v="2"/>
    <m/>
    <x v="71"/>
    <s v="WO ZZA92074"/>
    <m/>
    <s v="Upon execution of WO Part 1 [A]"/>
    <m/>
    <s v="INV FRA-003504"/>
    <d v="2022-08-05T00:00:00"/>
    <n v="1498548"/>
    <s v="EUROS"/>
    <n v="1498548"/>
    <n v="0"/>
    <n v="1498548"/>
    <m/>
  </r>
  <r>
    <s v="Clôturé"/>
    <x v="8"/>
    <m/>
    <x v="2"/>
    <m/>
    <x v="71"/>
    <s v="WO ZZA92074"/>
    <m/>
    <s v="Upon execution of WO Part 2 [A]"/>
    <m/>
    <s v="INV FRA-003629"/>
    <d v="2022-09-09T00:00:00"/>
    <n v="4683567"/>
    <s v="EUROS"/>
    <n v="4683567"/>
    <n v="0"/>
    <n v="4683567"/>
    <m/>
  </r>
  <r>
    <s v="Clôturé"/>
    <x v="8"/>
    <m/>
    <x v="2"/>
    <m/>
    <x v="71"/>
    <s v="WO ZZA92074"/>
    <m/>
    <s v="First site initiated"/>
    <m/>
    <s v="INV FRA-003883"/>
    <d v="2022-12-14T00:00:00"/>
    <n v="963697"/>
    <s v="EUROS"/>
    <n v="963697"/>
    <n v="0"/>
    <n v="963697"/>
    <m/>
  </r>
  <r>
    <s v="Clôturé"/>
    <x v="8"/>
    <m/>
    <x v="2"/>
    <m/>
    <x v="71"/>
    <s v="WO ZZA92074"/>
    <m/>
    <s v="PTC - Upfront payment - Pass-Through [A]"/>
    <m/>
    <s v="INV FRA-003505"/>
    <d v="2022-08-05T00:00:00"/>
    <n v="3378370"/>
    <s v="EUROS"/>
    <n v="3378370"/>
    <n v="0"/>
    <n v="3378370"/>
    <m/>
  </r>
  <r>
    <m/>
    <x v="8"/>
    <m/>
    <x v="2"/>
    <m/>
    <x v="71"/>
    <s v="WO ZZA92074"/>
    <m/>
    <s v="PTC - Upfront payment - Pass-Through Reimbursement"/>
    <m/>
    <m/>
    <m/>
    <n v="-3378370"/>
    <s v="EUROS"/>
    <m/>
    <n v="-3378370"/>
    <n v="0"/>
    <m/>
  </r>
  <r>
    <s v="Clôturé"/>
    <x v="8"/>
    <m/>
    <x v="2"/>
    <m/>
    <x v="71"/>
    <s v="WO ZZA92074"/>
    <m/>
    <s v="PTC - Pre-Payment Due Upon ATP Execution"/>
    <m/>
    <s v="INV FRA-002873"/>
    <d v="2021-11-10T00:00:00"/>
    <n v="136691.66"/>
    <s v="EUROS"/>
    <n v="136691.66"/>
    <n v="0"/>
    <n v="136691.66"/>
    <m/>
  </r>
  <r>
    <s v="Clôturé"/>
    <x v="8"/>
    <m/>
    <x v="2"/>
    <m/>
    <x v="71"/>
    <s v="WO ZZA92074"/>
    <m/>
    <s v="PTC - Monthly Payment - 01 Nov 2021"/>
    <m/>
    <s v="INV FRA-002873"/>
    <d v="2021-11-10T00:00:00"/>
    <n v="29291.07"/>
    <s v="EUROS"/>
    <n v="29291.07"/>
    <n v="0"/>
    <n v="29291.07"/>
    <m/>
  </r>
  <r>
    <s v="Clôturé"/>
    <x v="8"/>
    <m/>
    <x v="2"/>
    <m/>
    <x v="71"/>
    <s v="WO ZZA92074"/>
    <m/>
    <s v="PTC - Monthly Payment - 01 Dec 2021"/>
    <m/>
    <s v="INV FRA-003190"/>
    <d v="2022-03-29T00:00:00"/>
    <n v="29291.07"/>
    <s v="EUROS"/>
    <n v="29291.07"/>
    <n v="0"/>
    <n v="29291.07"/>
    <m/>
  </r>
  <r>
    <s v="Clôturé"/>
    <x v="8"/>
    <m/>
    <x v="2"/>
    <m/>
    <x v="71"/>
    <s v="WO ZZA92074"/>
    <m/>
    <s v="PTC - Other payments based on actual"/>
    <m/>
    <s v="INV FRA-003153 + INV FRA-003302 + INV FRA-003303 + INV FRA-003393 + INV FRA-003392 + INV FRA-003391 + INV FRA-003463"/>
    <s v="08/03/2022 + 11/05/2022 + 11/05/2022 + 16/06/2022 + 16/06/2022 + 16/06/2022 + 18/07/2022"/>
    <n v="587291.43999999994"/>
    <s v="EUROS"/>
    <n v="587291.43999999994"/>
    <n v="0"/>
    <n v="587291.43999999994"/>
    <m/>
  </r>
  <r>
    <s v="Clôturé"/>
    <x v="8"/>
    <m/>
    <x v="2"/>
    <m/>
    <x v="71"/>
    <s v="WO ZZA92074"/>
    <m/>
    <s v="Investigator fees - Upfront payment - Investigator Fees [A]"/>
    <m/>
    <s v="INV FRA-003629"/>
    <d v="2022-09-09T00:00:00"/>
    <n v="1322036"/>
    <s v="EUROS"/>
    <n v="1322036"/>
    <n v="0"/>
    <n v="1322036"/>
    <m/>
  </r>
  <r>
    <m/>
    <x v="8"/>
    <m/>
    <x v="2"/>
    <m/>
    <x v="71"/>
    <s v="WO ZZA92074"/>
    <m/>
    <s v="Investigator fees - Upfront payment - Investigator Fees Reimbursement"/>
    <m/>
    <m/>
    <m/>
    <n v="-1322036"/>
    <s v="EUROS"/>
    <m/>
    <n v="-1322036"/>
    <n v="0"/>
    <m/>
  </r>
  <r>
    <s v="Clôturé"/>
    <x v="8"/>
    <m/>
    <x v="2"/>
    <m/>
    <x v="71"/>
    <s v="WO ZZA92074"/>
    <m/>
    <s v="Upfront payment - Q2 [A]"/>
    <m/>
    <s v="INV FRA-004009"/>
    <d v="2023-02-03T00:00:00"/>
    <n v="642796"/>
    <s v="EUROS"/>
    <n v="642796"/>
    <n v="0"/>
    <n v="642796"/>
    <m/>
  </r>
  <r>
    <m/>
    <x v="8"/>
    <m/>
    <x v="2"/>
    <m/>
    <x v="71"/>
    <s v="WO ZZA92074"/>
    <m/>
    <s v="Upfront payment - Q2 Reimbursement"/>
    <m/>
    <m/>
    <m/>
    <n v="-642796"/>
    <s v="EUROS"/>
    <m/>
    <n v="-642796"/>
    <n v="0"/>
    <m/>
  </r>
  <r>
    <s v="Clôturé"/>
    <x v="8"/>
    <m/>
    <x v="2"/>
    <m/>
    <x v="71"/>
    <s v="WO ZZA92074 - CO1"/>
    <m/>
    <s v="Upon execution of CO1"/>
    <m/>
    <s v="INV FRA-004523"/>
    <d v="2023-08-25T00:00:00"/>
    <n v="1633000"/>
    <s v="EUROS"/>
    <n v="1633000"/>
    <n v="0"/>
    <n v="1633000"/>
    <m/>
  </r>
  <r>
    <s v="Clôturé"/>
    <x v="8"/>
    <m/>
    <x v="2"/>
    <m/>
    <x v="71"/>
    <s v="WO ZZA92074 - CO1"/>
    <m/>
    <s v="5% of Site Initiation Visits &amp; Reports Completed"/>
    <m/>
    <s v="INV FRA-004528"/>
    <d v="2023-09-04T00:00:00"/>
    <n v="3265999"/>
    <s v="EUROS"/>
    <n v="3265999"/>
    <n v="0"/>
    <n v="3265999"/>
    <m/>
  </r>
  <r>
    <s v="Clôturé"/>
    <x v="8"/>
    <m/>
    <x v="2"/>
    <m/>
    <x v="71"/>
    <s v="WO ZZA92074 - CO1"/>
    <m/>
    <s v="10% of Site Initiation Visits &amp; Reports Completed"/>
    <m/>
    <s v="INV FRA-004664"/>
    <d v="2023-10-16T00:00:00"/>
    <n v="4082499"/>
    <s v="EUROS"/>
    <n v="4082499"/>
    <n v="0"/>
    <n v="4082499"/>
    <m/>
  </r>
  <r>
    <s v="Clôturé"/>
    <x v="8"/>
    <m/>
    <x v="2"/>
    <m/>
    <x v="71"/>
    <s v="WO ZZA92074 - CO1"/>
    <m/>
    <s v="15% of Site Initiation Visits &amp; Reports Completed"/>
    <m/>
    <s v="INV FRA-004826"/>
    <d v="2023-12-12T00:00:00"/>
    <n v="4626832"/>
    <s v="EUROS"/>
    <n v="4626832"/>
    <n v="0"/>
    <n v="4626832"/>
    <m/>
  </r>
  <r>
    <s v="Clôturé"/>
    <x v="8"/>
    <m/>
    <x v="2"/>
    <m/>
    <x v="71"/>
    <s v="WO ZZA92074 - CO2"/>
    <m/>
    <s v="30% of Site Initiation Visits &amp; Reports Completed"/>
    <m/>
    <s v="INV FRA-005103"/>
    <d v="2024-03-27T00:00:00"/>
    <n v="3489016"/>
    <s v="EUROS"/>
    <n v="3489016"/>
    <n v="0"/>
    <n v="3489016"/>
    <m/>
  </r>
  <r>
    <s v="Clôturé"/>
    <x v="8"/>
    <m/>
    <x v="2"/>
    <m/>
    <x v="71"/>
    <s v="WO ZZA92074 - CO2"/>
    <m/>
    <s v="50% of Site Initiation Visits &amp; Reports Completed"/>
    <m/>
    <s v="INV FRA -005528"/>
    <d v="2024-09-18T00:00:00"/>
    <n v="4652021"/>
    <s v="EUROS"/>
    <n v="4652021"/>
    <n v="0"/>
    <n v="4652021"/>
    <m/>
  </r>
  <r>
    <s v="Clôturé"/>
    <x v="8"/>
    <m/>
    <x v="2"/>
    <m/>
    <x v="71"/>
    <s v="WO ZZA92074 - CO2"/>
    <m/>
    <s v="10% of Monitoring Visits &amp; Reports Completed"/>
    <m/>
    <s v="INV FRA-005794"/>
    <d v="2024-12-31T00:00:00"/>
    <n v="4652021"/>
    <s v="EUROS"/>
    <n v="4652021"/>
    <n v="0"/>
    <n v="4652021"/>
    <m/>
  </r>
  <r>
    <s v="Clôturé"/>
    <x v="8"/>
    <m/>
    <x v="2"/>
    <m/>
    <x v="71"/>
    <s v="WO ZZA92074 - CO3"/>
    <m/>
    <s v="20% of Monitoring Visits &amp; Reports Completed"/>
    <n v="45748"/>
    <s v="INV FRA-006486"/>
    <s v="29/02/2025"/>
    <n v="8384183"/>
    <s v="EUROS"/>
    <n v="8384183"/>
    <n v="0"/>
    <n v="8384183"/>
    <m/>
  </r>
  <r>
    <m/>
    <x v="8"/>
    <m/>
    <x v="2"/>
    <m/>
    <x v="71"/>
    <s v="WO ZZA92074 - CO3"/>
    <m/>
    <s v="30% of Monitoring Visits &amp; Reports Completed"/>
    <d v="2025-10-01T00:00:00"/>
    <m/>
    <m/>
    <n v="4790962"/>
    <s v="EUROS"/>
    <m/>
    <n v="4790962"/>
    <n v="0"/>
    <m/>
  </r>
  <r>
    <m/>
    <x v="8"/>
    <m/>
    <x v="2"/>
    <m/>
    <x v="71"/>
    <s v="WO ZZA92074 - CO3"/>
    <m/>
    <s v="40% of Monitoring Visits &amp; Reports Completed"/>
    <d v="2026-01-01T00:00:00"/>
    <m/>
    <m/>
    <n v="7186443"/>
    <s v="EUROS"/>
    <m/>
    <n v="7186443"/>
    <n v="0"/>
    <m/>
  </r>
  <r>
    <m/>
    <x v="8"/>
    <m/>
    <x v="2"/>
    <m/>
    <x v="71"/>
    <s v="WO ZZA92074 - CO3"/>
    <m/>
    <s v="50% of Monitoring Visits &amp; Reports Completed"/>
    <d v="2026-03-01T00:00:00"/>
    <m/>
    <m/>
    <n v="9581924"/>
    <s v="EUROS"/>
    <m/>
    <n v="9581924"/>
    <n v="0"/>
    <m/>
  </r>
  <r>
    <m/>
    <x v="8"/>
    <m/>
    <x v="2"/>
    <m/>
    <x v="71"/>
    <s v="WO ZZA92074 - CO3"/>
    <m/>
    <s v="60% of Monitoring Visits &amp; Reports Completed"/>
    <d v="2026-07-01T00:00:00"/>
    <m/>
    <m/>
    <n v="7186443"/>
    <s v="EUROS"/>
    <m/>
    <n v="7186443"/>
    <n v="0"/>
    <m/>
  </r>
  <r>
    <m/>
    <x v="8"/>
    <m/>
    <x v="2"/>
    <m/>
    <x v="71"/>
    <s v="WO ZZA92074 - CO3"/>
    <m/>
    <s v="65% of Monitoring Visits &amp; Reports Completed"/>
    <d v="2026-12-01T00:00:00"/>
    <m/>
    <m/>
    <n v="7186443"/>
    <s v="EUROS"/>
    <m/>
    <n v="7186443"/>
    <n v="0"/>
    <m/>
  </r>
  <r>
    <m/>
    <x v="8"/>
    <m/>
    <x v="2"/>
    <m/>
    <x v="71"/>
    <s v="WO ZZA92074 - CO3"/>
    <m/>
    <s v="70% of Monitoring Visits &amp; Reports Completed"/>
    <d v="2027-06-01T00:00:00"/>
    <m/>
    <m/>
    <n v="8384183"/>
    <s v="EUROS"/>
    <m/>
    <n v="8384183"/>
    <n v="0"/>
    <m/>
  </r>
  <r>
    <m/>
    <x v="8"/>
    <m/>
    <x v="2"/>
    <m/>
    <x v="71"/>
    <s v="WO ZZA92074 - CO3"/>
    <m/>
    <s v="75% of Monitoring Visits &amp; Reports Completed"/>
    <d v="2028-03-01T00:00:00"/>
    <m/>
    <m/>
    <n v="7186443"/>
    <s v="EUROS"/>
    <m/>
    <n v="7186443"/>
    <n v="0"/>
    <m/>
  </r>
  <r>
    <m/>
    <x v="8"/>
    <m/>
    <x v="2"/>
    <m/>
    <x v="71"/>
    <s v="WO ZZA92074 - CO3"/>
    <m/>
    <s v="80% of Monitoring Visits &amp; Reports Completed"/>
    <d v="2028-12-01T00:00:00"/>
    <m/>
    <m/>
    <n v="7186443"/>
    <s v="EUROS"/>
    <m/>
    <n v="7186443"/>
    <n v="0"/>
    <m/>
  </r>
  <r>
    <m/>
    <x v="8"/>
    <m/>
    <x v="2"/>
    <m/>
    <x v="71"/>
    <s v="WO ZZA92074 - CO3"/>
    <m/>
    <s v="90% of Monitoring Visits &amp; Reports Completed"/>
    <d v="2029-10-01T00:00:00"/>
    <m/>
    <m/>
    <n v="5988702"/>
    <s v="EUROS"/>
    <m/>
    <n v="5988702"/>
    <n v="0"/>
    <m/>
  </r>
  <r>
    <m/>
    <x v="8"/>
    <m/>
    <x v="2"/>
    <m/>
    <x v="71"/>
    <s v="WO ZZA92074 - CO3"/>
    <m/>
    <s v="Database Lock (DBL)"/>
    <d v="2030-03-01T00:00:00"/>
    <m/>
    <m/>
    <n v="5988702"/>
    <s v="EUROS"/>
    <m/>
    <n v="5988702"/>
    <n v="0"/>
    <m/>
  </r>
  <r>
    <m/>
    <x v="8"/>
    <m/>
    <x v="2"/>
    <m/>
    <x v="71"/>
    <s v="WO ZZA92074 - CO3"/>
    <m/>
    <s v="Final Clinical Study Report (CSR) Delivered to Sponsor"/>
    <d v="2030-07-01T00:00:00"/>
    <m/>
    <m/>
    <n v="4790962"/>
    <s v="EUROS"/>
    <m/>
    <n v="4790962"/>
    <n v="0"/>
    <m/>
  </r>
  <r>
    <m/>
    <x v="8"/>
    <m/>
    <x v="2"/>
    <m/>
    <x v="71"/>
    <s v="WO ZZA92074 - CO3"/>
    <m/>
    <s v="Transfer of Trial Master File (TMF) to Sponsor"/>
    <d v="2030-11-01T00:00:00"/>
    <m/>
    <m/>
    <n v="1340328"/>
    <s v="EUROS"/>
    <m/>
    <n v="1340328"/>
    <n v="0"/>
    <m/>
  </r>
  <r>
    <m/>
    <x v="8"/>
    <m/>
    <x v="2"/>
    <m/>
    <x v="71"/>
    <s v="WO ZZA92074 - CO3"/>
    <m/>
    <s v="PTC - Pass-Through Costs*"/>
    <m/>
    <s v="INV FRA-003543 + INV FRA-003639 + INV FRA-003692 + INV FRA-003789 + INV FRA-003867 + INV FRA-003945 + INV FRA-004044 + INV FRA-004108 + INV FRA-004187 + INV FRA-004257 + INV FRA-004328 + INV FRA-004416 + INV FRA-004494 + INV FRA-004570 + INV FRA-004650 + INV FRA-00464 + INV FRA-004835 + INV FRA-004906 + INV FRA-005009 + INV FRA-005150 + INV FRA-005079 + INV FRA-005234 + INV FRA-005311 + INV FRA-005377 + INV FRA-005441 + INC FRA-005515 + INV FRA-005583 + INV FRA-005655 + INV FRA-005759 + INV FRA-005914 + INV FRA- 005929 + INV FRA-006031 + INV FRA-006124 + INV FRA-006220 + INV FRA-006320+ INV FRA-006454+ INV FRA-006565+ INV FRA- 006656"/>
    <s v="16/08/2022 + 13/09/2022 + 07/10/2022 + 08/11/2022 + 12/12/2022 + 11/01/2023 + 15/02/2023 + 14/03/2023 + 13/04/2023 + 15/05/2023 + 15/06/2023 + 17/07/2023 + 14/08/2023 + 14/09/2023 + 13/10/2023 + 13/11/2023 + 13/12/2023 + 12/01/2024 + 15/02/2024 + 11/04/2024 + 13/03/2024 + 13/05/2024 + 13/06/2024 + 12/07/2024 + 14/08/2024 + 13/09/2024 + 11/10/2024 + 13/11/2024 + 12/12/2024 + 13/02/2025 +18/02/2025+11/03/2025 + 11/04/2025 + 13/05/2025 + 12/06/2025+15/07/2025+13/08/2025+12/09/2025"/>
    <n v="27980891.559999999"/>
    <s v="EUROS"/>
    <n v="9244489.2200000007"/>
    <n v="18736402.339999996"/>
    <n v="9244489.2200000007"/>
    <m/>
  </r>
  <r>
    <m/>
    <x v="8"/>
    <m/>
    <x v="2"/>
    <m/>
    <x v="71"/>
    <s v="WO ZZA92074 - CO3"/>
    <m/>
    <s v="Investigator fees"/>
    <m/>
    <s v="INV FRA-003854 + INV FRA-003944 + INV FRA-004038 + INV FRA-004126 + INV FRA-004186 + INV FRA-004259 + INV FRA-004330 + INV FRA-004418 + INV FRA-004490 + INV FRA-004576 + INV FRA-004646 + INV FRA-004760 + INV FRA-004834 + INV FRA-004904 + INV FRA-005008 + INV FRA-005149 + INV FRA-005077 + INV FRA-005232 + INV FRA-005303 + INV FRA-005383 + INV FRA-005445 + INV FRA-005516 + INV FRA-005584 + INV FRA-005549 + INV FRA-005762 + INV FRA-005918 + INV FRA-005933 + INV FRA-006038 + INV FRA-006120 + INV FRA -006211 + INV FRA-006322+ INV FRA-006451 + INV FRA-006563+INV FRA-006655"/>
    <s v="09/12/2022 + 10/01/2023 + 15/02/2023 + 14/03/2023 + 13/04/2023 + 15/05/2023 + 15/06/2023 + 17/07/2023 + 14/08/2023 + 14/09/2023 + 12/10/2023 + 13/11/2023 + 13/12/2023 + 12/01/2024 + 15/02/2024 + 11/04/2024 + 13/03/2024 + 13/05/2024 + 13/06/2024 + 12/07/2024 + 14/08/2024 + 13/09/2024 + 11/10/2024 + 13/11/2024 +13/02/2025+18/02/2025+11/03/2025 + 11/04/2025 + 13/05/2025 + 12/06/2025+15/07/2025+13/08/2025+12/09/2025"/>
    <n v="12887268"/>
    <s v="EUROS"/>
    <n v="8573382.620000001"/>
    <n v="4313885.379999999"/>
    <n v="8573382.620000001"/>
    <m/>
  </r>
  <r>
    <m/>
    <x v="8"/>
    <m/>
    <x v="2"/>
    <m/>
    <x v="71"/>
    <s v="WO ZZA92074 - CO3"/>
    <m/>
    <s v="Q2 (Fees and PTCs)***"/>
    <m/>
    <s v="INV FRA-004003 + INV FRA-004128 + INV FRA-004255 + INV FRA-004329 + INV FRA-004415 + INV FRA-004489 + INV FRA-004569 + INV FRA-004644 + INV FRA-004763 + INV FRA-004836 + INV FRA-004905 + INV FRA-005015 + INV FRA-005148 + INV FRA-005076 + INV FRA-005235 + INV FRA-005305 + INV FRA-005382 + INV FRA-005443 + INV FRA-005514 + INV FRA-005585 + INV FRA-005548 + INV FRA-005760 + INV FRA- 5931+ INV FRA-005913+ INV FRA-006041 + INV FRA-006126 + INV FRA-006214 + INV FRA-006321 + INV FRA-006453+INV FRA6566+INV FRA-006654"/>
    <s v="03/02/2023 + 14/03/2023 + 15/05/2023 + 15/06/2023 + 17/07/2023 + 14/08/2023 + 14/09/2023 + 12/10/2023 + 13/11/2023 + 13/12/2023 + 12/01/2024 + 15/02/2024 + 11/04/2024 + 13/03/2024 + 13/05/2024 + 13/06/2024 + 12/07/2024 + 14/08/2024 + 13/09/2024 + 11/10/2024 + 13/11/2024 + 12/12/2024+18/02/2025+13/02/2025 + 11/03/2025 + 11/04/2025 + 13/05/2025 + 12/06/2025 + 15/07/2025 + 13/08/2025 + 12/09/2025"/>
    <n v="11653219"/>
    <s v="EUROS"/>
    <n v="7708353.419999999"/>
    <n v="3944865.580000001"/>
    <n v="7708353.419999999"/>
    <m/>
  </r>
  <r>
    <s v="Clôturé"/>
    <x v="3"/>
    <m/>
    <x v="2"/>
    <m/>
    <x v="71"/>
    <s v="WOFZA86006"/>
    <m/>
    <s v="Signature of the ATP"/>
    <m/>
    <s v="INV FRA-002852"/>
    <d v="2021-11-09T00:00:00"/>
    <n v="1420869.3"/>
    <s v="EUROS"/>
    <n v="1420869.3"/>
    <n v="0"/>
    <n v="1420869.3"/>
    <m/>
  </r>
  <r>
    <s v="Clôturé"/>
    <x v="3"/>
    <m/>
    <x v="2"/>
    <m/>
    <x v="71"/>
    <s v="WOFZA86006"/>
    <m/>
    <s v="Monthly Payment - 01 Nov 2021 (ATP)"/>
    <m/>
    <s v="INV FRA-002851"/>
    <d v="2021-11-09T00:00:00"/>
    <n v="304471.99"/>
    <s v="EUROS"/>
    <n v="304471.99"/>
    <n v="0"/>
    <n v="304471.99"/>
    <m/>
  </r>
  <r>
    <s v="Clôturé"/>
    <x v="3"/>
    <m/>
    <x v="2"/>
    <m/>
    <x v="71"/>
    <s v="WOFZA86006"/>
    <m/>
    <s v="Monthly Payment - 01 Dec 2021 (ATP)"/>
    <m/>
    <s v="INV FRA-003189 - CN FRA-002916"/>
    <s v="29/03/2022 + 30/11/2021"/>
    <n v="304471.99"/>
    <s v="EUROS"/>
    <n v="304471.99"/>
    <n v="0"/>
    <n v="304471.99"/>
    <m/>
  </r>
  <r>
    <s v="Clôturé"/>
    <x v="3"/>
    <m/>
    <x v="2"/>
    <m/>
    <x v="71"/>
    <s v="WOFZA86006"/>
    <m/>
    <s v="Monthly Payment - 01 Apr 2022 (ATP)"/>
    <m/>
    <s v="INV FRA-003283"/>
    <d v="2022-05-06T00:00:00"/>
    <n v="115615.94"/>
    <s v="EUROS"/>
    <n v="115615.94"/>
    <n v="0"/>
    <n v="115615.94"/>
    <m/>
  </r>
  <r>
    <s v="Clôturé"/>
    <x v="3"/>
    <m/>
    <x v="2"/>
    <m/>
    <x v="71"/>
    <s v="WOFZA86006"/>
    <m/>
    <s v="Monthly Payment - 01 May 2022 (ATP)"/>
    <m/>
    <s v="INV FRA-003283"/>
    <d v="2022-05-06T00:00:00"/>
    <n v="115615.94"/>
    <s v="EUROS"/>
    <n v="115615.94"/>
    <n v="0"/>
    <n v="115615.94"/>
    <m/>
  </r>
  <r>
    <s v="Clôturé"/>
    <x v="3"/>
    <m/>
    <x v="2"/>
    <m/>
    <x v="71"/>
    <s v="WOFZA86006"/>
    <m/>
    <s v="Monthly Payment - June - July 2022 (ATP)"/>
    <m/>
    <s v="INV FRA-003412"/>
    <d v="2022-07-05T00:00:00"/>
    <n v="399477"/>
    <s v="EUROS"/>
    <n v="399477"/>
    <n v="0"/>
    <n v="399477"/>
    <m/>
  </r>
  <r>
    <s v="Clôturé"/>
    <x v="3"/>
    <m/>
    <x v="2"/>
    <m/>
    <x v="71"/>
    <s v="WOFZA86006"/>
    <m/>
    <s v="Upon execution of WO Part 1 [A]"/>
    <m/>
    <s v="INV FRA-003513"/>
    <d v="2022-08-09T00:00:00"/>
    <n v="1248581"/>
    <s v="EUROS"/>
    <n v="1248581"/>
    <n v="0"/>
    <n v="1248581"/>
    <m/>
  </r>
  <r>
    <s v="Clôturé"/>
    <x v="3"/>
    <m/>
    <x v="2"/>
    <m/>
    <x v="71"/>
    <s v="WOFZA86006"/>
    <m/>
    <s v="Upon execution of WO Part 2 [A]"/>
    <m/>
    <s v="INV FRA-003623"/>
    <d v="2022-09-09T00:00:00"/>
    <n v="2111749"/>
    <s v="EUROS"/>
    <n v="2111749"/>
    <n v="0"/>
    <n v="2111749"/>
    <m/>
  </r>
  <r>
    <s v="Clôturé"/>
    <x v="3"/>
    <m/>
    <x v="2"/>
    <m/>
    <x v="71"/>
    <s v="WOFZA86006"/>
    <m/>
    <s v="First site initiated"/>
    <m/>
    <s v="INV FRA-003668"/>
    <d v="2022-09-28T00:00:00"/>
    <n v="802946"/>
    <s v="EUROS"/>
    <n v="802946"/>
    <n v="0"/>
    <n v="802946"/>
    <m/>
  </r>
  <r>
    <s v="Clôturé"/>
    <x v="3"/>
    <m/>
    <x v="2"/>
    <m/>
    <x v="71"/>
    <s v="WOFZA86006"/>
    <m/>
    <s v="5% of Site Initiation Visits &amp; Reports Completed"/>
    <m/>
    <s v="FRA-003914"/>
    <d v="2023-01-05T00:00:00"/>
    <n v="2007366"/>
    <s v="EUROS"/>
    <n v="2007366"/>
    <n v="0"/>
    <n v="2007366"/>
    <m/>
  </r>
  <r>
    <s v="Clôturé"/>
    <x v="3"/>
    <m/>
    <x v="2"/>
    <m/>
    <x v="71"/>
    <s v="WOFZA86006"/>
    <m/>
    <s v="20% of Site Initiation Visits &amp; Reports Completed"/>
    <m/>
    <s v="INV FRA-004364"/>
    <d v="2023-06-26T00:00:00"/>
    <n v="2810312"/>
    <s v="EUROS"/>
    <n v="2810312"/>
    <n v="0"/>
    <n v="2810312"/>
    <m/>
  </r>
  <r>
    <s v="Clôturé"/>
    <x v="3"/>
    <m/>
    <x v="2"/>
    <m/>
    <x v="71"/>
    <s v="WOFZA86006"/>
    <m/>
    <s v="PTC - Upfront payment - Pass-Through [A]"/>
    <m/>
    <s v="INV FRA-003514"/>
    <d v="2022-08-09T00:00:00"/>
    <n v="1502705"/>
    <s v="EUROS"/>
    <n v="1502705"/>
    <n v="0"/>
    <n v="1502705"/>
    <m/>
  </r>
  <r>
    <m/>
    <x v="3"/>
    <m/>
    <x v="2"/>
    <m/>
    <x v="71"/>
    <s v="WOFZA86006"/>
    <m/>
    <s v="PTC - Upfront payment - Pass-Through Reimbursement"/>
    <m/>
    <m/>
    <m/>
    <n v="-1502705"/>
    <s v="EUROS"/>
    <m/>
    <n v="-1502705"/>
    <n v="0"/>
    <m/>
  </r>
  <r>
    <s v="Clôturé"/>
    <x v="3"/>
    <m/>
    <x v="2"/>
    <m/>
    <x v="71"/>
    <s v="WOFZA86006"/>
    <m/>
    <s v="PTC - Pre-Payment Due Upon ATP Execution"/>
    <m/>
    <s v="INV FRA-002873"/>
    <d v="2021-11-10T00:00:00"/>
    <n v="546607.47"/>
    <s v="EUROS"/>
    <n v="546607.47"/>
    <n v="0"/>
    <n v="546607.47"/>
    <m/>
  </r>
  <r>
    <s v="Clôturé"/>
    <x v="3"/>
    <m/>
    <x v="2"/>
    <m/>
    <x v="71"/>
    <s v="WOFZA86006"/>
    <m/>
    <s v="PTC - Monthly Payment - 01 Nov 2021"/>
    <m/>
    <s v="INV FRA-002873"/>
    <d v="2021-11-10T00:00:00"/>
    <n v="117130.17"/>
    <s v="EUROS"/>
    <n v="117130.17"/>
    <n v="0"/>
    <n v="117130.17"/>
    <m/>
  </r>
  <r>
    <s v="Clôturé"/>
    <x v="3"/>
    <m/>
    <x v="2"/>
    <m/>
    <x v="71"/>
    <s v="WOFZA86006"/>
    <m/>
    <s v="PTC - Monthly Payment - 01 Dec 2021"/>
    <m/>
    <s v="INV FRA-003190"/>
    <d v="2022-03-29T00:00:00"/>
    <n v="117130.17"/>
    <s v="EUROS"/>
    <n v="117130.17"/>
    <n v="0"/>
    <n v="117130.17"/>
    <m/>
  </r>
  <r>
    <s v="Clôturé"/>
    <x v="3"/>
    <m/>
    <x v="2"/>
    <m/>
    <x v="71"/>
    <s v="WOFZA86006"/>
    <m/>
    <s v="PTC - Other payments based on actual"/>
    <m/>
    <s v="INV FRA-003153 + INV FRA-003302 + INV FRA-003303 + INV FRA-003393 + INV FRA-003392 + INV FRA-003391 + INV FRA-003464"/>
    <s v="08/03/2022 + 11/05/2022 + 11/05/2022 + 16/06/2022 + 16/06/2022 + 16/06/2022 + 18/07/2022"/>
    <n v="463095.98"/>
    <s v="EUROS"/>
    <n v="463095.98"/>
    <n v="0"/>
    <n v="463095.98"/>
    <m/>
  </r>
  <r>
    <s v="Clôturé"/>
    <x v="3"/>
    <m/>
    <x v="2"/>
    <m/>
    <x v="71"/>
    <s v="WOFZA86006"/>
    <m/>
    <s v="Investigator fees - Upfront payment - Investigator Fees [A]"/>
    <m/>
    <s v="INV FRA-003624"/>
    <d v="2022-09-09T00:00:00"/>
    <n v="811203"/>
    <s v="EUROS"/>
    <n v="811203"/>
    <n v="0"/>
    <n v="811203"/>
    <m/>
  </r>
  <r>
    <m/>
    <x v="3"/>
    <m/>
    <x v="2"/>
    <m/>
    <x v="71"/>
    <s v="WOFZA86006"/>
    <m/>
    <s v="Investigator fees - Upfront payment - Investigator Fees Reimbursement"/>
    <m/>
    <m/>
    <m/>
    <n v="-811203"/>
    <s v="EUROS"/>
    <m/>
    <n v="-811203"/>
    <n v="0"/>
    <m/>
  </r>
  <r>
    <s v="Clôturé"/>
    <x v="3"/>
    <m/>
    <x v="2"/>
    <m/>
    <x v="71"/>
    <s v="WOFZA86006"/>
    <m/>
    <s v="Upfront payment - Q2 [A]"/>
    <m/>
    <s v="INV FRA-004004"/>
    <d v="2023-02-03T00:00:00"/>
    <n v="499905"/>
    <s v="EUROS"/>
    <n v="499905"/>
    <n v="0"/>
    <n v="499905"/>
    <m/>
  </r>
  <r>
    <m/>
    <x v="3"/>
    <m/>
    <x v="2"/>
    <m/>
    <x v="71"/>
    <s v="WOFZA86006"/>
    <m/>
    <s v="Upfront payment - Q2 Reimbursement"/>
    <m/>
    <m/>
    <m/>
    <n v="-499905"/>
    <s v="EUROS"/>
    <m/>
    <n v="-499905"/>
    <n v="0"/>
    <m/>
  </r>
  <r>
    <s v="Clôturé"/>
    <x v="3"/>
    <m/>
    <x v="2"/>
    <m/>
    <x v="71"/>
    <s v="WOFZA86006 - CO1"/>
    <m/>
    <s v="Upon execution of CO1"/>
    <m/>
    <s v="INV FRA-004519"/>
    <d v="2023-08-24T00:00:00"/>
    <n v="2257510"/>
    <s v="EUROS"/>
    <n v="2257510"/>
    <n v="0"/>
    <n v="2257510"/>
    <m/>
  </r>
  <r>
    <s v="Clôturé"/>
    <x v="3"/>
    <m/>
    <x v="2"/>
    <m/>
    <x v="71"/>
    <s v="WOFZA86006 - CO1"/>
    <m/>
    <s v="40% of Site Initiation Visits &amp; Reports Completed"/>
    <m/>
    <s v="INV FRA-004597"/>
    <d v="2023-09-25T00:00:00"/>
    <n v="3160514"/>
    <s v="EUROS"/>
    <n v="3160514"/>
    <n v="0"/>
    <n v="3160514"/>
    <m/>
  </r>
  <r>
    <s v="Clôturé"/>
    <x v="3"/>
    <m/>
    <x v="2"/>
    <m/>
    <x v="71"/>
    <s v="WOFZA86006 - CO1"/>
    <m/>
    <s v="60% of Site Initiation Visits &amp; Reports Completed"/>
    <m/>
    <s v="INV FRA-004976"/>
    <d v="2024-02-09T00:00:00"/>
    <n v="3160514"/>
    <s v="EUROS"/>
    <n v="3160514"/>
    <n v="0"/>
    <n v="3160514"/>
    <m/>
  </r>
  <r>
    <s v="Clôturé"/>
    <x v="3"/>
    <m/>
    <x v="2"/>
    <m/>
    <x v="71"/>
    <s v="WOFZA86006 - CO1"/>
    <m/>
    <s v="15% Patients randomised"/>
    <m/>
    <s v="INV FRA-005100"/>
    <d v="2024-03-26T00:00:00"/>
    <n v="1008988"/>
    <s v="EUROS"/>
    <n v="1008988"/>
    <n v="0"/>
    <n v="1008988"/>
    <m/>
  </r>
  <r>
    <s v="Clôturé"/>
    <x v="3"/>
    <m/>
    <x v="2"/>
    <m/>
    <x v="71"/>
    <s v="WOFZA86006 - CO1"/>
    <m/>
    <s v="25% Patients randomised"/>
    <m/>
    <s v="INV FRA-005028"/>
    <d v="2024-02-23T00:00:00"/>
    <n v="4063518"/>
    <s v="EUROS"/>
    <n v="4063518"/>
    <n v="0"/>
    <n v="4063518"/>
    <m/>
  </r>
  <r>
    <s v="Clôturé"/>
    <x v="3"/>
    <m/>
    <x v="2"/>
    <m/>
    <x v="71"/>
    <s v="WOFZA86006 - CO2"/>
    <m/>
    <s v="Upon execution CO2"/>
    <m/>
    <s v="INV FRA-005100"/>
    <d v="2024-03-26T00:00:00"/>
    <n v="4035953"/>
    <s v="EUROS"/>
    <n v="4035953"/>
    <n v="0"/>
    <n v="4035953"/>
    <m/>
  </r>
  <r>
    <s v="Clôturé"/>
    <x v="3"/>
    <m/>
    <x v="2"/>
    <m/>
    <x v="71"/>
    <s v="WOFZA86006 - CO2"/>
    <m/>
    <s v="80% of Site Initiation Visits &amp; Reports Completed"/>
    <m/>
    <s v="INV FRA-005219"/>
    <d v="2024-05-08T00:00:00"/>
    <n v="1008988"/>
    <s v="EUROS"/>
    <n v="1008988"/>
    <n v="0"/>
    <n v="1008988"/>
    <m/>
  </r>
  <r>
    <s v="Clôturé"/>
    <x v="3"/>
    <m/>
    <x v="2"/>
    <m/>
    <x v="71"/>
    <s v="WOFZA86006 - CO1"/>
    <m/>
    <s v="40% Patients randomised"/>
    <m/>
    <s v="INV FRA-005330"/>
    <d v="2024-06-20T00:00:00"/>
    <n v="2017976"/>
    <s v="EUROS"/>
    <n v="2017976"/>
    <n v="0"/>
    <n v="2017976"/>
    <m/>
  </r>
  <r>
    <s v="Clôturé"/>
    <x v="3"/>
    <m/>
    <x v="2"/>
    <m/>
    <x v="71"/>
    <s v="WOFZA86006 - CO1"/>
    <m/>
    <s v="50% Patients randomised"/>
    <m/>
    <s v="INV FRA-005433"/>
    <d v="2024-08-09T00:00:00"/>
    <n v="2017976"/>
    <s v="EUROS"/>
    <n v="2017976"/>
    <n v="0"/>
    <n v="2017976"/>
    <m/>
  </r>
  <r>
    <s v="Clôturé"/>
    <x v="3"/>
    <m/>
    <x v="2"/>
    <m/>
    <x v="71"/>
    <s v="WOFZA86006 - CO1"/>
    <m/>
    <s v="60% Patients randomised"/>
    <m/>
    <s v="INV FRA-005541"/>
    <d v="2024-09-27T00:00:00"/>
    <n v="2522471"/>
    <s v="EUROS"/>
    <n v="2522471"/>
    <n v="0"/>
    <n v="2522471"/>
    <m/>
  </r>
  <r>
    <s v="Clôturé"/>
    <x v="3"/>
    <m/>
    <x v="2"/>
    <m/>
    <x v="71"/>
    <s v="WOFZA86006 - CO1"/>
    <m/>
    <s v="70% Patients randomised"/>
    <m/>
    <s v="INV FRA-005683"/>
    <d v="2024-11-29T00:00:00"/>
    <n v="2017976"/>
    <s v="EUROS"/>
    <n v="2017976"/>
    <n v="0"/>
    <n v="2017976"/>
    <m/>
  </r>
  <r>
    <s v="Clôturé"/>
    <x v="3"/>
    <m/>
    <x v="2"/>
    <m/>
    <x v="71"/>
    <s v="WOFZA86006 - CO1"/>
    <m/>
    <s v="85% Patients randomised"/>
    <m/>
    <s v="INV FRA-005792"/>
    <d v="2024-12-31T00:00:00"/>
    <n v="2017976"/>
    <s v="EUROS"/>
    <n v="2017976"/>
    <n v="0"/>
    <n v="2017976"/>
    <m/>
  </r>
  <r>
    <s v="Clôturé"/>
    <x v="3"/>
    <m/>
    <x v="2"/>
    <m/>
    <x v="71"/>
    <s v="WOFZA86006 - CO1"/>
    <m/>
    <s v="Last patient entered"/>
    <m/>
    <s v="INV FRA-006167"/>
    <d v="2025-05-01T00:00:00"/>
    <n v="3531459"/>
    <s v="EUROS"/>
    <n v="3531459"/>
    <n v="0"/>
    <n v="3531459"/>
    <m/>
  </r>
  <r>
    <s v="Clôturé"/>
    <x v="3"/>
    <m/>
    <x v="2"/>
    <m/>
    <x v="71"/>
    <s v="WOFZA86006 - CO3"/>
    <m/>
    <s v="Upon signature CO3 - Last Patient Entered CO3 adjustment"/>
    <m/>
    <s v="INV FRA-006268"/>
    <d v="2025-05-29T00:00:00"/>
    <n v="932593"/>
    <s v="EUROS"/>
    <n v="932593"/>
    <n v="0"/>
    <n v="932593"/>
    <m/>
  </r>
  <r>
    <s v="Clôturé"/>
    <x v="3"/>
    <m/>
    <x v="2"/>
    <m/>
    <x v="71"/>
    <s v="WOFZA86006 - CO3"/>
    <m/>
    <s v="Database Lock (DBL)"/>
    <d v="2025-05-01T00:00:00"/>
    <s v="INV FRA-006473"/>
    <d v="2025-07-23T00:00:00"/>
    <n v="4464052"/>
    <s v="EUROS"/>
    <n v="4464052"/>
    <n v="0"/>
    <n v="4464052"/>
    <m/>
  </r>
  <r>
    <m/>
    <x v="3"/>
    <m/>
    <x v="2"/>
    <m/>
    <x v="71"/>
    <s v="WOFZA86006 - CO3"/>
    <m/>
    <s v="Final Clinical Study Report (CSR) Delivered to Sponsor"/>
    <d v="2025-09-01T00:00:00"/>
    <m/>
    <m/>
    <n v="2363322"/>
    <s v="EUROS"/>
    <m/>
    <n v="2363322"/>
    <n v="0"/>
    <m/>
  </r>
  <r>
    <m/>
    <x v="3"/>
    <m/>
    <x v="2"/>
    <m/>
    <x v="71"/>
    <s v="WOFZA86006 - CO3"/>
    <m/>
    <s v="Transfer of Trial Master File (TMF) to Sponsor"/>
    <d v="2026-01-01T00:00:00"/>
    <m/>
    <m/>
    <n v="294999"/>
    <s v="EUROS"/>
    <m/>
    <n v="294999"/>
    <n v="0"/>
    <m/>
  </r>
  <r>
    <m/>
    <x v="3"/>
    <m/>
    <x v="2"/>
    <m/>
    <x v="71"/>
    <s v="WOFZA86006 - CO3"/>
    <m/>
    <s v="PTC - Pass-Through Costs*"/>
    <m/>
    <s v="INV FRA-003544 + INV FRA-003636 + INV FRA-003687 + INV FRA-003701 + INV FRA-003771 + INV FRA-003790 + INV FRA-003860 + INV FRA-003838 + INV FRA-003970 + INV FRA-004047 + INV FRA-004132 + INV FRA-004193 + INV FRA-004256 + INV FRA-004331 + INV FRA-004421 + INV FRA-004491 + INV FRA-004587 + INV FRA-004645 + INV FRA-004645 + INV FRA-004761 + INV FRA-004830 + INV FRA-004908 + INV FRA-005007 + INV FRA-005142 + INV FRA-005070 + INV FRA-005233 + INV FRA-005310 + INV FRA-005380 + INV FRA-005440 + INV FRA-005518 + INV FRA-005581 + INV FRA-005658 + INV FRA-005763 + INV FRA005835 +INV FRA-005910 + INVFRA-006033 + INV FRA-006121 + INV FRA-006212 + INV FRA-006330 +INV FRA-006456 + INV FRA-006572 + INV FRA-006659"/>
    <s v="16/08/2022 + 13/09/2022 + 06/10/2022 + 10/10/2022 + 04/11/2022 + 09/11/2022 + 09/12/2022 + 06/12/2022 + 16/01/2023 + 15/02/2023 + 14/03/2023 + 14/04/2023 + 15/05/2023 + 15/06/2023 + 17/07/2023 + 14/08/2023 + 18/09/2023 + 12/10/2023 + 12/10/2023 + 13/11/2023 + 13/12/2023 + 12/01/2024 + 15/02/2024 + 11/04/2024 + 13/03/2024 + 13/05/2024 + 13/06/2024 + 12/07/2024 + 14/08/2024 + 13/09/2024 + 11/10/2024 + 13/11/2024 + 13/12/2024 + 14/01/2025+13/02/2025+13/03/2025 + 11/04/2025+13/05/2025 + 12/06/2025 + 15/07/2025 + 13/08/2025+12/09/2025"/>
    <n v="10429952.210000001"/>
    <s v="EUROS"/>
    <n v="9429731.879999999"/>
    <n v="1000220.3300000019"/>
    <n v="9429731.879999999"/>
    <m/>
  </r>
  <r>
    <m/>
    <x v="3"/>
    <m/>
    <x v="2"/>
    <m/>
    <x v="71"/>
    <s v="WOFZA86006 - CO3"/>
    <m/>
    <s v="Investigator fees"/>
    <m/>
    <s v="INV FRA-003791 + INV FRA-003851 + INV FRA-004046 + INV FRA-004133 + INV FRA-004192 + INV FRA-004254 + INV FRA-004325 + INV FRA-004419 + INV FRA-004495 + INV FRA-004586 + INV FRA-004647 + INV FRA-004757 + INV FRA-004828 + INV FRA-004912 + INV FRA-005014 + INV FRA-005143 + INV FRA-005069 + INV FRA-005239 + INV FRA-005313 + INV FRA-005385 + INV FRA-005447 + INV FRA-005519 + INV FRA-005576 + INV FRA-005659 + INV FRA-005761 + INV FRA-005836+INV FRA-005912 + INV FRA-006034 + INV FRA-006122 + INV FRA- 006216 + INV FRA-006324+ INV FRA- 006450 + INV FRA- 006561+INV FRA- 006653"/>
    <s v="09/11/2022 + 08/12/2022 + 15/02/2023 + 14/03/2023 + 14/04/2023 + 15/05/2023 + 15/06/2023 + 17/07/2023 + 14/08/2023 + 18/09/2023 + 12/10/2023 + 13/11/2023 + 13/12/2023 + 12/01/2024 + 15/02/2024 + 11/04/2024 + 13/03/2024 + 13/05/2024 + 13/06/2024 + 12/07/2024 + 14/08/2024 + 13/09/2024 + 11/10/2024 + 13/11/2024+12/12/2024+14/01/2025+13/02/2025+13/03/2025 + 11/04/2025+13/05/2025 + 12/06/2025 + 15/07/2025+13/08/2025+12/09/2025"/>
    <n v="7496027"/>
    <s v="EUROS"/>
    <n v="7498423.6900000004"/>
    <n v="0"/>
    <n v="7498423.6900000004"/>
    <m/>
  </r>
  <r>
    <m/>
    <x v="3"/>
    <m/>
    <x v="2"/>
    <m/>
    <x v="71"/>
    <s v="WOFZA86006 - CO3"/>
    <m/>
    <s v="Q2 (Fees and PTCs)***"/>
    <m/>
    <s v="INV FRA-003771 + INV FRA-003920 + INV FRA-003996 + INV FRA-004127 + INV FRA-004252 + INV FRA-004423 + INV FRA-004487 + INV FRA-004588 + INV FRA-004648 + INV FRA-004756 + INV FRA-004831 + INV FRA-004911 + INV FRA-005010 + INV FRA-005068 + INV FRA-005146 + INV FRA-005068 + INV FRA-005312 + INV FRA-005379 + INV FRA-005448 + INV FRA-005520 + INV FRA-005579 + INV FRA-005556 + INV FRA-005765 + INV FRA-005837 + INV FRA-05911+ INV FRA-006032 + INV FRA-00119 +INV FRA-006215 + INV FRA-006323 + INV FRA-006452+ INV FRA-006569+INV FRA-006652"/>
    <s v="04/11/2022 + 06/01/2023 + 03/02/2023 + 14/03/2023 + 15/05/2023 + 17/07/2023 + 14/08/2023 + 18/09/2023 + 13/10/2023 + 13/11/2023 + 13/12/2023 + 12/01/2024 + 15/02/2024 + 13/04/2024 + 11/04/2024 + 13/03/2024 + 13/06/2024 + 12/07/2024 + 14/08/2024 + 13/09/2024 + 11/10/2024 + 13/11/2024+12/12/2024+14/01/2025+13/02/2025+13/03/2025 + 11/04/2025 +13/05/2025 + 12/06/2025+15/07/2025 + 12/082025+12/09/2025"/>
    <n v="7162215"/>
    <s v="EUROS"/>
    <n v="8565270.2199999988"/>
    <n v="0"/>
    <n v="8565270.2199999988"/>
    <m/>
  </r>
  <r>
    <m/>
    <x v="40"/>
    <m/>
    <x v="2"/>
    <m/>
    <x v="71"/>
    <s v="Work Order ZZA12851/00160070 - P00791_2020"/>
    <s v="P00791_2020"/>
    <s v="Rédaction du protocol CD201"/>
    <d v="2021-04-01T00:00:00"/>
    <s v="INV NUK-003267 + INV NUK-003405"/>
    <s v="11/12/2020 + 08/03/2021"/>
    <n v="38307"/>
    <s v="EUROS"/>
    <n v="33021.25"/>
    <n v="5285.75"/>
    <n v="33021.25"/>
    <m/>
  </r>
  <r>
    <s v="Clôturé"/>
    <x v="7"/>
    <m/>
    <x v="2"/>
    <s v="Pascaline"/>
    <x v="71"/>
    <s v="SRV_23176_W1"/>
    <m/>
    <s v="CD202 - Upon execution of WO part 1"/>
    <m/>
    <s v="INV FRA-005454"/>
    <d v="2024-08-14T00:00:00"/>
    <n v="1727064.17"/>
    <s v="EUROS"/>
    <n v="1727064.17"/>
    <n v="0"/>
    <n v="1727064.17"/>
    <m/>
  </r>
  <r>
    <s v="Clôturé"/>
    <x v="7"/>
    <m/>
    <x v="2"/>
    <s v="Pascaline"/>
    <x v="71"/>
    <s v="SRV_23176_W1"/>
    <m/>
    <s v="CD202 - First site initiated"/>
    <m/>
    <s v="INV FRA-005454"/>
    <d v="2024-08-14T00:00:00"/>
    <n v="1727064.17"/>
    <s v="EUROS"/>
    <n v="1727064.17"/>
    <n v="0"/>
    <n v="1727064.17"/>
    <m/>
  </r>
  <r>
    <s v="Clôturé"/>
    <x v="7"/>
    <m/>
    <x v="2"/>
    <s v="Pascaline"/>
    <x v="71"/>
    <s v="SRV_23176_W1"/>
    <m/>
    <s v="CD202 - 25% of Site Initiation Visits &amp; Reports Completed"/>
    <m/>
    <s v="INV FRA-005964"/>
    <d v="2025-02-27T00:00:00"/>
    <n v="1831734.73"/>
    <s v="EUROS"/>
    <n v="1831734.73"/>
    <n v="0"/>
    <n v="1831734.73"/>
    <m/>
  </r>
  <r>
    <s v="Clôturé"/>
    <x v="7"/>
    <m/>
    <x v="2"/>
    <s v="Pascaline"/>
    <x v="71"/>
    <s v="SRV_23176_W1"/>
    <m/>
    <s v="CD202 - 50% of Site Initiation Visits &amp; Reports_x000a_Completed"/>
    <m/>
    <s v="INV FRA-006066"/>
    <d v="2025-03-31T00:00:00"/>
    <n v="1308381.95"/>
    <s v="EUROS"/>
    <n v="1308381.95"/>
    <n v="0"/>
    <n v="1308381.95"/>
    <m/>
  </r>
  <r>
    <s v="Clôturé"/>
    <x v="7"/>
    <m/>
    <x v="2"/>
    <s v="Pascaline"/>
    <x v="71"/>
    <s v="SRV_23176_W1"/>
    <m/>
    <s v="CD202 - 75% of Site Initiation Visits &amp; Reports Completed"/>
    <m/>
    <s v="INV FRA-006301"/>
    <d v="2025-06-09T00:00:00"/>
    <n v="1308381.95"/>
    <s v="EUROS"/>
    <n v="1308381.95"/>
    <n v="0"/>
    <n v="1308381.95"/>
    <m/>
  </r>
  <r>
    <m/>
    <x v="7"/>
    <m/>
    <x v="2"/>
    <s v="Pascaline"/>
    <x v="71"/>
    <s v="SRV_23176_W1"/>
    <m/>
    <s v="CD202 - 15% Patients randomised"/>
    <s v="Mar-25"/>
    <s v="INV FRA- 006593"/>
    <d v="2025-08-29T00:00:00"/>
    <n v="1308381.95"/>
    <s v="EUROS"/>
    <n v="1308381.95"/>
    <n v="0"/>
    <n v="1308381.95"/>
    <m/>
  </r>
  <r>
    <m/>
    <x v="7"/>
    <m/>
    <x v="2"/>
    <s v="Pascaline"/>
    <x v="71"/>
    <s v="SRV_23176_W1"/>
    <m/>
    <s v="CD202 - 95% of Site Initiation Visits &amp; Reports_x000a_Completed"/>
    <s v="Apr-25"/>
    <m/>
    <m/>
    <n v="1308381.95"/>
    <s v="EUROS"/>
    <m/>
    <n v="1308381.95"/>
    <n v="0"/>
    <m/>
  </r>
  <r>
    <m/>
    <x v="7"/>
    <m/>
    <x v="2"/>
    <s v="Pascaline"/>
    <x v="71"/>
    <s v="SRV_23176_W1"/>
    <m/>
    <s v="CD202 - 25% Patients randomised"/>
    <s v="May-25"/>
    <m/>
    <m/>
    <n v="1308381.95"/>
    <s v="EUROS"/>
    <m/>
    <n v="1308381.95"/>
    <n v="0"/>
    <m/>
  </r>
  <r>
    <m/>
    <x v="7"/>
    <m/>
    <x v="2"/>
    <s v="Pascaline"/>
    <x v="71"/>
    <s v="SRV_23176_W1"/>
    <m/>
    <s v="CD202 - 40% Patients randomised"/>
    <s v="Jul-25"/>
    <m/>
    <m/>
    <n v="1308381.95"/>
    <s v="EUROS"/>
    <m/>
    <n v="1308381.95"/>
    <n v="0"/>
    <m/>
  </r>
  <r>
    <m/>
    <x v="7"/>
    <m/>
    <x v="2"/>
    <s v="Pascaline"/>
    <x v="71"/>
    <s v="SRV_23176_W1"/>
    <m/>
    <s v="CD202 - 10% of Monitoring Visits Completed"/>
    <s v="Sep-25"/>
    <m/>
    <m/>
    <n v="1308381.95"/>
    <s v="EUROS"/>
    <m/>
    <n v="1308381.95"/>
    <n v="0"/>
    <m/>
  </r>
  <r>
    <m/>
    <x v="7"/>
    <m/>
    <x v="2"/>
    <s v="Pascaline"/>
    <x v="71"/>
    <s v="SRV_23176_W1"/>
    <m/>
    <s v="CD202 - 60% Patients randomised"/>
    <s v="Oct-25"/>
    <m/>
    <m/>
    <n v="1308381.95"/>
    <s v="EUROS"/>
    <m/>
    <n v="1308381.95"/>
    <n v="0"/>
    <m/>
  </r>
  <r>
    <m/>
    <x v="7"/>
    <m/>
    <x v="2"/>
    <s v="Pascaline"/>
    <x v="71"/>
    <s v="SRV_23176_W1"/>
    <m/>
    <s v="CD202 - 70% Patients randomised"/>
    <s v="Nov-25"/>
    <m/>
    <m/>
    <n v="1046705.56"/>
    <s v="EUROS"/>
    <m/>
    <n v="1046705.56"/>
    <n v="0"/>
    <m/>
  </r>
  <r>
    <m/>
    <x v="7"/>
    <m/>
    <x v="2"/>
    <s v="Pascaline"/>
    <x v="71"/>
    <s v="SRV_23176_W1"/>
    <m/>
    <s v="CD202 - 85% Patients randomised"/>
    <s v="Jan-26"/>
    <m/>
    <m/>
    <n v="523352.78"/>
    <s v="EUROS"/>
    <m/>
    <n v="523352.78"/>
    <n v="0"/>
    <m/>
  </r>
  <r>
    <m/>
    <x v="7"/>
    <m/>
    <x v="2"/>
    <s v="Pascaline"/>
    <x v="71"/>
    <s v="SRV_23176_W1"/>
    <m/>
    <s v="CD202 - 25% of Monitoring Visits Completed"/>
    <s v="Jan-26"/>
    <m/>
    <m/>
    <n v="523352.78"/>
    <s v="EUROS"/>
    <m/>
    <n v="523352.78"/>
    <n v="0"/>
    <m/>
  </r>
  <r>
    <m/>
    <x v="7"/>
    <m/>
    <x v="2"/>
    <s v="Pascaline"/>
    <x v="71"/>
    <s v="SRV_23176_W1"/>
    <m/>
    <s v="CD202 - 30% of Monitoring Visits Completed"/>
    <s v="Feb-26"/>
    <m/>
    <m/>
    <n v="1046705.56"/>
    <s v="EUROS"/>
    <m/>
    <n v="1046705.56"/>
    <n v="0"/>
    <m/>
  </r>
  <r>
    <m/>
    <x v="7"/>
    <m/>
    <x v="2"/>
    <s v="Pascaline"/>
    <x v="71"/>
    <s v="SRV_23176_W1"/>
    <m/>
    <s v="CD202 - 35% of Monitoring Visits Completed"/>
    <s v="May-26"/>
    <m/>
    <m/>
    <n v="1046705.56"/>
    <s v="EUROS"/>
    <m/>
    <n v="1046705.56"/>
    <n v="0"/>
    <m/>
  </r>
  <r>
    <m/>
    <x v="7"/>
    <m/>
    <x v="2"/>
    <s v="Pascaline"/>
    <x v="71"/>
    <s v="SRV_23176_W1"/>
    <m/>
    <s v="CD202 - 40% of Monitoring Visits Completed"/>
    <s v="Sep-26"/>
    <m/>
    <m/>
    <n v="1046705.56"/>
    <s v="EUROS"/>
    <m/>
    <n v="1046705.56"/>
    <n v="0"/>
    <m/>
  </r>
  <r>
    <m/>
    <x v="7"/>
    <m/>
    <x v="2"/>
    <s v="Pascaline"/>
    <x v="71"/>
    <s v="SRV_23176_W1"/>
    <m/>
    <s v="CD202 - 50% of Monitoring Visits Completed"/>
    <s v="Dec-26"/>
    <m/>
    <m/>
    <n v="1046705.56"/>
    <s v="EUROS"/>
    <m/>
    <n v="1046705.56"/>
    <n v="0"/>
    <m/>
  </r>
  <r>
    <m/>
    <x v="7"/>
    <m/>
    <x v="2"/>
    <s v="Pascaline"/>
    <x v="71"/>
    <s v="SRV_23176_W1"/>
    <m/>
    <s v="CD202 - 60% of Monitoring Visits Completed"/>
    <s v="Apr-27"/>
    <m/>
    <m/>
    <n v="1046705.56"/>
    <s v="EUROS"/>
    <m/>
    <n v="1046705.56"/>
    <n v="0"/>
    <m/>
  </r>
  <r>
    <m/>
    <x v="7"/>
    <m/>
    <x v="2"/>
    <s v="Pascaline"/>
    <x v="71"/>
    <s v="SRV_23176_W1"/>
    <m/>
    <s v="CD202 - 70% of Monitoring Visits Completed"/>
    <s v="Aug-27"/>
    <m/>
    <m/>
    <n v="785029.17"/>
    <s v="EUROS"/>
    <m/>
    <n v="785029.17"/>
    <n v="0"/>
    <m/>
  </r>
  <r>
    <m/>
    <x v="7"/>
    <m/>
    <x v="2"/>
    <s v="Pascaline"/>
    <x v="71"/>
    <s v="SRV_23176_W1"/>
    <m/>
    <s v="CD202 - 75% of Monitoring Visits Completed"/>
    <s v="Nov-27"/>
    <m/>
    <m/>
    <n v="130838.2"/>
    <s v="EUROS"/>
    <m/>
    <n v="130838.2"/>
    <n v="0"/>
    <m/>
  </r>
  <r>
    <m/>
    <x v="7"/>
    <m/>
    <x v="2"/>
    <s v="Pascaline"/>
    <x v="71"/>
    <s v="SRV_23176_W1"/>
    <m/>
    <s v="CD202 - Last patient entered (in eCRF)"/>
    <s v="Mar-28"/>
    <m/>
    <m/>
    <n v="130838.2"/>
    <s v="EUROS"/>
    <m/>
    <n v="130838.2"/>
    <n v="0"/>
    <m/>
  </r>
  <r>
    <m/>
    <x v="7"/>
    <m/>
    <x v="2"/>
    <s v="Pascaline"/>
    <x v="71"/>
    <s v="SRV_23176_W1"/>
    <m/>
    <s v="CD202 - Database Lock (DBL)"/>
    <s v="Apr-28"/>
    <m/>
    <m/>
    <n v="65419.1"/>
    <s v="EUROS"/>
    <m/>
    <n v="65419.1"/>
    <n v="0"/>
    <m/>
  </r>
  <r>
    <m/>
    <x v="7"/>
    <m/>
    <x v="2"/>
    <s v="Pascaline"/>
    <x v="71"/>
    <s v="SRV_23176_W1"/>
    <m/>
    <s v="CD202 - 100% of Monitoring Visits Completed"/>
    <s v="Apr-28"/>
    <m/>
    <m/>
    <n v="65419.1"/>
    <s v="EUROS"/>
    <m/>
    <n v="65419.1"/>
    <n v="0"/>
    <m/>
  </r>
  <r>
    <m/>
    <x v="7"/>
    <m/>
    <x v="2"/>
    <s v="Pascaline"/>
    <x v="71"/>
    <s v="SRV_23176_W1"/>
    <m/>
    <s v="CD202 - Final Clinical Study Report (CSR) Delivered to Sponsor"/>
    <s v="Jul-28"/>
    <m/>
    <m/>
    <n v="130838.2"/>
    <s v="EUROS"/>
    <m/>
    <n v="130838.2"/>
    <n v="0"/>
    <m/>
  </r>
  <r>
    <m/>
    <x v="7"/>
    <m/>
    <x v="2"/>
    <s v="Pascaline"/>
    <x v="71"/>
    <s v="SRV_23176_W1"/>
    <m/>
    <s v="CD202 - Transfer of Trial Master File (TMF) to Sponsor"/>
    <s v="Oct-28"/>
    <m/>
    <m/>
    <n v="52801.95"/>
    <s v="EUROS"/>
    <m/>
    <n v="52801.95"/>
    <n v="0"/>
    <m/>
  </r>
  <r>
    <s v="Clôturé"/>
    <x v="7"/>
    <m/>
    <x v="2"/>
    <s v="Pascaline"/>
    <x v="71"/>
    <s v="SRV_23176_W1"/>
    <m/>
    <s v="CD202 - Other payments based on actual"/>
    <s v="Jan-April 2024-Juillet2024"/>
    <s v="INV FRA-004888 + INV FRA-004974 + INV FRA-005053 + INV FRA-005130 + INV FRA-005209 + INV FRA-005284 + INV FRA-005370"/>
    <s v="09/01/2024 + 08/02/2024 + 08/03/2024 + 09/04/2024 + 07/05/2024 + 10/06/2024 + 10/07/2024"/>
    <n v="224380.12"/>
    <s v="EUROS"/>
    <n v="359420.12"/>
    <n v="0"/>
    <n v="359420.12"/>
    <s v="Pas repris dans le solde 11 117 999,30 € - mail envoyé a Pascaline le 12/09/24"/>
  </r>
  <r>
    <m/>
    <x v="7"/>
    <m/>
    <x v="2"/>
    <s v="Pascaline"/>
    <x v="71"/>
    <s v="SRV_23176_W1"/>
    <m/>
    <s v="CD202 - Pass-Through Costs"/>
    <m/>
    <s v="INV FRA-005432 + INV FRA-005510 + INV FRA-005647 + INV FRA-005729 + INV FRA-005809+ INV FRA-005909 + INV FRA-006018 + INV FRA-006103 + INV FRA-006329 + INV FRA-006436 + INV FRA- 006546 + INV FRA - 006645"/>
    <s v="09/08/2024 + 11/09/2024 + 13/11/2024 + 06/12/2024 + 08/01/2025+13/02/2025+11/03/2025 + 08/04/2025 + 12/06/2025+10/07/2025 + 08/08/2025+11/09/2025"/>
    <n v="5114916.3"/>
    <s v="EUROS"/>
    <n v="1102501.72"/>
    <n v="4012414.58"/>
    <n v="1102501.72"/>
    <m/>
  </r>
  <r>
    <m/>
    <x v="7"/>
    <m/>
    <x v="2"/>
    <s v="Pascaline"/>
    <x v="71"/>
    <s v="SRV_23176_W1"/>
    <m/>
    <s v="CD202 - Upfront payment - Pass-Through Reimbursement"/>
    <m/>
    <m/>
    <m/>
    <n v="-373966.9"/>
    <s v="EUROS"/>
    <m/>
    <n v="-373966.9"/>
    <n v="0"/>
    <m/>
  </r>
  <r>
    <m/>
    <x v="7"/>
    <m/>
    <x v="2"/>
    <s v="Pascaline"/>
    <x v="71"/>
    <s v="SRV_23176_W1"/>
    <m/>
    <s v="CD202 - Investigator Fees"/>
    <m/>
    <s v="INV FRA-005374 + FRA-005568 + INV FRA-005644 + INV FRA-005731 + INV FRA-005810 + INV FRA-005908 + INV FRA-006017 + INV FRA-006099 + INV FRA-006210 + INV FRA-006333 + INV FRA-006438 + INV FRA- 006545 + INV FRA-006641"/>
    <s v="11/07/2024 + 09/10/2024 + 12/11/2024 + 06/12/2024 + 08/01/2025+13/02/2025+11/03/2025+07/04/2025+13/05/2025 + 12/06/2025+10/07/2025+08/05/2025+11/09/2025"/>
    <n v="6003083"/>
    <s v="EUROS"/>
    <n v="947444.7699999999"/>
    <n v="5055638.2300000004"/>
    <n v="947444.7699999999"/>
    <m/>
  </r>
  <r>
    <s v="Clôturé"/>
    <x v="7"/>
    <m/>
    <x v="2"/>
    <s v="Pascaline"/>
    <x v="71"/>
    <s v="SRV_23176_W1"/>
    <m/>
    <s v="CD202 - Upfront payment - Investigator Fees"/>
    <m/>
    <s v="INV FRA-005466"/>
    <d v="2024-08-26T00:00:00"/>
    <n v="70000"/>
    <s v="EUROS"/>
    <n v="70000"/>
    <n v="0"/>
    <n v="70000"/>
    <m/>
  </r>
  <r>
    <m/>
    <x v="7"/>
    <m/>
    <x v="2"/>
    <s v="Pascaline"/>
    <x v="71"/>
    <s v="SRV_23176_W1"/>
    <m/>
    <s v="CD202 - Upfront payment - Investigator Fees Reimbursement"/>
    <m/>
    <m/>
    <m/>
    <n v="-70000"/>
    <s v="EUROS"/>
    <m/>
    <n v="-70000"/>
    <n v="0"/>
    <m/>
  </r>
  <r>
    <m/>
    <x v="8"/>
    <m/>
    <x v="5"/>
    <m/>
    <x v="72"/>
    <s v="devis 2791378"/>
    <m/>
    <s v="Market Access - Step 1 : HTA review and amendment of the clinical trial protocol"/>
    <m/>
    <s v="INV 4124628151"/>
    <d v="2022-01-19T00:00:00"/>
    <n v="27500"/>
    <s v="EUROS"/>
    <n v="25000"/>
    <n v="2500"/>
    <n v="25000"/>
    <m/>
  </r>
  <r>
    <m/>
    <x v="8"/>
    <m/>
    <x v="5"/>
    <m/>
    <x v="72"/>
    <s v="devis 2791378"/>
    <m/>
    <s v="Market Access - Step 2 : Review and adaptation of the electronic CRF"/>
    <m/>
    <m/>
    <m/>
    <n v="16500"/>
    <s v="EUROS"/>
    <m/>
    <n v="16500"/>
    <n v="0"/>
    <m/>
  </r>
  <r>
    <m/>
    <x v="8"/>
    <m/>
    <x v="5"/>
    <m/>
    <x v="72"/>
    <s v="devis 2791378"/>
    <m/>
    <s v="Market Access - Step 3 : Review and adaptation/amendment of statistical analysis"/>
    <m/>
    <m/>
    <m/>
    <n v="11000"/>
    <s v="EUROS"/>
    <m/>
    <n v="11000"/>
    <n v="0"/>
    <m/>
  </r>
  <r>
    <s v="Clôturé"/>
    <x v="8"/>
    <m/>
    <x v="5"/>
    <s v="Nakesha"/>
    <x v="72"/>
    <s v="devis 2791378"/>
    <m/>
    <s v="Market Access - PTC HTA accelerator access fee"/>
    <m/>
    <s v="INV 4124628151"/>
    <d v="2022-01-19T00:00:00"/>
    <n v="5000"/>
    <s v="EUROS"/>
    <n v="5000"/>
    <n v="0"/>
    <n v="5000"/>
    <m/>
  </r>
  <r>
    <m/>
    <x v="1"/>
    <m/>
    <x v="9"/>
    <s v="Nakesha"/>
    <x v="72"/>
    <s v="SRV_18231_A7+CO1 - KAB51990 - P00054_2024"/>
    <s v="P00054_2024 + PO a venir 2025"/>
    <s v="ABTECT PROGRAM 105 106 107 202 Safety surveillance and signal management - durée 13,5 mois + CO1"/>
    <m/>
    <s v="INV THV-286815 + INV THV-286590 + INV THV-289401 + INV THV-290903 + INV THV-290921 + INV THV-292910 + INV THV-292698 + INV THV-292710 + INV THV-294565 + INV  THV-296264 + INV THV-296280 + INV THV-287492 + INV THV-287506 + INV THV-298009 + INV THV-298035 + INV THV-299679 + INV THV-299657 + INV THV-301527 + INV THV-301488 + INV THV-303324 + INV THV-303381 + INV THV-305183+ INV THV-305296+ INV THV-313703 + INV THV-313702 + INV THV-315032 + INV THV-315637 + INV THV-316862 + INV THV-318860 + INV THV-319503 + INV THV-321156 +INV THV-320781"/>
    <s v="15/02/2024 + 13/02/2024 + 05/04/2024 + 03/05/2024 + 06/05/2024 + 07/06/2024 + 05/06/2024 + 06/06/2024 + 04/07/2024 + 05/08/2024 + 06/08/2024 + 05/03/2024 + 05/09/2024 + 06/09/2024 + 03/10/2024 + 03/10/2024 + 06/11/2024 + 05/11/2024 + 04/12/2024 + 05/12/2024 + 03/01/2024+07/01/2025 + 12/05/2025 +12/05/2025 + 04/06/2025 + 10/06/2025 + 03/07/2025 + 05/08/2025 + 12/08/2025 +09/09/2025+05/09/2025"/>
    <n v="1232447.22"/>
    <s v="EUROS"/>
    <n v="643810.60999999975"/>
    <n v="588636.61000000022"/>
    <n v="643810.60999999975"/>
    <s v="Mail envoyé a nakesha le 16/07/2025 pour faire un nouveau PO"/>
  </r>
  <r>
    <s v="Clôturé"/>
    <x v="1"/>
    <m/>
    <x v="9"/>
    <s v="Nakesha"/>
    <x v="72"/>
    <s v="LAB59781"/>
    <m/>
    <s v="DRUG SAFETY AND PHARMACOVIGILANCE PARTNERSHIP - Professional fees upon execution ATP"/>
    <m/>
    <s v=" "/>
    <s v="14/08/2024 + 18/09/2024"/>
    <n v="124853.07"/>
    <s v="USD"/>
    <n v="124853.07"/>
    <n v="0"/>
    <n v="124853.07"/>
    <m/>
  </r>
  <r>
    <s v="Clôturé"/>
    <x v="1"/>
    <m/>
    <x v="9"/>
    <s v="Nakesha"/>
    <x v="72"/>
    <s v="LAB59781_WO1"/>
    <m/>
    <s v="DRUG SAFETY AND PHARMACOVIGILANCE - Professional fees upon execution WO1"/>
    <m/>
    <s v="INV THV-304762"/>
    <d v="2024-12-17T00:00:00"/>
    <n v="21473.39"/>
    <s v="USD"/>
    <n v="21473.39"/>
    <n v="0"/>
    <n v="21473.39"/>
    <m/>
  </r>
  <r>
    <s v="Clôturé"/>
    <x v="1"/>
    <m/>
    <x v="9"/>
    <s v="Nakesha"/>
    <x v="72"/>
    <s v="LAB59781_WO1"/>
    <m/>
    <s v="DRUG SAFETY AND PHARMACOVIGILANCE - PTC upon execution WO"/>
    <m/>
    <s v="INV THV - 305471"/>
    <d v="2025-01-08T00:00:00"/>
    <n v="5600.81"/>
    <s v="USD"/>
    <n v="5600.81"/>
    <n v="0"/>
    <n v="5600.81"/>
    <m/>
  </r>
  <r>
    <m/>
    <x v="1"/>
    <m/>
    <x v="9"/>
    <s v="Nakesha"/>
    <x v="72"/>
    <s v="LAB59781_WO1"/>
    <m/>
    <s v="DRUG SAFETY AND PHARMACOVIGILANCE - Professional fees "/>
    <m/>
    <s v="INV THV-305538 + INV THV-307570 + INV THV-309829 + INV THV-311847 + INV THV-313936 + INV THV-315952 + INV THV-317366"/>
    <s v="08/01/2025+10/02/2025 + 12/03/2025 + 10/04/2025 + 13/05/2025 +12/06/2025 + 09/07/2025"/>
    <n v="829183.25"/>
    <s v="USD"/>
    <n v="386612.67"/>
    <n v="442570.58"/>
    <n v="386612.67"/>
    <m/>
  </r>
  <r>
    <m/>
    <x v="1"/>
    <m/>
    <x v="9"/>
    <s v="Nakesha"/>
    <x v="72"/>
    <s v="LAB59781_WO1"/>
    <m/>
    <s v="DRUG SAFETY AND PHARMACOVIGILANCE - PTC"/>
    <m/>
    <s v="INV THV-305539 + INV THV-305465 + INV THV-307250 + INV THV-309407 + INV THV-311252 + INV THV-316966 + INV THV-319827 + INV THV-321161+INV THV-320850 + INV THV-313333"/>
    <s v="08/01/2025 + 08/01/2025+06/02/2025 + 10/03/2025 + 07/04/2025+06/08/2025+14/08/2025+09/09/2025+05/09/2025+08/05/2025"/>
    <n v="91077.94"/>
    <s v="USD"/>
    <n v="101446.5"/>
    <n v="0"/>
    <n v="101446.5"/>
    <m/>
  </r>
  <r>
    <m/>
    <x v="13"/>
    <m/>
    <x v="3"/>
    <m/>
    <x v="73"/>
    <s v="Change Order n°1.1 - P00335_2022"/>
    <s v="P00335_2022"/>
    <s v="IRT reconcilliation for ABX464-108 trial"/>
    <m/>
    <s v="INV INC-310961"/>
    <d v="2023-02-17T00:00:00"/>
    <n v="25900"/>
    <s v="USD"/>
    <n v="10900"/>
    <n v="15000"/>
    <n v="10900"/>
    <m/>
  </r>
  <r>
    <s v="Clôturé"/>
    <x v="13"/>
    <m/>
    <x v="3"/>
    <m/>
    <x v="73"/>
    <s v="WO ABX464-108 - P00209_2022"/>
    <s v="P00209_2022"/>
    <s v="Sytem set up"/>
    <m/>
    <s v="INV INC-296841"/>
    <d v="2022-09-30T00:00:00"/>
    <n v="124875"/>
    <s v="USD"/>
    <n v="124875"/>
    <n v="0"/>
    <n v="124875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296841"/>
    <d v="2022-09-30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299382"/>
    <s v="20/10/2022 (recu 12/2022)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02336"/>
    <s v="30/11/2022 (recu 12/2022)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04858"/>
    <d v="2022-12-14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08075"/>
    <d v="2023-01-23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10961"/>
    <d v="2023-02-17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13701"/>
    <d v="2023-03-17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16531"/>
    <d v="2023-04-18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s v="USD"/>
    <n v="4605.29"/>
    <n v="1.6666666670062114E-3"/>
    <n v="4605.29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s v="USD"/>
    <n v="4605.29"/>
    <n v="1.6666666670062114E-3"/>
    <n v="4605.29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4889"/>
    <d v="2023-07-18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7277"/>
    <d v="2023-08-14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9648"/>
    <d v="2023-09-13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32966"/>
    <d v="2023-10-12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37088"/>
    <d v="2023-11-17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39927"/>
    <d v="2024-01-01T00:00:00"/>
    <n v="4605.291666666667"/>
    <s v="USD"/>
    <n v="4605.3"/>
    <n v="0"/>
    <n v="4605.3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1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2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3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4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5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6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7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8-01T00:00:00"/>
    <m/>
    <m/>
    <n v="4605.291666666667"/>
    <s v="USD"/>
    <m/>
    <n v="4605.291666666667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s v="RSV/FLU"/>
    <m/>
    <s v="LAB"/>
    <m/>
    <s v="360BIOLABS"/>
    <s v="QTE-ABIV-02.01"/>
    <m/>
    <s v="Evaluation of the antiviral activity Influenza"/>
    <m/>
    <m/>
    <s v="Mai 2018 ?"/>
    <n v="17100"/>
    <x v="0"/>
    <m/>
    <n v="17100"/>
    <n v="0"/>
  </r>
  <r>
    <s v="RSV/FLU"/>
    <m/>
    <s v="LAB"/>
    <m/>
    <s v="360BIOLABS"/>
    <s v="Quote ABI201703 - 17541"/>
    <m/>
    <s v="DATA ANALYSIS"/>
    <m/>
    <m/>
    <m/>
    <n v="1350"/>
    <x v="0"/>
    <m/>
    <n v="1350"/>
    <n v="0"/>
  </r>
  <r>
    <s v="ABX464"/>
    <m/>
    <s v="QA"/>
    <m/>
    <s v="5M PARTNER"/>
    <s v="0026P23GC OM2023-01v2 - P00111_2023"/>
    <s v="P00111_2023"/>
    <s v="Audit SEQENS ARAMON"/>
    <m/>
    <s v="INV 0047-23-04-B12"/>
    <d v="2023-04-25T00:00:00"/>
    <n v="5367.5"/>
    <x v="1"/>
    <n v="3971.5"/>
    <n v="1396"/>
    <n v="3971.5"/>
  </r>
  <r>
    <s v="NOTAPP"/>
    <m/>
    <s v="QA"/>
    <m/>
    <s v="5M PARTNER"/>
    <s v="0026P23GC OM2023-01v2 - P00273_2023"/>
    <s v="P00273_2023"/>
    <s v="Audit Delpharm Lille"/>
    <m/>
    <s v="INV  0145-23-11-B03 + INV 0003-24-01-B03"/>
    <s v="20/11/2023 + 05/01/2024"/>
    <n v="5286.76"/>
    <x v="1"/>
    <n v="4562.76"/>
    <n v="724"/>
    <n v="4562.76"/>
  </r>
  <r>
    <s v="ABX464"/>
    <m/>
    <s v="QA"/>
    <m/>
    <s v="5M PARTNER"/>
    <s v="0026P23GC OM2023-05v2 - P00296_2023"/>
    <s v="P00296_2023"/>
    <s v="Audit qualification - Patheon Cork"/>
    <m/>
    <s v="INV 0151-23-11-B01 "/>
    <d v="2023-11-29T00:00:00"/>
    <n v="11168"/>
    <x v="1"/>
    <n v="10067.469999999999"/>
    <n v="1100.5300000000007"/>
    <n v="10067.469999999999"/>
  </r>
  <r>
    <s v="ABX464"/>
    <m/>
    <s v="QA"/>
    <m/>
    <s v="5M PARTNER"/>
    <s v="0026P23Gc OM2023-06v1 - P00315_2023"/>
    <s v="P00315_2023"/>
    <s v="Routine audit SEQENS LAHR"/>
    <m/>
    <s v="INV 0157-23-11-B12"/>
    <d v="2023-11-30T00:00:00"/>
    <n v="4980.5"/>
    <x v="1"/>
    <n v="4282.5"/>
    <n v="698"/>
    <n v="4282.5"/>
  </r>
  <r>
    <s v="ABX464"/>
    <m/>
    <s v="QA"/>
    <m/>
    <s v="5M PARTNER"/>
    <s v="2024-02 - P00025_2024"/>
    <s v="P00025_2024"/>
    <s v="CAPA Plan review"/>
    <m/>
    <m/>
    <m/>
    <n v="1424.5"/>
    <x v="1"/>
    <m/>
    <n v="1424.5"/>
    <n v="0"/>
  </r>
  <r>
    <s v="ABX464"/>
    <m/>
    <s v="CLI"/>
    <m/>
    <s v="ACOBIOM"/>
    <s v="Q-2017-920 - M00030"/>
    <m/>
    <s v="100 % livraison du resultat"/>
    <m/>
    <m/>
    <m/>
    <n v="1900"/>
    <x v="1"/>
    <m/>
    <n v="1900"/>
    <n v="0"/>
  </r>
  <r>
    <s v="UC105"/>
    <m/>
    <s v="CLI"/>
    <m/>
    <s v="KCAS BIO - ACTIVE BIOMARKERS"/>
    <s v="Amdt 1 MR_1014 - P00084_2023"/>
    <s v="P00084_2023"/>
    <s v="Amdt 1 Method of validation for the analyse of biomarkers in Phase 3 - UC105/106"/>
    <m/>
    <s v=" INV 20230402479 + INV 20230502510 + INV 20230602534 + INV 20230802593 + INV 20231102669"/>
    <s v="30/04/2023 + 30/05/2023 + 01/07/2023 (recu en 07/2023) + 31/08/2023 + 01/01/2024"/>
    <n v="10550"/>
    <x v="1"/>
    <n v="18579"/>
    <n v="0"/>
    <n v="18579"/>
  </r>
  <r>
    <s v="UC105"/>
    <m/>
    <s v="CLI"/>
    <s v="Julien"/>
    <s v="KCAS BIO - ACTIVE BIOMARKERS"/>
    <s v="D_98_220512_MR_1015-4 - P00045_2023 + P00451_2023 + P00262_2024 + P00264_2025 + P00608_2025"/>
    <s v="P00045_2023 + P00451_2023 + P00262_2024 + P00264_2025 + P00608_2025"/>
    <s v="Analysis for ABX464-105 and ABX464-106 PHASE 3 in ulcer"/>
    <m/>
    <s v="INV 20230202430 + INV 20230302451 + INV 20230602533 + INV 20230702570 + INV 20230902622 + INV 20231102670 + INV 20231002645 + INV 20231202705 + INV 20240102733 + INV 20240202765 + INV 20240302787 + INV 20240402813 + INV 20240602901 + INV 20240702902 + INV 20240802940 + INV 20240902967 + INV 20241002986 + INV 20241103025 + INV 2024123074 + INV 20250103123 + INV 20250203151 + INV 20240502839 + INV 20250303178+INV 20250303178 + INV 20250303210 + INV 2025053272 + INV 20250603277 + INV 20250703312 + INV 20250803346 + INV 20250903385 + INV 20251003422 + INV 20251103449"/>
    <s v="28/02/2023 + 31/03/2023 + 30/06/2023 (recu en 07/2023) + 31/07/2023 + 26/09/2023 + 01/01/2024 + 01/01/2024 + 01/01/2024 + 29/02/2024 + 29/02/2024 + 29/03/2024 + 30/04/2024 + 28/06/2024 + 31/07/2024 + 30/08/2024 + 30/09/2024 + 31/10/2024 + 30/11/2024 + 31/12/2024 +31/01/2025+28/02/2025+31/05/2024+31/03/2025+31/03/2025+29/04/2025+31/05/2025 + 30/06/2025 + 31/07/2025 + 29/08/2025 + 30/09/2025 + 31/10/2025 + 28/11/2025"/>
    <n v="1669486.5"/>
    <x v="1"/>
    <n v="1655354.2100000002"/>
    <n v="14132.289999999804"/>
    <n v="1655354.2100000002"/>
  </r>
  <r>
    <s v="UC105"/>
    <m/>
    <s v="CLI"/>
    <m/>
    <s v="KCAS BIO - ACTIVE BIOMARKERS"/>
    <s v="MR_1014 - P00220_2022"/>
    <s v="P00220_2022"/>
    <s v="Method of validation for the analyse of biomarkers in Phase 3 - UC105/106"/>
    <m/>
    <s v="INV 20220702199 + INV 20220902266 + INV 202221002308 + INV 20221102326"/>
    <s v="29/07/2022 + 29/09/2022 + 31/10/2022 + 29/11/2022"/>
    <n v="65715"/>
    <x v="1"/>
    <n v="65715"/>
    <n v="0"/>
    <n v="65715"/>
  </r>
  <r>
    <s v="UC105"/>
    <m/>
    <s v="CLI"/>
    <m/>
    <s v="KCAS BIO - ACTIVE BIOMARKERS"/>
    <s v="MR_1014 WO1 - P00411_2022"/>
    <s v="P00411_2022"/>
    <s v="Method of validation for the analyse of biomarkers in Phase 3 - UC105/106 - Suite des couts"/>
    <m/>
    <s v="INV 20221202373 + INV 20230202412 + INV 20230302450 + INV 20230402479"/>
    <s v="30/12/2022 + 28/02/2023 + 31/03/2023 + 31/04/2023"/>
    <n v="73987"/>
    <x v="1"/>
    <n v="73987"/>
    <n v="0"/>
    <n v="73987"/>
  </r>
  <r>
    <s v="UC105"/>
    <m/>
    <s v="CLI"/>
    <m/>
    <s v="KCAS BIO - ACTIVE BIOMARKERS"/>
    <s v="D_98_240228_MR_1158 - P00188_2024"/>
    <s v="P00188_2024"/>
    <s v="Evaluation and validation of S-PLEX method"/>
    <m/>
    <s v="INV 20240402814 + INV 20240502840 + INV 20240602872 + INV 20240702904 + INV 20241002988 - INV 20241203072 + INV 20250303179 + INV 20250303179 + INV 20250603278 + INV 20250903389"/>
    <s v="30/04/2024 + 31/05/2024 + 31/06/2024 + 31/07/2024 + 31/10/2024 + 26/12/2024 + 31/03/2025+31/03/2025 + 30/06/2025 + 30/09/2025"/>
    <n v="67916"/>
    <x v="1"/>
    <n v="73039.199999999997"/>
    <n v="0"/>
    <n v="73039.199999999997"/>
  </r>
  <r>
    <s v="RA301"/>
    <m/>
    <s v="LAB"/>
    <m/>
    <s v="KCAS BIO - ACTIVE BIOMARKERS"/>
    <s v="D/098/2509/MPE/0833 - P00783_2020"/>
    <s v="P00783_2020"/>
    <s v="Clinical testing of multiple inflamotory biomarkers RA301"/>
    <m/>
    <s v="INV 20210401813 + INV 20210501820 + INV 20210701870 + INV 20210801894"/>
    <s v="30/04/2021 + 31/05/2021 + 29/07/2021 + 31/08/2021"/>
    <n v="13289.666666666666"/>
    <x v="1"/>
    <n v="19715.93"/>
    <n v="0"/>
    <n v="19715.93"/>
  </r>
  <r>
    <s v="RA301"/>
    <m/>
    <s v="LAB"/>
    <m/>
    <s v="KCAS BIO - ACTIVE BIOMARKERS"/>
    <s v="D/098/2509/MPE/0833 - P00783_2020"/>
    <s v="P00783_2020"/>
    <s v="Qualification &amp; testing of multiple inflamotory biomarkers RA301"/>
    <d v="2021-03-01T00:00:00"/>
    <s v="INV 21210101756"/>
    <d v="2021-01-27T00:00:00"/>
    <n v="7246.666666666667"/>
    <x v="1"/>
    <n v="4946.66"/>
    <n v="2300.0066666666671"/>
    <n v="4946.66"/>
  </r>
  <r>
    <s v="UC103"/>
    <m/>
    <s v="CLI"/>
    <m/>
    <s v="KCAS BIO - ACTIVE BIOMARKERS"/>
    <s v="Devis D/098/140421/MPA/0892 - P00116_2021"/>
    <s v="P00116_2021"/>
    <s v="Cytokines assessments in serum - set up fees"/>
    <m/>
    <s v="INV 20210401817"/>
    <d v="2021-04-30T00:00:00"/>
    <n v="109000"/>
    <x v="1"/>
    <s v="OK"/>
    <n v="0"/>
    <n v="109000"/>
  </r>
  <r>
    <s v="UC103"/>
    <m/>
    <s v="CLI"/>
    <m/>
    <s v="KCAS BIO - ACTIVE BIOMARKERS"/>
    <s v="Devis D/098/140421/MPA/0892 - P00116_2021"/>
    <s v="P00116_2021"/>
    <s v="Cytokines assessments in serum - monthy invoices"/>
    <m/>
    <s v="INV 20210701871 + INV 20210901913 + INV 20211001955"/>
    <s v="29/07/2021 + 27/09/2021 + 29/10/2021"/>
    <n v="88381"/>
    <x v="1"/>
    <n v="67794"/>
    <n v="20587"/>
    <n v="67794"/>
  </r>
  <r>
    <s v="OC910"/>
    <m/>
    <s v="CLI"/>
    <m/>
    <s v="INOKURA - ADVANCE TECHNOLOGY CORP (ATC)"/>
    <s v="SRV_23057"/>
    <m/>
    <s v="Upon execution of Agreement 50%"/>
    <m/>
    <s v="UPC-2023-022"/>
    <d v="2023-08-07T00:00:00"/>
    <n v="25395"/>
    <x v="1"/>
    <n v="25395"/>
    <n v="0"/>
    <n v="25395"/>
  </r>
  <r>
    <s v="OC910"/>
    <m/>
    <s v="CLI"/>
    <m/>
    <s v="INOKURA - ADVANCE TECHNOLOGY CORP (ATC)"/>
    <s v="SRV_23057"/>
    <m/>
    <s v="upon submission to CA and EC"/>
    <m/>
    <s v="UPC-2023-022"/>
    <d v="2023-08-07T00:00:00"/>
    <n v="25395"/>
    <x v="1"/>
    <n v="25395"/>
    <n v="0"/>
    <n v="25395"/>
  </r>
  <r>
    <s v="OC910"/>
    <m/>
    <s v="CLI"/>
    <m/>
    <s v="INOKURA - ADVANCE TECHNOLOGY CORP (ATC)"/>
    <s v="SRV_23057"/>
    <m/>
    <s v="Upon 1st volunteer included"/>
    <m/>
    <s v="UPC-2023-045"/>
    <d v="2023-11-16T00:00:00"/>
    <n v="133648.5"/>
    <x v="1"/>
    <n v="133648.5"/>
    <n v="0"/>
    <n v="133648.5"/>
  </r>
  <r>
    <s v="OC910"/>
    <m/>
    <s v="CLI"/>
    <m/>
    <s v="INOKURA - ADVANCE TECHNOLOGY CORP (ATC)"/>
    <s v="SRV_23057"/>
    <m/>
    <s v="Upon 10th volunteer included"/>
    <m/>
    <s v="UPC-2023-045"/>
    <d v="2023-11-16T00:00:00"/>
    <n v="133648.5"/>
    <x v="1"/>
    <n v="133648.5"/>
    <n v="0"/>
    <n v="133648.5"/>
  </r>
  <r>
    <s v="OC910"/>
    <m/>
    <s v="CLI"/>
    <m/>
    <s v="INOKURA - ADVANCE TECHNOLOGY CORP (ATC)"/>
    <s v="SRV_23057"/>
    <m/>
    <s v="Upon 19th volunteer included"/>
    <m/>
    <s v="UPC-2023-051"/>
    <d v="2024-01-01T00:00:00"/>
    <n v="133648.5"/>
    <x v="1"/>
    <n v="133648.5"/>
    <n v="0"/>
    <n v="133648.5"/>
  </r>
  <r>
    <s v="OC910"/>
    <m/>
    <s v="CLI"/>
    <m/>
    <s v="INOKURA - ADVANCE TECHNOLOGY CORP (ATC)"/>
    <s v="SRV_23057"/>
    <m/>
    <s v="Upon 28th volunteer included"/>
    <m/>
    <s v="INV UPC-2024-016"/>
    <d v="2024-03-22T00:00:00"/>
    <n v="133648.5"/>
    <x v="1"/>
    <n v="133648.5"/>
    <n v="0"/>
    <n v="133648.5"/>
  </r>
  <r>
    <s v="OC910"/>
    <m/>
    <s v="CLI"/>
    <m/>
    <s v="INOKURA - ADVANCE TECHNOLOGY CORP (ATC)"/>
    <s v="SRV_23057"/>
    <m/>
    <s v="Upon acceptance of the Resultas final report"/>
    <m/>
    <s v="INV UPC-2025-028"/>
    <d v="2025-08-12T00:00:00"/>
    <n v="15000"/>
    <x v="1"/>
    <n v="15000"/>
    <n v="0"/>
    <n v="15000"/>
  </r>
  <r>
    <s v="CD202"/>
    <m/>
    <s v="CMC"/>
    <s v="Marianne P"/>
    <s v="ALMAC Sciences"/>
    <s v="66249 V3 - P00470_2023 + 0326C1336C - P00615_2025"/>
    <s v="P00470_2023 + P00615_2025"/>
    <s v="Packaging, Labelling &amp; Distribution Study CD202"/>
    <m/>
    <s v="INV 30194289 + INV 30196447 + INV 30204897 + INV 30205318 + (INV 30198022 + INV 30200832 + INV 30203066) + INV 30208083 + INV 30209279 + INV  30212405 + INV 30213064 + INV 30216281 + INV 30217187+ INV 30221352 + INV 3022018 + INV 30224282 + INV 30227744 + INV 30228347 + INV 30231575 + INV 30233428 + INV 30234557 + INV 30235963 + INV 30239027 + INV 30240319"/>
    <s v="01/01/2024 + 31/01/2024 + 31/05/2024 + 30/06/2024 + (28/02/2024 + 31/03/2024 + 30/04/2024) + 31/07/2024 +31/08/2024 + 30/09/2024 + 31/10/2024 + 30/09/2024 + 31/12/2024+28/02/2025 + 31/03/2025 + 30/04/2025 + 31/05/2025+30/06/2025+31/07/2025+31/08/2025 + 30/09/2025 + 31/10/2025+30/11/2025 + 31/12/2025"/>
    <n v="742699.55"/>
    <x v="2"/>
    <n v="621359.77"/>
    <n v="121339.78000000003"/>
    <n v="621359.77"/>
  </r>
  <r>
    <s v="UC107"/>
    <m/>
    <s v="CMC"/>
    <s v="Marianne P"/>
    <s v="ALMAC"/>
    <s v="68397_v4 - P00362_2024"/>
    <s v="P00362_2024"/>
    <s v="UC107 - Distribution"/>
    <m/>
    <s v="INV 30207821 + INV 30209972 + INV 30211213 + INV 30216531 + INV 30217515 + INV 30219137 + INV 30221799 + INV 30222330 + INV 30225671 + INV 30227778+INV 30229312+ INV 30231265 + INV 30232961 + INV 30235302 + INV 30235602 + INV 30238988 + INV 30239709"/>
    <s v="31/07/2024+30/09/2024+30/10/2024+30/11/2024+31/12/2024+31/01/2025+28/02/2025+31/03/2025+30/04/2205+31/05/2025+30/06/2025+31/07/2025+ 31/08/2025+30/09/2025 + 31/10/2025 + 30/11/2025 + 31/12/2025"/>
    <n v="7009308.1600000001"/>
    <x v="1"/>
    <n v="1306708.8"/>
    <n v="5702599.3600000003"/>
    <n v="1306708.8"/>
  </r>
  <r>
    <s v="ABX464"/>
    <m/>
    <s v="CMC"/>
    <s v="Marianne P"/>
    <s v="ALMAC"/>
    <s v="3124A0003Cv1 - P00130_2024"/>
    <s v="P00130_2024"/>
    <s v="Validation of ABX464 Assay Method"/>
    <m/>
    <s v="INV PJI-SC01-102684"/>
    <s v="29/04/2024 (recu 05/2024)"/>
    <n v="18290"/>
    <x v="1"/>
    <n v="17690"/>
    <n v="600"/>
    <n v="17690"/>
  </r>
  <r>
    <s v="ABX464"/>
    <m/>
    <s v="CMC"/>
    <s v="Marianne P"/>
    <s v="ALMAC Sciences"/>
    <s v="3124A0004Cv1 - CO au 3124A0003Cv1 - P00185_2024"/>
    <s v="P00185_2024"/>
    <s v="Validation of ABX464 Assay Method"/>
    <m/>
    <s v="INV PJI-SC01-103202"/>
    <d v="2024-07-30T00:00:00"/>
    <n v="13760"/>
    <x v="1"/>
    <n v="13760"/>
    <n v="0"/>
    <n v="13760"/>
  </r>
  <r>
    <s v="ABX464"/>
    <m/>
    <s v="MED"/>
    <m/>
    <s v="ALPHABIOCOM"/>
    <s v="SRV_20034 - SOW ABX464"/>
    <m/>
    <s v="Manuscript : Initiation"/>
    <m/>
    <s v="INV 17780"/>
    <d v="2020-05-31T00:00:00"/>
    <n v="11000"/>
    <x v="3"/>
    <s v="OK"/>
    <n v="0"/>
    <n v="11000"/>
  </r>
  <r>
    <s v="ABX464"/>
    <m/>
    <s v="MED"/>
    <m/>
    <s v="ALPHABIOCOM"/>
    <s v="SRV_20034 - SOW ABX464"/>
    <m/>
    <s v="Manuscript : Frist Draft"/>
    <m/>
    <s v="INV 17832"/>
    <d v="2020-06-22T00:00:00"/>
    <n v="10750"/>
    <x v="3"/>
    <s v="OK"/>
    <n v="0"/>
    <n v="10750"/>
  </r>
  <r>
    <s v="ABX464"/>
    <m/>
    <s v="MED"/>
    <m/>
    <s v="ALPHABIOCOM"/>
    <s v="SRV_20034 - SOW ABX464"/>
    <m/>
    <s v="Manuscript : Submission"/>
    <m/>
    <s v="INV 18158"/>
    <d v="2020-10-20T00:00:00"/>
    <n v="10750"/>
    <x v="3"/>
    <s v="OK"/>
    <n v="0"/>
    <n v="10750"/>
  </r>
  <r>
    <s v="ABX464"/>
    <m/>
    <s v="MED"/>
    <m/>
    <s v="ALPHABIOCOM"/>
    <s v="SRV_20034 - SOW ABX464"/>
    <m/>
    <s v="Postsubmission"/>
    <d v="2020-09-01T00:00:00"/>
    <m/>
    <m/>
    <n v="7250"/>
    <x v="3"/>
    <m/>
    <n v="7250"/>
    <n v="0"/>
  </r>
  <r>
    <s v="ABX464"/>
    <m/>
    <s v="MED"/>
    <m/>
    <s v="ALPHABIOCOM"/>
    <s v="SRV_20034 - SOW ABX464"/>
    <m/>
    <s v="Reformat"/>
    <d v="2020-09-01T00:00:00"/>
    <m/>
    <m/>
    <n v="2500"/>
    <x v="3"/>
    <m/>
    <n v="2500"/>
    <n v="0"/>
  </r>
  <r>
    <s v="ABX464"/>
    <m/>
    <s v="MED"/>
    <m/>
    <s v="ALPHABIOCOM"/>
    <s v="SRV_20034 - SOW ABX464"/>
    <m/>
    <s v="Publication Extender : Audio Interveiw"/>
    <d v="2020-10-01T00:00:00"/>
    <m/>
    <m/>
    <n v="0"/>
    <x v="3"/>
    <m/>
    <n v="0"/>
    <n v="0"/>
  </r>
  <r>
    <s v="ABX464"/>
    <m/>
    <s v="MED"/>
    <m/>
    <s v="ALPHABIOCOM"/>
    <s v="SRV_20034 - SOW ABX464"/>
    <m/>
    <s v="Publication Extender : Visual Abstract"/>
    <d v="2020-10-01T00:00:00"/>
    <m/>
    <m/>
    <n v="0"/>
    <x v="3"/>
    <m/>
    <n v="0"/>
    <n v="0"/>
  </r>
  <r>
    <s v="ABX464"/>
    <m/>
    <s v="MED"/>
    <m/>
    <s v="ALPHABIOCOM"/>
    <s v="SRV_20034 - SOW ABX464"/>
    <m/>
    <s v="Publication Extender : Video Abstract"/>
    <d v="2020-10-01T00:00:00"/>
    <m/>
    <m/>
    <n v="0"/>
    <x v="3"/>
    <m/>
    <n v="0"/>
    <n v="0"/>
  </r>
  <r>
    <s v="ABX464"/>
    <m/>
    <s v="MED"/>
    <m/>
    <s v="ALPHABIOCOM"/>
    <s v="SRV_20034 - SOW ABX464"/>
    <m/>
    <s v="PTC - Expenses"/>
    <m/>
    <m/>
    <m/>
    <n v="0"/>
    <x v="3"/>
    <m/>
    <n v="0"/>
    <n v="0"/>
  </r>
  <r>
    <s v="ABX196"/>
    <m/>
    <s v="MED"/>
    <m/>
    <s v="ALPHABIOCOM"/>
    <s v="SRV_20113 - SOW ABX196"/>
    <m/>
    <s v="Initiatation"/>
    <m/>
    <s v="INV 18097"/>
    <d v="2020-09-29T00:00:00"/>
    <n v="3000"/>
    <x v="3"/>
    <s v="OK"/>
    <n v="0"/>
    <n v="3000"/>
  </r>
  <r>
    <s v="ABX196"/>
    <m/>
    <s v="MED"/>
    <m/>
    <s v="ALPHABIOCOM"/>
    <s v="SRV_20113 - SOW ABX196"/>
    <m/>
    <s v="Submission to journal"/>
    <d v="2020-11-01T00:00:00"/>
    <m/>
    <m/>
    <n v="3000"/>
    <x v="3"/>
    <m/>
    <n v="3000"/>
    <n v="0"/>
  </r>
  <r>
    <s v="ABX464"/>
    <m/>
    <s v="CMC"/>
    <m/>
    <s v="ARCINOVA - QUOTIENT"/>
    <s v="M 20 2677-C - P00816_2020"/>
    <s v="P00816_2020"/>
    <s v="Synthesis of GMP grade radiolabelled ABX464 - On distribution of the GMP to the clinical facility"/>
    <d v="2021-12-31T00:00:00"/>
    <s v="INV 5466"/>
    <d v="2021-10-07T00:00:00"/>
    <n v="2992"/>
    <x v="2"/>
    <n v="1959.84"/>
    <n v="1032.1600000000001"/>
    <n v="1959.84"/>
  </r>
  <r>
    <s v="ABX464"/>
    <m/>
    <s v="CMC"/>
    <m/>
    <s v="ARCINOVA - QUOTIENT"/>
    <s v="M 20 2677-C - P00816_2020"/>
    <s v="P00816_2020"/>
    <s v="Synthesis of GMP grade radiolabelled ABX464 - Optional activities - Preparation of dossier drug substance for IND or IMPD - 35%"/>
    <m/>
    <s v="INV 4339"/>
    <d v="2020-11-10T00:00:00"/>
    <n v="5588.0999999999995"/>
    <x v="2"/>
    <s v="OK"/>
    <n v="0"/>
    <n v="5588.0999999999995"/>
  </r>
  <r>
    <s v="ABX464"/>
    <m/>
    <s v="CMC"/>
    <m/>
    <s v="ARCINOVA - QUOTIENT"/>
    <s v="M 20 2677-C - P00816_2020"/>
    <s v="P00816_2020"/>
    <s v="Synthesis of GMP grade radiolabelled ABX464 - Optional activities - Preparation of dossier drug substance for IND or IMPD - 65% - 10377,9 €"/>
    <m/>
    <m/>
    <m/>
    <n v="0"/>
    <x v="2"/>
    <m/>
    <n v="0"/>
    <n v="0"/>
  </r>
  <r>
    <s v="ABX464"/>
    <m/>
    <s v="CMC"/>
    <m/>
    <s v="ARCINOVA - QUOTIENT"/>
    <s v="M 20 2677-C - P00816_2020"/>
    <s v="P00816_2020"/>
    <s v="Synthesis of GMP grade radiolabelled ABX464 - Optional activities - Preparation of dossier drug product for IND or IMPD - 35%"/>
    <m/>
    <s v="INV 4339"/>
    <d v="2020-11-10T00:00:00"/>
    <n v="5334"/>
    <x v="2"/>
    <s v="OK"/>
    <n v="0"/>
    <n v="5334"/>
  </r>
  <r>
    <s v="ABX464"/>
    <m/>
    <s v="CMC"/>
    <m/>
    <s v="ARCINOVA - QUOTIENT"/>
    <s v="M 20 2677-C - P00816_2020"/>
    <s v="P00816_2020"/>
    <s v="Synthesis of GMP grade radiolabelled ABX464 - Optional activities - Preparation of dossier drug product for IND or IMPD - 65% - 9 906 €"/>
    <m/>
    <m/>
    <m/>
    <n v="0"/>
    <x v="2"/>
    <m/>
    <n v="0"/>
    <n v="0"/>
  </r>
  <r>
    <s v="ABX464"/>
    <m/>
    <s v="CMC"/>
    <m/>
    <s v="ARTMOLECULE"/>
    <s v="P2311232 - P00440_2023"/>
    <s v="P00440_2023"/>
    <s v="Synthèse de métabolite de ABX464"/>
    <m/>
    <s v="INV 032321 + INV 032324 + INV 032332"/>
    <s v="01/01/2024 + 10/01/2024 + 27/02/2024"/>
    <n v="36485"/>
    <x v="1"/>
    <n v="36400"/>
    <n v="0"/>
    <n v="36400"/>
  </r>
  <r>
    <s v="ABX464"/>
    <m/>
    <s v="CMC"/>
    <m/>
    <s v="ARTMOLECULE"/>
    <s v="P2403011 - P00142_2024"/>
    <s v="P00142_2024"/>
    <s v="Synthèse de métabolite de ABX464"/>
    <m/>
    <s v="INV 032335 + INV 032338"/>
    <s v="14/03/2024 + 11/03/2024"/>
    <n v="16800"/>
    <x v="1"/>
    <n v="16800"/>
    <n v="0"/>
    <n v="16800"/>
  </r>
  <r>
    <s v="ABX464"/>
    <m/>
    <s v="CMC"/>
    <s v="Saadia"/>
    <s v="ARTMOLECULE"/>
    <s v="P2404112 - P00217_2024"/>
    <s v="P00217_2024"/>
    <s v="Shipment to USA"/>
    <m/>
    <s v="INV 032342"/>
    <d v="2024-04-17T00:00:00"/>
    <n v="2759.1"/>
    <x v="1"/>
    <n v="2759.1"/>
    <n v="0"/>
    <n v="2759.1"/>
  </r>
  <r>
    <s v="ABX464"/>
    <m/>
    <s v="CMC"/>
    <s v="Saadia"/>
    <s v="ARTMOLECULE"/>
    <s v="P2404111 - P00216_2024"/>
    <s v="P00216_2024"/>
    <s v="Shipment to Netherlands"/>
    <m/>
    <s v="INV 032341"/>
    <d v="2024-04-17T00:00:00"/>
    <n v="2005.4"/>
    <x v="1"/>
    <n v="2005.4"/>
    <n v="0"/>
    <n v="2005.4"/>
  </r>
  <r>
    <s v="ABX464"/>
    <m/>
    <s v="CMC"/>
    <s v="Saadia"/>
    <s v="ARTMOLECULE"/>
    <s v="P2404091 - P00198_2024"/>
    <s v="P00198_2024"/>
    <s v="refacturation Worldcourier"/>
    <m/>
    <s v="INV 032339"/>
    <d v="2024-04-11T00:00:00"/>
    <n v="2082.1999999999998"/>
    <x v="1"/>
    <n v="2082.1999999999998"/>
    <n v="0"/>
    <n v="2082.1999999999998"/>
  </r>
  <r>
    <s v="OC910"/>
    <m/>
    <s v="CLI"/>
    <m/>
    <s v="ATLANSTAT"/>
    <s v="SRV_23063"/>
    <m/>
    <s v="LOI ABX464-910 - From protocol initiation to protocol sub"/>
    <m/>
    <s v="INV F-230511007"/>
    <d v="2023-05-31T00:00:00"/>
    <n v="47000"/>
    <x v="1"/>
    <n v="47000"/>
    <n v="0"/>
    <n v="47000"/>
  </r>
  <r>
    <s v="OC910"/>
    <m/>
    <s v="CLI"/>
    <m/>
    <s v="ATLANSTAT"/>
    <s v="SRV_23063"/>
    <m/>
    <s v="At e-CRF go live"/>
    <m/>
    <s v="INV F-23091215"/>
    <d v="2023-09-29T00:00:00"/>
    <n v="44000"/>
    <x v="1"/>
    <n v="44000"/>
    <n v="0"/>
    <n v="44000"/>
  </r>
  <r>
    <s v="OC910"/>
    <m/>
    <s v="CLI"/>
    <m/>
    <s v="ATLANSTAT"/>
    <s v="SRV_23063"/>
    <m/>
    <s v="At study completion of the 12th subject"/>
    <m/>
    <s v="INV F-24031345"/>
    <d v="2024-03-29T00:00:00"/>
    <n v="44000"/>
    <x v="1"/>
    <n v="44000"/>
    <n v="0"/>
    <n v="44000"/>
  </r>
  <r>
    <s v="OC910"/>
    <m/>
    <s v="CLI"/>
    <m/>
    <s v="ATLANSTAT"/>
    <s v="SRV_23063"/>
    <m/>
    <s v="At study completion of the 24th subject"/>
    <m/>
    <s v="INV F-24051398"/>
    <d v="2024-05-28T00:00:00"/>
    <n v="44000"/>
    <x v="1"/>
    <n v="44000"/>
    <n v="0"/>
    <n v="44000"/>
  </r>
  <r>
    <s v="OC910"/>
    <m/>
    <s v="CLI"/>
    <s v="Josainne"/>
    <s v="ATLANSTAT"/>
    <s v="SRV_23063_A2 - ATL-2023-125"/>
    <m/>
    <s v="At study completion of the 36th subject"/>
    <m/>
    <s v="INV F-24081460"/>
    <d v="2024-08-31T00:00:00"/>
    <n v="65000"/>
    <x v="1"/>
    <n v="65000"/>
    <n v="0"/>
    <n v="65000"/>
  </r>
  <r>
    <s v="OC910"/>
    <m/>
    <s v="CLI"/>
    <s v="Josainne"/>
    <s v="ATLANSTAT"/>
    <s v="SRV_23063_A2 - ATL-2023-125"/>
    <m/>
    <s v="At database lock"/>
    <m/>
    <s v="INV F-24101507"/>
    <d v="2024-10-31T00:00:00"/>
    <n v="65000"/>
    <x v="1"/>
    <n v="65000"/>
    <n v="0"/>
    <n v="65000"/>
  </r>
  <r>
    <s v="OC910"/>
    <m/>
    <s v="CLI"/>
    <s v="Josainne"/>
    <s v="ATLANSTAT"/>
    <s v="SRV_23063_A2 - ATL-2023-125"/>
    <m/>
    <s v="After sending statistical exhaustive results"/>
    <m/>
    <s v="INV F-24121534"/>
    <d v="2024-12-10T00:00:00"/>
    <n v="12500"/>
    <x v="1"/>
    <n v="12500"/>
    <n v="0"/>
    <n v="12500"/>
  </r>
  <r>
    <s v="OC910"/>
    <m/>
    <s v="CLI"/>
    <s v="Josainne"/>
    <s v="ATLANSTAT"/>
    <s v="SRV_23063_A2 - ATL-2023-125"/>
    <m/>
    <s v="After sending TMF to the sponsor"/>
    <d v="2025-01-31T00:00:00"/>
    <m/>
    <m/>
    <n v="12131.5"/>
    <x v="1"/>
    <m/>
    <n v="12131.5"/>
    <n v="0"/>
  </r>
  <r>
    <s v="TP906"/>
    <m/>
    <s v="CLI"/>
    <m/>
    <s v="ATLANSTAT"/>
    <s v="SRV_23118 - P00306_2023"/>
    <s v="P00306_2023"/>
    <s v="Data management, biostatistics - contract signature"/>
    <m/>
    <s v="INV F-23091181"/>
    <d v="2023-09-18T00:00:00"/>
    <n v="39856.550000000003"/>
    <x v="1"/>
    <n v="39856.550000000003"/>
    <n v="0"/>
    <n v="39856.550000000003"/>
  </r>
  <r>
    <s v="TP906"/>
    <m/>
    <s v="CLI"/>
    <m/>
    <s v="ATLANSTAT"/>
    <s v="SRV_23118 - P00306_2023 + A1"/>
    <s v="P00306_2023"/>
    <s v="Data management, biostatistics - e-CRF go live"/>
    <m/>
    <s v="INV F-24031346"/>
    <d v="2024-03-29T00:00:00"/>
    <n v="59784.82"/>
    <x v="1"/>
    <n v="59784.83"/>
    <n v="0"/>
    <n v="59784.83"/>
  </r>
  <r>
    <s v="TP906"/>
    <m/>
    <s v="CLI"/>
    <m/>
    <s v="ATLANSTAT"/>
    <s v="SRV_23118 - P00306_2023 + A1 + A2"/>
    <s v="P00306_2023"/>
    <s v="Data management, biostatistics - At signature Amdt 2"/>
    <m/>
    <s v="INV F-24091496"/>
    <d v="2024-09-30T00:00:00"/>
    <n v="44000"/>
    <x v="1"/>
    <n v="44000"/>
    <n v="0"/>
    <n v="44000"/>
  </r>
  <r>
    <s v="TP906"/>
    <m/>
    <s v="CLI"/>
    <m/>
    <s v="ATLANSTAT"/>
    <s v="SRV_23118 - P00306_2023 + A1 + A2"/>
    <s v="P00306_2023"/>
    <s v="Data management, biostatistics - After interim dry-run SDTM domains"/>
    <m/>
    <s v="INV F-24091496"/>
    <d v="2024-09-30T00:00:00"/>
    <n v="66000"/>
    <x v="1"/>
    <n v="66000"/>
    <n v="0"/>
    <n v="66000"/>
  </r>
  <r>
    <s v="TP906"/>
    <m/>
    <s v="CLI"/>
    <m/>
    <s v="ATLANSTAT"/>
    <s v="SRV_23118 - P00306_2023 + A1 + A2"/>
    <s v="P00306_2023"/>
    <s v="Data management, biostatistics - database lock part A&amp;B"/>
    <m/>
    <s v="INV F-25031601"/>
    <d v="2025-03-31T00:00:00"/>
    <n v="30000"/>
    <x v="1"/>
    <n v="30000"/>
    <n v="0"/>
    <n v="30000"/>
  </r>
  <r>
    <s v="TP906"/>
    <m/>
    <s v="CLI"/>
    <m/>
    <s v="ATLANSTAT"/>
    <s v="SRV_23118 - P00306_2023 + A1 + A2"/>
    <s v="P00306_2023 (P00116_2024)"/>
    <s v="Data management, biostatistics - sending safety stat &amp; ADaM package"/>
    <m/>
    <s v="INV F-25051656"/>
    <d v="2025-05-31T00:00:00"/>
    <n v="5944.37"/>
    <x v="1"/>
    <n v="5944.37"/>
    <n v="0"/>
    <n v="5944.37"/>
  </r>
  <r>
    <s v="OC910"/>
    <m/>
    <s v="CLI"/>
    <s v="Josainne"/>
    <s v="ATLANSTAT"/>
    <s v="SRV_23063_A1 - ATL-2023-125"/>
    <m/>
    <s v="At contact amendment signature"/>
    <m/>
    <s v="INV F24-011299"/>
    <d v="2024-01-31T00:00:00"/>
    <n v="10160"/>
    <x v="1"/>
    <n v="10160"/>
    <n v="0"/>
    <n v="10160"/>
  </r>
  <r>
    <s v="OC910"/>
    <m/>
    <s v="CLI"/>
    <s v="Josainne"/>
    <s v="ATLANSTAT"/>
    <s v="SRV_23063_A2 - ATL-2023-125"/>
    <m/>
    <s v="At contact amendment signature"/>
    <m/>
    <s v="INV F-24061415"/>
    <d v="2024-06-28T00:00:00"/>
    <n v="44000"/>
    <x v="1"/>
    <n v="44000"/>
    <n v="0"/>
    <n v="44000"/>
  </r>
  <r>
    <s v="OC910"/>
    <m/>
    <s v="CLI"/>
    <s v="Josainne"/>
    <s v="ATLANSTAT"/>
    <s v="SRV_23063_A1 - ATL-2023-125"/>
    <m/>
    <s v="At study completion of the 12th subject"/>
    <m/>
    <s v="INV F-24031345"/>
    <d v="2024-03-29T00:00:00"/>
    <n v="10160"/>
    <x v="1"/>
    <n v="10160"/>
    <n v="0"/>
    <n v="10160"/>
  </r>
  <r>
    <s v="OC910"/>
    <m/>
    <s v="CLI"/>
    <s v="Josainne"/>
    <s v="ATLANSTAT"/>
    <s v="SRV_23063_A1 - ATL-2023-125"/>
    <m/>
    <s v="At study completion of the 24th subject"/>
    <m/>
    <s v="INV F-24051398"/>
    <d v="2024-05-28T00:00:00"/>
    <n v="10160"/>
    <x v="1"/>
    <n v="10160"/>
    <n v="0"/>
    <n v="10160"/>
  </r>
  <r>
    <s v="TP906"/>
    <m/>
    <s v="CLI"/>
    <m/>
    <s v="ATLANSTAT"/>
    <s v="SRV_23118_A1 - P00116_2024"/>
    <s v="P00116_2024"/>
    <s v="Data management, biostatistics - At Amdt signature"/>
    <m/>
    <s v="INV F-24021324"/>
    <d v="2024-02-29T00:00:00"/>
    <n v="5963"/>
    <x v="1"/>
    <n v="5963"/>
    <n v="0"/>
    <n v="5963"/>
  </r>
  <r>
    <s v="TP906"/>
    <m/>
    <s v="CLI"/>
    <m/>
    <s v="ATLANSTAT"/>
    <s v="SRV_23118_A1 - P00116_2024"/>
    <s v="P00116_2024"/>
    <s v="Data management, biostatistics - At databaselock parts A&amp;B"/>
    <m/>
    <m/>
    <m/>
    <n v="0"/>
    <x v="1"/>
    <m/>
    <n v="0"/>
    <n v="0"/>
  </r>
  <r>
    <s v="TP906"/>
    <m/>
    <s v="CLI"/>
    <m/>
    <s v="ATLANSTAT"/>
    <s v="SRV_23118_A1 - P00116_2024"/>
    <s v="P00116_2024"/>
    <s v="Data management, biostatistics - After sending safety stat &amp; ADaM Package"/>
    <m/>
    <m/>
    <m/>
    <n v="0"/>
    <x v="1"/>
    <m/>
    <n v="0"/>
    <n v="0"/>
  </r>
  <r>
    <s v="ABX464"/>
    <m/>
    <s v="QA"/>
    <m/>
    <s v="BIOBOSTON CONSULTING"/>
    <s v="SOW#1 - P00167_2024"/>
    <s v="P00167_2024"/>
    <s v="Consuling for CMC ABX464"/>
    <m/>
    <m/>
    <m/>
    <n v="7700"/>
    <x v="3"/>
    <m/>
    <n v="7700"/>
    <n v="0"/>
  </r>
  <r>
    <s v="ABX464"/>
    <m/>
    <s v="CMC"/>
    <m/>
    <s v="BIOBOSTON CONSULTING"/>
    <s v="SOW#1 - P00183_2024"/>
    <s v="P00183_2024"/>
    <s v="FDA Expert Consultation"/>
    <m/>
    <m/>
    <m/>
    <n v="1540"/>
    <x v="3"/>
    <m/>
    <n v="1540"/>
    <n v="0"/>
  </r>
  <r>
    <s v="UC102"/>
    <m/>
    <s v="CLI"/>
    <m/>
    <s v="BIOCLINICA"/>
    <s v="ABX464-102 Code projet 10008132"/>
    <m/>
    <s v="Study preparation, Site SetUp &amp; Standardization - (1.1) Study Set-up"/>
    <m/>
    <s v="INV BCI-0033503"/>
    <d v="2020-01-31T00:00:00"/>
    <n v="5196.333333333333"/>
    <x v="1"/>
    <s v="OK"/>
    <n v="0"/>
    <n v="5196.333333333333"/>
  </r>
  <r>
    <s v="UC102"/>
    <m/>
    <s v="CLI"/>
    <m/>
    <s v="BIOCLINICA"/>
    <s v="ABX464-102 Code projet 10008132"/>
    <m/>
    <s v="Study preparation, Site SetUp &amp; Standardization - (1.2) Study Set-up Documentation"/>
    <m/>
    <s v="INC BCI-0034310"/>
    <d v="2020-02-29T00:00:00"/>
    <n v="1690.3333333333333"/>
    <x v="1"/>
    <s v="OK"/>
    <n v="0"/>
    <n v="1690.3333333333333"/>
  </r>
  <r>
    <s v="UC102"/>
    <m/>
    <s v="CLI"/>
    <m/>
    <s v="BIOCLINICA"/>
    <s v="ABX464-102 Code projet 10008132"/>
    <m/>
    <s v="Study preparation, Site SetUp &amp; Standardization - (1.4) Study Set-up Site Qualification &amp; Equipment Assessment"/>
    <d v="2020-06-01T00:00:00"/>
    <m/>
    <m/>
    <n v="578.66666666666663"/>
    <x v="1"/>
    <m/>
    <n v="0"/>
    <n v="0"/>
  </r>
  <r>
    <s v="UC102"/>
    <m/>
    <s v="CLI"/>
    <m/>
    <s v="BIOCLINICA"/>
    <s v="ABX464-102 Code projet 10008132"/>
    <m/>
    <s v="Study preparation, Site SetUp &amp; Standardization - (1.5) Study Set-up Scientific &amp; Reg Services"/>
    <m/>
    <s v="INV BCI-0033503 + INV BCI-0034310 + INV BCI-0035089"/>
    <s v="31/01/2020 + 29/02/2020 + 31/03/2020"/>
    <n v="5409"/>
    <x v="1"/>
    <n v="5409"/>
    <n v="0"/>
    <n v="5409"/>
  </r>
  <r>
    <s v="UC102"/>
    <m/>
    <s v="CLI"/>
    <m/>
    <s v="BIOCLINICA"/>
    <s v="ABX464-102 Code projet 10008132"/>
    <m/>
    <s v="Study preparation, Site SetUp &amp; Standardization - (1.1) Study Set-up"/>
    <m/>
    <s v="INV BCI-0033503"/>
    <d v="2020-01-31T00:00:00"/>
    <n v="5196.333333333333"/>
    <x v="1"/>
    <s v="OK"/>
    <n v="0"/>
    <n v="5196.333333333333"/>
  </r>
  <r>
    <s v="UC102"/>
    <m/>
    <s v="CLI"/>
    <m/>
    <s v="BIOCLINICA"/>
    <s v="ABX464-102 Code projet 10008132"/>
    <m/>
    <s v="Study preparation, Site SetUp &amp; Standardization - (1.2) Study Set-up Documentation"/>
    <m/>
    <s v="INC BCI-0034310"/>
    <d v="2020-02-29T00:00:00"/>
    <n v="1690.3333333333333"/>
    <x v="1"/>
    <s v="OK"/>
    <n v="0"/>
    <n v="1690.3333333333333"/>
  </r>
  <r>
    <s v="UC102"/>
    <m/>
    <s v="CLI"/>
    <m/>
    <s v="BIOCLINICA"/>
    <s v="ABX464-102 Code projet 10008132"/>
    <m/>
    <s v="Study preparation, Site SetUp &amp; Standardization - (1.4) Study Set-up Site Qualification &amp; Equipment Assessment"/>
    <d v="2020-06-01T00:00:00"/>
    <s v="INV BCI-0035980 + INV BCI-0036764"/>
    <s v="30/04/2020 + 31/05/2020"/>
    <n v="578.66666666666663"/>
    <x v="1"/>
    <n v="548"/>
    <n v="0"/>
    <n v="548"/>
  </r>
  <r>
    <s v="UC102"/>
    <m/>
    <s v="CLI"/>
    <m/>
    <s v="BIOCLINICA"/>
    <s v="ABX464-102 Code projet 10008132"/>
    <m/>
    <s v="Study preparation, Site SetUp &amp; Standardization - (1.5) Study Set-up Scientific &amp; Reg Services"/>
    <m/>
    <s v="INV BCI-0035089"/>
    <d v="2020-03-31T00:00:00"/>
    <n v="5409"/>
    <x v="1"/>
    <n v="5409"/>
    <n v="0"/>
    <n v="5409"/>
  </r>
  <r>
    <s v="UC102"/>
    <m/>
    <s v="CLI"/>
    <m/>
    <s v="BIOCLINICA"/>
    <s v="ABX464-102 Code projet 10008132"/>
    <m/>
    <s v="Study preparation, Site SetUp &amp; Standardization - (1.1) Study Set-up"/>
    <m/>
    <s v="INV BCI-0033503"/>
    <d v="2020-01-31T00:00:00"/>
    <n v="5196.333333333333"/>
    <x v="1"/>
    <s v="OK"/>
    <n v="0"/>
    <n v="5196.333333333333"/>
  </r>
  <r>
    <s v="UC102"/>
    <m/>
    <s v="CLI"/>
    <m/>
    <s v="BIOCLINICA"/>
    <s v="ABX464-102 Code projet 10008132"/>
    <m/>
    <s v="Study preparation, Site SetUp &amp; Standardization - (1.2) Study Set-up Documentation"/>
    <m/>
    <s v="INC BCI-0034310"/>
    <d v="2020-02-29T00:00:00"/>
    <n v="1690.3333333333333"/>
    <x v="1"/>
    <s v="OK"/>
    <n v="0"/>
    <n v="1690.3333333333333"/>
  </r>
  <r>
    <s v="UC102"/>
    <m/>
    <s v="CLI"/>
    <m/>
    <s v="BIOCLINICA"/>
    <s v="ABX464-102 Code projet 10008132"/>
    <m/>
    <s v="Study preparation, Site SetUp &amp; Standardization - (1.4) Study Set-up Site Qualification &amp; Equipment Assessment"/>
    <m/>
    <s v="INV BCI-0035089"/>
    <d v="2020-03-31T00:00:00"/>
    <n v="578.66666666666663"/>
    <x v="1"/>
    <n v="571"/>
    <n v="0"/>
    <n v="571"/>
  </r>
  <r>
    <s v="UC102"/>
    <m/>
    <s v="CLI"/>
    <m/>
    <s v="BIOCLINICA"/>
    <s v="ABX464-102 Code projet 10008132"/>
    <m/>
    <s v="Study preparation, Site SetUp &amp; Standardization - (1.5) Study Set-up Scientific &amp; Reg Services"/>
    <d v="2020-06-01T00:00:00"/>
    <s v="INV BCI-0035089 + INV BCI-0035980 + INV BCI-0036764 + INV BCI-0037859"/>
    <s v="31/03/2020 + 30/04/2020 + 31/05/2020 + 31/07/2020"/>
    <n v="5409"/>
    <x v="1"/>
    <n v="4661"/>
    <n v="0"/>
    <n v="4661"/>
  </r>
  <r>
    <s v="UC102"/>
    <m/>
    <s v="CLI"/>
    <m/>
    <s v="BIOCLINICA"/>
    <s v="ABX464-102 Code projet 10008132"/>
    <m/>
    <s v="Training and meeting (2.1)"/>
    <m/>
    <s v="INV BCI-0037859"/>
    <d v="2020-07-31T00:00:00"/>
    <n v="50"/>
    <x v="1"/>
    <s v="OK"/>
    <n v="0"/>
    <n v="50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3503"/>
    <d v="2020-01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5089"/>
    <d v="2020-03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5089"/>
    <d v="2020-03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5980"/>
    <d v="2020-04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6764"/>
    <d v="2020-05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6955"/>
    <d v="2020-06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7859"/>
    <d v="2020-07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9262"/>
    <d v="2020-08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0098"/>
    <d v="2020-09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1023"/>
    <d v="2020-10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1872"/>
    <d v="2020-11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2783"/>
    <d v="2020-12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3764"/>
    <d v="2021-01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4667"/>
    <d v="2021-02-28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5600"/>
    <d v="2021-03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6585"/>
    <d v="2021-04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7560"/>
    <d v="2021-05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8511"/>
    <d v="2021-06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9572"/>
    <d v="2021-07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50566"/>
    <d v="2021-08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2) Project Managment &amp; Site Technical Support StartUp sur 3 mois"/>
    <m/>
    <s v="INV BCI-0033503"/>
    <d v="2020-01-31T00:00:00"/>
    <n v="2034"/>
    <x v="1"/>
    <s v="OK"/>
    <n v="0"/>
    <n v="2034"/>
  </r>
  <r>
    <s v="UC102"/>
    <m/>
    <s v="CLI"/>
    <m/>
    <s v="BIOCLINICA"/>
    <s v="ABX464-102 Code projet 10008132"/>
    <m/>
    <s v="Study Management Services - (3.1.2) Project Managment &amp; Site Technical Support StartUp sur 3 mois"/>
    <m/>
    <s v="INV BCI-0034310"/>
    <d v="2020-01-29T00:00:00"/>
    <n v="2034"/>
    <x v="1"/>
    <s v="OK"/>
    <n v="0"/>
    <n v="2034"/>
  </r>
  <r>
    <s v="UC102"/>
    <m/>
    <s v="CLI"/>
    <m/>
    <s v="BIOCLINICA"/>
    <s v="ABX464-102 Code projet 10008132"/>
    <m/>
    <s v="Study Management Services - (3.1.2) Project Managment &amp; Site Technical Support StartUp sur 3 mois"/>
    <m/>
    <s v="INV BCI-0035089"/>
    <d v="2020-03-31T00:00:00"/>
    <n v="2034"/>
    <x v="1"/>
    <s v="OK"/>
    <n v="0"/>
    <n v="2034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5980"/>
    <d v="2020-04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6764"/>
    <d v="2020-05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6955"/>
    <d v="2020-06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7859"/>
    <d v="2020-07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9262"/>
    <d v="2020-08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0098"/>
    <d v="2020-09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1023"/>
    <d v="2020-10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1872"/>
    <d v="2020-11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2783"/>
    <s v="31/12//2021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3764"/>
    <d v="2021-01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4667"/>
    <d v="2021-02-28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6585"/>
    <d v="2021-04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7560"/>
    <d v="2021-05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8511"/>
    <d v="2021-06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9572"/>
    <d v="2021-07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0566"/>
    <d v="2021-08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1545"/>
    <d v="2021-09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2640"/>
    <d v="2021-10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7096"/>
    <d v="2022-02-28T00:00:00"/>
    <n v="1350"/>
    <x v="1"/>
    <s v="OK"/>
    <n v="0"/>
    <n v="1350"/>
  </r>
  <r>
    <s v="UC102"/>
    <m/>
    <s v="CLI"/>
    <m/>
    <s v="BIOCLINICA"/>
    <s v="ABX464-102 Code projet 10008132"/>
    <m/>
    <s v="SMART Submit - (4.1.1) - Web-based image sub Study SetUp"/>
    <m/>
    <s v="INV BCI-0035089"/>
    <d v="2020-03-31T00:00:00"/>
    <n v="3672"/>
    <x v="1"/>
    <s v="OK"/>
    <n v="0"/>
    <n v="3672"/>
  </r>
  <r>
    <s v="UC102"/>
    <m/>
    <s v="CLI"/>
    <m/>
    <s v="BIOCLINICA"/>
    <s v="ABX464-102 Code projet 10008132"/>
    <m/>
    <s v="SMART Manage - (5.1) - Image Tracking and quality Review Services - 155/timepoint"/>
    <s v="Per timepoint"/>
    <s v="INV BCI-0035980 + INV BCI-0036764 + INV BCI-0036955 + INV BCI-0037859 + INV BCI-0043764 + INV BCI-0045600 + INV BCI-0046585 + INV BCI-0047560 + INV BCI-0048511 + INV BCI-0049572 + INV BCI-0050566 + INV BCI-0053752 - BCI-CM-0003034"/>
    <s v="30/04/2020 + 31/05/2020 + 30/06/2020 + 31/07/2020 + 31/01/2021 + 31/03/2021 + 30/04/2021 + 31/05/2021 + 30/06/2021 + 31/07/2021 + 31/08/2021 + 30/11/2021 + 06/12/2021"/>
    <n v="5425"/>
    <x v="1"/>
    <n v="6200"/>
    <n v="0"/>
    <n v="6200"/>
  </r>
  <r>
    <s v="UC102"/>
    <m/>
    <s v="CLI"/>
    <m/>
    <s v="BIOCLINICA"/>
    <s v="ABX464-102 Code projet 10008132"/>
    <m/>
    <s v="SMART Analyze  - (6.1) - Image Analysis / Independant Reading Services Image Review Application"/>
    <m/>
    <s v="INV BCI-0036955"/>
    <s v="30/06/20202"/>
    <n v="45980"/>
    <x v="1"/>
    <s v="OK"/>
    <n v="0"/>
    <n v="45980"/>
  </r>
  <r>
    <s v="UC102"/>
    <m/>
    <s v="CLI"/>
    <m/>
    <s v="BIOCLINICA"/>
    <s v="ABX464-102 Code projet 10008132"/>
    <m/>
    <s v="SMART Analyze  - (6.1) - Image Analysis / Independant Reading Services Image interpretation Training session"/>
    <m/>
    <s v="INV BCI-0037859"/>
    <d v="2020-07-31T00:00:00"/>
    <n v="7755"/>
    <x v="1"/>
    <s v="OK"/>
    <n v="0"/>
    <n v="7755"/>
  </r>
  <r>
    <s v="UC102"/>
    <m/>
    <s v="CLI"/>
    <m/>
    <s v="BIOCLINICA"/>
    <s v="ABX464-102 Code projet 10008132"/>
    <m/>
    <s v="SMART Analyze  - (6.1) - Image Analysis / Independant Reading Services Performance of image interpretation"/>
    <m/>
    <s v="INV BCI-0037859 + INV BCI-0041872 + INV BCI-0043764 + INV BCI-0045600 + INV BCI-0046585 + INV BCI-0047560 + INV BCI-0048511 + INV BCI-0049572 + INV BCI-0050566"/>
    <s v="31/07/2020 + 30/11/2020 + 31/01/2021 + 31/03/2021 + 30/04/2021 + 31/05/2021 + 30/06/2021 + 31/07/2021 + 31/08/2021"/>
    <n v="1058"/>
    <x v="1"/>
    <n v="1242"/>
    <n v="0"/>
    <n v="1242"/>
  </r>
  <r>
    <s v="UC102"/>
    <m/>
    <s v="CLI"/>
    <m/>
    <s v="BIOCLINICA"/>
    <s v="ABX464-102 Code projet 10008132"/>
    <m/>
    <s v="SMART Analyze  - (6.1) - Image Analysis / Independant Reading Services Notification of primary read result"/>
    <m/>
    <s v="INV BCI-0037859 + INV BCI-0043764 + INV BCI-0046585 + INV BCI-0047560 + INV BCI-0048511 + BCI-0049572 + INV BCI-0050566"/>
    <s v="31/07/2020 + 31/01/2021 + 30/04/2021 + 31/05/2021 + 30/06/2021 + 31/07/2021 + 31/08/2021"/>
    <n v="476"/>
    <x v="1"/>
    <n v="560"/>
    <n v="0"/>
    <n v="560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3503"/>
    <d v="2020-01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5089"/>
    <d v="2020-03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5980"/>
    <d v="2020-04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6764"/>
    <d v="2020-05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6955"/>
    <s v="30/06/20202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7859"/>
    <d v="2020-07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9262"/>
    <d v="2020-08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0098"/>
    <d v="2020-09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1023"/>
    <d v="2020-10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1872"/>
    <d v="2020-11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2783"/>
    <d v="2020-12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3764"/>
    <d v="2021-01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4667"/>
    <d v="2021-02-28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5600"/>
    <d v="2021-03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6585"/>
    <d v="2021-04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7560"/>
    <d v="2021-05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8511"/>
    <d v="2021-06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9572"/>
    <d v="2021-07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50566"/>
    <d v="2021-08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51545 + INV BCI-0052640 + INV BCI-0053752 - BCI-CM-0003034"/>
    <s v="30/09/2021 + 31/10/2021 + 30/11/2021 + 06/12/2021"/>
    <n v="529"/>
    <x v="1"/>
    <n v="1058"/>
    <n v="0"/>
    <n v="1058"/>
  </r>
  <r>
    <s v="UC102"/>
    <m/>
    <s v="CLI"/>
    <m/>
    <s v="BIOCLINICA"/>
    <s v="ABX464-102 Code projet 10008132"/>
    <m/>
    <s v="SMART Analyze  - (6.1) - Image Analysis / Independant Reading Services Data Validation plan"/>
    <s v="Per Sudy"/>
    <s v="INV BCI-0037859"/>
    <d v="2020-07-31T00:00:00"/>
    <n v="2349"/>
    <x v="1"/>
    <s v="OK"/>
    <n v="0"/>
    <n v="2349"/>
  </r>
  <r>
    <s v="UC102"/>
    <m/>
    <s v="CLI"/>
    <m/>
    <s v="BIOCLINICA"/>
    <s v="ABX464-102 Code projet 10008132"/>
    <m/>
    <s v="SMART Transfer - (8.1) - Data Management &amp; Transfer Services Data transfer customization"/>
    <s v="Per transfer specification"/>
    <s v="INV BCI-0037859"/>
    <d v="2020-07-31T00:00:00"/>
    <n v="6696"/>
    <x v="1"/>
    <s v="OK"/>
    <n v="0"/>
    <n v="6696"/>
  </r>
  <r>
    <s v="UC102"/>
    <m/>
    <s v="CLI"/>
    <m/>
    <s v="BIOCLINICA"/>
    <s v="ABX464-102 Code projet 10008132"/>
    <m/>
    <s v="SMART Transfer - (8.1) - Data Management &amp; Transfer Services Electronic Data Transfer (Routine)"/>
    <s v="Per transfer"/>
    <s v="INV BCI-0041872 + INB BCI-0042783 + INV BCI-0047560 + INV BCI-0048511 + INV BCI-0049572"/>
    <s v="30/11/2020 + 31/12/2020 + 31/05/2021 + 30/06/2021 + 31/07/2021"/>
    <n v="3832"/>
    <x v="1"/>
    <n v="2874"/>
    <n v="958"/>
    <n v="2874"/>
  </r>
  <r>
    <s v="UC102"/>
    <m/>
    <s v="CLI"/>
    <m/>
    <s v="BIOCLINICA"/>
    <s v="ABX464-102 Code projet 10008132"/>
    <m/>
    <s v="SMART Transfer - (8.1) - Data Management &amp; Transfer Services Electronic Data Transfer (Interim / Final)"/>
    <s v="Per transfer"/>
    <s v="INV BCI-0039262"/>
    <d v="2020-08-31T00:00:00"/>
    <n v="4790"/>
    <x v="1"/>
    <n v="2395"/>
    <n v="2395"/>
    <n v="2395"/>
  </r>
  <r>
    <s v="UC102"/>
    <m/>
    <s v="CLI"/>
    <m/>
    <s v="BIOCLINICA"/>
    <s v="ABX464-102 Code projet 10008132"/>
    <m/>
    <s v="Study Close-Out and Archival Services (9.1) - Project Close-out"/>
    <d v="2021-09-01T00:00:00"/>
    <m/>
    <m/>
    <n v="8621"/>
    <x v="1"/>
    <m/>
    <n v="8621"/>
    <n v="0"/>
  </r>
  <r>
    <s v="UC102"/>
    <m/>
    <s v="CLI"/>
    <m/>
    <s v="BIOCLINICA"/>
    <s v="ABX464-102 Code projet 10008132"/>
    <m/>
    <s v="PTC - Printing"/>
    <s v="A prendre en compte"/>
    <m/>
    <m/>
    <n v="2281"/>
    <x v="1"/>
    <m/>
    <n v="2281"/>
    <n v="0"/>
  </r>
  <r>
    <s v="UC102"/>
    <m/>
    <s v="CLI"/>
    <m/>
    <s v="BIOCLINICA"/>
    <s v="ABX464-102 Code projet 10008132"/>
    <m/>
    <s v="PTC - Shipping"/>
    <s v="A prendre en compte"/>
    <s v="INV BCI-0035980"/>
    <d v="2020-04-30T00:00:00"/>
    <n v="2704"/>
    <x v="1"/>
    <n v="72.97"/>
    <n v="2631.03"/>
    <n v="72.97"/>
  </r>
  <r>
    <s v="UC102"/>
    <m/>
    <s v="CLI"/>
    <m/>
    <s v="BIOCLINICA"/>
    <s v="ABX464-102 Code projet 10008132"/>
    <m/>
    <s v="PTC Coordination et Management of PTC Expenses"/>
    <s v="A prendre en compte"/>
    <m/>
    <m/>
    <n v="249"/>
    <x v="1"/>
    <m/>
    <n v="249"/>
    <n v="0"/>
  </r>
  <r>
    <s v="UC102"/>
    <m/>
    <s v="CLI"/>
    <m/>
    <s v="BIOCLINICA"/>
    <s v="ABX464-102 Code projet 10008132"/>
    <m/>
    <s v="Reader Professionnal Fees and Expenses - Efficacy"/>
    <m/>
    <s v="INV BCI-0044076 + INV BCI-0046020 + INV BCI-0046994 + INV BCI-0047970 + INV BCI-0049035 + INV BCI-0050044 + INV BCI-0057637 + INV BCI-0059993 + INV BCI-0061144 + INV BCI-0063532 + INV BCI-0064692"/>
    <s v="27/02/2021 + 29/04/2021 + 30/05/2021 + 29/06/2021 + 30/07/2021 + 30/08/2021 + 30/03/2022 + 30/05/2022 + 01/07/2022 + 30/08/2022 + 30/09/2022"/>
    <n v="6302"/>
    <x v="1"/>
    <n v="5977.79"/>
    <n v="324.21000000000004"/>
    <n v="5977.79"/>
  </r>
  <r>
    <s v="UC102"/>
    <m/>
    <s v="CLI"/>
    <m/>
    <s v="BIOCLINICA"/>
    <s v="ABX464-102 Code projet 10008132"/>
    <m/>
    <s v="Reader Professionnal Fees and Expenses - Image interpretaion Training Session"/>
    <m/>
    <s v="INV BCI-0036452"/>
    <d v="2020-09-30T00:00:00"/>
    <n v="2736"/>
    <x v="1"/>
    <n v="2006.88"/>
    <n v="729.11999999999989"/>
    <n v="2006.88"/>
  </r>
  <r>
    <s v="UC102"/>
    <m/>
    <s v="CLI"/>
    <m/>
    <s v="BIOCLINICA"/>
    <s v="ABX464-102 Code projet 10008132"/>
    <m/>
    <s v="Reader Professionnal Fees and Expenses - Reader consultation"/>
    <m/>
    <s v="INV BCI-0037767 + INV BCI-0036452"/>
    <s v="30/07/2020 + 30/09/2020"/>
    <n v="2280"/>
    <x v="1"/>
    <n v="1451.24"/>
    <n v="828.76"/>
    <n v="1451.24"/>
  </r>
  <r>
    <s v="UC102"/>
    <m/>
    <s v="CLI"/>
    <m/>
    <s v="BIOCLINICA"/>
    <s v="ABX464-102 Code projet 10008132"/>
    <m/>
    <s v="Reader Professionnal Fees and Expenses - Reader mangement fee"/>
    <m/>
    <m/>
    <m/>
    <n v="566"/>
    <x v="1"/>
    <m/>
    <n v="566"/>
    <n v="0"/>
  </r>
  <r>
    <s v="UC102"/>
    <m/>
    <s v="CLI"/>
    <m/>
    <s v="BIOCLINICA"/>
    <s v="ABX464-102 Code projet 10008132"/>
    <m/>
    <s v="ADVANCE PAYEMENT 20%"/>
    <m/>
    <s v="INV BCI-0032763"/>
    <d v="2020-01-23T00:00:00"/>
    <n v="35500"/>
    <x v="1"/>
    <s v="OK"/>
    <n v="0"/>
    <n v="35500"/>
  </r>
  <r>
    <s v="UC102"/>
    <m/>
    <s v="CLI"/>
    <m/>
    <s v="BIOCLINICA"/>
    <s v="ABX464-102 Code projet 10008132"/>
    <m/>
    <s v="ADVANCE PAYEMENT 20%"/>
    <m/>
    <s v="INV BCI-0032763"/>
    <d v="2020-01-23T00:00:00"/>
    <n v="-35500"/>
    <x v="1"/>
    <s v="OK"/>
    <n v="0"/>
    <n v="-35500"/>
  </r>
  <r>
    <s v="UC102"/>
    <m/>
    <s v="CLI"/>
    <m/>
    <s v="BIOCLINICA"/>
    <s v="ABX464-102 Code projet 10008132 Admt 2"/>
    <m/>
    <s v="Services (1 à 9)"/>
    <m/>
    <s v="INV BCI-0055356 + INV BCI-0055860 + INV BCI-0057096 + INV BCI-0058165 + INV BCI-0059505 - CN BCI-CM-0003208 + INV BCI-0060016 + INV BCI-0061587 - INV BCI-CM-0003321 - INV BCI-CM-0003336 + INV BCI-0063935 + INBV BCI-0065415"/>
    <s v="31/12/2021 + 31/01/2022 + 28/02/2022 + 31/03/2022 + 30/04/2022 - 06/05/2022 + 31/05/2022 + 01/07/2022 + 18/07/2022 + 31/07/2022 + 30/08/2022 + 30/09/2022"/>
    <n v="27544"/>
    <x v="1"/>
    <n v="31006.700000000004"/>
    <n v="0"/>
    <n v="31006.700000000004"/>
  </r>
  <r>
    <s v="UC102"/>
    <m/>
    <s v="CLI"/>
    <m/>
    <s v="BIOCLINICA"/>
    <s v="ABX464-102 Code projet 10008132 Admt 2"/>
    <m/>
    <s v="PTC"/>
    <m/>
    <m/>
    <m/>
    <n v="-422"/>
    <x v="1"/>
    <m/>
    <n v="0"/>
    <n v="0"/>
  </r>
  <r>
    <s v="UC102"/>
    <m/>
    <s v="CLI"/>
    <m/>
    <s v="BIOCLINICA"/>
    <s v="ABX464-102 Code projet 10008132 Admt 2"/>
    <m/>
    <s v="Reader Fee"/>
    <m/>
    <m/>
    <m/>
    <n v="2014"/>
    <x v="1"/>
    <m/>
    <n v="2014"/>
    <n v="0"/>
  </r>
  <r>
    <s v="UC104"/>
    <m/>
    <s v="CLI"/>
    <m/>
    <s v="BIOCLINICA GERMANY"/>
    <s v="ABX464-104"/>
    <m/>
    <s v="0 - Adavnce payement"/>
    <m/>
    <s v="INV BCG-0000153"/>
    <d v="2022-09-21T00:00:00"/>
    <n v="78174"/>
    <x v="1"/>
    <n v="78174"/>
    <n v="0"/>
    <n v="78174"/>
  </r>
  <r>
    <s v="UC104"/>
    <m/>
    <s v="CLI"/>
    <m/>
    <s v="BIOCLINICA GERMANY"/>
    <s v="ABX464-104"/>
    <m/>
    <s v="0 - Adavnce payement"/>
    <m/>
    <s v="INV BCG-0000194"/>
    <d v="2024-08-31T00:00:00"/>
    <n v="-78174"/>
    <x v="1"/>
    <n v="-5053.05"/>
    <n v="0"/>
    <n v="-5053.05"/>
  </r>
  <r>
    <s v="UC104"/>
    <m/>
    <s v="CLI"/>
    <m/>
    <s v="BIOCLINICA GERMANY"/>
    <s v="ABX464-104"/>
    <m/>
    <s v="1.1 - Study Set-Up"/>
    <m/>
    <s v="INV BCG-0000154"/>
    <d v="2022-09-21T00:00:00"/>
    <n v="8441"/>
    <x v="1"/>
    <n v="8441"/>
    <n v="0"/>
    <n v="8441"/>
  </r>
  <r>
    <s v="UC104"/>
    <m/>
    <s v="CLI"/>
    <m/>
    <s v="BIOCLINICA GERMANY"/>
    <s v="ABX464-104"/>
    <m/>
    <s v="1.2.1 - Study material development (Documentation)"/>
    <m/>
    <s v="INV BCG-0000154"/>
    <d v="2022-09-21T00:00:00"/>
    <n v="4221"/>
    <x v="1"/>
    <n v="4221"/>
    <n v="0"/>
    <n v="4221"/>
  </r>
  <r>
    <s v="UC104"/>
    <m/>
    <s v="CLI"/>
    <m/>
    <s v="BIOCLINICA GERMANY"/>
    <s v="ABX464-104"/>
    <m/>
    <s v="1.4.1 - Site and Equipment Assessment (Site Questionnaire)"/>
    <m/>
    <s v="INV BCG-0000154 - INV BCG-0000160"/>
    <s v="21/09/2022 + 30/09/2022"/>
    <n v="15456"/>
    <x v="1"/>
    <n v="10752"/>
    <n v="4704"/>
    <n v="10752"/>
  </r>
  <r>
    <s v="UC104"/>
    <m/>
    <s v="CLI"/>
    <m/>
    <s v="BIOCLINICA GERMANY"/>
    <s v="ABX464-104"/>
    <m/>
    <s v="1.5.1  - Scientific and Regulatory Services - Scientific Support and Consultation"/>
    <m/>
    <s v="INV BCG-0000172 + INV BCG-0000178"/>
    <s v="31/03/2023 + 30/07/2023 (recu en 07/2023)"/>
    <n v="7180"/>
    <x v="1"/>
    <n v="1795"/>
    <n v="5385"/>
    <n v="1795"/>
  </r>
  <r>
    <s v="UC104"/>
    <m/>
    <s v="CLI"/>
    <m/>
    <s v="BIOCLINICA GERMANY"/>
    <s v="ABX464-104"/>
    <m/>
    <s v="1.5.1  - Scientific and Regulatory Services - Cardiologist Support and Consultation"/>
    <m/>
    <m/>
    <m/>
    <n v="5060"/>
    <x v="1"/>
    <m/>
    <n v="5060"/>
    <n v="0"/>
  </r>
  <r>
    <s v="UC104"/>
    <m/>
    <s v="CLI"/>
    <m/>
    <s v="BIOCLINICA GERMANY"/>
    <s v="ABX464-104"/>
    <m/>
    <s v="1.5.3  - Scientific and Regulatory Services - Independent Review Charter Development"/>
    <m/>
    <s v="INV BCG-0000154"/>
    <d v="2022-09-21T00:00:00"/>
    <n v="19255"/>
    <x v="1"/>
    <n v="19255"/>
    <n v="0"/>
    <n v="19255"/>
  </r>
  <r>
    <s v="UC104"/>
    <m/>
    <s v="CLI"/>
    <m/>
    <s v="BIOCLINICA GERMANY"/>
    <s v="ABX464-104"/>
    <m/>
    <s v="2.1.1 - Site Personnel Training - Web Training Content Development &amp; Portal Configuration"/>
    <m/>
    <s v="INV BCG-0000154"/>
    <d v="2022-09-21T00:00:00"/>
    <n v="6647"/>
    <x v="1"/>
    <n v="6647"/>
    <n v="0"/>
    <n v="6647"/>
  </r>
  <r>
    <s v="UC104"/>
    <m/>
    <s v="CLI"/>
    <m/>
    <s v="BIOCLINICA GERMANY"/>
    <s v="ABX464-104"/>
    <m/>
    <s v="2.1.1 - Site Personnel Training - Web Training User Set-up and Support"/>
    <m/>
    <s v="INV BCG-0000154 + INV BCG-0000156"/>
    <s v="21/09/2022 + 21/09/2022"/>
    <n v="6348"/>
    <x v="1"/>
    <n v="4416"/>
    <n v="1932"/>
    <n v="4416"/>
  </r>
  <r>
    <s v="UC104"/>
    <m/>
    <s v="CLI"/>
    <m/>
    <s v="BIOCLINICA GERMANY"/>
    <s v="ABX464-104"/>
    <m/>
    <s v="3.1 - Study Management Services - Site Technical Support, Including Query Initiation &amp; Resolution (start-up)"/>
    <m/>
    <s v="INV BCG-0000154"/>
    <d v="2022-09-21T00:00:00"/>
    <n v="13776"/>
    <x v="1"/>
    <n v="13776"/>
    <n v="0"/>
    <n v="13776"/>
  </r>
  <r>
    <s v="UC104"/>
    <m/>
    <s v="CLI"/>
    <m/>
    <s v="BIOCLINICA GERMANY"/>
    <s v="ABX464-104"/>
    <m/>
    <s v="3.1 - Study Management Services - Site Technical Support, Including Query Initiation &amp; Resolution (execution)"/>
    <m/>
    <s v="INV BCG-0000154 + INV BCG-0000156 + INV BCG-0000158 + INV BCG-0000160 + INV BCG-0000166 + Inv BCG-0000172 + INV BCG0000162 + INV BCG-0000168 + INV BCG-0000170"/>
    <s v="21/09/2022 + 21/09/2022 + 21/09/2022 + 30/09/2022 + 31/12/2022 (ercu en 02/2023) + 31/03/2023 + 31/10/2022 (recu en 2024) + 31/01/2023 (recu en 2024) + 28/02/2023 (recu en 2024) + 30/11/2022 (recu 02/2024)"/>
    <n v="20128"/>
    <x v="1"/>
    <n v="13838"/>
    <n v="6290"/>
    <n v="13838"/>
  </r>
  <r>
    <s v="UC104"/>
    <m/>
    <s v="CLI"/>
    <m/>
    <s v="BIOCLINICA GERMANY"/>
    <s v="ABX464-104"/>
    <m/>
    <s v="3.2 - Study Management Services - Project management (start-up)"/>
    <m/>
    <s v="INV BCG-0000154"/>
    <d v="2022-09-21T00:00:00"/>
    <n v="20208"/>
    <x v="1"/>
    <n v="20208"/>
    <n v="0"/>
    <n v="20208"/>
  </r>
  <r>
    <s v="UC104"/>
    <m/>
    <s v="CLI"/>
    <m/>
    <s v="BIOCLINICA GERMANY"/>
    <s v="ABX464-104"/>
    <m/>
    <s v="3.2 - Study Management Services - Project management (execution)"/>
    <m/>
    <s v="INV BCG-0000154 + INV BCG-0000156 + INV BCG-0000158 + INV BCG-0000160 + INV BCG-0000166 + Inv BCG-0000172 + INV BCG-0000176 + INV BCG-0000178 + INV BCG0000162 + INV BCG-0000168 + INV BCG-0000170 + INV BCG-0000174 + INV BCG-0000164"/>
    <s v="21/09/2022 + 21/09/2022 + 21/09/2022 + 30/09/2022 + 31/12/2022 (ercu en 02/2023) + 31/03/2023 + 31/05/2023 (recu en 06/2023) + 30/06/2023 (recu en 07/2023) + 31/10/2022 (recu en 2024) + 31/01/2023 (recu en 2024) + 28/02/2023 (recu en 2024) + 30/04/2023 (recu en 2024) + 30/11/2022 (recu 02/2024)"/>
    <n v="34650"/>
    <x v="1"/>
    <n v="28875"/>
    <n v="5775"/>
    <n v="28875"/>
  </r>
  <r>
    <s v="UC104"/>
    <m/>
    <s v="CLI"/>
    <m/>
    <s v="BIOCLINICA GERMANY"/>
    <s v="ABX464-104"/>
    <m/>
    <s v="4.1.1 - Electronic Image Transfer Services - Web-based image submission (study set-up)"/>
    <m/>
    <s v="INV BCG-0000154"/>
    <d v="2022-09-21T00:00:00"/>
    <n v="12134"/>
    <x v="1"/>
    <n v="12134"/>
    <n v="0"/>
    <n v="12134"/>
  </r>
  <r>
    <s v="UC104"/>
    <m/>
    <s v="CLI"/>
    <m/>
    <s v="BIOCLINICA GERMANY"/>
    <s v="ABX464-104"/>
    <m/>
    <s v="4.1.1 - Electronic Image Transfer Services - Monthly Electronic Image Transfer Fee (22 mois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8162"/>
    <x v="1"/>
    <n v="5936"/>
    <n v="2226"/>
    <n v="5936"/>
  </r>
  <r>
    <s v="UC104"/>
    <m/>
    <s v="CLI"/>
    <m/>
    <s v="BIOCLINICA GERMANY"/>
    <s v="ABX464-104"/>
    <m/>
    <s v="5.1.1-5.1.2 - Image Tracking and Quality Review Services - Image data log-in and Image Data Quality Control, including test scans and test notification to Site/Sponsor (ECHO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8968"/>
    <x v="1"/>
    <n v="11900"/>
    <n v="17068"/>
    <n v="11900"/>
  </r>
  <r>
    <s v="UC104"/>
    <m/>
    <s v="CLI"/>
    <m/>
    <s v="BIOCLINICA GERMANY"/>
    <s v="ABX464-104"/>
    <m/>
    <s v="6.1.1 - Image Analysis/Independent Reading Services - Data capture and reporting system set-up"/>
    <m/>
    <s v="INV BCG-0000154"/>
    <d v="2022-09-21T00:00:00"/>
    <n v="14624"/>
    <x v="1"/>
    <n v="14624"/>
    <n v="0"/>
    <n v="14624"/>
  </r>
  <r>
    <s v="UC104"/>
    <m/>
    <s v="CLI"/>
    <m/>
    <s v="BIOCLINICA GERMANY"/>
    <s v="ABX464-104"/>
    <m/>
    <s v="6.1.1 - Image Analysis/Independent Reading Services - Electronic Reading System (ECHO)"/>
    <m/>
    <s v="INV BCG-0000154"/>
    <d v="2022-09-21T00:00:00"/>
    <n v="15194"/>
    <x v="1"/>
    <n v="15194"/>
    <n v="0"/>
    <n v="15194"/>
  </r>
  <r>
    <s v="UC104"/>
    <m/>
    <s v="CLI"/>
    <m/>
    <s v="BIOCLINICA GERMANY"/>
    <s v="ABX464-104"/>
    <m/>
    <s v="6.1.1 - Image Analysis/Independent Reading Services - Citrix license tech support"/>
    <m/>
    <s v="INV BCG-0000154"/>
    <d v="2022-09-21T00:00:00"/>
    <n v="3461"/>
    <x v="1"/>
    <n v="3461"/>
    <n v="0"/>
    <n v="3461"/>
  </r>
  <r>
    <s v="UC104"/>
    <m/>
    <s v="CLI"/>
    <m/>
    <s v="BIOCLINICA GERMANY"/>
    <s v="ABX464-104"/>
    <m/>
    <s v="6.1.2 - Image Analysis/Independent Reading Services - Study Specifications Training Session Preparation"/>
    <m/>
    <s v="INV BCG-0000154"/>
    <d v="2022-09-21T00:00:00"/>
    <n v="5141"/>
    <x v="1"/>
    <n v="5141"/>
    <n v="0"/>
    <n v="5141"/>
  </r>
  <r>
    <s v="UC104"/>
    <m/>
    <s v="CLI"/>
    <m/>
    <s v="BIOCLINICA GERMANY"/>
    <s v="ABX464-104"/>
    <m/>
    <s v="6.1.2 - Image Analysis/Independent Reading Services - Cardiologist Attendance at Study Specifications Training"/>
    <m/>
    <s v="INV BCG-0000154"/>
    <d v="2022-09-21T00:00:00"/>
    <n v="2321"/>
    <x v="1"/>
    <n v="2321"/>
    <n v="0"/>
    <n v="2321"/>
  </r>
  <r>
    <s v="UC104"/>
    <m/>
    <s v="CLI"/>
    <m/>
    <s v="BIOCLINICA GERMANY"/>
    <s v="ABX464-104"/>
    <m/>
    <s v="6.1.3 - ECHO Image Analysis/Independent Reading Services - ECHO: Primary Review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95904"/>
    <x v="1"/>
    <n v="46620"/>
    <n v="49284"/>
    <n v="46620"/>
  </r>
  <r>
    <s v="UC104"/>
    <m/>
    <s v="CLI"/>
    <m/>
    <s v="BIOCLINICA GERMANY"/>
    <s v="ABX464-104"/>
    <m/>
    <s v="6.1.3 - Primary Review Notifications to Site/Sponsorper"/>
    <m/>
    <s v="INV BCG-0000160 + INV BCG-0000166 + INV BCG-0000172 + INV BCG0000162 + INV BCG-0000168 + INV BCG-0000170 + INV BCG-0000164"/>
    <s v="30/09/2022 + 31/12/2022 (ercu en 02/2023) + 31/03/2023 + 31/10/2022 (recu en 2024) + 31/01/2023 (recu en 2024) + 28/02/2023 (recu en 2024) + 30/11/2022 (recu 02/2024)"/>
    <n v="4320"/>
    <x v="1"/>
    <n v="2100"/>
    <n v="2220"/>
    <n v="2100"/>
  </r>
  <r>
    <s v="UC104"/>
    <m/>
    <s v="CLI"/>
    <m/>
    <s v="BIOCLINICA GERMANY"/>
    <s v="ABX464-104"/>
    <m/>
    <s v="6.1.3 - ECHO Image Analysis/Independent Reading Services - ECHO: Reader Variability Monitoring"/>
    <m/>
    <s v="INV BCG-0000172"/>
    <d v="2023-03-31T00:00:00"/>
    <n v="13320"/>
    <x v="1"/>
    <n v="2664"/>
    <n v="10656"/>
    <n v="2664"/>
  </r>
  <r>
    <s v="UC104"/>
    <m/>
    <s v="CLI"/>
    <m/>
    <s v="BIOCLINICA GERMANY"/>
    <s v="ABX464-104"/>
    <m/>
    <s v="6.1.4 - 8.1.1 -  ECHO Image Analysis/Independent Reading Services - Systems support and Ongoing Data Management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6752"/>
    <x v="1"/>
    <n v="18240"/>
    <n v="8512"/>
    <n v="18240"/>
  </r>
  <r>
    <s v="UC104"/>
    <m/>
    <s v="CLI"/>
    <m/>
    <s v="BIOCLINICA GERMANY"/>
    <s v="ABX464-104"/>
    <m/>
    <s v="6.1.5 -  ECHO Image Analysis/Independent Reading Services - Data validation plan"/>
    <m/>
    <s v="INV BCG-0000166"/>
    <s v="31/12/2022 (ercu en 02/2023)"/>
    <n v="2174"/>
    <x v="1"/>
    <n v="2174"/>
    <n v="0"/>
    <n v="2174"/>
  </r>
  <r>
    <s v="UC104"/>
    <m/>
    <s v="CLI"/>
    <m/>
    <s v="BIOCLINICA GERMANY"/>
    <s v="ABX464-104"/>
    <m/>
    <s v="7.2 - Study Reporting - MvE / Reconciliation Report Set-Up"/>
    <m/>
    <s v="INV BCG-0000162"/>
    <s v="31/10/2022 (recu en 2024)"/>
    <n v="5761"/>
    <x v="1"/>
    <n v="5761"/>
    <n v="0"/>
    <n v="5761"/>
  </r>
  <r>
    <s v="UC104"/>
    <m/>
    <s v="CLI"/>
    <m/>
    <s v="BIOCLINICA GERMANY"/>
    <s v="ABX464-104"/>
    <m/>
    <s v="8.1.2 - Data Management and Transfer Services - Data transfer customization/programming"/>
    <m/>
    <s v="INV BCG-0000162"/>
    <s v="31/10/2022 (recu en 2024)"/>
    <n v="5630"/>
    <x v="1"/>
    <n v="5630"/>
    <n v="0"/>
    <n v="5630"/>
  </r>
  <r>
    <s v="UC104"/>
    <m/>
    <s v="CLI"/>
    <m/>
    <s v="BIOCLINICA GERMANY"/>
    <s v="ABX464-104"/>
    <m/>
    <s v="8.1.3 - Data Management and Transfer Services - Number of milestone data transfers"/>
    <m/>
    <s v="INV BCG-0000172 + INV BGC-0000194"/>
    <s v="31/03/2023 + 31/08/2024"/>
    <n v="1140"/>
    <x v="1"/>
    <n v="6459"/>
    <n v="0"/>
    <n v="6459"/>
  </r>
  <r>
    <s v="UC104"/>
    <m/>
    <s v="CLI"/>
    <m/>
    <s v="BIOCLINICA GERMANY"/>
    <s v="ABX464-104"/>
    <m/>
    <s v="9.1 - Study close-out"/>
    <m/>
    <s v="INV BCG-0000178"/>
    <s v="30/06/2023 (recu en 07/2023)"/>
    <n v="5065"/>
    <x v="1"/>
    <n v="5065"/>
    <n v="0"/>
    <n v="5065"/>
  </r>
  <r>
    <s v="UC104"/>
    <m/>
    <s v="CLI"/>
    <m/>
    <s v="BIOCLINICA GERMANY"/>
    <s v="ABX464-104"/>
    <m/>
    <s v="DISCOUNT"/>
    <m/>
    <s v="INV BCG-0000154 + INV BCG-0000156 + INV BCG-0000158 + INV BCG-0000160"/>
    <s v="21/09/2022 + 21/09/2022 + 21/09/2022 + 30/09/2022"/>
    <n v="-20572"/>
    <x v="1"/>
    <n v="-10077.550000000001"/>
    <n v="-10494.449999999999"/>
    <n v="-10077.550000000001"/>
  </r>
  <r>
    <s v="UC104"/>
    <m/>
    <s v="CLI"/>
    <m/>
    <s v="BIOCLINICA GERMANY"/>
    <s v="ABX464-104"/>
    <m/>
    <s v="PTC"/>
    <m/>
    <m/>
    <m/>
    <n v="9656"/>
    <x v="1"/>
    <m/>
    <n v="9656"/>
    <n v="0"/>
  </r>
  <r>
    <s v="UC108"/>
    <m/>
    <s v="CLI"/>
    <m/>
    <s v="BIOCLINICA GERMANY"/>
    <s v="SRV_21132 - P00317_2021"/>
    <s v="P00317_2021"/>
    <s v="0 - Adavnce payement"/>
    <m/>
    <s v="INV BCG-0000148"/>
    <d v="2022-09-21T00:00:00"/>
    <n v="60262"/>
    <x v="1"/>
    <n v="60262"/>
    <n v="0"/>
    <n v="60262"/>
  </r>
  <r>
    <s v="UC108"/>
    <m/>
    <s v="CLI"/>
    <m/>
    <s v="BIOCLINICA GERMANY"/>
    <s v="SRV_21132 - P00317_2021"/>
    <s v="P00317_2021"/>
    <s v="0 - Adavnce payement"/>
    <m/>
    <m/>
    <m/>
    <n v="-60262"/>
    <x v="1"/>
    <m/>
    <n v="0"/>
    <n v="0"/>
  </r>
  <r>
    <s v="UC108"/>
    <m/>
    <s v="CLI"/>
    <m/>
    <s v="BIOCLINICA GERMANY"/>
    <s v="SRV_21132 - P00317_2021"/>
    <s v="P00317_2021"/>
    <s v="1.1 - Study Set-Up - Expedited"/>
    <m/>
    <s v="INV BCG-0000149"/>
    <d v="2022-09-21T00:00:00"/>
    <n v="6472"/>
    <x v="1"/>
    <n v="6472"/>
    <n v="0"/>
    <n v="6472"/>
  </r>
  <r>
    <s v="UC108"/>
    <m/>
    <s v="CLI"/>
    <m/>
    <s v="BIOCLINICA GERMANY"/>
    <s v="SRV_21132 - P00317_2021"/>
    <s v="P00317_2021"/>
    <s v="1.2.1 - Documentation (ECHO) - Expedited"/>
    <m/>
    <s v="INV BCG-0000149"/>
    <d v="2022-09-21T00:00:00"/>
    <n v="4315"/>
    <x v="1"/>
    <n v="4315"/>
    <n v="0"/>
    <n v="4315"/>
  </r>
  <r>
    <s v="UC108"/>
    <m/>
    <s v="CLI"/>
    <m/>
    <s v="BIOCLINICA GERMANY"/>
    <s v="SRV_21132 - P00317_2021"/>
    <s v="P00317_2021"/>
    <s v="1.4.1 - Site Questionnaire"/>
    <m/>
    <s v="INV BCG-0000149"/>
    <d v="2022-09-21T00:00:00"/>
    <n v="18549"/>
    <x v="1"/>
    <n v="2290"/>
    <n v="16259"/>
    <n v="2290"/>
  </r>
  <r>
    <s v="UC108"/>
    <m/>
    <s v="CLI"/>
    <m/>
    <s v="BIOCLINICA GERMANY"/>
    <s v="SRV_21132 - P00317_2021"/>
    <s v="P00317_2021"/>
    <s v="1.5.1 - Scientific Support and Consultation"/>
    <m/>
    <m/>
    <m/>
    <n v="1835"/>
    <x v="1"/>
    <m/>
    <n v="1835"/>
    <n v="0"/>
  </r>
  <r>
    <s v="UC108"/>
    <m/>
    <s v="CLI"/>
    <m/>
    <s v="BIOCLINICA GERMANY"/>
    <s v="SRV_21132 - P00317_2021"/>
    <s v="P00317_2021"/>
    <s v="2.1.1 - Web Training Content Development &amp; Portal Configuration"/>
    <m/>
    <s v="INV BCG-0000149"/>
    <d v="2022-09-21T00:00:00"/>
    <n v="5436"/>
    <x v="1"/>
    <n v="5436"/>
    <n v="0"/>
    <n v="5436"/>
  </r>
  <r>
    <s v="UC108"/>
    <m/>
    <s v="CLI"/>
    <m/>
    <s v="BIOCLINICA GERMANY"/>
    <s v="SRV_21132 - P00317_2021"/>
    <s v="P00317_2021"/>
    <s v="2.1.1 - Web Training User Set-up and Support"/>
    <m/>
    <s v="INV BCG-0000149"/>
    <d v="2022-09-21T00:00:00"/>
    <n v="7614"/>
    <x v="1"/>
    <n v="846"/>
    <n v="6768"/>
    <n v="846"/>
  </r>
  <r>
    <s v="UC108"/>
    <m/>
    <s v="CLI"/>
    <m/>
    <s v="BIOCLINICA GERMANY"/>
    <s v="SRV_21132 - P00317_2021"/>
    <s v="P00317_2021"/>
    <s v="3.1 - 3.2 - Site Management and Project management (start-up)"/>
    <m/>
    <s v="INV BCG-0000149"/>
    <d v="2022-09-21T00:00:00"/>
    <n v="6342"/>
    <x v="1"/>
    <n v="6342"/>
    <n v="0"/>
    <n v="6342"/>
  </r>
  <r>
    <s v="UC108"/>
    <m/>
    <s v="CLI"/>
    <m/>
    <s v="BIOCLINICA GERMANY"/>
    <s v="SRV_21132 - P00317_2021"/>
    <s v="P00317_2021"/>
    <s v="3.1 - 3.2 - Site Management and Project management (execution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197 + INV BCG-0000198 + INV BCG-0000199 + INV BCG-0000200 + INV BCG-0000201 + INV BCG-000202 +INV BCG-0000203 + INV BCG-0000203 + INV BCG-0000204 + INV BCG-0000205 + INV BCG-0000206 + INV BCG-0000207 + INV BCG-0000208 + INV BCG-0000209 + INV BCG-0000210 + INV BCG-0000211"/>
    <s v="21/09/2022 + 21/09/2022 + 21/09/2022 + 21/09/2022 + 21/09/2022 + 21/09/2022 + 21/09/2022 + 31/10/2022 + 30/11/2022 + 31/12/2022 + 31/01/2023 + 28/02/2023 + 31/03/2023 + 30/04/2023 + 31/05/2023 + 30/06/2023 + 31/07/2023 + 01/09/2023 + 30/09/2023 + 30/09/2022 (reçu 11/2023) + 30/11/2023 + 01/01/2024 + 31/01/2024 + 29/02/2024 + 30/04/2024 + 31/05/2024 + 30/06/2024 + 31/07/2024 + 31/08/2024 + 30/09/2024 + 31/10/2024 + 30/11/2024 + 31/12/2024 + 31/01/2025 + 28/02/2025 + 31/03/2025+30/04/2025 + 30/04/2025 + 31/05/2025 + 30/06/2025 + 31/07/2025 + 31/08/2025 + 30/09/2025+31/10/2025+30/11/2025 + 01/01/2026"/>
    <n v="70350"/>
    <x v="1"/>
    <n v="68785.41"/>
    <n v="1564.5899999999965"/>
    <n v="68785.41"/>
  </r>
  <r>
    <s v="UC108"/>
    <m/>
    <s v="CLI"/>
    <m/>
    <s v="BIOCLINICA GERMANY"/>
    <s v="SRV_21132 - P00317_2021"/>
    <s v="P00317_2021"/>
    <s v="4.1.1 - Web-based image submission (study set-up)"/>
    <m/>
    <s v="INV BCG-0000149"/>
    <d v="2022-09-21T00:00:00"/>
    <n v="9923"/>
    <x v="1"/>
    <n v="9923"/>
    <n v="0"/>
    <n v="9923"/>
  </r>
  <r>
    <s v="UC108"/>
    <m/>
    <s v="CLI"/>
    <m/>
    <s v="BIOCLINICA GERMANY"/>
    <s v="SRV_21132 - P00317_2021"/>
    <s v="P00317_2021"/>
    <s v="4.1.1 - Monthly Electronic Image Transfer Fee (621€/mois sur 51 mois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0000207 + INV BCG-0000208 + INV BCG-0000209 + INV BCG-0000210 + INV BCG-0000211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 +31/08/2025 + 30/09/2025+31/10/2025+30/10/2025 + 01/01/2026"/>
    <n v="31671"/>
    <x v="1"/>
    <n v="28628"/>
    <n v="3043"/>
    <n v="28628"/>
  </r>
  <r>
    <s v="UC108"/>
    <m/>
    <s v="CLI"/>
    <m/>
    <s v="BIOCLINICA GERMANY"/>
    <s v="SRV_21132 - P00317_2021"/>
    <s v="P00317_2021"/>
    <s v="5.1.1- 5.1.2 - Image data log-in and Image Data Quality Control (ECHO)"/>
    <m/>
    <s v="INV BCG-0000149 + INV BCG-0000150 + INV BCG-0000151 + INV BCG-0000152 + INV BCG-0000155 + INV BCG-0000157 + INV BCG-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197 + INV BCG-0000198 + INV BCG-0000199 + INV BCG-0000200 + INV BCG-0000201 + INV BCG-0000202 + INV BCG-0000203 + INV BCG-0000204 + INV BCG-0000205 + INV BCG-0000206 + INV BCG-0000207 + INV BCG-0000208 +  INV BCG-0000209 + INV BCG-0000210 + INV BCG-0000211"/>
    <s v="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 + 30/09/2025 + 31/10/2025+30/11/2025 + 01/01/2026"/>
    <n v="83148"/>
    <x v="1"/>
    <n v="32708"/>
    <n v="50440"/>
    <n v="32708"/>
  </r>
  <r>
    <s v="UC108"/>
    <m/>
    <s v="CLI"/>
    <m/>
    <s v="BIOCLINICA GERMANY"/>
    <s v="SRV_21132 - P00317_2021"/>
    <s v="P00317_2021"/>
    <s v="6.1.1 - Data capture and reporting system set-up"/>
    <m/>
    <s v="INV BCG-0000149"/>
    <d v="2022-09-21T00:00:00"/>
    <n v="11960"/>
    <x v="1"/>
    <n v="11960"/>
    <n v="0"/>
    <n v="11960"/>
  </r>
  <r>
    <s v="UC108"/>
    <m/>
    <s v="CLI"/>
    <m/>
    <s v="BIOCLINICA GERMANY"/>
    <s v="SRV_21132 - P00317_2021"/>
    <s v="P00317_2021"/>
    <s v="6.1.2 - Systems suppor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10000207 + INV BCG-0000208 + INV BCG-0000209 + INV BCG-0000210 + INV BCG-0000211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 + 30/09/2025 + 31/10/2025 + 30/11/2025 + 01/01/2026"/>
    <n v="13209"/>
    <x v="1"/>
    <n v="12173"/>
    <n v="1036"/>
    <n v="12173"/>
  </r>
  <r>
    <s v="UC108"/>
    <m/>
    <s v="CLI"/>
    <m/>
    <s v="BIOCLINICA GERMANY"/>
    <s v="SRV_21132 - P00317_2021"/>
    <s v="P00317_2021"/>
    <s v="6.1.3 - Ongoing Data Managemen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0195 + iNV BCG-0000196 + INV BCG-0000197 + INV BCG-0000198 + INV BCG-0000199 + INV BCG-0000200 + INV BCG-0000201 + INV BCG-0000202 + INV BCG-0000203 + INV BCG-0000204 + INV BCG-0000205 + INV BCG-0000206 + INV BCG 0000207 + INV BCG-0000208+ INV BCG-0000209 + INV BCG-0000210 + INV BCG-0000211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8/2024 + 30/09/2024 + 31/10/2024 + 30/11/2024 + 31/12/2024 + 31/01/2025 + 28/02/2025 + 31/03/2025 + 030/04/2025 + 31/05/2025 + 30/06/2025 + 31/07/2025+31/08/2025 + 30/09/2025+31/10/2025 + 30/11/2025 + 01/01/2026"/>
    <n v="18921"/>
    <x v="1"/>
    <n v="16695"/>
    <n v="2226"/>
    <n v="16695"/>
  </r>
  <r>
    <s v="UC108"/>
    <m/>
    <s v="CLI"/>
    <m/>
    <s v="BIOCLINICA GERMANY"/>
    <s v="SRV_21132 - P00317_2021"/>
    <s v="P00317_2021"/>
    <s v="6.1.4 - Data validation plan"/>
    <m/>
    <m/>
    <m/>
    <n v="2222"/>
    <x v="1"/>
    <m/>
    <n v="2222"/>
    <n v="0"/>
  </r>
  <r>
    <s v="UC108"/>
    <m/>
    <s v="CLI"/>
    <m/>
    <s v="BIOCLINICA GERMANY"/>
    <s v="SRV_21132 - P00317_2021"/>
    <s v="P00317_2021"/>
    <s v="7.2 - MvE / Reconciliation Report Set-Up per study"/>
    <m/>
    <s v="INV BCG-0000202"/>
    <d v="2025-03-31T00:00:00"/>
    <n v="5889"/>
    <x v="1"/>
    <n v="5889"/>
    <n v="0"/>
    <n v="5889"/>
  </r>
  <r>
    <s v="UC108"/>
    <m/>
    <s v="CLI"/>
    <m/>
    <s v="BIOCLINICA GERMANY"/>
    <s v="SRV_21132 - P00317_2021"/>
    <s v="P00317_2021"/>
    <s v="9.1 - Study close-out"/>
    <m/>
    <m/>
    <m/>
    <n v="3452"/>
    <x v="1"/>
    <m/>
    <n v="3452"/>
    <n v="0"/>
  </r>
  <r>
    <s v="UC108"/>
    <m/>
    <s v="CLI"/>
    <m/>
    <s v="BIOCLINICA GERMANY"/>
    <s v="SRV_21132 - P00317_2021"/>
    <s v="P00317_2021"/>
    <s v="OPTIONAL SERVICES - 1.1 - Study Set-Up - Expedited"/>
    <m/>
    <m/>
    <m/>
    <n v="2157"/>
    <x v="1"/>
    <m/>
    <n v="2157"/>
    <n v="0"/>
  </r>
  <r>
    <s v="UC108"/>
    <m/>
    <s v="CLI"/>
    <m/>
    <s v="BIOCLINICA GERMANY"/>
    <s v="SRV_21132 - P00317_2021"/>
    <s v="P00317_2021"/>
    <s v="OPTIONAL SERVICES - 1.5.1 - Scientific Support and Consultation"/>
    <m/>
    <m/>
    <m/>
    <n v="5505"/>
    <x v="1"/>
    <m/>
    <n v="5505"/>
    <n v="0"/>
  </r>
  <r>
    <s v="UC108"/>
    <m/>
    <s v="CLI"/>
    <m/>
    <s v="BIOCLINICA GERMANY"/>
    <s v="SRV_21132 - P00317_2021"/>
    <s v="P00317_2021"/>
    <s v="OPTIONAL SERVICES - 1.5.1 - Cardiologist Support and Consultation"/>
    <m/>
    <m/>
    <m/>
    <n v="5180"/>
    <x v="1"/>
    <m/>
    <n v="5180"/>
    <n v="0"/>
  </r>
  <r>
    <s v="UC108"/>
    <m/>
    <s v="CLI"/>
    <m/>
    <s v="BIOCLINICA GERMANY"/>
    <s v="SRV_21132 - P00317_2021"/>
    <s v="P00317_2021"/>
    <s v="OPTIONAL SERVICES - 1.5.3 - Independent Review Charter Development"/>
    <m/>
    <m/>
    <m/>
    <n v="15747"/>
    <x v="1"/>
    <m/>
    <n v="15747"/>
    <n v="0"/>
  </r>
  <r>
    <s v="UC108"/>
    <m/>
    <s v="CLI"/>
    <m/>
    <s v="BIOCLINICA GERMANY"/>
    <s v="SRV_21132 - P00317_2021"/>
    <s v="P00317_2021"/>
    <s v="OPTIONAL SERVICES - 3.1 - 3.2  - Site Management and Project management (execution)"/>
    <m/>
    <m/>
    <m/>
    <n v="4230"/>
    <x v="1"/>
    <m/>
    <n v="4230"/>
    <n v="0"/>
  </r>
  <r>
    <s v="UC108"/>
    <m/>
    <s v="CLI"/>
    <m/>
    <s v="BIOCLINICA GERMANY"/>
    <s v="SRV_21132 - P00317_2021"/>
    <s v="P00317_2021"/>
    <s v="OPTIONAL SERVICES - 6.1.1 - Electronic Reading System (ECHO)"/>
    <m/>
    <m/>
    <m/>
    <n v="15532"/>
    <x v="1"/>
    <m/>
    <n v="15532"/>
    <n v="0"/>
  </r>
  <r>
    <s v="UC108"/>
    <m/>
    <s v="CLI"/>
    <m/>
    <s v="BIOCLINICA GERMANY"/>
    <s v="SRV_21132 - P00317_2021"/>
    <s v="P00317_2021"/>
    <s v="OPTIONAL SERVICES - 6.1.1 - Citrix license tech support"/>
    <m/>
    <m/>
    <m/>
    <n v="5609"/>
    <x v="1"/>
    <m/>
    <n v="5609"/>
    <n v="0"/>
  </r>
  <r>
    <s v="UC108"/>
    <m/>
    <s v="CLI"/>
    <m/>
    <s v="BIOCLINICA GERMANY"/>
    <s v="SRV_21132 - P00317_2021"/>
    <s v="P00317_2021"/>
    <s v="OPTIONAL SERVICES - 6.1.2 - Systems support"/>
    <m/>
    <m/>
    <m/>
    <n v="2420"/>
    <x v="1"/>
    <m/>
    <n v="2420"/>
    <n v="0"/>
  </r>
  <r>
    <s v="UC108"/>
    <m/>
    <s v="CLI"/>
    <m/>
    <s v="BIOCLINICA GERMANY"/>
    <s v="SRV_21132 - P00317_2021"/>
    <s v="P00317_2021"/>
    <s v="OPTIONAL SERVICES - 6.1.3 - Ongoing Data Management"/>
    <m/>
    <m/>
    <m/>
    <n v="3710"/>
    <x v="1"/>
    <m/>
    <n v="3710"/>
    <n v="0"/>
  </r>
  <r>
    <s v="UC108"/>
    <m/>
    <s v="CLI"/>
    <m/>
    <s v="BIOCLINICA GERMANY"/>
    <s v="SRV_21132 - P00317_2021"/>
    <s v="P00317_2021"/>
    <s v="OPTIONAL SERVICES - 6.1.5 - Study Specifications Training Session Preparation"/>
    <m/>
    <m/>
    <m/>
    <n v="5255"/>
    <x v="1"/>
    <m/>
    <n v="5255"/>
    <n v="0"/>
  </r>
  <r>
    <s v="UC108"/>
    <m/>
    <s v="CLI"/>
    <m/>
    <s v="BIOCLINICA GERMANY"/>
    <s v="SRV_21132 - P00317_2021"/>
    <s v="P00317_2021"/>
    <s v="OPTIONAL SERVICES - 6.1.5 - Cardiologist Attendance at Study Specifications Training"/>
    <m/>
    <m/>
    <m/>
    <n v="2373"/>
    <x v="1"/>
    <m/>
    <n v="2373"/>
    <n v="0"/>
  </r>
  <r>
    <s v="UC108"/>
    <m/>
    <s v="CLI"/>
    <m/>
    <s v="BIOCLINICA GERMANY"/>
    <s v="SRV_21132 - P00317_2021"/>
    <s v="P00317_2021"/>
    <s v="OPTIONAL SERVICES - 6.1.6 - ECHO: Primary Review"/>
    <m/>
    <m/>
    <m/>
    <n v="3410"/>
    <x v="1"/>
    <m/>
    <n v="3410"/>
    <n v="0"/>
  </r>
  <r>
    <s v="UC108"/>
    <m/>
    <s v="CLI"/>
    <m/>
    <s v="BIOCLINICA GERMANY"/>
    <s v="SRV_21132 - P00317_2021"/>
    <s v="P00317_2021"/>
    <s v="OPTIONAL SERVICES - 8.1.1 - Data transfer customization/programming (ECHO)"/>
    <m/>
    <m/>
    <m/>
    <n v="5756"/>
    <x v="1"/>
    <m/>
    <n v="5756"/>
    <n v="0"/>
  </r>
  <r>
    <s v="UC108"/>
    <m/>
    <s v="CLI"/>
    <m/>
    <s v="BIOCLINICA GERMANY"/>
    <s v="SRV_21132 - P00317_2021"/>
    <s v="P00317_2021"/>
    <s v="OPTIONAL SERVICES - 8.1.2 - Number of routine electronic data transfers (ECHO)"/>
    <m/>
    <m/>
    <m/>
    <n v="1208"/>
    <x v="1"/>
    <m/>
    <n v="1208"/>
    <n v="0"/>
  </r>
  <r>
    <s v="UC108"/>
    <m/>
    <s v="CLI"/>
    <m/>
    <s v="BIOCLINICA GERMANY"/>
    <s v="SRV_21132 - P00317_2021"/>
    <s v="P00317_2021"/>
    <s v="OPTIONAL SERVICES - 8.1.2 - Number of milestone data transfers (ECHO)"/>
    <m/>
    <m/>
    <m/>
    <n v="1165"/>
    <x v="1"/>
    <m/>
    <n v="1165"/>
    <n v="0"/>
  </r>
  <r>
    <s v="UC104"/>
    <m/>
    <s v="CLI"/>
    <m/>
    <s v="BIOGAZELLE"/>
    <s v="Quote 20220105_01_NBR_104 - P00007_2022"/>
    <s v="P00007_2022"/>
    <s v="Mir124 determination ABX464-104 clinical samples"/>
    <m/>
    <s v="INV 2 + INV 36 + INV 47 + INV 87 + INV 15 + INV 62 + INV 63"/>
    <s v="11/01/2022 + 31/03/2022 + 29/04/2022 + 22/08/2022 + 14/02/2023 + 09/06/2023 + 26/06/2023"/>
    <n v="596800"/>
    <x v="1"/>
    <n v="358401.43000000005"/>
    <n v="238398.56999999995"/>
    <n v="358401.43000000005"/>
  </r>
  <r>
    <s v="HIV006"/>
    <m/>
    <s v="CLI"/>
    <m/>
    <s v="BIOGAZELLE"/>
    <s v="SRV_18106"/>
    <m/>
    <s v="Validation study 30%"/>
    <m/>
    <s v="INV 2018.0160 "/>
    <n v="43340"/>
    <n v="13350"/>
    <x v="1"/>
    <s v="OK"/>
    <n v="0"/>
    <n v="13350"/>
  </r>
  <r>
    <s v="HIV006"/>
    <m/>
    <s v="CLI"/>
    <m/>
    <s v="BIOGAZELLE"/>
    <s v="SRV_18106"/>
    <m/>
    <s v="Report 50%"/>
    <m/>
    <m/>
    <s v="STAND BY cf mail de SC le 04/04/2019"/>
    <n v="22250"/>
    <x v="1"/>
    <m/>
    <n v="22250"/>
    <n v="0"/>
  </r>
  <r>
    <s v="HIV006"/>
    <m/>
    <s v="CLI"/>
    <m/>
    <s v="BIOGAZELLE"/>
    <s v="SRV_18106"/>
    <m/>
    <s v="Acceptance of the final report 20%"/>
    <m/>
    <m/>
    <s v="STAND BY cf mail de SC le 04/04/2019"/>
    <n v="8900"/>
    <x v="1"/>
    <m/>
    <n v="8900"/>
    <n v="0"/>
  </r>
  <r>
    <s v="ABX464"/>
    <m/>
    <s v="CLI"/>
    <m/>
    <s v="BIOIVT"/>
    <s v="112123PM1r2 - SOW#1 - P00092_2024"/>
    <s v="P00092_2024"/>
    <s v="112123PM1r2 - SOW#1"/>
    <m/>
    <s v="INV SI16000002875 - CM16000000098"/>
    <s v="21/02/2024 + 06/03/2024"/>
    <n v="0"/>
    <x v="3"/>
    <n v="0"/>
    <n v="0"/>
    <n v="0"/>
  </r>
  <r>
    <s v="ABX464"/>
    <m/>
    <s v="CLI"/>
    <m/>
    <s v="BIOIVT"/>
    <s v="112123PM1r2 - SOW#1 +A1(P00129_2024) + A1CO1 (P00506_2024)"/>
    <s v="P00129_2024 + P00506_2024"/>
    <s v="112123PM1r2 - SOW#1 - Add work"/>
    <m/>
    <s v="INV SI16000002884 + INV SI16000003118"/>
    <s v="08/03/2024 + 05/11/2024"/>
    <n v="16014"/>
    <x v="3"/>
    <n v="16014"/>
    <n v="0"/>
    <n v="16014"/>
  </r>
  <r>
    <s v="ABX464"/>
    <m/>
    <s v="CLI"/>
    <s v="Doug / Caroline L"/>
    <s v="BIOIVT"/>
    <s v="110623PM1r2 - SOW#2 - P00093_2024"/>
    <s v="P00093_2024"/>
    <s v="110623PM1r2 - SOW#2"/>
    <m/>
    <s v="INV SI16000002876 + INV SI16000003005 + INV SI16000003009"/>
    <s v="21/02/2024 + 18/07/2024 + 19/07/2024"/>
    <n v="24184"/>
    <x v="3"/>
    <n v="24184"/>
    <n v="0"/>
    <n v="24184"/>
  </r>
  <r>
    <s v="ABX464"/>
    <m/>
    <s v="CLI"/>
    <s v="Doug / Caroline L"/>
    <s v="BIOIVT - XenoTech"/>
    <s v="XT233133 - SOW#3 - P00094_2024"/>
    <s v="P00094_2024"/>
    <s v="SOW#3 - In vitro evalu ABX464NGlu"/>
    <m/>
    <s v="INV S26642 + INV SI21000001391 + INV SI21000001551"/>
    <s v="15/02/2024 + 18/07/2024 + 20/08/2024"/>
    <n v="46100"/>
    <x v="3"/>
    <n v="46100"/>
    <n v="0"/>
    <n v="46100"/>
  </r>
  <r>
    <s v="ABX464"/>
    <m/>
    <s v="CLI"/>
    <s v="Doug / Caroline L"/>
    <s v="BIOIVT - XenoTech"/>
    <s v="XT238095 - SOW#4 - P00098_2024"/>
    <s v="P00098_2024"/>
    <s v=" SOW#4 - Bidirectionnal Permeability ABX464"/>
    <m/>
    <s v="INV S26656 + SI21000001491 + INV SI21000001639"/>
    <s v="15/02/2024 + 31/07/2024 + 31/08/2024"/>
    <n v="43378"/>
    <x v="3"/>
    <n v="43378"/>
    <n v="0"/>
    <n v="43378"/>
  </r>
  <r>
    <s v="NOTAPP"/>
    <m/>
    <s v="CLI"/>
    <s v="Doug / Caroline L"/>
    <s v="BIOIVT - XenoTech"/>
    <s v="090424RT1 - P00508_2024"/>
    <s v="P00508_2024"/>
    <s v="Transporteur studies for MRP2, BCRP &amp; P-gp"/>
    <m/>
    <s v="INV SI16000003119 + INV SI16000003186 + INV SI16000003214 + INV SI16000003230"/>
    <s v="05/11/2024 + 17/12/2024 + 31/01/2025 + 18/02/2025"/>
    <n v="16473"/>
    <x v="3"/>
    <n v="24709.5"/>
    <n v="0"/>
    <n v="24709.5"/>
  </r>
  <r>
    <s v="ABX464"/>
    <m/>
    <s v="LAB"/>
    <s v="Aude G"/>
    <s v="BIOLEGEND"/>
    <s v="1xJBG10125NC-ABIV - P00032_2025"/>
    <s v="P00032_2025"/>
    <s v="Consommable Labo"/>
    <m/>
    <s v="INV EUSI317770"/>
    <d v="2025-01-23T00:00:00"/>
    <n v="6763.2"/>
    <x v="1"/>
    <n v="6763.2"/>
    <n v="0"/>
    <n v="6763.2"/>
  </r>
  <r>
    <s v="ABX464"/>
    <m/>
    <s v="LAB"/>
    <s v="Aude G"/>
    <s v="BIOLOG ID"/>
    <s v="DV00004200 - P00550_2024"/>
    <s v="P00550_2024"/>
    <s v="Consommable Labo"/>
    <m/>
    <s v="INV 8554"/>
    <d v="2024-12-05T00:00:00"/>
    <n v="3000"/>
    <x v="1"/>
    <n v="3000"/>
    <n v="0"/>
    <n v="3000"/>
  </r>
  <r>
    <s v="ABX196"/>
    <m/>
    <s v="CMC"/>
    <m/>
    <s v="BIOSYNTH"/>
    <s v="Devis 10091701 - P00151_2021"/>
    <s v="P00151_2021"/>
    <s v="Dev WP1A - Developpement work and report of improvements"/>
    <m/>
    <s v="INV 25077537 + INV 25084389"/>
    <s v="30/06/2021 + 23/09/2021"/>
    <n v="37000"/>
    <x v="1"/>
    <n v="37000"/>
    <n v="0"/>
    <n v="37000"/>
  </r>
  <r>
    <s v="ABX196"/>
    <m/>
    <s v="CMC"/>
    <m/>
    <s v="BIOSYNTH"/>
    <s v="Devis 10091701 - P00152_2021"/>
    <s v="P00152_2021"/>
    <s v="Dev WP2 - Analytical Method Implementation and Development"/>
    <m/>
    <m/>
    <m/>
    <n v="32300"/>
    <x v="1"/>
    <m/>
    <n v="32300"/>
    <n v="0"/>
  </r>
  <r>
    <s v="ABX464"/>
    <m/>
    <s v="LAB"/>
    <s v="Aude G"/>
    <s v="BIO-TECHNE"/>
    <s v="Q-536639 - P00400_2024"/>
    <s v="P00400_2024"/>
    <s v="Consommable Labo"/>
    <m/>
    <s v="INV FRCI-00025605"/>
    <d v="2024-09-02T00:00:00"/>
    <n v="1050"/>
    <x v="1"/>
    <n v="1050"/>
    <n v="0"/>
    <n v="1050"/>
  </r>
  <r>
    <s v="ABX464"/>
    <m/>
    <s v="BDE"/>
    <m/>
    <s v="BRANDSYMBOL"/>
    <s v="SRV_20078"/>
    <m/>
    <s v="Proposal for risk assessment ABX464 in COVID indication - 50% signature"/>
    <m/>
    <s v="INV 2204"/>
    <d v="2020-07-22T00:00:00"/>
    <n v="4375"/>
    <x v="3"/>
    <s v="OK"/>
    <n v="0"/>
    <n v="4375"/>
  </r>
  <r>
    <s v="ABX464"/>
    <m/>
    <s v="BDE"/>
    <m/>
    <s v="BRANDSYMBOL"/>
    <s v="SRV_20078"/>
    <m/>
    <s v="Proposal for risk assessment ABX464 in COVID indication - 25% +60j"/>
    <d v="2020-09-01T00:00:00"/>
    <m/>
    <m/>
    <n v="2187.5"/>
    <x v="3"/>
    <m/>
    <n v="2187.5"/>
    <n v="0"/>
  </r>
  <r>
    <s v="ABX464"/>
    <m/>
    <s v="BDE"/>
    <m/>
    <s v="BRANDSYMBOL"/>
    <s v="SRV_20078"/>
    <m/>
    <s v="Proposal for risk assessment ABX464 in COVID indication - 25 au rapport"/>
    <d v="2020-11-30T00:00:00"/>
    <m/>
    <m/>
    <n v="2187.5"/>
    <x v="3"/>
    <m/>
    <n v="2187.5"/>
    <n v="0"/>
  </r>
  <r>
    <s v="ABX464"/>
    <m/>
    <s v="BDE"/>
    <m/>
    <s v="BRANDSYMBOL"/>
    <s v="SRV_20079"/>
    <m/>
    <s v="Proposal for global proprietary brand ABX464 - 50% a signature"/>
    <m/>
    <s v="INV 2203"/>
    <d v="2020-07-22T00:00:00"/>
    <n v="49765.5"/>
    <x v="3"/>
    <s v="OK"/>
    <n v="0"/>
    <n v="49765.5"/>
  </r>
  <r>
    <s v="ABX464"/>
    <m/>
    <s v="BDE"/>
    <m/>
    <s v="BRANDSYMBOL"/>
    <s v="SRV_20079"/>
    <m/>
    <s v="Proposal for global proprietary brand ABX464 - 25% +60j"/>
    <m/>
    <s v="INV 2239"/>
    <d v="2020-09-15T00:00:00"/>
    <n v="24882.75"/>
    <x v="3"/>
    <s v="OK"/>
    <n v="0"/>
    <n v="24882.75"/>
  </r>
  <r>
    <s v="ABX464"/>
    <m/>
    <s v="BDE"/>
    <m/>
    <s v="BRANDSYMBOL"/>
    <s v="SRV_20079"/>
    <m/>
    <s v="Proposal for global proprietary brand ABX464 - 25% au rapport"/>
    <d v="2021-01-30T00:00:00"/>
    <m/>
    <m/>
    <n v="24882.75"/>
    <x v="3"/>
    <m/>
    <n v="24882.75"/>
    <n v="0"/>
  </r>
  <r>
    <s v="196-1"/>
    <m/>
    <s v="CLI"/>
    <m/>
    <s v="C3 RESEARCH"/>
    <s v="MSA_19134_WO1"/>
    <m/>
    <s v="DEPOSIT 400 000 USD - LOI INVOICED"/>
    <m/>
    <s v="INV 11769"/>
    <d v="2019-09-25T00:00:00"/>
    <n v="266067.64"/>
    <x v="3"/>
    <n v="266067.64"/>
    <n v="0"/>
    <n v="266067.64"/>
  </r>
  <r>
    <s v="196-1"/>
    <m/>
    <s v="CLI"/>
    <m/>
    <s v="C3 RESEARCH"/>
    <s v="MSA_19134_WO1"/>
    <m/>
    <s v="Monthly fee - services ((2 158 520-400 000)/ 36 mois) + PTC 240 400 / 36 mois"/>
    <m/>
    <s v="INV 11751 + INV 11770"/>
    <s v="08/08/2019 + 09/10/2019"/>
    <n v="34466.6"/>
    <x v="3"/>
    <n v="34466.6"/>
    <n v="0"/>
    <n v="34466.6"/>
  </r>
  <r>
    <s v="196-1"/>
    <m/>
    <s v="CLI"/>
    <m/>
    <s v="C3 RESEARCH"/>
    <s v="MSA_19134_WO1"/>
    <m/>
    <s v="Monthly fee - services ((2 158 520-400 000)/ 36 mois) + PTC 240 400 / 36 mois"/>
    <m/>
    <s v="INV 11753"/>
    <d v="2019-09-11T00:00:00"/>
    <n v="95931.51"/>
    <x v="3"/>
    <n v="95931.51"/>
    <n v="0"/>
    <n v="95931.51"/>
  </r>
  <r>
    <s v="196-1"/>
    <m/>
    <s v="CLI"/>
    <m/>
    <s v="C3 RESEARCH"/>
    <s v="MSA_19134_WO1"/>
    <m/>
    <s v="Monthly fee - services - 20 000 USD Deposit 400 000 / 20 mois"/>
    <m/>
    <s v="INV 11788 + INV 11806"/>
    <s v="11/11/2019 + 16/12/2019"/>
    <n v="17002.91"/>
    <x v="3"/>
    <n v="17002.91"/>
    <n v="0"/>
    <n v="17002.91"/>
  </r>
  <r>
    <s v="196-1"/>
    <m/>
    <s v="CLI"/>
    <m/>
    <s v="C3 RESEARCH"/>
    <s v="MSA_19134_WO1"/>
    <m/>
    <s v="Monthly fee - services - 20 000 USD Deposit 400 000 / 20 mois"/>
    <m/>
    <s v="INV 11825"/>
    <d v="2020-01-09T00:00:00"/>
    <n v="4.18"/>
    <x v="3"/>
    <n v="4.18"/>
    <n v="0"/>
    <n v="4.18"/>
  </r>
  <r>
    <s v="196-1"/>
    <m/>
    <s v="CLI"/>
    <m/>
    <s v="C3 RESEARCH"/>
    <s v="MSA_19134_WO1"/>
    <m/>
    <s v="Monthly fee - services - 20 000 USD Deposit 400 000 / 20 mois"/>
    <m/>
    <s v="INV 11845"/>
    <d v="2020-02-07T00:00:00"/>
    <n v="0"/>
    <x v="3"/>
    <n v="0"/>
    <n v="0"/>
    <n v="0"/>
  </r>
  <r>
    <s v="196-1"/>
    <m/>
    <s v="CLI"/>
    <m/>
    <s v="C3 RESEARCH"/>
    <s v="MSA_19134_WO1"/>
    <m/>
    <s v="Monthly fee - services - 20 000 USD Deposit 400 000 / 20 mois"/>
    <m/>
    <s v="INV 11867"/>
    <d v="2020-03-10T00:00:00"/>
    <n v="0"/>
    <x v="3"/>
    <n v="0"/>
    <n v="0"/>
    <n v="0"/>
  </r>
  <r>
    <s v="196-1"/>
    <m/>
    <s v="CLI"/>
    <m/>
    <s v="C3 RESEARCH"/>
    <s v="MSA_19134_WO1"/>
    <m/>
    <s v="Monthly fee - services - 20 000 USD Deposit 400 000 / 20 mois"/>
    <m/>
    <s v="INV 11890"/>
    <d v="2020-04-09T00:00:00"/>
    <n v="7784.18"/>
    <x v="3"/>
    <n v="7784.18"/>
    <n v="0"/>
    <n v="7784.18"/>
  </r>
  <r>
    <s v="196-1"/>
    <m/>
    <s v="CLI"/>
    <m/>
    <s v="C3 RESEARCH"/>
    <s v="MSA_19134_WO1"/>
    <m/>
    <s v="Monthly fee - services - 20 000 USD Deposit 400 000 / 20 mois"/>
    <m/>
    <s v="INV 11909"/>
    <d v="2020-05-11T00:00:00"/>
    <n v="21270"/>
    <x v="3"/>
    <n v="21270"/>
    <n v="0"/>
    <n v="21270"/>
  </r>
  <r>
    <s v="196-1"/>
    <m/>
    <s v="CLI"/>
    <m/>
    <s v="C3 RESEARCH"/>
    <s v="MSA_19134_WO1"/>
    <m/>
    <s v="Monthly fee - services - 20 000 USD Deposit 400 000 / 20 mois"/>
    <m/>
    <s v="INV 11933"/>
    <d v="2020-06-09T00:00:00"/>
    <n v="5176.5"/>
    <x v="3"/>
    <n v="5176.5"/>
    <n v="0"/>
    <n v="5176.5"/>
  </r>
  <r>
    <s v="196-1"/>
    <m/>
    <s v="CLI"/>
    <m/>
    <s v="C3 RESEARCH"/>
    <s v="MSA_19134_WO1"/>
    <m/>
    <s v="Monthly fee - services - 20 000 USD Deposit 400 000 / 20 mois"/>
    <m/>
    <s v="INV 11963"/>
    <d v="2020-07-10T00:00:00"/>
    <n v="8057.5"/>
    <x v="3"/>
    <n v="8057.5"/>
    <n v="0"/>
    <n v="8057.5"/>
  </r>
  <r>
    <s v="196-1"/>
    <m/>
    <s v="CLI"/>
    <m/>
    <s v="C3 RESEARCH"/>
    <s v="MSA_19134_WO1"/>
    <m/>
    <s v="Monthly fee - services - 20 000 USD Deposit 400 000 / 20 mois"/>
    <m/>
    <s v="INV 11993"/>
    <d v="2020-08-10T00:00:00"/>
    <n v="29848.75"/>
    <x v="3"/>
    <n v="29848.75"/>
    <n v="0"/>
    <n v="29848.75"/>
  </r>
  <r>
    <s v="196-1"/>
    <m/>
    <s v="CLI"/>
    <m/>
    <s v="C3 RESEARCH"/>
    <s v="MSA_19134_WO1"/>
    <m/>
    <s v="Monthly fee - services - 20 000 USD Deposit 400 000 / 20 mois"/>
    <m/>
    <s v="INV 12014"/>
    <d v="2020-09-10T00:00:00"/>
    <n v="8938.5"/>
    <x v="3"/>
    <n v="8938.5"/>
    <n v="0"/>
    <n v="8938.5"/>
  </r>
  <r>
    <s v="196-1"/>
    <m/>
    <s v="CLI"/>
    <m/>
    <s v="C3 RESEARCH"/>
    <s v="MSA_19134_WO1"/>
    <m/>
    <s v="Monthly fee - services - 20 000 USD Deposit 400 000 / 20 mois"/>
    <m/>
    <s v="INV 12036"/>
    <d v="2020-10-09T00:00:00"/>
    <n v="12618.75"/>
    <x v="3"/>
    <n v="12618.75"/>
    <n v="0"/>
    <n v="12618.75"/>
  </r>
  <r>
    <s v="196-1"/>
    <m/>
    <s v="CLI"/>
    <m/>
    <s v="C3 RESEARCH"/>
    <s v="MSA_19134_WO1"/>
    <m/>
    <s v="Monthly fee - services - 20 000 USD Deposit 400 000 / 20 mois"/>
    <m/>
    <s v="INV 12049"/>
    <d v="2020-11-10T00:00:00"/>
    <n v="5312.5"/>
    <x v="3"/>
    <n v="5312.5"/>
    <n v="0"/>
    <n v="5312.5"/>
  </r>
  <r>
    <s v="196-1"/>
    <m/>
    <s v="CLI"/>
    <m/>
    <s v="C3 RESEARCH"/>
    <s v="MSA_19134_WO1"/>
    <m/>
    <s v="Monthly fee - services - 20 000 USD Deposit 400 000 / 20 mois"/>
    <m/>
    <s v="INV 12072"/>
    <d v="2020-12-10T00:00:00"/>
    <n v="8423.5"/>
    <x v="3"/>
    <n v="8423.5"/>
    <n v="0"/>
    <n v="8423.5"/>
  </r>
  <r>
    <s v="196-1"/>
    <m/>
    <s v="CLI"/>
    <m/>
    <s v="C3 RESEARCH"/>
    <s v="MSA_19134_WO1"/>
    <m/>
    <s v="Monthly fee - services - 20 000 USD Deposit 400 000 / 20 mois"/>
    <m/>
    <s v="INV 12094"/>
    <d v="2021-01-11T00:00:00"/>
    <n v="40156.25"/>
    <x v="3"/>
    <n v="40156.25"/>
    <n v="0"/>
    <n v="40156.25"/>
  </r>
  <r>
    <s v="196-1"/>
    <m/>
    <s v="CLI"/>
    <m/>
    <s v="C3 RESEARCH"/>
    <s v="MSA_19134_WO1"/>
    <m/>
    <s v="Monthly fee - services - 20 000 USD Deposit 400 000 / 20 mois"/>
    <m/>
    <s v="INV 12117 + INV 12152"/>
    <s v="09/02/2021 + 10/03/2021"/>
    <n v="33295.33"/>
    <x v="3"/>
    <n v="33295.33"/>
    <n v="0"/>
    <n v="33295.33"/>
  </r>
  <r>
    <s v="196-1"/>
    <m/>
    <s v="CLI"/>
    <m/>
    <s v="C3 RESEARCH"/>
    <s v="MSA_19134_WO1"/>
    <m/>
    <s v="Monthly fee - services - 20 000 USD Deposit 400 000 / 20 mois"/>
    <m/>
    <s v="INV 12152"/>
    <d v="2021-03-10T00:00:00"/>
    <n v="46636.666666666672"/>
    <x v="3"/>
    <n v="46636.67"/>
    <n v="0"/>
    <n v="46636.67"/>
  </r>
  <r>
    <s v="196-1"/>
    <m/>
    <s v="CLI"/>
    <m/>
    <s v="C3 RESEARCH"/>
    <s v="MSA_19134_WO1"/>
    <m/>
    <s v="Monthly fee - services - 20 000 USD Deposit 400 000 / 20 mois"/>
    <m/>
    <s v="INV 12183"/>
    <d v="2021-04-09T00:00:00"/>
    <n v="14502.5"/>
    <x v="3"/>
    <n v="14502.5"/>
    <n v="0"/>
    <n v="14502.5"/>
  </r>
  <r>
    <s v="196-1"/>
    <m/>
    <s v="CLI"/>
    <m/>
    <s v="C3 RESEARCH"/>
    <s v="MSA_19134_WO1"/>
    <m/>
    <s v="Monthly fee - services - 20 000 USD Deposit 400 000 / 20 mois"/>
    <m/>
    <s v="INV 12199"/>
    <d v="2021-05-12T00:00:00"/>
    <n v="37437.5"/>
    <x v="3"/>
    <n v="37437.5"/>
    <n v="0"/>
    <n v="37437.5"/>
  </r>
  <r>
    <s v="196-1"/>
    <m/>
    <s v="CLI"/>
    <m/>
    <s v="C3 RESEARCH"/>
    <s v="MSA_19134_WO1"/>
    <m/>
    <s v="Monthly fee - services - 20 000 USD Deposit 400 000 / 20 mois"/>
    <m/>
    <s v="INV 12208"/>
    <d v="2021-06-10T00:00:00"/>
    <n v="46636.666666666672"/>
    <x v="3"/>
    <n v="46637"/>
    <n v="0"/>
    <n v="46637"/>
  </r>
  <r>
    <s v="196-1"/>
    <m/>
    <s v="CLI"/>
    <m/>
    <s v="C3 RESEARCH"/>
    <s v="MSA_19134_WO1"/>
    <m/>
    <s v="Monthly fee - services - 20 000 USD Deposit 400 000 / 20 mois"/>
    <m/>
    <s v="INV 12241"/>
    <d v="2021-07-09T00:00:00"/>
    <n v="46636.666666666672"/>
    <x v="3"/>
    <n v="46452.78"/>
    <n v="0"/>
    <n v="46452.78"/>
  </r>
  <r>
    <s v="196-1"/>
    <m/>
    <s v="CLI"/>
    <m/>
    <s v="C3 RESEARCH"/>
    <s v="MSA_19134_WO1 + WO2 + WO3 + WO4"/>
    <m/>
    <s v="Monthly fee - Sur toute l'étude"/>
    <m/>
    <s v="INV 12256 + INV 12290 + INV 12301 + INV 12332 + INV 12344 + INV 12374 + INV 12390 + INV 12413 + INV 12429 + INV 12447 + INV 12465 + INV 12488 + INV 12509 + INV 12537 + INV 12546 + INV 12566 + INV 12585 + INV 12604"/>
    <s v="10/08/2021 + 10/09/2021 + 08/10/2021 + 10/11/2021 + 10/12/2021 + 10/01/2022 + 10/02/2022 + 10/03/2022 + 08/04/2022 + 09/05/2022 + 10/06/2022 + 08/07/2022 + 10/08/2022 + 08/09/2022 + 30/09/2022 + 31/10/2022 + 30/11/2022 + 31/12/2022"/>
    <n v="1385766.4000000001"/>
    <x v="3"/>
    <n v="621905.95000000007"/>
    <n v="763860.45000000007"/>
    <n v="621905.95000000007"/>
  </r>
  <r>
    <s v="NOTAPP"/>
    <m/>
    <s v="MED"/>
    <s v="Sheldon S"/>
    <s v="CALCIUM"/>
    <s v="SOW#6 - P00353_2024"/>
    <s v="P00353_2024"/>
    <s v="Congress Banner &amp; Brochure Printing"/>
    <m/>
    <s v="INV-2460 + INV 2618"/>
    <s v="16/09/2024 + 11/10/2024"/>
    <n v="5455"/>
    <x v="3"/>
    <n v="1608.75"/>
    <n v="3846.25"/>
    <n v="1608.75"/>
  </r>
  <r>
    <s v="ABX464"/>
    <m/>
    <s v="LAB"/>
    <m/>
    <s v="CAPEVAL"/>
    <s v="CEVQ2023.01.01 - P000014_2023"/>
    <s v="P00014_2023"/>
    <s v="Tk calculation ABX464 Nglu Mai rat EFD"/>
    <m/>
    <m/>
    <m/>
    <n v="5500"/>
    <x v="1"/>
    <m/>
    <n v="5500"/>
    <n v="0"/>
  </r>
  <r>
    <s v="ABX464"/>
    <m/>
    <s v="LAB"/>
    <m/>
    <s v="CAPEVAL"/>
    <s v="CEVQ2020.12.01 - P00856_2020"/>
    <s v="P00856_2020"/>
    <s v="Tk interpretation for fertility and early embrionic dev in rat"/>
    <m/>
    <m/>
    <m/>
    <n v="5000"/>
    <x v="1"/>
    <m/>
    <n v="5000"/>
    <n v="0"/>
  </r>
  <r>
    <s v="ABX464"/>
    <m/>
    <s v="LAB"/>
    <m/>
    <s v="CAPEVAL"/>
    <s v="CEVQ2023.04.01 - P00119_2023"/>
    <s v="P00119_2023"/>
    <s v="Ophtalmo juvenil ABX711NGlu"/>
    <m/>
    <m/>
    <m/>
    <n v="4400"/>
    <x v="1"/>
    <m/>
    <n v="4400"/>
    <n v="0"/>
  </r>
  <r>
    <s v="ABX464"/>
    <m/>
    <s v="LAB"/>
    <m/>
    <s v="CAPEVAL"/>
    <s v="CEVQ2023.04.02 - P00120_2023"/>
    <s v="P00120_2023"/>
    <s v="TK juvenile ABX711NGlu"/>
    <m/>
    <m/>
    <m/>
    <n v="5500"/>
    <x v="1"/>
    <m/>
    <n v="5500"/>
    <n v="0"/>
  </r>
  <r>
    <s v="ABX464"/>
    <m/>
    <s v="LAB"/>
    <m/>
    <s v="CAPEVAL"/>
    <s v="CEVQ2023.04.03 - P00121_2023"/>
    <s v="P00121_2023"/>
    <s v="TK juvenile ABX464"/>
    <m/>
    <m/>
    <m/>
    <n v="5500"/>
    <x v="1"/>
    <m/>
    <n v="5500"/>
    <n v="0"/>
  </r>
  <r>
    <s v="ABX464"/>
    <m/>
    <s v="LAB"/>
    <m/>
    <s v="CAPEVAL"/>
    <s v="CEVQ2023.07.01 - P00228_2023"/>
    <s v="P00228_2023"/>
    <s v="Ocular exam ABX464 and ABX464-N-Glucuronide - 26-Week Carcinogenicity"/>
    <m/>
    <s v="INV 230.23.15 + INV 232.23.17 + INV 236.23.21 + INV 238.23.23 + INV 243.23.28 + INV 255.23.40"/>
    <s v="06/07/2023 + 19/07/2023 + 07/08/2023 + 17/08/2023 + 04/10/2023 + 28/12/2023"/>
    <n v="17600"/>
    <x v="1"/>
    <n v="13200"/>
    <n v="4400"/>
    <n v="13200"/>
  </r>
  <r>
    <s v="ABX464"/>
    <m/>
    <s v="LAB"/>
    <m/>
    <s v="CAPEVAL"/>
    <s v="CEVQ2023.12.03 - P00460_2023"/>
    <s v="P00460_2023"/>
    <s v="Peer review juvenil ABX464-Nglu"/>
    <m/>
    <s v="INV 253.23.38 + INV 260.24.04"/>
    <s v="01/01/2024 + 18/03/2024"/>
    <n v="5400"/>
    <x v="1"/>
    <n v="4500"/>
    <n v="900"/>
    <n v="4500"/>
  </r>
  <r>
    <s v="ABX464"/>
    <m/>
    <s v="LAB"/>
    <m/>
    <s v="CAPEVAL"/>
    <s v="CEVQ2023.12.02 - P00461_2023"/>
    <s v="P00461_2023"/>
    <s v="Peer review juvenil ABX464"/>
    <m/>
    <s v="INV 252.23.37 + INV 257.24.01"/>
    <s v="01/01/2024 + 27/02/2024"/>
    <n v="5400"/>
    <x v="1"/>
    <n v="4500"/>
    <n v="900"/>
    <n v="4500"/>
  </r>
  <r>
    <s v="ABX464"/>
    <m/>
    <s v="LAB"/>
    <m/>
    <s v="CAPEVAL"/>
    <s v="CEVQ2023.12.01 - P00465_2023"/>
    <s v="P00465_2023"/>
    <s v="Ocular exam N-Glu juvenil rats extra day"/>
    <m/>
    <m/>
    <m/>
    <n v="2640"/>
    <x v="1"/>
    <m/>
    <n v="2640"/>
    <n v="0"/>
  </r>
  <r>
    <s v="ABX464"/>
    <m/>
    <s v="CMC"/>
    <m/>
    <s v="CATALENT"/>
    <s v="CH.BEI-22.10-001.01 - P00417_2022"/>
    <s v="P00417_2022"/>
    <s v="Development of ABX464 2,5mg/mL oral Pediatric Liquid-in-Bottle Phase I Product"/>
    <m/>
    <s v="INV 35408994 R2 + INV 35409726 R2 + INV 35410211 R2 + INV 35414817 R2"/>
    <s v="30/03/2023 + 30/05/2023 + 30/06/2023 (recu 07/2023) + 28/06/2024"/>
    <n v="319350"/>
    <x v="1"/>
    <n v="98600"/>
    <n v="220750"/>
    <n v="98600"/>
  </r>
  <r>
    <s v="ABX464"/>
    <m/>
    <s v="CMC"/>
    <m/>
    <s v="CATALENT"/>
    <s v="QAR-01.01_CH.22.10-001.01 - P00359_2023"/>
    <s v="P00359_2023"/>
    <s v="Adjustement of Oral Formulation Dev"/>
    <m/>
    <s v="INV 35412394 R2"/>
    <d v="2024-01-01T00:00:00"/>
    <n v="22450"/>
    <x v="1"/>
    <n v="1200"/>
    <n v="21250"/>
    <n v="1200"/>
  </r>
  <r>
    <s v="ABX464"/>
    <m/>
    <s v="CMC"/>
    <m/>
    <s v="CATALENT"/>
    <s v="QAR-02.01 - P00401_2023"/>
    <s v="P00401_2023"/>
    <s v="Animal PK supply and raw material for nonGMP ABX464"/>
    <m/>
    <s v="INV 35414356 R2"/>
    <d v="2024-05-29T00:00:00"/>
    <n v="25500"/>
    <x v="1"/>
    <n v="2500"/>
    <n v="23000"/>
    <n v="2500"/>
  </r>
  <r>
    <s v="NOTAPP"/>
    <m/>
    <s v="QA"/>
    <m/>
    <s v="CEFASYS"/>
    <s v="Devis du 24/04/2023 - P00175_2023"/>
    <s v="P00175_2023"/>
    <s v="Audit GLP/GCLP Charles River St Naz"/>
    <m/>
    <s v="INV 2023-000348"/>
    <d v="2023-07-10T00:00:00"/>
    <n v="2700"/>
    <x v="1"/>
    <n v="2075"/>
    <n v="625"/>
    <n v="2075"/>
  </r>
  <r>
    <s v="NOTAPP"/>
    <m/>
    <s v="QA"/>
    <m/>
    <s v="CEFASYS"/>
    <s v="Devis n°36 - P00329_2023"/>
    <s v="P00329_2023"/>
    <s v="Audit GLP Labcorp Huntingdon - UK"/>
    <m/>
    <s v="INV 2024-000394"/>
    <d v="2024-03-06T00:00:00"/>
    <n v="4500"/>
    <x v="1"/>
    <n v="3239.36"/>
    <n v="1260.6399999999999"/>
    <n v="3239.36"/>
  </r>
  <r>
    <s v="NA"/>
    <m/>
    <s v="CLI"/>
    <m/>
    <s v="Cell&amp;Co"/>
    <s v="DV-ABI-0120-1002 - P00559_2020"/>
    <s v="P00559_2020"/>
    <s v="Formation sur logiciel Biomarcker"/>
    <d v="2020-03-01T00:00:00"/>
    <m/>
    <m/>
    <n v="1468.83"/>
    <x v="1"/>
    <m/>
    <n v="1468.83"/>
    <n v="0"/>
  </r>
  <r>
    <s v="HIV005"/>
    <m/>
    <s v="CLI"/>
    <m/>
    <s v="Cell&amp;Co"/>
    <s v="DV-ABI-0219-704 - P00228_2019"/>
    <s v="P00228_2019"/>
    <s v="Stockage echantillon ABX464-005"/>
    <m/>
    <s v="IV-0419836-ABI"/>
    <d v="2019-04-30T00:00:00"/>
    <n v="1404.14"/>
    <x v="1"/>
    <n v="254.89"/>
    <n v="1149.25"/>
    <n v="254.89"/>
  </r>
  <r>
    <s v="HIV005"/>
    <m/>
    <s v="CLI"/>
    <m/>
    <s v="Cell&amp;Co"/>
    <s v="DV-ABI-0220-1021 - P00575_2020"/>
    <s v="P00575_2020"/>
    <s v="Rapatriation of ABX464-005 PBMC from Atlanbio Gestion et coordianation de projet"/>
    <d v="2020-04-01T00:00:00"/>
    <m/>
    <m/>
    <n v="272.98"/>
    <x v="1"/>
    <m/>
    <n v="272.98"/>
    <n v="0"/>
  </r>
  <r>
    <s v="HIV005"/>
    <m/>
    <s v="CLI"/>
    <m/>
    <s v="Cell&amp;Co"/>
    <s v="DV-ABI-0220-1021 - P00575_2020"/>
    <s v="P00575_2020"/>
    <s v="Rapatriation of ABX464-005 PBMC from Atlanbio - Transport d'échantillon"/>
    <d v="2020-04-01T00:00:00"/>
    <m/>
    <m/>
    <n v="1933.56"/>
    <x v="1"/>
    <m/>
    <n v="1933.56"/>
    <n v="0"/>
  </r>
  <r>
    <s v="HIV005"/>
    <m/>
    <s v="CLI"/>
    <m/>
    <s v="Cell&amp;Co"/>
    <s v="DV-ABI-0220-1021 - P00575_2020"/>
    <s v="P00575_2020"/>
    <s v="Rapatriation of ABX464-005 PBMC from Atlanbio - receptio, contrôle et stock"/>
    <d v="2020-04-01T00:00:00"/>
    <m/>
    <m/>
    <n v="201.83"/>
    <x v="1"/>
    <m/>
    <n v="201.83"/>
    <n v="0"/>
  </r>
  <r>
    <s v="HIV005"/>
    <m/>
    <s v="CLI"/>
    <m/>
    <s v="Cell&amp;Co"/>
    <s v="DV-ABI-0220-1021 - P00575_2020"/>
    <s v="P00575_2020"/>
    <s v="Rapatriation of ABX464-005 PBMC from Atlanbio - Conservation 11 mois"/>
    <d v="2020-04-01T00:00:00"/>
    <m/>
    <m/>
    <n v="1111.02"/>
    <x v="1"/>
    <m/>
    <n v="1111.02"/>
    <n v="0"/>
  </r>
  <r>
    <s v="HIV005"/>
    <m/>
    <s v="CLI"/>
    <m/>
    <s v="Cell&amp;Co"/>
    <s v="DV-ABI-0220-1021 - P00575_2020"/>
    <s v="P00575_2020"/>
    <s v="Rapatriation of ABX464-005 PBMC from Atlanbio - Contrôle des cryoboites"/>
    <d v="2020-04-01T00:00:00"/>
    <m/>
    <m/>
    <n v="4112.97"/>
    <x v="1"/>
    <m/>
    <n v="4112.97"/>
    <n v="0"/>
  </r>
  <r>
    <s v="ABX464"/>
    <m/>
    <s v="LAB"/>
    <m/>
    <s v="Cell&amp;Co"/>
    <s v="DV-ABI-0421-1214 - P00150_2021"/>
    <s v="P00150_2021"/>
    <s v="Transport Stockage échantillon préclinique"/>
    <m/>
    <m/>
    <m/>
    <n v="4989.43"/>
    <x v="1"/>
    <m/>
    <n v="4989.43"/>
    <n v="0"/>
  </r>
  <r>
    <s v="UC103"/>
    <m/>
    <s v="CLI"/>
    <m/>
    <s v="Cell&amp;Co"/>
    <s v="DV-ABI-0422-1276 - P00152_2022"/>
    <s v="P00152_2022"/>
    <s v="Mise en place projet UC103"/>
    <m/>
    <s v="INV IV-06220443-ABI"/>
    <d v="2022-06-30T00:00:00"/>
    <n v="258"/>
    <x v="1"/>
    <n v="258"/>
    <n v="0"/>
    <n v="258"/>
  </r>
  <r>
    <s v="AD903"/>
    <m/>
    <s v="CLI"/>
    <m/>
    <s v="Cell&amp;Co"/>
    <s v="DV-ABI-0423-1390 - P00140_2023"/>
    <s v="P00140_2023"/>
    <s v="Conservation annuelle"/>
    <m/>
    <s v="IV-06230627-ABI + IV-08240851-ABI"/>
    <s v="30/06/2023 + 31/08/2024"/>
    <n v="5512.35"/>
    <x v="1"/>
    <n v="5822.53"/>
    <n v="0"/>
    <n v="5822.53"/>
  </r>
  <r>
    <s v="RA301"/>
    <m/>
    <s v="CLI"/>
    <m/>
    <s v="Cell&amp;Co"/>
    <s v="DV-ABI-0521-1228 - P00155_2021"/>
    <s v="P00155_2021"/>
    <s v="Transport Stockage échantillon ABX464-301"/>
    <m/>
    <s v="INV IV-06210359-ABI"/>
    <d v="2021-06-30T00:00:00"/>
    <n v="3895.52"/>
    <x v="1"/>
    <n v="3161.41"/>
    <n v="734.11000000000013"/>
    <n v="3161.41"/>
  </r>
  <r>
    <s v="UC102"/>
    <m/>
    <s v="CLI"/>
    <m/>
    <s v="Cell&amp;Co"/>
    <s v="DV-ABI-0623-1469 - P00185_2023"/>
    <s v="P00185_2023"/>
    <s v="Conservation échantillons études 102,301,302"/>
    <m/>
    <s v="IV-06230622-ABI + IV-07230707-ABI + IV-07230706-ABI + IV-07230704-ABI"/>
    <s v="30/06/2023 + 31/07/223 + 31/07/2023 + 31/07/2023"/>
    <n v="2610.33"/>
    <x v="1"/>
    <n v="3146.62"/>
    <n v="0"/>
    <n v="3146.62"/>
  </r>
  <r>
    <s v="UC104"/>
    <m/>
    <s v="CLI"/>
    <m/>
    <s v="Cell&amp;Co"/>
    <s v="DV-ABI-0623-1506 - P00198_2023"/>
    <s v="P00198_2023"/>
    <s v="Storage for all samples form EUROFINS"/>
    <m/>
    <s v="IV-07230705-ABI + IV-08230802-ABI + IV-09230892-ABI + IV-10230982-ABI"/>
    <s v="31/07/2023 + 25/08/2023 + 30/09/2023 + 31/10/2023"/>
    <n v="9731.6"/>
    <x v="1"/>
    <n v="12415.54"/>
    <n v="0"/>
    <n v="12415.54"/>
  </r>
  <r>
    <s v="UC103"/>
    <m/>
    <s v="CLI"/>
    <m/>
    <s v="Cell&amp;Co"/>
    <s v="DV-ABI-0722-1440 - P00245_2022"/>
    <s v="P00245_2022"/>
    <s v="Rapatriement Eurofins LANCASTER et Convervation echantillon ABX464-103"/>
    <m/>
    <s v="INV IV-09220625-ABI"/>
    <d v="2022-09-30T00:00:00"/>
    <n v="1069.48"/>
    <x v="1"/>
    <n v="521.83000000000004"/>
    <n v="547.65"/>
    <n v="521.83000000000004"/>
  </r>
  <r>
    <s v="UC101"/>
    <m/>
    <s v="CLI"/>
    <m/>
    <s v="Cell&amp;Co"/>
    <s v="DV-ABI-0919-858 - P00428_2019"/>
    <s v="P00428_2019"/>
    <s v="Rapatriement faeces + sérum étude 101"/>
    <d v="2020-06-01T00:00:00"/>
    <s v="IV-1019972-ABI"/>
    <d v="2019-10-31T00:00:00"/>
    <n v="2882.24"/>
    <x v="1"/>
    <n v="530.85"/>
    <n v="2351.39"/>
    <n v="530.85"/>
  </r>
  <r>
    <s v="UC101"/>
    <m/>
    <s v="CLI"/>
    <m/>
    <s v="Cell&amp;Co"/>
    <s v="DV-ABI-0919-858 - P00428_2019"/>
    <s v="P00428_2019"/>
    <s v="Conservation 3 mois"/>
    <m/>
    <s v="IV-1019972-ABI"/>
    <d v="2019-10-31T00:00:00"/>
    <n v="208.04333333333332"/>
    <x v="1"/>
    <s v="OK"/>
    <n v="0"/>
    <n v="208.04333333333332"/>
  </r>
  <r>
    <s v="UC101"/>
    <m/>
    <s v="CLI"/>
    <m/>
    <s v="Cell&amp;Co"/>
    <s v="DV-ABI-0919-858 - P00428_2019"/>
    <s v="P00428_2019"/>
    <s v="Conservation 3 mois"/>
    <m/>
    <s v="IV-1019972-ABI"/>
    <d v="2019-10-31T00:00:00"/>
    <n v="208.04333333333332"/>
    <x v="1"/>
    <s v="OK"/>
    <n v="0"/>
    <n v="208.04333333333332"/>
  </r>
  <r>
    <s v="UC101"/>
    <m/>
    <s v="CLI"/>
    <m/>
    <s v="Cell&amp;Co"/>
    <s v="DV-ABI-0919-858 - P00428_2019"/>
    <s v="P00428_2019"/>
    <s v="Conservation 3 mois"/>
    <d v="2020-06-01T00:00:00"/>
    <s v="IV-1019972-ABI"/>
    <d v="2019-10-31T00:00:00"/>
    <n v="208.04333333333332"/>
    <x v="1"/>
    <n v="110"/>
    <n v="98.043333333333322"/>
    <n v="110"/>
  </r>
  <r>
    <s v="UC103"/>
    <m/>
    <s v="CLI"/>
    <m/>
    <s v="Cell&amp;Co"/>
    <s v="DV-ABI-0922-1539 - P00312_2022"/>
    <s v="P00312_2022"/>
    <s v="Rapatriement Eurofins BREDA et Convervation echantillon ABX464-103"/>
    <m/>
    <s v="INV IV-10220688-ABI + INV IV-11231058-ABI"/>
    <s v="31/10/2022 + 30/11/2023"/>
    <n v="9645"/>
    <x v="1"/>
    <n v="4734.32"/>
    <n v="4910.68"/>
    <n v="4734.32"/>
  </r>
  <r>
    <s v="UC101"/>
    <m/>
    <s v="CLI"/>
    <m/>
    <s v="Cell&amp;Co"/>
    <s v="DV-ABI-1018-572 - P00080 (Docushare)"/>
    <m/>
    <s v="ABX464-11 Sample's transfer from Eurofins to Cell&amp;Co"/>
    <m/>
    <s v="IV-01ABX19686-ABI"/>
    <d v="2019-01-31T00:00:00"/>
    <n v="1931"/>
    <x v="1"/>
    <n v="624.48"/>
    <n v="1306.52"/>
    <n v="624.48"/>
  </r>
  <r>
    <s v="ABX464"/>
    <s v="CO 4.7"/>
    <s v="LAB"/>
    <m/>
    <s v="Cell&amp;Co"/>
    <s v="DV-ABI-1220-1315 - P00867_2020"/>
    <s v="P00867_2020"/>
    <s v="Rapatriation 9-month cyno from Chrales Rivers To Cell&amp;Co + conservation 12 mois"/>
    <d v="2021-04-01T00:00:00"/>
    <s v="INV IV-01210108-ABI + INV IV-02210139-ABI"/>
    <s v="31/01/2021 + 28/02/2021"/>
    <n v="10051.129999999999"/>
    <x v="1"/>
    <n v="9309.77"/>
    <n v="741.35999999999876"/>
    <n v="9309.77"/>
  </r>
  <r>
    <s v="ABX464"/>
    <m/>
    <s v="CLI"/>
    <m/>
    <s v="Cell&amp;Co"/>
    <s v="IV-01230036-ABI - P00061_2023"/>
    <s v="P00061_2023"/>
    <s v="Conservation année 2023"/>
    <m/>
    <s v="IV-01230036-ABI"/>
    <d v="2023-01-31T00:00:00"/>
    <n v="3221.64"/>
    <x v="1"/>
    <n v="3221.64"/>
    <n v="0"/>
    <n v="3221.64"/>
  </r>
  <r>
    <s v="CO401"/>
    <m/>
    <s v="CLI"/>
    <m/>
    <s v="Cell&amp;Co"/>
    <s v="IV-01230037-ABI - P00069_2023"/>
    <s v="P00069_2023"/>
    <s v="Conservation année 2023"/>
    <m/>
    <s v="IV-01230037-ABI"/>
    <d v="2023-01-31T00:00:00"/>
    <n v="9556.7999999999993"/>
    <x v="1"/>
    <n v="9556.7999999999993"/>
    <n v="0"/>
    <n v="9556.7999999999993"/>
  </r>
  <r>
    <s v="RA301"/>
    <m/>
    <s v="CLI"/>
    <m/>
    <s v="Cell&amp;Co"/>
    <s v="IV-01230038-Abi -P00067_2023"/>
    <s v="P00067_2023"/>
    <s v="Conservation année 2023"/>
    <m/>
    <s v="IV-01230038-Abi"/>
    <d v="2023-01-31T00:00:00"/>
    <n v="1455.36"/>
    <x v="1"/>
    <n v="1455.36"/>
    <n v="0"/>
    <n v="1455.36"/>
  </r>
  <r>
    <s v="ABX464"/>
    <m/>
    <s v="CLI"/>
    <m/>
    <s v="Cell&amp;Co"/>
    <s v="IV-01230039-ABI - P00063_2023"/>
    <s v="P00063_2023"/>
    <s v="Conservation année 2023"/>
    <m/>
    <s v="IV-01230039-ABI"/>
    <d v="2023-01-31T00:00:00"/>
    <n v="2699.76"/>
    <x v="1"/>
    <n v="2699.76"/>
    <n v="0"/>
    <n v="2699.76"/>
  </r>
  <r>
    <s v="ABX464"/>
    <m/>
    <s v="CLI"/>
    <m/>
    <s v="Cell&amp;Co"/>
    <s v="IV-01230040-ABI - P00062_2023"/>
    <s v="P00062_2023"/>
    <s v="Conservation année 2023"/>
    <m/>
    <s v="IV-01230040-ABI"/>
    <d v="2023-01-31T00:00:00"/>
    <n v="5598.12"/>
    <x v="1"/>
    <n v="5598.12"/>
    <n v="0"/>
    <n v="5598.12"/>
  </r>
  <r>
    <s v="ABX464"/>
    <m/>
    <s v="CLI"/>
    <m/>
    <s v="Cell&amp;Co"/>
    <s v="IV-01230041-Abi - P00064_2023"/>
    <s v="P00064_2023"/>
    <s v="Conservation année 2023"/>
    <m/>
    <s v="IV-01230041-Abi"/>
    <d v="2023-01-31T00:00:00"/>
    <n v="1251.48"/>
    <x v="1"/>
    <n v="1251.48"/>
    <n v="0"/>
    <n v="1251.48"/>
  </r>
  <r>
    <s v="ABX196"/>
    <m/>
    <s v="CLI"/>
    <m/>
    <s v="Cell&amp;Co"/>
    <s v="IV-01230042-ABI - P00049_2023"/>
    <s v="P00049_2023"/>
    <s v="Conservation année 2023"/>
    <m/>
    <s v="IV-01230042-ABI"/>
    <d v="2023-01-31T00:00:00"/>
    <n v="754.2"/>
    <x v="1"/>
    <n v="754.2"/>
    <n v="0"/>
    <n v="754.2"/>
  </r>
  <r>
    <s v="UC101"/>
    <m/>
    <s v="CLI"/>
    <m/>
    <s v="Cell&amp;Co"/>
    <s v="IV-01230043-ABI - P00065_2023"/>
    <s v="P00065_2023"/>
    <s v="Conservation année 2023"/>
    <m/>
    <s v="IV-01230043-ABI"/>
    <d v="2023-01-31T00:00:00"/>
    <n v="2591.88"/>
    <x v="1"/>
    <n v="2591.88"/>
    <n v="0"/>
    <n v="2591.88"/>
  </r>
  <r>
    <s v="ABX464"/>
    <m/>
    <s v="LAB"/>
    <m/>
    <s v="Cell&amp;Co"/>
    <s v="IV-01230044-ABI - P00059_2023"/>
    <s v="P00059_2023"/>
    <s v="Conservation année 2023"/>
    <m/>
    <s v="IV-01230044-ABI "/>
    <d v="2023-01-31T00:00:00"/>
    <n v="8363.7099999999991"/>
    <x v="1"/>
    <n v="8363.7099999999991"/>
    <n v="0"/>
    <n v="8363.7099999999991"/>
  </r>
  <r>
    <s v="NOTAPP"/>
    <m/>
    <s v="LAB"/>
    <m/>
    <s v="Cell&amp;Co"/>
    <s v="IV-01230044-ABI - P00070_2023"/>
    <s v="P00070_2023"/>
    <s v="Conservation année 2023"/>
    <m/>
    <s v="IV-01230044-ABI"/>
    <d v="2023-01-31T00:00:00"/>
    <n v="8363.7099999999991"/>
    <x v="1"/>
    <n v="8363.7099999999991"/>
    <n v="0"/>
    <n v="8363.7099999999991"/>
  </r>
  <r>
    <s v="RA302"/>
    <m/>
    <s v="CLI"/>
    <m/>
    <s v="Cell&amp;Co"/>
    <s v="IV-01230067-ABI - P00068_2023"/>
    <s v="P00068_2023"/>
    <s v="Conservation année 2023"/>
    <m/>
    <s v="IV-01230067-ABI"/>
    <d v="2023-01-31T00:00:00"/>
    <n v="1299.96"/>
    <x v="1"/>
    <n v="1299.96"/>
    <n v="0"/>
    <n v="1299.96"/>
  </r>
  <r>
    <s v="UC103"/>
    <m/>
    <s v="CLI"/>
    <m/>
    <s v="Cell&amp;Co"/>
    <s v="IV-01230200-ABI - P00066_2023"/>
    <s v="P00066_2023"/>
    <s v="Conservation année 2023"/>
    <m/>
    <s v="IV-01230200-ABI"/>
    <d v="2023-01-31T00:00:00"/>
    <n v="14730"/>
    <x v="1"/>
    <n v="14730"/>
    <n v="0"/>
    <n v="14730"/>
  </r>
  <r>
    <s v="ABX464"/>
    <m/>
    <s v="CLI"/>
    <m/>
    <s v="Cell&amp;Co"/>
    <s v="DV-ABI-1123-1714-2 - P00433_2023"/>
    <s v="P00433_2023"/>
    <s v="Etude COVID - Storage &amp; Destruction samples from HEGP"/>
    <m/>
    <m/>
    <m/>
    <n v="0"/>
    <x v="1"/>
    <s v="OK"/>
    <n v="0"/>
    <n v="0"/>
  </r>
  <r>
    <s v="CO401"/>
    <m/>
    <s v="CLI"/>
    <m/>
    <s v="Cell&amp;Co"/>
    <s v="DV-ABI-1223-1778 - P00007_2024 remplace P00433_2023"/>
    <s v="P00007_2024"/>
    <s v="Etude COVID - Storage &amp; Destruction samples from HEGP"/>
    <m/>
    <s v="INV IV-01240170-ABI + INV IV-05240533-ABI"/>
    <s v="31/01/2024 + 17/05/2024"/>
    <n v="6791.13"/>
    <x v="1"/>
    <n v="6716.23"/>
    <n v="74.900000000000546"/>
    <n v="6716.23"/>
  </r>
  <r>
    <s v="MD914"/>
    <m/>
    <s v="CLI"/>
    <s v="Julien"/>
    <s v="CELLCARTA"/>
    <s v="ABX14744_ABX464-914_ddPCR_v3.0  + CO1 - P00064_2025 + P00278_2025"/>
    <s v="P00064_2025 + P00278_2025"/>
    <s v="miR124 &amp; miR16 testing blood sample at CC ANT + CO1"/>
    <m/>
    <s v="INV 20250435 + INV 20252051+INV 20252330+INV20252658 + INV 20253366"/>
    <s v="24/02/2025 + 27/06/2025 + 24/07/2025+22/08/2025+30/09/2025"/>
    <n v="175400.55000000002"/>
    <x v="1"/>
    <n v="153055.45000000001"/>
    <n v="22345.100000000006"/>
    <n v="153055.45000000001"/>
  </r>
  <r>
    <s v="UC105"/>
    <m/>
    <s v="CLI"/>
    <s v="Julien"/>
    <s v="CELLCARTA - BIOGAZELLE"/>
    <s v="P2472 + CO1 + CO2 - P00203_2023 + P00144_2025 + P00321_2025"/>
    <s v="P00203_2023 + P00144_2025 + P00321_2025"/>
    <s v="Mir124 UC105"/>
    <m/>
    <s v="INV 20233438 + INV 20240279 + INV 20241368 + INV 20241751 + INV 20242159 + INV 20242292 - INV 20242543 + INV 20242664 + INV 20243250 + INV 20243467 + INV20243853 + INV 20244270 + INV 20250059 + INV 20250443 + INV 20251019 + INV 20251320 + INV 20251753 + INV 20252039 + INV 20252324 + INV 20252653"/>
    <s v="23/10/2023 + 31/01/2024 + 30/04/2024 + 29/05/2024 + 28/06/2024 + 23/07/2024 + 31/07/2024 + 22/08/2024 + 30/09/2024 + 28/10/2024 +27/11/2024 + 27/12/2024 + 24/01/2025 + 24/02/2025 + 28/03/2025 + 29/04/2025 + 28/05/2025 + 27/06/2025 + 24/07/2025+22/08/2025"/>
    <n v="1117496"/>
    <x v="1"/>
    <n v="1032462.34"/>
    <n v="85033.660000000033"/>
    <n v="1032462.34"/>
  </r>
  <r>
    <s v="UC106"/>
    <m/>
    <s v="CLI"/>
    <s v="Julien"/>
    <s v="CELLCARTA - BIOGAZELLE"/>
    <s v="P2472 + Co1 - P00204_2023 + P00322_2025"/>
    <s v="P00204_2023 + P00322_2025"/>
    <s v="Mir124 UC106"/>
    <m/>
    <s v="INV 20233439 + INV 20240284 + INV 20241396 + INV 20241752 + INV 20242160 + INV 20242294 + INV 20242663 + INV 20243062 + INV 20243468 + IN 20243797 +INV 20244361 + INV 20250065 + INV 20250698 + INV 20250985 + INV 20251329 + INV 20251754 + INV 20252036 + INV 20252325 + INV 20252654"/>
    <s v="23/10/2023 + 31/01/2024 + 30/04/2024 + 29/05/2024 + 28/06/2024 + 24/07/2024 + 22/08/2024 + 26/09/2024+ 28/10/2024 + 26/11/2024 + 31/12/2024 +27/01/2025 + 28/02/2025 + 28/03/2025 + 29/04/2025 + 28/05/2025 + 27/06/2025 + 24/07/25+22/08/2025"/>
    <n v="984736"/>
    <x v="1"/>
    <n v="926463.70000000007"/>
    <n v="58272.29999999993"/>
    <n v="926463.70000000007"/>
  </r>
  <r>
    <s v="UC107"/>
    <m/>
    <s v="CLI"/>
    <s v="Julien"/>
    <s v="CELLCARTA - BIOGAZELLE"/>
    <s v="P2472 - P00205_2023"/>
    <s v="P00205_2023"/>
    <s v="Mir124 UC107"/>
    <m/>
    <s v="INV 20233440 + INV 20250215 + INV 20250444 + INV 20250986 + INV 20251330 + INV 20251886 + INV 20252257 + INV 20252326 + INV 20253145 + INV 20253550 + INV 20253872 + INV 20254208 + INV 20260012"/>
    <s v="23/10/2023 + 31/01/2025+24/02/2025+28/03/2025 + 29/04/2025 +31/05/2025 + 30/06/2025 +24/07/2025+25/09/2025+28/10/2025 + 25/11/2025 + 23/12/2025+22/01/2026"/>
    <n v="1206002"/>
    <x v="1"/>
    <n v="974825.71000000008"/>
    <n v="231176.28999999992"/>
    <n v="974825.71000000008"/>
  </r>
  <r>
    <s v="ABX464"/>
    <s v="TOX"/>
    <s v="LAB"/>
    <m/>
    <s v="CERB - ERBC"/>
    <s v="DEVIS 2020-130-1 - P00713_2020"/>
    <s v="P00713_2020"/>
    <s v="Additional blood sampling"/>
    <d v="2020-12-01T00:00:00"/>
    <m/>
    <m/>
    <n v="3030"/>
    <x v="1"/>
    <m/>
    <n v="3030"/>
    <n v="0"/>
  </r>
  <r>
    <s v="ABX464"/>
    <s v="TOX"/>
    <s v="LAB"/>
    <s v="Didier S"/>
    <s v="CHARLES RIVER HUNGARY"/>
    <s v="OPP-318628 + OPP-349662 - CRL-32023961 - P00603_2024"/>
    <s v="P00603_2024"/>
    <s v="ERA phase II B package follow-up"/>
    <m/>
    <s v="INV 49905125 + INV 49905965"/>
    <s v="24/01/2025 + 02/06/2025"/>
    <n v="11730"/>
    <x v="1"/>
    <n v="11730"/>
    <n v="0"/>
    <n v="11730"/>
  </r>
  <r>
    <s v="ABX464"/>
    <s v="TOX"/>
    <s v="LAB"/>
    <s v="Didier S"/>
    <s v="CHARLES RIVER HUNGARY"/>
    <s v="OPP-318628 + OPP-349662 - CRL-32023962 - P00603_2024"/>
    <s v="P00603_2024"/>
    <s v="ERA phase II B package follow-up"/>
    <m/>
    <s v="INV 49905126"/>
    <d v="2025-01-24T00:00:00"/>
    <n v="46990"/>
    <x v="1"/>
    <n v="13257"/>
    <n v="33733"/>
    <n v="13257"/>
  </r>
  <r>
    <s v="ABX464"/>
    <s v="TOX"/>
    <s v="LAB"/>
    <s v="Didier S"/>
    <s v="CHARLES RIVER HUNGARY"/>
    <s v="OPP-318628 + OPP-349662 - CRL-32025578 - P00603_2024"/>
    <s v="P00603_2024"/>
    <s v="ERA phase II B package follow-up"/>
    <m/>
    <s v="INV 49905130"/>
    <d v="2025-01-24T00:00:00"/>
    <n v="8980"/>
    <x v="1"/>
    <n v="2694"/>
    <n v="6286"/>
    <n v="2694"/>
  </r>
  <r>
    <s v="ABX464"/>
    <s v="TOX"/>
    <s v="LAB"/>
    <s v="Didier S"/>
    <s v="CHARLES RIVER HUNGARY"/>
    <s v="OPP-318628 + OPP-349662 - CRL-32023963 - P00603_2024"/>
    <s v="P00603_2024"/>
    <s v="ERA phase II B package follow-up"/>
    <m/>
    <s v="INV 49905127"/>
    <d v="2025-01-24T00:00:00"/>
    <n v="8730"/>
    <x v="1"/>
    <n v="2619"/>
    <n v="6111"/>
    <n v="2619"/>
  </r>
  <r>
    <s v="ABX464"/>
    <s v="TOX"/>
    <s v="LAB"/>
    <s v="Didier S"/>
    <s v="CHARLES RIVER HUNGARY"/>
    <s v="OPP-318628 + OPP-349662 - CRL-32023964 - P00603_2024"/>
    <s v="P00603_2024"/>
    <s v="ERA phase II B package follow-up"/>
    <m/>
    <s v="INV 49905128 + INV 49906647"/>
    <s v="24/01/2025 + 18/08/2025"/>
    <n v="18980"/>
    <x v="1"/>
    <n v="18980"/>
    <n v="0"/>
    <n v="18980"/>
  </r>
  <r>
    <s v="ABX464"/>
    <s v="TOX"/>
    <s v="LAB"/>
    <s v="Didier S"/>
    <s v="CHARLES RIVER HUNGARY"/>
    <s v="OPP-318628 + OPP-349662 - CRL-32023965 - P00603_2024"/>
    <s v="P00603_2024"/>
    <s v="ERA phase II B package follow-up"/>
    <m/>
    <s v="INV 49905129 + INV 49906350"/>
    <s v="24/01/2025 + 11/07/2025"/>
    <n v="22870"/>
    <x v="1"/>
    <n v="22870"/>
    <n v="0"/>
    <n v="22870"/>
  </r>
  <r>
    <s v="ABX464"/>
    <s v="TOX"/>
    <s v="LAB"/>
    <m/>
    <s v="CHARLES RIVER NETHERLAND"/>
    <s v="OPP-318628 - CRL-514187 - P00284_2023"/>
    <s v=" P00284_2023"/>
    <s v="Phase II ERA Assessment"/>
    <m/>
    <s v="INV 47042885 + INV 47044944"/>
    <s v="02/05/2024 + 08/10/2024"/>
    <n v="125732"/>
    <x v="1"/>
    <n v="22188"/>
    <n v="103544"/>
    <n v="22188"/>
  </r>
  <r>
    <s v="ABX464"/>
    <s v="TOX"/>
    <s v="LAB"/>
    <m/>
    <s v="CHARLES RIVER NETHERLAND"/>
    <s v="OPP-318628 - CRL-514188 - P00284_2023"/>
    <s v=" P00284_2023"/>
    <s v="Phase II ERA Assessment"/>
    <m/>
    <s v="INV 47040270"/>
    <d v="2024-01-01T00:00:00"/>
    <n v="5510"/>
    <x v="1"/>
    <n v="1653"/>
    <n v="3857"/>
    <n v="1653"/>
  </r>
  <r>
    <s v="ABX464"/>
    <s v="TOX"/>
    <s v="LAB"/>
    <m/>
    <s v="CHARLES RIVER NETHERLAND"/>
    <s v="OPP-318628 - CRL-514189 - P00284_2023"/>
    <s v=" P00284_2023"/>
    <s v="Phase II ERA Assessment"/>
    <m/>
    <m/>
    <m/>
    <n v="125890"/>
    <x v="1"/>
    <m/>
    <n v="125890"/>
    <n v="0"/>
  </r>
  <r>
    <s v="ABX464"/>
    <s v="TOX"/>
    <s v="LAB"/>
    <m/>
    <s v="CHARLES RIVER NETHERLAND"/>
    <s v="OPP-318628 - CRL-514190 - P00284_2023"/>
    <s v=" P00284_2023"/>
    <s v="Phase II ERA Assessment"/>
    <m/>
    <s v="INV 47044659"/>
    <d v="2024-09-16T00:00:00"/>
    <n v="31380"/>
    <x v="1"/>
    <n v="9414"/>
    <n v="21966"/>
    <n v="9414"/>
  </r>
  <r>
    <s v="ABX464"/>
    <s v="TOX"/>
    <s v="LAB"/>
    <m/>
    <s v="CHARLES RIVER NETHERLAND"/>
    <s v="OPP-318628 - CRL-514191 - P00284_2023"/>
    <s v=" P00284_2023"/>
    <s v="Phase II ERA Assessment"/>
    <m/>
    <s v="INV 47039490 + INV 47041046"/>
    <s v="02/11/2023 + 23/01/2024"/>
    <n v="4490"/>
    <x v="1"/>
    <n v="4490"/>
    <n v="0"/>
    <n v="4490"/>
  </r>
  <r>
    <s v="ABX464"/>
    <s v="TOX"/>
    <s v="LAB"/>
    <m/>
    <s v="CHARLES RIVER NETHERLAND"/>
    <s v="OPP-318628 - CRL-514192 - P00284_2023"/>
    <s v=" P00284_2023"/>
    <s v="Phase II ERA Assessment"/>
    <m/>
    <s v="INV 47039490 + INV 47041046"/>
    <s v="02/11/2023 + 23/01/2023"/>
    <n v="6230"/>
    <x v="1"/>
    <n v="6230"/>
    <n v="0"/>
    <n v="6230"/>
  </r>
  <r>
    <s v="ABX464"/>
    <s v="TOX"/>
    <s v="LAB"/>
    <m/>
    <s v="CHARLES RIVER NETHERLAND"/>
    <s v="OPP-318628 - CRL-514193 - P00284_2023"/>
    <s v=" P00284_2023"/>
    <s v="Phase II ERA Assessment"/>
    <m/>
    <s v="INV 47040271 + INV 47044231"/>
    <s v="01/01/2024 + 13/08/2024"/>
    <n v="46970"/>
    <x v="1"/>
    <n v="38925"/>
    <n v="8045"/>
    <n v="38925"/>
  </r>
  <r>
    <s v="ABX464"/>
    <s v="TOX"/>
    <s v="LAB"/>
    <m/>
    <s v="CHARLES RIVER NETHERLAND"/>
    <s v="OPP-318628 - CRL-514194 - P00284_2023"/>
    <s v=" P00284_2023"/>
    <s v="Phase II ERA Assessment"/>
    <m/>
    <s v="INV 47040268 + INV 47044090"/>
    <s v="01/01/2024 + 30/07/2024"/>
    <n v="13255"/>
    <x v="1"/>
    <n v="13255"/>
    <n v="0"/>
    <n v="13255"/>
  </r>
  <r>
    <s v="ABX464"/>
    <s v="TOX"/>
    <s v="LAB"/>
    <m/>
    <s v="CHARLES RIVER NETHERLAND"/>
    <s v="OPP-318628 - CRL-514195 - P00284_2023"/>
    <s v="P00284_2023"/>
    <s v="Phase II ERA Assessment"/>
    <m/>
    <s v="INV 47040269 + INV 47044691"/>
    <s v="01/01/2024 + 23/09/2024"/>
    <n v="99820"/>
    <x v="1"/>
    <n v="103985"/>
    <n v="0"/>
    <n v="103985"/>
  </r>
  <r>
    <s v="ABX464"/>
    <s v="TOX"/>
    <s v="LAB"/>
    <m/>
    <s v="CHARLES RIVER NETHERLAND"/>
    <s v="OPP-318628 - CRL-514198 - P00284_2023"/>
    <s v=" P00284_2023"/>
    <s v="Phase II ERA Assessment"/>
    <m/>
    <s v="INV 47047383 + INV 47050587"/>
    <s v="12/02/2025 + 07/10/2025"/>
    <n v="113290"/>
    <x v="1"/>
    <n v="113290"/>
    <n v="0"/>
    <n v="113290"/>
  </r>
  <r>
    <s v="ABX464"/>
    <s v="TOX"/>
    <s v="LAB"/>
    <m/>
    <s v="CHARLES RIVER NETHERLAND"/>
    <s v="OPP-318628 - CRL-514200 - P00284_2023"/>
    <s v=" P00284_2023"/>
    <s v="Phase II ERA Assessment"/>
    <m/>
    <s v="INV 47044658 + INV 47049743"/>
    <s v="16/09/2024 + 19/08/2025"/>
    <n v="20920"/>
    <x v="1"/>
    <n v="20920"/>
    <n v="0"/>
    <n v="20920"/>
  </r>
  <r>
    <s v="ABX464"/>
    <s v="TOX"/>
    <s v="LAB"/>
    <m/>
    <s v="CHARLES RIVER NETHERLAND"/>
    <s v="OPP-318628 - CRL-514203 - P00284_2023"/>
    <s v=" P00284_2023"/>
    <s v="Phase II ERA Assessment"/>
    <m/>
    <s v="INV 47040270 + INV 47041359"/>
    <s v="01/01/2024 + 06/02/2024"/>
    <n v="9780"/>
    <x v="1"/>
    <n v="4940"/>
    <n v="4840"/>
    <n v="4940"/>
  </r>
  <r>
    <s v="ABX464"/>
    <s v="TOX"/>
    <s v="LAB"/>
    <m/>
    <s v="CHARLES RIVER NETHERLAND"/>
    <s v="OPP-318628 - CRL-514205 - P00284_2023 + P00501_2025"/>
    <s v=" P00284_2023 + P00501_2025"/>
    <s v="Phase II ERA Assessment + add work"/>
    <m/>
    <s v="INV 47038922 + INV 47042420 + INV 47043758 + INV 47041904 + INV 47044885 + INV 47046812 + INV 47048090 + INV 47050631 + INV 47052019"/>
    <s v="11/10/2023 + 04/04/2024 + 03/07/2024 + 05/03/2024 + 03/10/2024 + 15/01/2025+03/05/2025+09/10/2025 + 09/01/2026"/>
    <n v="30132"/>
    <x v="1"/>
    <n v="18261.5"/>
    <n v="11870.5"/>
    <n v="18261.5"/>
  </r>
  <r>
    <s v="ABX464"/>
    <s v="TOX"/>
    <s v="LAB"/>
    <m/>
    <s v="CHARLES RIVER NETHERLAND"/>
    <s v="23ARC1011 - P00079_2024"/>
    <s v="P00079_2024"/>
    <s v="Archiving Photox Studies - 1 année"/>
    <m/>
    <s v="INV 47043008"/>
    <d v="2024-05-16T00:00:00"/>
    <n v="1450"/>
    <x v="1"/>
    <n v="450"/>
    <n v="1000"/>
    <n v="450"/>
  </r>
  <r>
    <s v="ABX464"/>
    <m/>
    <s v="LAB"/>
    <s v="Didier S"/>
    <s v="CHARLES RIVER NETHERLAND"/>
    <s v="OPP-349662 - 31982894 - P00334_2024"/>
    <s v="P00334_2024"/>
    <s v="ERA Tox program - Water Solubility 3pH"/>
    <m/>
    <s v="INV 47044945 + INV 47046009"/>
    <s v="08/10/2024 + 26/11/2024"/>
    <n v="16295"/>
    <x v="1"/>
    <n v="16295"/>
    <n v="0"/>
    <n v="16295"/>
  </r>
  <r>
    <s v="ABX464"/>
    <s v="TOX"/>
    <s v="LAB"/>
    <s v="Didier S"/>
    <s v="CHARLES RIVER NETHERLAND"/>
    <s v="OPP-349662 - 31982895 - P00334_2024"/>
    <s v="P00334_2024"/>
    <s v="ERA Tox program - Dissociation constant water"/>
    <m/>
    <s v="INV 47046910 + INV 47047634"/>
    <s v="21/01/2025 + 03/03/2025"/>
    <n v="6550"/>
    <x v="1"/>
    <n v="6550"/>
    <n v="0"/>
    <n v="6550"/>
  </r>
  <r>
    <s v="ABX464"/>
    <s v="TOX"/>
    <s v="LAB"/>
    <s v="Didier S"/>
    <s v="CHARLES RIVER NETHERLAND"/>
    <s v="OPP-349662 - 31982896 - P00334_2024"/>
    <s v="P00334_2024"/>
    <s v="ERA Tox program - Chironomid Toxicity Test"/>
    <m/>
    <s v="INV 47043982 + INV 47050219"/>
    <s v="16/07/2024 + 16/09/2025"/>
    <n v="99722"/>
    <x v="1"/>
    <n v="99722"/>
    <n v="0"/>
    <n v="99722"/>
  </r>
  <r>
    <s v="NOTAPP"/>
    <m/>
    <s v="CMC"/>
    <s v="Jerome D"/>
    <s v="CHARLES RIVER NETHERLAND"/>
    <s v="OPP-352785 - CRL-31988352 - P00366_2024"/>
    <s v="P00366_2024"/>
    <s v="ICH M7 assessment impurties"/>
    <m/>
    <s v="INV 47044946+ INV 47048147"/>
    <s v="08/10/2024+08/04/2025"/>
    <n v="6804"/>
    <x v="1"/>
    <n v="3402"/>
    <n v="3402"/>
    <n v="3402"/>
  </r>
  <r>
    <s v="ABX464"/>
    <s v="TOX"/>
    <s v="LAB"/>
    <s v="Didier S"/>
    <s v="CHARLES RIVER NETHERLAND"/>
    <s v="OPP-318628 - CRL-514195 - P00359_2024"/>
    <s v="P00359_2024"/>
    <s v="Phase II ERA Assessment - Admt n°1"/>
    <m/>
    <s v="INV 47044091"/>
    <d v="2024-07-30T00:00:00"/>
    <n v="2790"/>
    <x v="1"/>
    <n v="2790"/>
    <n v="0"/>
    <n v="2790"/>
  </r>
  <r>
    <s v="ABX464"/>
    <s v="TOX"/>
    <s v="LAB"/>
    <s v="Didier S"/>
    <s v="CHARLES RIVER NETHERLAND"/>
    <s v="OPP-318628 + OPP-349662 - CRL-32023960 - P00603_2024"/>
    <s v="P00603_2024"/>
    <s v="ERA phase II B package follow-up"/>
    <m/>
    <s v="INV 4708436 + INV 47052197"/>
    <s v="29/04/2025 + 20/01/2026"/>
    <n v="163340"/>
    <x v="1"/>
    <n v="163340"/>
    <n v="0"/>
    <n v="163340"/>
  </r>
  <r>
    <s v="ABX464"/>
    <m/>
    <s v="CMC"/>
    <s v="Saadia"/>
    <s v="CHARLES RIVER NETHERLAND"/>
    <s v="32028592 - P00043_2025"/>
    <s v="P00043_2025"/>
    <s v="Theoretical nitrosamine impurty"/>
    <m/>
    <s v="INV 47048108 + INV 47049780"/>
    <s v="08/04/2025+19/08/2025"/>
    <n v="3600"/>
    <x v="1"/>
    <n v="2835"/>
    <n v="765"/>
    <n v="2835"/>
  </r>
  <r>
    <s v="HI908"/>
    <m/>
    <s v="CLI"/>
    <m/>
    <s v="CHARLES RIVER ST NAZAIRE"/>
    <s v="OPP-319365 - CRL-501341 - P00310_2023"/>
    <s v="P00310_2023"/>
    <s v="HI908 - Sample analysis for quatification ABX464 &amp; Nglu in plasma"/>
    <m/>
    <s v="INV 59001757 + INV 59001851 + INV 59001886 + INV 59001977 + INV 59900031+INV 59002033"/>
    <s v="19/07/2024 + 30/09/2024 + 25/10/2024 + 20/12/2024 + 04/02/2025 + 04/02/2025"/>
    <n v="100967"/>
    <x v="1"/>
    <n v="94981"/>
    <n v="5986"/>
    <n v="94981"/>
  </r>
  <r>
    <s v="UC107"/>
    <m/>
    <s v="CLI"/>
    <s v="Julien S"/>
    <s v="CHARLES RIVER ST NAZAIRE"/>
    <s v="OPP-345994 - CRL-560284 - P00234_2024"/>
    <s v="P00234_2024"/>
    <s v="Analysis quantifictaion ABX464 &amp; ABX464NGlu in human plasma"/>
    <m/>
    <s v="INV 59002064 + INV 59002111 + INV 59002304 + INV 59002367 + INV 59002486"/>
    <s v="21/02/2025 + 26/03/2025+21/08/2025+25/09/2025+22/12/2025"/>
    <n v="459761"/>
    <x v="1"/>
    <n v="127915.2"/>
    <n v="331845.8"/>
    <n v="127915.2"/>
  </r>
  <r>
    <s v="CD202"/>
    <m/>
    <s v="CLI"/>
    <s v="Pascaline"/>
    <s v="CHARLES RIVER ST NAZAIRE"/>
    <s v="OPP-327750 - CRL-528678 - P00300_2024"/>
    <s v="P00300_2024"/>
    <s v="CD202 - Sample analysis ABX464 &amp; Nglu in human Plasma"/>
    <m/>
    <s v="INV 59002405"/>
    <d v="2025-10-23T00:00:00"/>
    <n v="674186"/>
    <x v="1"/>
    <n v="24368"/>
    <n v="649818"/>
    <n v="24368"/>
  </r>
  <r>
    <s v="ABX464"/>
    <m/>
    <s v="LAB"/>
    <s v="Didier S"/>
    <s v="CHARLES RIVER ST NAZAIRE"/>
    <s v="ARCH-24-006 - P00384_2024"/>
    <s v="P00384_2024"/>
    <s v="Extension Archiving 8 studies - 1 année"/>
    <m/>
    <s v="INV 59001777"/>
    <d v="2024-08-06T00:00:00"/>
    <n v="4800"/>
    <x v="1"/>
    <n v="4800"/>
    <n v="0"/>
    <n v="4800"/>
  </r>
  <r>
    <s v="RI907"/>
    <m/>
    <s v="CLI"/>
    <s v="Julien S"/>
    <s v="CHARLES RIVER ST NAZAIRE"/>
    <s v="OPP-353689 - CRL-31989756 - P00398_2024"/>
    <s v="P00398_2024"/>
    <s v="RI907 - PK Analysis"/>
    <s v="Q4 2024"/>
    <s v="INV 59001921 + INV 59001978 + INV 59002005 + INV 59002126 + INV 59002260 + INV 59002452 + INV 59002466 + INV 59002536"/>
    <s v="19/11/2024 + 20/12/2024 + 22/01/2025 + 31/03/2025+ 24/07/2025 + 20/11/2025 + 10/12/2025 + 23/01/2026"/>
    <n v="128493"/>
    <x v="1"/>
    <n v="85879"/>
    <n v="42614"/>
    <n v="85879"/>
  </r>
  <r>
    <s v="TP906"/>
    <m/>
    <s v="CLI"/>
    <s v="Julien S"/>
    <s v="CHARLES RIVER ST NAZAIRE"/>
    <s v="OPP-322222 - CRL-519043 - P00458_2024"/>
    <s v="P00458_2024"/>
    <s v="Sample analysis ABX464 &amp; Nglu in human Plasma"/>
    <m/>
    <s v="INV 59001874"/>
    <d v="2024-10-21T00:00:00"/>
    <n v="1660"/>
    <x v="1"/>
    <n v="1660"/>
    <n v="0"/>
    <n v="1660"/>
  </r>
  <r>
    <s v="TP906"/>
    <m/>
    <s v="CLI"/>
    <m/>
    <s v="CHARLES RIVER ST NAZAIRE"/>
    <s v="OPP-322222 - CRL-519043 - P00525_2024"/>
    <s v="P00525_2024"/>
    <s v="Sample analysis ABX464 &amp; Nglu in human Plasma - Add cost "/>
    <m/>
    <s v="INV 59002061"/>
    <d v="2025-02-20T00:00:00"/>
    <n v="900"/>
    <x v="1"/>
    <n v="900"/>
    <n v="0"/>
    <n v="900"/>
  </r>
  <r>
    <s v="HI908"/>
    <m/>
    <s v="CLI"/>
    <m/>
    <s v="CHARLES RIVER ST NAZAIRE"/>
    <s v="OPP-319365 - CRL-501341 - P00523_2024"/>
    <s v="P00523_2024"/>
    <s v="HI908 - Sample analysis for quatification ABX464 &amp; Nglu in plasma Add cost au PO310"/>
    <m/>
    <s v="INV 59001919"/>
    <d v="2024-11-19T00:00:00"/>
    <n v="2240"/>
    <x v="1"/>
    <n v="2240"/>
    <n v="0"/>
    <n v="2240"/>
  </r>
  <r>
    <s v="RI907"/>
    <m/>
    <s v="CLI"/>
    <m/>
    <s v="CHARLES RIVER ST NAZAIRE"/>
    <s v="OPP-369989 - CRL-32018022 - P00535_2024"/>
    <s v="P00535_2024"/>
    <s v="RI907 - Validation Complement LCMS method urine"/>
    <m/>
    <s v="INV 59001947 +  INV 59002105"/>
    <s v="04/12/2024 + 26/03/25"/>
    <n v="22397"/>
    <x v="1"/>
    <n v="22397"/>
    <n v="0"/>
    <n v="22397"/>
  </r>
  <r>
    <s v="RI907"/>
    <m/>
    <s v="CLI"/>
    <s v="Julien"/>
    <s v="CHARLES RIVER ST NAZAIRE"/>
    <s v="OPP-36472 - CRL-32008367 - P00561_2024"/>
    <s v="P00561_2024"/>
    <s v="Sample analysis quantif ABX464&amp;Nglu"/>
    <m/>
    <s v="INV 59002450"/>
    <d v="2025-11-20T00:00:00"/>
    <n v="14526"/>
    <x v="1"/>
    <n v="14526"/>
    <n v="0"/>
    <n v="14526"/>
  </r>
  <r>
    <s v="MD914"/>
    <m/>
    <s v="CLI"/>
    <s v="Julien S"/>
    <s v="CHARLES RIVER ST NAZAIRE"/>
    <s v="OPP-358985 - CRL-31999217 CRL-583291 - P00020_2025 + P00530_2025 + P00625_2025"/>
    <s v="P00020_2025 + P00530_2025 + P00625_2025"/>
    <s v="MD914 - Sample Analysis for quantification ABX464&amp;Nglu"/>
    <m/>
    <s v="INV 59002231+INV 590002261 + INV 59002303 + INV 59002368 + INV 59002451 + INV 59002499 + INV 59002535"/>
    <s v="27/06/2025+24/07/2025+21/08/2025+20/09/2025+20/11/2025 + 23/01/2026"/>
    <n v="236544"/>
    <x v="1"/>
    <n v="175924.34999999998"/>
    <n v="60619.650000000023"/>
    <n v="175924.34999999998"/>
  </r>
  <r>
    <s v="ABX464"/>
    <m/>
    <s v="LAB"/>
    <m/>
    <s v="CHARLES RIVER ST NAZAIRE (ATLANBIO)"/>
    <s v="Amdt 2 SFDC Opp-192045 -  CRL-291232 - P00001_2021"/>
    <s v="P00001_2021"/>
    <s v="Additional short trem Stab + Analytical suppport"/>
    <m/>
    <s v="INV FA008737"/>
    <d v="2021-01-14T00:00:00"/>
    <n v="4500"/>
    <x v="1"/>
    <s v="OK"/>
    <n v="0"/>
    <n v="4500"/>
  </r>
  <r>
    <s v="ABX464"/>
    <s v="CO 4.10"/>
    <s v="LAB"/>
    <m/>
    <s v="CHARLES RIVER ST NAZAIRE (ATLANBIO)"/>
    <s v="CO n°1 OPP-157779 - Study CRL-280312 - P00222_2021"/>
    <s v="P00222_2021"/>
    <s v="Validation LC-MS/MS Method for the Determination of Test Item in Mouse plasma"/>
    <m/>
    <m/>
    <m/>
    <n v="3100"/>
    <x v="1"/>
    <m/>
    <n v="3100"/>
    <n v="0"/>
  </r>
  <r>
    <s v="ABX464"/>
    <m/>
    <s v="CLI"/>
    <m/>
    <s v="CHARLES RIVER ST NAZAIRE (ATLANBIO)"/>
    <s v="CRL-325507 - P00123_2021"/>
    <s v="P00123_2021"/>
    <s v="LC-MS/MS Determination of ABX464 in Human plasma + Options"/>
    <m/>
    <s v="INV 59000296 + INV 59000397 + INV 59000747"/>
    <s v="13/09/2021 + 29/11/2021 + 19/07/2022"/>
    <n v="44521"/>
    <x v="1"/>
    <n v="39865"/>
    <n v="4656"/>
    <n v="39865"/>
  </r>
  <r>
    <s v="ABX464"/>
    <s v="TOX"/>
    <s v="LAB"/>
    <m/>
    <s v="CHARLES RIVER ST NAZAIRE (ATLANBIO)"/>
    <s v="OPP-185865 - Study CRL-280327 - P00104_2021"/>
    <s v="P00104_2021"/>
    <s v="Carcino 6 mois souris Plasma analyse 6 mois - LC-MS/MS Determination of ABX464 and its metabolite Concentrations in Mouse Plasma (GLP)"/>
    <s v="Q3 2023"/>
    <s v="INV 59001312 + INV 59001375 + INV 59001435"/>
    <s v="24/08/2023 + 28/09/2023 + 22/11/2023"/>
    <n v="32394"/>
    <x v="1"/>
    <n v="32394"/>
    <n v="0"/>
    <n v="32394"/>
  </r>
  <r>
    <s v="ABX464"/>
    <s v="TOX"/>
    <s v="LAB"/>
    <m/>
    <s v="CHARLES RIVER ST NAZAIRE (ATLANBIO)"/>
    <s v="OPP-185865 - Study CRL-280328 - P00104_2021"/>
    <s v="P00104_2021"/>
    <s v="Carcino 2 ans rats Plasma analyse 2 ans - LC-MS/MS Determination of ABX464 and its metabolite Concentrations in Rat Plasma (GLP)"/>
    <s v="Q1 2022"/>
    <s v="INV 59000460 + INV 59000746"/>
    <s v="07/01/2022 + 19/07/2022"/>
    <n v="19028"/>
    <x v="1"/>
    <n v="6406"/>
    <n v="12622"/>
    <n v="6406"/>
  </r>
  <r>
    <s v="ABX464"/>
    <m/>
    <s v="LAB"/>
    <m/>
    <s v="CHARLES RIVER ST NAZAIRE (ATLANBIO)"/>
    <s v="OPP-185865 - Study CRL-281296 - P00763_2020"/>
    <s v="P00763_2020"/>
    <s v="LC-MS/MS Detremniation of ABX464 Concentration in rat plasma"/>
    <m/>
    <s v="INV FA008767"/>
    <d v="2021-01-19T00:00:00"/>
    <n v="82500"/>
    <x v="1"/>
    <s v="OK"/>
    <n v="0"/>
    <n v="82500"/>
  </r>
  <r>
    <s v="ABX464"/>
    <s v="TOX"/>
    <s v="LAB"/>
    <m/>
    <s v="CHARLES RIVER ST NAZAIRE (ATLANBIO)"/>
    <s v="OPP-185865 Amdt 1 -  Study CRL-278830 - P00340_2021"/>
    <s v="P00340_2021"/>
    <s v="Carcino 2 ans rats"/>
    <m/>
    <s v="INV 58001785"/>
    <d v="2021-12-09T00:00:00"/>
    <n v="7800"/>
    <x v="1"/>
    <n v="7800"/>
    <n v="0"/>
    <n v="7800"/>
  </r>
  <r>
    <s v="QT901"/>
    <m/>
    <s v="CLI"/>
    <m/>
    <s v="CHARLES RIVER ST NAZAIRE (ATLANBIO)"/>
    <s v="Opp-192238 Amdt 1 - CRL-289874 - P00323-2021"/>
    <s v="P00323-2021"/>
    <s v="Development and validation of method for dertermination of ABX464 in Humain urine"/>
    <m/>
    <m/>
    <m/>
    <n v="9666"/>
    <x v="1"/>
    <m/>
    <n v="9666"/>
    <n v="0"/>
  </r>
  <r>
    <s v="DI902"/>
    <m/>
    <s v="CLI"/>
    <m/>
    <s v="CHARLES RIVER ST NAZAIRE (ATLANBIO)"/>
    <s v="Opp-193136 - CRL-291484 - P00759_2020"/>
    <s v="P00759_2020"/>
    <s v="Determination of caféine and praxanthine and ABX464-n-Glu in humane plasma"/>
    <m/>
    <s v="INV 59000135 + INV 59000744"/>
    <s v="08/06/2021 + 19/07/2022"/>
    <n v="65964"/>
    <x v="1"/>
    <n v="59110"/>
    <n v="6854"/>
    <n v="59110"/>
  </r>
  <r>
    <s v="BE904"/>
    <m/>
    <s v="CLI"/>
    <m/>
    <s v="CHARLES RIVER ST NAZAIRE (ATLANBIO)"/>
    <s v="OPP-209967 - CRL-320992 - P00085_2021"/>
    <s v="P00085_2021"/>
    <s v="LC-MS/MS Determination of ABX464 in Human plasma"/>
    <d v="2021-06-01T00:00:00"/>
    <m/>
    <m/>
    <n v="76562"/>
    <x v="1"/>
    <m/>
    <n v="76562"/>
    <n v="0"/>
  </r>
  <r>
    <s v="JP921"/>
    <m/>
    <s v="CLI"/>
    <m/>
    <s v="CHARLES RIVER ST NAZAIRE (ATLANBIO)"/>
    <s v="OPP-218322 - P00191_2021"/>
    <s v="P00191_2021"/>
    <s v="CRL-346597 - Determination ABX464 in humain palsma"/>
    <m/>
    <s v="INV 59000430 + INV 59000601 + INV 59000787"/>
    <s v="08/12/2021 + 20/04/2022 + 31/08/2022"/>
    <n v="62570"/>
    <x v="1"/>
    <n v="40550"/>
    <n v="22020"/>
    <n v="40550"/>
  </r>
  <r>
    <s v="CA905"/>
    <m/>
    <s v="CLI"/>
    <m/>
    <s v="CHARLES RIVER ST NAZAIRE (ATLANBIO)"/>
    <s v="OPP-224653 - P00172_2021"/>
    <s v="P00172_2021"/>
    <s v="CRL-345366 - ABX464 concentration in humain plasma"/>
    <m/>
    <s v="INV 59000459 + INV 59000628"/>
    <s v="06/01/2022 + 10/05/2022"/>
    <n v="74300"/>
    <x v="1"/>
    <n v="44500"/>
    <n v="29800"/>
    <n v="44500"/>
  </r>
  <r>
    <s v="UC105"/>
    <m/>
    <s v="CLI"/>
    <s v="Aurélien F"/>
    <s v="CHARLES RIVER ST NAZAIRE (ATLANBIO)"/>
    <s v="OPP-254665 - CRL-403505 - P00127_2022 + P00267_2025 + P00533_2025"/>
    <s v="P00127_2022 + P00267_2025 + P00533_2025"/>
    <s v="Détermination concentration ABX464 et Nglu UC105"/>
    <m/>
    <s v="INV 59001313 + INV 59001395 + INV 59900015 + INV 59900015 + INV 59001725 + INV 59001652 + INV 59001839 + INV 59001900 + INV 59001924 + INV 59001979 + INV 59002021 + INV 59002065 + INV 59002118 + INV 59002153 + INV 59002183 + inv 59002225 + INV 59002227 +INV 59002258 + INV 59002302 + INV 59002366 + INV 59002403 + INV 59002446 + INV 59002447"/>
    <s v="24/08/2023 + 13/10/2023 + 11/10/2023 + 13/10/2023 + 26/06/2024 + 16/04/2024 + 25/09/2024 + 25/10/2024 + 21/11/2024 + 20/12/2024 + 27/01/2025 + 24/02/2025 + 28/03/2025 + 23/04/2025 + 21/05/2025 + 27/06/2025 + 26/06/2025+24/07/2025 + 21/08/2025 + 26/09/2025 + 23/10/2025 + 20/11/2025 + 20/11/2025"/>
    <n v="895450"/>
    <x v="1"/>
    <n v="622755"/>
    <n v="272695"/>
    <n v="622755"/>
  </r>
  <r>
    <s v="UC106"/>
    <m/>
    <s v="CLI"/>
    <s v="Aurélien F"/>
    <s v="CHARLES RIVER ST NAZAIRE (ATLANBIO)"/>
    <s v="OPP-254665 - CRL-403506 - P00128_2022 + P00277_2025 + P00534_2025"/>
    <s v="P00128_2022 + P00277_2025 + P00534_2025"/>
    <s v="Détermination concentration ABX464 et Nglu UC106"/>
    <m/>
    <s v="INV 59001314 + INV 59001396 + INV 59900016 + INV 59001636 + INV 59001726 + INV 59001791 + INV 59001844 +INV 59001840 + INV 59001888 + INV 59001925 + INV 59001980 + INV 59002022 + INV 59002066 + INV 59002119 + INV 59002154 + inv 59002228 + INV 59002229+INV 59002259 + INV 59002305 + INV 59002404 + INV 59002448"/>
    <s v="24/08/2023 + 13/10/2023 + 13/10/2023 + 27/03/2024 + 26/06/2024 + 22/08/2024 + 27/09/2024 +25/09/2024 + 25/10/2024 + 21/11/2024 + 20/12/2024 + 27/01/2025 + 21/02/2025 + 28/03/2025+ 24/04/25 + 26/06/2025 + 26/06/2025+24/07/2025 + 21/08/2025 + 23/10/2025 + 20/11/2025"/>
    <n v="895450"/>
    <x v="1"/>
    <n v="589089"/>
    <n v="306361"/>
    <n v="589089"/>
  </r>
  <r>
    <s v="UC103"/>
    <m/>
    <s v="CLI"/>
    <m/>
    <s v="CHARLES RIVER ST NAZAIRE (ATLANBIO)"/>
    <s v="SFDC Opp-163950 + Amended Statement of Work No 01 Study CRL-240515 - P00542_2020"/>
    <s v="P00542_2020"/>
    <s v="XX number of sample analysed"/>
    <m/>
    <s v="INV 59000116 + INV 59000884"/>
    <s v="20/05/2021 + 19/10/2022"/>
    <n v="36664.666666666664"/>
    <x v="1"/>
    <n v="21223.86"/>
    <n v="15440.806666666664"/>
    <n v="21223.86"/>
  </r>
  <r>
    <s v="ABX464"/>
    <m/>
    <s v="LAB"/>
    <m/>
    <s v="CHARLES RIVER ST NAZAIRE (ATLANBIO)"/>
    <s v="SFDC Opp-192045 - CRL-291232 - P00766_2020"/>
    <s v="P00766_2020"/>
    <s v="CRL-291593 - LC-MS/MS Determination of ABX464 concentration in dose formulation"/>
    <s v="Q2 2021"/>
    <m/>
    <m/>
    <n v="8500"/>
    <x v="1"/>
    <m/>
    <n v="8500"/>
    <n v="0"/>
  </r>
  <r>
    <s v="ABX464"/>
    <m/>
    <s v="LAB"/>
    <m/>
    <s v="CHARLES RIVER ST NAZAIRE (ATLANBIO)"/>
    <s v="SFDC Opp-192045 - CRL-291232 - P00766_2020"/>
    <s v="P00766_2020"/>
    <s v="CRL-291233 - LC-MS/MS Determination of ABX464 concentration in rat plasma"/>
    <s v="Q2 2021"/>
    <m/>
    <m/>
    <n v="12150"/>
    <x v="1"/>
    <m/>
    <n v="12150"/>
    <n v="0"/>
  </r>
  <r>
    <s v="NOTAPP"/>
    <m/>
    <s v="LAB"/>
    <s v="Romain N / Didier s"/>
    <s v="CHEMAXON"/>
    <s v="DJ00089015 - P00344_2024"/>
    <s v="P00344_2024"/>
    <s v="Instant Jchem &amp; Marvin Beans license - 07/2024 au 07/2025"/>
    <m/>
    <s v="INV-24-0251"/>
    <d v="2024-07-05T00:00:00"/>
    <n v="7533"/>
    <x v="1"/>
    <n v="7533"/>
    <n v="0"/>
    <n v="7533"/>
  </r>
  <r>
    <s v="ABX464"/>
    <s v="CO 4.11 - TOX"/>
    <s v="LAB"/>
    <m/>
    <s v="CITOXLAB - CHARLES RIVER EVREUX"/>
    <s v="OPP-157779 - Study CRL-229187 - P00103_2021"/>
    <s v="P00103_2021"/>
    <s v="Combined 4 Week Oral Toxicity Study in wt mice - 10% Submission of Draft Report"/>
    <m/>
    <s v="INV 58001944"/>
    <s v="20/12/2021 (recu 01/2022)"/>
    <n v="45050"/>
    <x v="1"/>
    <n v="45050"/>
    <n v="0"/>
    <n v="45050"/>
  </r>
  <r>
    <s v="ABX464"/>
    <s v="CO 4.10 - TOX"/>
    <s v="LAB"/>
    <m/>
    <s v="CITOXLAB - CHARLES RIVER EVREUX"/>
    <s v="OPP-157779 - Study CRL-229189 - P00103_2021"/>
    <s v="P00103_2021"/>
    <s v="Combined 7-Day Dose Range Finding Study in mice - Add on price : Toxicokinetics (limited end of the 7D period)"/>
    <d v="2021-06-01T00:00:00"/>
    <m/>
    <m/>
    <n v="11340"/>
    <x v="1"/>
    <m/>
    <n v="11340"/>
    <n v="0"/>
  </r>
  <r>
    <s v="UC103/UC104"/>
    <m/>
    <s v="QA1"/>
    <m/>
    <s v="CLINMARK"/>
    <s v="Mail du 13/01/2021"/>
    <m/>
    <s v="Audit Hongrie - Audit Site 3603"/>
    <m/>
    <s v="INV ABI/2021/12/01"/>
    <s v="30/12/2021 (recu 02/2022)"/>
    <n v="5200"/>
    <x v="1"/>
    <n v="5200"/>
    <n v="0"/>
    <n v="5200"/>
  </r>
  <r>
    <s v="UC103/UC104"/>
    <m/>
    <s v="QA1"/>
    <m/>
    <s v="CLINMARK"/>
    <s v="Mail du 24/03/2021"/>
    <m/>
    <s v="Audit 5 sites - Pologne - Audit 4 Site 3905"/>
    <m/>
    <m/>
    <m/>
    <n v="5400"/>
    <x v="1"/>
    <m/>
    <n v="5400"/>
    <n v="0"/>
  </r>
  <r>
    <s v="UC103/UC104"/>
    <m/>
    <s v="QA1"/>
    <m/>
    <s v="CLINMARK"/>
    <s v="Mail du 24/03/2021"/>
    <m/>
    <s v="Audit 5 sites - Pologne - Audit 5 Site 4303"/>
    <m/>
    <m/>
    <m/>
    <n v="5400"/>
    <x v="1"/>
    <m/>
    <n v="5400"/>
    <n v="0"/>
  </r>
  <r>
    <s v="UC103/UC104"/>
    <m/>
    <s v="QA1"/>
    <m/>
    <s v="CLINMARK"/>
    <s v="Mail du 24/03/2021 - P00096_2021"/>
    <s v="P00096_2021"/>
    <s v="Audit 5 sites - Pologne - Audit 1 site 3316"/>
    <m/>
    <s v="INV ABI/2021/12/02"/>
    <s v="30/12/2021 (recu 02/2022)"/>
    <n v="5400"/>
    <x v="1"/>
    <n v="5400"/>
    <n v="0"/>
    <n v="5400"/>
  </r>
  <r>
    <s v="UC103/UC104"/>
    <m/>
    <s v="QA1"/>
    <m/>
    <s v="CLINMARK"/>
    <s v="Mail du 24/03/2021 - P00096_2021"/>
    <s v="P00096_2021"/>
    <s v="Audit 5 sites - Pologne - Audit 2 site 4104"/>
    <m/>
    <s v="INV ABI/2021/12/02"/>
    <s v="30/12/2021 (recu 02/2022)"/>
    <n v="5400"/>
    <x v="1"/>
    <n v="5400"/>
    <n v="0"/>
    <n v="5400"/>
  </r>
  <r>
    <s v="RA302"/>
    <m/>
    <s v="CLI"/>
    <m/>
    <s v="CLINMARK"/>
    <s v="RA-302 WO4 au MSA 20181211"/>
    <m/>
    <s v="SERVICES 2019"/>
    <m/>
    <s v="INV CLI/2019/10/ABI/01 + INV CLI/2019/10/ABI/03 + INV CLI/2019/11/ABI/01 + INV CLI/2019/12/ABI/02"/>
    <s v="02/10/2019 + 11/10/2019 + 18/11/2019 + 17/12/2019"/>
    <n v="27033.53"/>
    <x v="1"/>
    <n v="27033.53"/>
    <n v="0"/>
    <n v="27033.53"/>
  </r>
  <r>
    <s v="RA302"/>
    <m/>
    <s v="CLI"/>
    <m/>
    <s v="CLINMARK"/>
    <s v="RA-302 WO4 au MSA 20181211"/>
    <m/>
    <s v="PTC 2019"/>
    <m/>
    <s v="INV CLI/2019/10/ABI/01 + INV CLI/2019/10/ABI/03 + INV CLI/2019/11/ABI/01 + INV CLI/2019/12/ABI/02"/>
    <s v="02/10/2019 + 11/10/2019 + 18/11/2019 + 17/12/2019"/>
    <n v="4123.63"/>
    <x v="1"/>
    <n v="4123.63"/>
    <n v="0"/>
    <n v="4123.63"/>
  </r>
  <r>
    <s v="RA302"/>
    <m/>
    <s v="CLI"/>
    <m/>
    <s v="CLINMARK"/>
    <s v="RA-302 WO4 au MSA 20181211"/>
    <m/>
    <s v="SERVICES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88865"/>
    <x v="1"/>
    <n v="88865"/>
    <n v="0"/>
    <n v="88865"/>
  </r>
  <r>
    <s v="RA302"/>
    <m/>
    <s v="CLI"/>
    <m/>
    <s v="CLINMARK"/>
    <s v="RA-302 WO4 au MSA 20181211"/>
    <m/>
    <s v="PTC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4231.3500000000004"/>
    <x v="1"/>
    <n v="4231.3500000000004"/>
    <n v="0"/>
    <n v="4231.3500000000004"/>
  </r>
  <r>
    <s v="RA302"/>
    <m/>
    <s v="CLI"/>
    <m/>
    <s v="CLINMARK"/>
    <s v="RA-302 WO4 au MSA 20181211"/>
    <m/>
    <s v="SERVICES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233196.47"/>
    <x v="1"/>
    <n v="113290"/>
    <n v="119906.47"/>
    <n v="113290"/>
  </r>
  <r>
    <s v="RA302"/>
    <m/>
    <s v="CLI"/>
    <m/>
    <s v="CLINMARK"/>
    <s v="RA-302 WO4 au MSA 20181211"/>
    <m/>
    <s v="PTC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36145.020000000004"/>
    <x v="1"/>
    <n v="7767.21"/>
    <n v="28377.810000000005"/>
    <n v="7767.21"/>
  </r>
  <r>
    <s v="UC102"/>
    <m/>
    <s v="CLI"/>
    <m/>
    <s v="CLINMARK"/>
    <s v="UC-102 WO2 au MSA 17605"/>
    <m/>
    <s v="2018 - Clinical monitoring PTC"/>
    <m/>
    <m/>
    <s v="FACT ABI/2018/08/01 + FACT ABI/2018/08/03 + FACT ABI/2018/09/01 + FACT ABI/2018/11/02 + FACT ABI/2018/12/02"/>
    <n v="4457.0700000000006"/>
    <x v="1"/>
    <n v="4457.0700000000006"/>
    <n v="0"/>
    <n v="4457.0700000000006"/>
  </r>
  <r>
    <s v="UC102"/>
    <m/>
    <s v="CLI"/>
    <m/>
    <s v="CLINMARK"/>
    <s v="UC-102 WO2 au MSA 17605"/>
    <m/>
    <s v="2018 - Clinical monitoring services "/>
    <m/>
    <m/>
    <s v="FACT ABI/2018/08/01 + FACT ABI/2018/08/03 + FACT ABI/2018/09/01 + FACT ABI/2018/10/02 + FACT ABI/2018/11/02 + FACT ABI/2018/12/02"/>
    <n v="67476.399999999994"/>
    <x v="1"/>
    <n v="67476.399999999994"/>
    <n v="0"/>
    <n v="67476.399999999994"/>
  </r>
  <r>
    <s v="UC102"/>
    <m/>
    <s v="CLI"/>
    <m/>
    <s v="CLINMARK"/>
    <s v="UC-102 WO2 au MSA 17605"/>
    <m/>
    <s v="2019 - Clinical monitoring services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66711.25"/>
    <x v="1"/>
    <n v="66711.25"/>
    <n v="0"/>
    <n v="66711.25"/>
  </r>
  <r>
    <s v="UC102"/>
    <m/>
    <s v="CLI"/>
    <m/>
    <s v="CLINMARK"/>
    <s v="UC-102 WO2 au MSA 17605"/>
    <m/>
    <s v="2019 - Clinical monitoring PTC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11215.59"/>
    <x v="1"/>
    <n v="11215.59"/>
    <n v="0"/>
    <n v="11215.59"/>
  </r>
  <r>
    <s v="UC102"/>
    <m/>
    <s v="CLI"/>
    <m/>
    <s v="CLINMARK"/>
    <s v="UC-102 WO2 au MSA 17605"/>
    <m/>
    <s v="2020 - Clinical monitoring services"/>
    <m/>
    <s v="Q1 2020"/>
    <s v="FACT ABI/2020/01/01 + FACT ABI/2020/02/01 + FACT ABI/2020/03/01 + FACT ABI/2020/04/01"/>
    <n v="23171.25"/>
    <x v="1"/>
    <n v="23171.25"/>
    <n v="0"/>
    <n v="23171.25"/>
  </r>
  <r>
    <s v="UC102"/>
    <m/>
    <s v="CLI"/>
    <m/>
    <s v="CLINMARK"/>
    <s v="UC-102 WO2 au MSA 17605"/>
    <m/>
    <s v="2020 - Clinical monitoring PTC"/>
    <m/>
    <s v="Q1 2020"/>
    <s v="FACT ABI/2020/01/01 + FACT ABI/2020/02/01 + FACT ABI/2020/03/01 + FACT ABI/2020/04/01"/>
    <n v="2177.9499999999998"/>
    <x v="1"/>
    <n v="2177.9499999999998"/>
    <n v="0"/>
    <n v="2177.9499999999998"/>
  </r>
  <r>
    <s v="UC102"/>
    <m/>
    <s v="CLI"/>
    <m/>
    <s v="CLINMARK"/>
    <s v="UC-102 WO2 au MSA 17605"/>
    <m/>
    <s v="2020 - Clinical monitoring services"/>
    <m/>
    <s v="FACT ABI/2020/05/01 + FACT ABI/2020/06/01 + FACT ABI/2020/07/01 + FACT ABI/2020/08/01 + FACT ABI/2020/09/01 + FACT ABI/2020/12/01 + FACT ABI/2021/04/01 + FACT CLI/2021/12/ABI/04 + FACT ABI/2022/01/01"/>
    <m/>
    <n v="105829.5"/>
    <x v="1"/>
    <n v="78262.5"/>
    <n v="27567"/>
    <n v="78262.5"/>
  </r>
  <r>
    <s v="UC102"/>
    <m/>
    <s v="CLI"/>
    <m/>
    <s v="CLINMARK"/>
    <s v="UC-102 WO2 au MSA 17605"/>
    <m/>
    <s v="2020 - Clinical monitoring PTC"/>
    <m/>
    <s v="FACT ABI/2020/05/01 + FACT ABI/2020/06/01 + FACT ABI/2020/07/01 + FACT ABI/2020/08/01 + FACT ABI/2020/09/01 + FACT ABI/2020/12/01 + FACT ABI/2021/04/01 + FACT CLI/2021/12/ABI/04 + FACT ABI/2022/01/01"/>
    <m/>
    <n v="12149.39"/>
    <x v="1"/>
    <n v="7222.6799999999994"/>
    <n v="4926.71"/>
    <n v="7222.6799999999994"/>
  </r>
  <r>
    <s v="UC103"/>
    <m/>
    <s v="CLI"/>
    <m/>
    <s v="CLINMARK"/>
    <s v="UC-103 Change Order n°1 au WO1 20181211"/>
    <m/>
    <s v="SERVICES MOINS LES 85 650 déjà facturé dans le WO1"/>
    <m/>
    <s v="INV CLI/2019/12/ABI/04 + INV CLI/2020/01/ABI/03 + INV CLI/2020/02/ABI/03 + INV CLI/2020/03/ABI/02 + INV CLI/2020/04/ABI/02 + INV CLI/2020/08/ABI/03 + INV/CLI/2020/09/ABI/01 + INV CLI/2020/10/ABI/01 + INV CLI/2020/11/ABI/01 + INV CLI/2020/12/ABI/05"/>
    <s v="(20/12/2019 + 23/01/2020 + 27/02/2020 + 11/03/2020 + 15/04/2020 + 31/08/2020 + 24/09/2020 + 19/10/2020 + 28/11/2020)"/>
    <n v="15340"/>
    <x v="1"/>
    <n v="14170"/>
    <n v="1170"/>
    <n v="14170"/>
  </r>
  <r>
    <s v="UC103"/>
    <m/>
    <s v="CLI"/>
    <m/>
    <s v="CLINMARK"/>
    <s v="UC-103 Change Order n°1 au WO1 20181211"/>
    <m/>
    <s v="PTC MOINS LES 8060,49 déjà facturé dans le WO1"/>
    <m/>
    <s v="INV CLI/2019/12/ABI/04  + INV CLI/2020/01/ABI/03 + INV CLI/2020/02/ABI/03 + INV CLI/2020/03/ABI/02 + INV CLI/2021/08/ABI/03 + INV/CLI/2020/09/ABI/01 + INV CLI/2020/10/ABI/01 + INV CLI/2020/11/ABI/01 + INV CLI/2020/12/ABI/05 + INV CLI/2021/02/ABI/01 + INV CLI/2021/02/ABI/08 + INV CLI/2021/04/ABI/01 + INV CLI/2021/04/ABI/05 + INV CLI/2021/05/ABI/03 + INV CLI/2021/07/ABI/01 + INV CLI/2021/09/ABI/03 + INV CLI/2021/10/ABI/03"/>
    <s v="20/12/2019 + 23/01/2020 + 27/02/2020 + 11/03/2020 + 24/09/2020 + 19/10/2020 + 28/11/2020 + 31/12/2020 + 03/02/2021 + 21/02/2021 + 06/04/2021 + 27/04/2021 + 31/05/2021 + 15/07/2021 + 07/09/2021 + 17/10/2021"/>
    <n v="14839.51"/>
    <x v="1"/>
    <n v="4272.1899999999996"/>
    <n v="10567.32"/>
    <n v="4272.1899999999996"/>
  </r>
  <r>
    <s v="UC103"/>
    <m/>
    <s v="CLI"/>
    <m/>
    <s v="CLINMARK"/>
    <s v="UC-103 WO2 au MSA 20181211 + CO n°1 WO2"/>
    <m/>
    <s v="SERVICES - 2019"/>
    <m/>
    <s v="INV CLI/2019/06/ABI/02 + INV CLI/2019/07/ABI/02 + INV CLI/2019/08/ABI/02 + INV CLI/2019/09/ABI/04 + INV CLI/2019/10/ABI/06 + INV CLI/2019/11/ABI/04 + INV CLI/2019/12/ABI/05"/>
    <s v="21/06/2019 + 10/07/2019 + 12/08/2019 + 13/09/2019 + 29/10/2019 + 25/11/2019 + 20/12/2019"/>
    <n v="167389"/>
    <x v="1"/>
    <n v="167389"/>
    <n v="0"/>
    <n v="167389"/>
  </r>
  <r>
    <s v="UC103"/>
    <m/>
    <s v="CLI"/>
    <m/>
    <s v="CLINMARK"/>
    <s v="UC-103 WO2 au MSA 20181211 + CO n°1 WO2"/>
    <m/>
    <s v="PTC - 2019"/>
    <m/>
    <s v="INV CLI/2019/07/ABI/02 + INV CLI/2019/08/ABI/02 + INV CLI/2019/09/ABI/04 + INV CLI/2019/10/ABI/06 + INV CLI/2019/11/ABI/04 + INV CLI/2019/12/ABI/05"/>
    <s v="10/07/2019 + 12/08/2019 + 13/09/2019 + 29/10/2019 + 25/11/2019 + 20/12/2019"/>
    <n v="10042.620000000003"/>
    <x v="1"/>
    <n v="10042.620000000003"/>
    <n v="0"/>
    <n v="10042.620000000003"/>
  </r>
  <r>
    <s v="UC103"/>
    <m/>
    <s v="CLI"/>
    <m/>
    <s v="CLINMARK"/>
    <s v="UC-103 WO2 au MSA 20181211 + CO n°1 WO2"/>
    <m/>
    <s v="SERVICES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83330"/>
    <x v="1"/>
    <n v="383330"/>
    <n v="0"/>
    <n v="383330"/>
  </r>
  <r>
    <s v="UC103"/>
    <m/>
    <s v="CLI"/>
    <m/>
    <s v="CLINMARK"/>
    <s v="UC-103 WO2 au MSA 20181211 + CO n°1 WO2"/>
    <m/>
    <s v="PTC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0162.760000000002"/>
    <x v="1"/>
    <n v="30162.760000000002"/>
    <n v="0"/>
    <n v="30162.760000000002"/>
  </r>
  <r>
    <s v="UC103"/>
    <m/>
    <s v="CLI"/>
    <m/>
    <s v="CLINMARK"/>
    <s v="UC-103 WO2 au MSA 20181211 + CO n°1 WO2"/>
    <m/>
    <s v="SERVICES - 2021"/>
    <m/>
    <s v="INV CLI/2021/02/ABI/02 + INV CLI/2021/02/ABI/09 + CLI/2021/03/ABI/01 + INV CLI/2021/04/ABI/02 + INV CLI/2021/04/ABI/06 + INV CLI/2021/05/ABI/04 + INV CLI/2021/04/ABI/02 n°2 + INV CLI/2021/08/ABI/03 + INV CLI/2021/09/ABI/01 + INV CLI/2021/10/ABI/01 + INV CLI/2021/11/ABI/01 + INV CLI/2021/12/ABI/01 + INV CLI/2019/03/ABI/01"/>
    <s v="03/02/2021 + 21/02/2021 + 03/03/2021 + 06/04/2021 + 27/04/2021 + 31/05/2021 + 15/07/2021 + 11/08/2021 + 07/09/2021 + 17/10/2021 + 12/11/2021 + 05/12/2021 + 08/03/2019 (recu en 09/2022)"/>
    <n v="353451"/>
    <x v="1"/>
    <n v="343625"/>
    <n v="9826"/>
    <n v="343625"/>
  </r>
  <r>
    <s v="UC103"/>
    <m/>
    <s v="CLI"/>
    <m/>
    <s v="CLINMARK"/>
    <s v="UC-103 WO2 au MSA 20181211 + CO n°1 WO2"/>
    <m/>
    <s v="PTC - 2021"/>
    <m/>
    <s v="INV CLI/2021/02/ABI/02 + INV CLI/2021/02/ABI/09 + INV CLI/2021/04/ABI/02 + INV CLI/2021/04/ABI/06 + INV CLI/2021/05/ABI/04 + INV CLI/2021/04/ABI/02 n°2 + INV CLI/2021/08/ABI/03 + INV CLI/2021/09/ABI/01 + INV CLI/2021/10/ABI/01 + INV CLI/2021/11/ABI/01 + INV CLI/2021/12/ABI/01 + INV CLI/2022/08/ABI/01 + INV CLI/2019/03/ABI/01"/>
    <s v="03/02/2021 + 21/02/2021 + 06/04/2021 + 27/04/2021 + 31/05/2021 + 15/07/2021 + 11/08/2021 + 07/09/2021 + 17/10/2021 + 12/11/2021 + 05/12/2021 + 04/08/2022 + 08/03/2019 (recu en 09/2022)"/>
    <n v="47594.619999999995"/>
    <x v="1"/>
    <n v="29607.640000000003"/>
    <n v="17986.979999999992"/>
    <n v="29607.640000000003"/>
  </r>
  <r>
    <s v="UC104"/>
    <m/>
    <s v="CLI"/>
    <m/>
    <s v="CLINMARK"/>
    <s v="UC104 WO5 au MSA 20181211"/>
    <m/>
    <s v="Services + PTC - ANNULE"/>
    <m/>
    <m/>
    <m/>
    <n v="0"/>
    <x v="1"/>
    <s v="OK"/>
    <n v="0"/>
    <n v="0"/>
  </r>
  <r>
    <s v="UC104"/>
    <m/>
    <s v="CLI"/>
    <m/>
    <s v="CLINMARK"/>
    <s v="UC-104 WO5 WO1 et WO2 MSA 20181211"/>
    <m/>
    <s v="SERVICES 2019"/>
    <m/>
    <s v="INV CLI/2019/07/ABI/03 + INV CLI/2019/09/ABI/03 + INV CLI/2019/10/ABI/04 + INV CLI/2019/11/ABI/05 + INV CLI/2019/12/ABI/03"/>
    <s v="10/07/2019 + 13/09/2019 + 29/10/2019 + 25/11/2019 + 20/12/2019"/>
    <n v="63638"/>
    <x v="1"/>
    <n v="63638"/>
    <n v="0"/>
    <n v="63638"/>
  </r>
  <r>
    <s v="UC104"/>
    <m/>
    <s v="CLI"/>
    <m/>
    <s v="CLINMARK"/>
    <s v="UC-104 WO5 WO1 et WO2 MSA 20181211"/>
    <m/>
    <s v="PTC 2019"/>
    <m/>
    <s v="INV CLI/2019/07/ABI/03 + INV CLI/2019/09/ABI/03 + INV CLI/2019/10/ABI/04 + INV CLI/2019/11/ABI/05 + INV CLI/2019/12/ABI/03"/>
    <s v="10/07/2019 + 13/09/2019 + 29/10/2019 + 25/11/2019 + 20/12/2019"/>
    <n v="6551.08"/>
    <x v="1"/>
    <n v="6551.08"/>
    <n v="0"/>
    <n v="6551.08"/>
  </r>
  <r>
    <s v="UC104"/>
    <m/>
    <s v="CLI"/>
    <m/>
    <s v="CLINMARK"/>
    <s v="UC-104 WO5 WO1 et WO2 MSA 20181211"/>
    <m/>
    <s v="SERVICES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8117.5"/>
    <x v="1"/>
    <n v="208117.5"/>
    <n v="0"/>
    <n v="208117.5"/>
  </r>
  <r>
    <s v="UC104"/>
    <m/>
    <s v="CLI"/>
    <m/>
    <s v="CLINMARK"/>
    <s v="UC-104 WO5 WO1 et WO2 MSA 20181211"/>
    <m/>
    <s v="PTC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184.23"/>
    <x v="1"/>
    <n v="20184.23"/>
    <n v="0"/>
    <n v="20184.23"/>
  </r>
  <r>
    <s v="UC104"/>
    <m/>
    <s v="CLI"/>
    <m/>
    <s v="CLINMARK"/>
    <s v="UC-104 WO5 WO1 et WO2 MSA 20181211"/>
    <m/>
    <s v="SERVICES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543497"/>
    <x v="1"/>
    <n v="226525"/>
    <n v="316972"/>
    <n v="226525"/>
  </r>
  <r>
    <s v="UC104"/>
    <m/>
    <s v="CLI"/>
    <m/>
    <s v="CLINMARK"/>
    <s v="UC-104 WO5 WO1 et WO2 MSA 20181211"/>
    <m/>
    <s v="PTC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76064.69"/>
    <x v="1"/>
    <n v="23780.75"/>
    <n v="52283.94"/>
    <n v="23780.75"/>
  </r>
  <r>
    <s v="ABX464"/>
    <m/>
    <s v="LAB"/>
    <m/>
    <s v="CNRS"/>
    <s v="P00002_2024"/>
    <s v="P00002_2024"/>
    <s v="Génotypage 10/2023 + 11/2023 + /12/2023"/>
    <m/>
    <s v="INV 90741537"/>
    <d v="2024-01-22T00:00:00"/>
    <n v="3858.57"/>
    <x v="1"/>
    <n v="3858.57"/>
    <n v="0"/>
    <n v="3858.57"/>
  </r>
  <r>
    <s v="ABX464"/>
    <m/>
    <s v="LAB"/>
    <m/>
    <s v="CNRS"/>
    <s v="79/2023/ZEFI - P00071_2024"/>
    <s v="P00071_2024"/>
    <s v="Hebergement cage - T4"/>
    <m/>
    <s v="INV 90743107"/>
    <d v="2024-02-05T00:00:00"/>
    <n v="5963.05"/>
    <x v="1"/>
    <n v="5963.05"/>
    <n v="0"/>
    <n v="5963.05"/>
  </r>
  <r>
    <s v="ABX464"/>
    <m/>
    <s v="LAB"/>
    <s v="Aude G"/>
    <s v="CNRS"/>
    <s v="RHEM-IRCM-2024-T1-ABIVAX - P00213_2024"/>
    <s v="P00213_2024"/>
    <s v="Histologie 2024 T1"/>
    <m/>
    <s v="INV 90766708"/>
    <d v="2024-07-16T00:00:00"/>
    <n v="2602.8000000000002"/>
    <x v="1"/>
    <n v="2602.8000000000002"/>
    <n v="0"/>
    <n v="2602.8000000000002"/>
  </r>
  <r>
    <s v="ABX464"/>
    <m/>
    <s v="LAB"/>
    <s v="Aude G"/>
    <s v="CNRS"/>
    <s v="621919 - P00329_2024"/>
    <s v="P00329_2024"/>
    <s v="Microscopie "/>
    <m/>
    <s v="INV 90763961"/>
    <d v="2024-06-24T00:00:00"/>
    <n v="1276.51"/>
    <x v="1"/>
    <n v="1276.51"/>
    <n v="0"/>
    <n v="1276.51"/>
  </r>
  <r>
    <s v="NOTAPP"/>
    <m/>
    <s v="LAB"/>
    <s v="Aude G"/>
    <s v="CNRS"/>
    <s v="84/2024/ZEFI - P00363_2024"/>
    <s v="P00363_2024"/>
    <s v="Hébergement animalerie T1"/>
    <m/>
    <s v="INV 90766844"/>
    <d v="2024-07-17T00:00:00"/>
    <n v="8096.22"/>
    <x v="1"/>
    <n v="8096.22"/>
    <n v="0"/>
    <n v="8096.22"/>
  </r>
  <r>
    <s v="NOTAPP"/>
    <m/>
    <s v="LAB"/>
    <s v="Aude G"/>
    <s v="CNRS"/>
    <s v="99/2024/ZEFI - P00365_2024"/>
    <s v="P00364_2024"/>
    <s v="Hébergement animalerie T2"/>
    <m/>
    <s v="INV 90766840"/>
    <d v="2024-07-17T00:00:00"/>
    <n v="6116.58"/>
    <x v="1"/>
    <n v="6116.58"/>
    <n v="0"/>
    <n v="6116.58"/>
  </r>
  <r>
    <s v="NOTAPP"/>
    <m/>
    <s v="LAB"/>
    <s v="Aude G"/>
    <s v="CNRS"/>
    <s v="MGC_CLONAGE-T2-2024 - P00360_2024"/>
    <s v="P00360_2024"/>
    <s v="Passage échantillon ARN"/>
    <m/>
    <s v="INV 90768303"/>
    <d v="2024-07-11T00:00:00"/>
    <n v="815.36"/>
    <x v="1"/>
    <n v="815.36"/>
    <n v="0"/>
    <n v="815.36"/>
  </r>
  <r>
    <s v="NOTAPP"/>
    <m/>
    <s v="LAB"/>
    <s v="Aude G"/>
    <s v="CNRS"/>
    <s v="113/2024/ZEFI - P00414_2024"/>
    <s v="P00414_2024"/>
    <s v="Hebergement cage - Bimestre 4"/>
    <m/>
    <s v="INV 90773149"/>
    <d v="2024-09-05T00:00:00"/>
    <n v="1624.32"/>
    <x v="1"/>
    <n v="1624.23"/>
    <n v="8.9999999999918145E-2"/>
    <n v="1624.23"/>
  </r>
  <r>
    <s v="ABX464"/>
    <m/>
    <s v="LAB"/>
    <s v="Aude G"/>
    <s v="CNRS"/>
    <s v="MRI Septembre 2024 - P00421_2024"/>
    <s v="P00421_2024"/>
    <s v="Microscope + lames"/>
    <m/>
    <s v="INV 90773844"/>
    <d v="2024-09-09T00:00:00"/>
    <n v="679.49"/>
    <x v="1"/>
    <n v="679.49"/>
    <n v="0"/>
    <n v="679.49"/>
  </r>
  <r>
    <s v="ABX464"/>
    <m/>
    <s v="LAB"/>
    <s v="Aude G"/>
    <s v="CNRS"/>
    <s v="MGC_CLONAGE-T3-2024 - P00451_2024"/>
    <s v="P00451_2024"/>
    <s v="Passage échantillon ARN"/>
    <m/>
    <s v="INV 90785246"/>
    <d v="2024-11-25T00:00:00"/>
    <n v="764.4"/>
    <x v="1"/>
    <n v="764.4"/>
    <n v="0"/>
    <n v="764.4"/>
  </r>
  <r>
    <s v="NOTAPP"/>
    <m/>
    <s v="LAB"/>
    <s v="Aude G"/>
    <s v="CNRS"/>
    <s v="02/2024/MAGS - P00466_2024"/>
    <s v="P00466_2024"/>
    <s v="Achat magasin CNRS - 2023"/>
    <m/>
    <s v="INV 90778410"/>
    <d v="2024-10-07T00:00:00"/>
    <n v="4159.43"/>
    <x v="1"/>
    <n v="4159.43"/>
    <n v="0"/>
    <n v="4159.43"/>
  </r>
  <r>
    <s v="NOTAPP"/>
    <m/>
    <s v="LAB"/>
    <s v="Aude G"/>
    <s v="CNRS"/>
    <s v="01/2024/MAGS - P00465_2024"/>
    <s v="P00465_2024"/>
    <s v="Achat magasin CNRS - 2022"/>
    <m/>
    <s v="INV 90778409"/>
    <d v="2024-10-10T00:00:00"/>
    <n v="1097.33"/>
    <x v="1"/>
    <n v="1097.33"/>
    <n v="0"/>
    <n v="1097.33"/>
  </r>
  <r>
    <s v="ABX464"/>
    <m/>
    <s v="LAB"/>
    <s v="Aude G"/>
    <s v="CNRS"/>
    <s v="VB 2024-17 - P00509_2024"/>
    <s v="P00509_2024"/>
    <s v="Expertise Analyse microscopique CAC"/>
    <m/>
    <s v="INV 90809747"/>
    <d v="2025-06-10T00:00:00"/>
    <n v="294.27999999999997"/>
    <x v="1"/>
    <n v="294.27999999999997"/>
    <n v="0"/>
    <n v="294.27999999999997"/>
  </r>
  <r>
    <s v="ABX464"/>
    <m/>
    <s v="LAB"/>
    <s v="Aude G"/>
    <s v="CNRS"/>
    <s v="127/2024/ZEFI - P00514_2024"/>
    <s v="P00514_2024"/>
    <s v="Hébergement animalerie T3 + Régule"/>
    <m/>
    <s v="INV 90782851"/>
    <d v="2024-11-08T00:00:00"/>
    <n v="4238.46"/>
    <x v="1"/>
    <n v="4238.46"/>
    <n v="0"/>
    <n v="4238.46"/>
  </r>
  <r>
    <s v="ABX464"/>
    <m/>
    <s v="LAB"/>
    <m/>
    <s v="CNRS"/>
    <s v="285772 - P00540_2024"/>
    <s v="P00540_2024"/>
    <s v="Presta Histo MHL"/>
    <m/>
    <s v="INV 90809502"/>
    <d v="2025-06-06T00:00:00"/>
    <n v="14300"/>
    <x v="1"/>
    <n v="14300"/>
    <n v="0"/>
    <n v="14300"/>
  </r>
  <r>
    <s v="NOTAPP"/>
    <m/>
    <s v="LAB"/>
    <s v="Aude G"/>
    <s v="CNRS"/>
    <s v="FR40180089013 - P00009_2025"/>
    <s v="P00009_2025"/>
    <s v="Consomable Labo - Achat 2024"/>
    <m/>
    <s v="INV 90790139"/>
    <d v="2025-01-08T00:00:00"/>
    <n v="3649.38"/>
    <x v="1"/>
    <n v="3649.38"/>
    <n v="0"/>
    <n v="3649.38"/>
  </r>
  <r>
    <s v="ABX464"/>
    <m/>
    <s v="LAB"/>
    <s v="Aude G"/>
    <s v="CNRS"/>
    <s v="142/2024/ZEFI - P00015_2025"/>
    <s v="P00015_2025"/>
    <s v="Entretien cage - Bimestre 6 - Nov-Dec 2024"/>
    <m/>
    <s v="INV 90790293"/>
    <d v="2025-01-27T00:00:00"/>
    <n v="6446.52"/>
    <x v="1"/>
    <n v="6446.52"/>
    <n v="0"/>
    <n v="6446.52"/>
  </r>
  <r>
    <s v="ABX464"/>
    <m/>
    <s v="LAB"/>
    <m/>
    <s v="CNRS - METi"/>
    <s v="Devis 466 - P00403_2022"/>
    <s v="P00403_2022"/>
    <s v="Cruo-microscopie"/>
    <m/>
    <s v="INV 90693037"/>
    <d v="2023-01-20T00:00:00"/>
    <n v="22960"/>
    <x v="1"/>
    <n v="22960"/>
    <n v="0"/>
    <n v="22960"/>
  </r>
  <r>
    <s v="ABX464"/>
    <m/>
    <s v="CMC"/>
    <m/>
    <s v="CNRS - METi"/>
    <s v="Devis 55 / 2023 / ZEFI - P00372_2023"/>
    <s v="P00372_2023"/>
    <s v="Hébergement en portoir ventilé (cage/semaine) T1-T2-T3-2023"/>
    <m/>
    <s v="INV 90731700"/>
    <d v="2023-10-27T00:00:00"/>
    <n v="10628.7"/>
    <x v="1"/>
    <n v="10628.7"/>
    <n v="0"/>
    <n v="10628.7"/>
  </r>
  <r>
    <s v="ABX464"/>
    <m/>
    <s v="LAB"/>
    <m/>
    <s v="COVANCE"/>
    <s v="Quote 549367 V1 - P00796_2020"/>
    <s v="P00796_2020"/>
    <s v="Pathology peer review marmoset slides - 6 600 €"/>
    <m/>
    <m/>
    <m/>
    <n v="0"/>
    <x v="1"/>
    <n v="0"/>
    <n v="0"/>
    <n v="0"/>
  </r>
  <r>
    <s v="UC108"/>
    <m/>
    <s v="CMC"/>
    <m/>
    <s v="CREAPHARM"/>
    <s v="12954_A2 - P00337_2022"/>
    <s v="P00337_2022"/>
    <s v="Packing &amp; labelling"/>
    <m/>
    <m/>
    <m/>
    <n v="0"/>
    <x v="1"/>
    <s v="OK"/>
    <n v="0"/>
    <n v="0"/>
  </r>
  <r>
    <s v="UC105"/>
    <m/>
    <s v="CMC"/>
    <m/>
    <s v="CREAPHARM"/>
    <s v="13040 - Achat - P00209_2023"/>
    <s v="P00209_2023"/>
    <s v="Achat wallet inner and outer for ABTECT"/>
    <m/>
    <s v="INV AC230003"/>
    <d v="2023-07-13T00:00:00"/>
    <n v="14313"/>
    <x v="1"/>
    <n v="12243"/>
    <n v="2070"/>
    <n v="12243"/>
  </r>
  <r>
    <s v="UC106"/>
    <m/>
    <s v="CMC"/>
    <m/>
    <s v="CREAPHARM"/>
    <s v="13040 - Achat - P00210_2023"/>
    <s v="P00210_2023"/>
    <s v="Achat wallet inner and outer for ABTECT"/>
    <m/>
    <s v="INV AC230004"/>
    <d v="2023-07-13T00:00:00"/>
    <n v="12150"/>
    <x v="1"/>
    <n v="12150"/>
    <n v="0"/>
    <n v="12150"/>
  </r>
  <r>
    <s v="UC107"/>
    <m/>
    <s v="CMC"/>
    <m/>
    <s v="CREAPHARM"/>
    <s v="13040 - Achat - P00211_2023"/>
    <s v="P00211_2023"/>
    <s v="Achat wallet inner and outer for ABTECT"/>
    <m/>
    <s v="INV AC230002"/>
    <d v="2023-07-13T00:00:00"/>
    <n v="79315"/>
    <x v="1"/>
    <n v="74000"/>
    <n v="5315"/>
    <n v="74000"/>
  </r>
  <r>
    <s v="HI908"/>
    <m/>
    <s v="CMC"/>
    <m/>
    <s v="CREAPHARM"/>
    <s v="13660-2"/>
    <m/>
    <s v="ABX464-908 - Label and distribution to Germany"/>
    <m/>
    <s v="INV FA233707 + INV FA23955 + INV FA235117 + INV FA235370 + INV FA236171 + INV FACLI000198 + INV FACLI000126 + INV FACLI000356 + INV FACLI000400 + INV FACLI000717 + INV FACLI000823 + INV FACLI001091 + INV FACLI001307 + INV FACLI001556 + INV FACLI001664 + INV FACLI002003 +INV FACLI002374 + INV FACLI002416 + INV FACLI000079 + INV FACLI000218"/>
    <s v="30/06/2023 (recu 07/2023) + 31/07/2023 + 31/08/2023 + 30/09/2023 + 30/10/2023 + 29/12/2023 + 31/01/2024 + 29/02/2024 + 29/03/2024 + 30/04/2024 + 31/05/2024 + 28/06/2024 + 31/07/2024 + 30/08/2024 + 30/09/2024 + 31/10/2024 + 29/11/2024 + 31/12/2024 + 31/01/2025 + 28/02/2025"/>
    <n v="19262.47"/>
    <x v="1"/>
    <n v="20894.889999999996"/>
    <n v="0"/>
    <n v="20894.889999999996"/>
  </r>
  <r>
    <s v="TP906"/>
    <m/>
    <s v="CMC"/>
    <m/>
    <s v="CREAPHARM"/>
    <s v="13730-3 - ALL PO"/>
    <m/>
    <s v="Secondary packaging labeling and distribution ABX464-906"/>
    <m/>
    <s v="INV FACLI000205 + INV FACLI000138 + INV FACLI000354 + INV FACLI000408 + INV FACLI000720 + INV FACLI000824 + INV FACLI001090 + INV FACLI001306 + INV FACLI001554 + INV FACLI001665 + INV FACLI002002 + INV FACLI002372 + INV FACLI001739"/>
    <s v="29/12/2023 + 31/01/2024 + 29/02/2024 + 29/03/2024 + 30/04/2024 + 31/05/2024 + 28/06/2024 + 31/07/2024 + 30/08/2024 + 30/09/2024 + 31/10/2024 + 29/11/2024 + 01/09/2025"/>
    <n v="18490.59"/>
    <x v="1"/>
    <n v="11296.62"/>
    <n v="7193.9699999999993"/>
    <n v="11296.62"/>
  </r>
  <r>
    <s v="UC103"/>
    <m/>
    <s v="CMC"/>
    <m/>
    <s v="CREAPHARM"/>
    <s v="Devis 11718-1 - P00296_2019"/>
    <s v="P00296_2019"/>
    <s v="Secondary packaging UC103 clinical study - Travaux de conditionnement Achat des livret"/>
    <m/>
    <s v="INV CHB71801"/>
    <d v="2019-06-28T00:00:00"/>
    <n v="19628.2"/>
    <x v="1"/>
    <s v="OK"/>
    <n v="0"/>
    <n v="19628.2"/>
  </r>
  <r>
    <s v="UC103"/>
    <m/>
    <s v="CMC"/>
    <m/>
    <s v="CREAPHARM"/>
    <s v="Devis 11718-1 - P00296_2019"/>
    <s v="P00296_2019"/>
    <s v="Secondary packaging UC103 clinical study - Travaux de conditionnement Frais fixes"/>
    <m/>
    <s v="INV CHB71801"/>
    <d v="2019-06-28T00:00:00"/>
    <n v="83"/>
    <x v="1"/>
    <s v="OK"/>
    <n v="0"/>
    <n v="83"/>
  </r>
  <r>
    <s v="UC103"/>
    <m/>
    <s v="CMC"/>
    <m/>
    <s v="CREAPHARM"/>
    <s v="Devis 11718-1 - P00296_2019"/>
    <s v="P00296_2019"/>
    <s v="Secondary packaging UC103 clinical study - Travaux de conditionnement 1ère campagne"/>
    <m/>
    <s v="INV CHB71802"/>
    <d v="2019-06-28T00:00:00"/>
    <n v="45261.440000000002"/>
    <x v="1"/>
    <n v="45261.440000000002"/>
    <n v="0"/>
    <n v="45261.440000000002"/>
  </r>
  <r>
    <s v="UC103"/>
    <m/>
    <s v="CMC"/>
    <m/>
    <s v="CREAPHARM"/>
    <s v="Devis 11718-1 - P00296_2019"/>
    <s v="P00296_2019"/>
    <s v="Secondary packaging UC103 clinical study - Travaux de conditionnement campagne ultérieure"/>
    <d v="2020-06-01T00:00:00"/>
    <m/>
    <m/>
    <n v="8066.5599999999977"/>
    <x v="1"/>
    <m/>
    <n v="8066.5599999999977"/>
    <n v="0"/>
  </r>
  <r>
    <s v="UC103"/>
    <m/>
    <s v="CMC"/>
    <m/>
    <s v="CREAPHARM"/>
    <s v="Devis 11718-1 - P00296_2019"/>
    <s v="P00296_2019"/>
    <s v="Secondary packaging UC103 clinical study - Conservation"/>
    <m/>
    <s v="INV CHB71802 + INV FA212716 + INV FA214662 + Inv FA216137 + INV FA220158 + INV FA220794 + INV FA221295 + INV FA221871 + NV FA222369 + INV FA223057"/>
    <s v="28/06/2019 + 30/06/2021 + 29/10/2021 + 31/12/2021 + 31/01/2022 + 28/02/2022 + 31/03/2022 + 30/04/2022 + 31/05/2022 + 01/07/2022"/>
    <n v="1456"/>
    <x v="1"/>
    <n v="1212.5099999999998"/>
    <n v="243.49000000000024"/>
    <n v="1212.5099999999998"/>
  </r>
  <r>
    <s v="UC103"/>
    <m/>
    <s v="CMC"/>
    <m/>
    <s v="CREAPHARM"/>
    <s v="Devis 11718-1 - P00296_2019"/>
    <s v="P00296_2019"/>
    <s v="Secondary packaging UC103 clinical study - Certification Set-up"/>
    <d v="2020-06-01T00:00:00"/>
    <s v="INV CHB71802"/>
    <d v="2019-06-28T00:00:00"/>
    <n v="6800"/>
    <x v="1"/>
    <n v="5550"/>
    <n v="1250"/>
    <n v="5550"/>
  </r>
  <r>
    <s v="UC103"/>
    <m/>
    <s v="CMC"/>
    <m/>
    <s v="CREAPHARM"/>
    <s v="Devis 11718-1 - P00296_2019"/>
    <s v="P00296_2019"/>
    <s v="Secondary packaging UC103 clinical study - Certification Certification "/>
    <m/>
    <s v="INV CHB71802"/>
    <d v="2019-06-28T00:00:00"/>
    <n v="7500"/>
    <x v="1"/>
    <n v="7500"/>
    <n v="0"/>
    <n v="7500"/>
  </r>
  <r>
    <s v="UC103"/>
    <m/>
    <s v="CMC"/>
    <m/>
    <s v="CREAPHARM"/>
    <s v="Devis 11718-1 - P00296_2019"/>
    <s v="P00296_2019"/>
    <s v="Secondary packaging UC103 clinical study - Conférence téléphonique"/>
    <m/>
    <m/>
    <m/>
    <n v="135"/>
    <x v="1"/>
    <m/>
    <n v="135"/>
    <n v="0"/>
  </r>
  <r>
    <s v="UC103"/>
    <m/>
    <s v="CMC"/>
    <m/>
    <s v="CREAPHARM"/>
    <s v="Devis 11718-1-Avenant n°1 - P00515_2019"/>
    <s v="P00515_2019"/>
    <s v="UC103 Extension de péremption des coffret de 24 à 30 mois - Conditonnement Bordeaux 2 campagnes"/>
    <d v="2020-03-01T00:00:00"/>
    <s v="INV COB71805 + INV CRB71809"/>
    <s v="31/01/2020 + 30/04/2020"/>
    <n v="34647"/>
    <x v="1"/>
    <n v="31396.15"/>
    <n v="3250.8499999999985"/>
    <n v="31396.15"/>
  </r>
  <r>
    <s v="UC103"/>
    <m/>
    <s v="CMC"/>
    <m/>
    <s v="CREAPHARM"/>
    <s v="Devis 11718-1-Avenant n°1 - P00515_2019"/>
    <s v="P00515_2019"/>
    <s v="UC103 Extension de péremption des coffret de 24 à 30 mois - Conservation 10 ans"/>
    <m/>
    <s v="INV COB71805"/>
    <d v="2020-01-31T00:00:00"/>
    <n v="728"/>
    <x v="1"/>
    <s v="OK"/>
    <n v="0"/>
    <n v="728"/>
  </r>
  <r>
    <s v="UC103"/>
    <m/>
    <s v="CMC"/>
    <m/>
    <s v="CREAPHARM"/>
    <s v="Devis 11718-1-Avenant n°1 - P00515_2019"/>
    <s v="P00515_2019"/>
    <s v="UC103 Extension de péremption des coffret de 24 à 30 mois - contre etiquetage Ukraine et Bielorussie"/>
    <m/>
    <s v="INV COB71805 + INV CPB71807 + INV CRB71809 + INV CYB71810"/>
    <s v="31/01/2020 + 28/02/2020 + 30/04/2020 + 30/11/2020"/>
    <n v="4731"/>
    <x v="1"/>
    <n v="5929.79"/>
    <n v="0"/>
    <n v="5929.79"/>
  </r>
  <r>
    <s v="UC103"/>
    <m/>
    <s v="CMC"/>
    <m/>
    <s v="CREAPHARM"/>
    <s v="Devis 11718-1-Avenant n°2 - P00506_2019"/>
    <s v="P00506_2019"/>
    <s v="UC103 Conditionnement et conservation UK + ESP - Conditionnement clinique"/>
    <m/>
    <s v="INV COB71806"/>
    <d v="2020-01-31T00:00:00"/>
    <n v="7637"/>
    <x v="1"/>
    <s v="OK"/>
    <n v="0"/>
    <n v="7637"/>
  </r>
  <r>
    <s v="UC103"/>
    <m/>
    <s v="CMC"/>
    <m/>
    <s v="CREAPHARM"/>
    <s v="Devis 11718-1-Avenant n°2 - P00506_2019"/>
    <s v="P00506_2019"/>
    <s v="UC103 Conditionnement et conservation UK + ESP - Conservation"/>
    <m/>
    <s v="INV COB71806"/>
    <d v="2020-01-31T00:00:00"/>
    <n v="728"/>
    <x v="1"/>
    <s v="OK"/>
    <n v="0"/>
    <n v="728"/>
  </r>
  <r>
    <s v="UC103"/>
    <m/>
    <s v="CMC"/>
    <m/>
    <s v="CREAPHARM"/>
    <s v="Devis 11718-1-Avenant n°3 - P00579_2020"/>
    <s v="P00579_2020"/>
    <s v="UC103 - Conditionnement spécifique pour les US - Conditionnement clinique "/>
    <m/>
    <s v="INV CQB71808"/>
    <d v="2020-03-31T00:00:00"/>
    <n v="5434"/>
    <x v="1"/>
    <s v="OK"/>
    <n v="0"/>
    <n v="5434"/>
  </r>
  <r>
    <s v="UC103"/>
    <m/>
    <s v="CMC"/>
    <m/>
    <s v="CREAPHARM"/>
    <s v="Devis 11718-1-Avenant n°3 - P00579_2020"/>
    <s v="P00579_2020"/>
    <s v="UC103 - Conditionnement spécifique pour les US - Conservation"/>
    <m/>
    <s v="INV CZB71811 + INV FA210006 + INV FA212120 + FA213788"/>
    <s v="31/12/2020 + 29/01/2021 + 31/05/2021 + 31/08/2021 + 30/09/2021"/>
    <n v="728"/>
    <x v="1"/>
    <n v="1897.1799999999998"/>
    <n v="0"/>
    <n v="1897.1799999999998"/>
  </r>
  <r>
    <s v="UC103"/>
    <m/>
    <s v="CMC"/>
    <m/>
    <s v="CREAPHARM"/>
    <s v="Devis 11718-1-Avenant n°4 - P00837_2020 V2"/>
    <s v="P00837_2020 V2"/>
    <s v="UC103 - Extension de prémemption des coffrets"/>
    <m/>
    <s v="INV CYB71810"/>
    <d v="2020-11-30T00:00:00"/>
    <n v="34082"/>
    <x v="1"/>
    <n v="22244.04"/>
    <n v="11837.96"/>
    <n v="22244.04"/>
  </r>
  <r>
    <s v="DI902"/>
    <m/>
    <s v="CMC"/>
    <m/>
    <s v="CREAPHARM"/>
    <s v="Devis 12539 - P00824_2020"/>
    <s v="P00824_2020"/>
    <s v="DI902 - Labelling of Wallet Cards"/>
    <m/>
    <s v="INV CZC53901 + INV CZC53902+ INV CZC53903 + INV FA212119 + INV FA212715 + INV FA213263 + INV FA211049 + INV FA213790 + INV FA214966 + FA215628 + INV FA216139 + INV FA220161 + INV FA220796 + INV FA221297 + INV FA221873 + INV FA222371 + INV FA224882"/>
    <s v="31/12/2020 + 31/12/2020 + 31/12/2020 + 31/05/2021 + 30/06/2021 + 30/07/2021 + 31/03/2021 (recu 01/08/2021) + 31/08/2021 + 29/10/2021 + 30/11/2021 + 31/12/2021 + 31/01/2022 + 28/02/2022 + 31/03/2022 + 29/04/2022 + 31/05/2022 + 30/09/2022"/>
    <n v="5956.38"/>
    <x v="1"/>
    <n v="4819.6399999999976"/>
    <n v="1136.7400000000025"/>
    <n v="4819.6399999999976"/>
  </r>
  <r>
    <s v="JP921"/>
    <m/>
    <s v="CMC"/>
    <m/>
    <s v="CREAPHARM"/>
    <s v="Devis 12804 - P00147_2021"/>
    <s v="P00147_2021"/>
    <s v="Packing &amp; Shippement to Japan "/>
    <m/>
    <s v="INV FA212263 + INV FA213670 + INV FA214352 + INV FA221298"/>
    <s v="31/05/2021 + 31/08/2021 + 30/09/2021 + 31/03/2022"/>
    <n v="27362.199999999997"/>
    <x v="1"/>
    <n v="15835.57"/>
    <n v="11526.629999999997"/>
    <n v="15835.57"/>
  </r>
  <r>
    <s v="JP921"/>
    <m/>
    <s v="CMC"/>
    <m/>
    <s v="CREAPHARM"/>
    <s v="Devis 12804 Amdt 2 - P00187_2021"/>
    <s v="P00187_2021"/>
    <s v="IP supply ABX464 25mg/50mg/placebo blister"/>
    <m/>
    <s v="INV FA213182"/>
    <d v="2021-07-30T00:00:00"/>
    <n v="22144.97"/>
    <x v="1"/>
    <n v="8035.83"/>
    <n v="14109.140000000001"/>
    <n v="8035.83"/>
  </r>
  <r>
    <s v="UC105/106"/>
    <m/>
    <s v="CMC"/>
    <m/>
    <s v="CREAPHARM"/>
    <s v="Devis 12891-1 - Amdt 2 - P00018_2022"/>
    <s v="P00018_2022"/>
    <s v="ABX464-105/106 Packaging material purchase"/>
    <m/>
    <m/>
    <m/>
    <n v="11789"/>
    <x v="1"/>
    <m/>
    <n v="11789"/>
    <n v="0"/>
  </r>
  <r>
    <s v="ABX464"/>
    <m/>
    <s v="CMC"/>
    <s v="Marianne P"/>
    <s v="CREAPHARM"/>
    <s v="Devis 12892-1 - ALL PO"/>
    <m/>
    <s v="stability study"/>
    <m/>
    <s v="INV FACLI001799 + INV FACLI001796 + INV FACLI002009"/>
    <s v="30/09/2024 + 30/09/2024 + 31/10/2024"/>
    <n v="130604.23999999999"/>
    <x v="1"/>
    <n v="119324.88"/>
    <n v="11279.359999999986"/>
    <n v="119324.88"/>
  </r>
  <r>
    <s v="UC108"/>
    <m/>
    <s v="CMC"/>
    <m/>
    <s v="CREAPHARM"/>
    <s v="Devis 12954 - ALL Amdt - ALL PO"/>
    <m/>
    <s v="ABX464-108 packing et distribution - Centralisation PO 2023"/>
    <m/>
    <s v="INV FA214811 + INV FA215367 + INV FA220133 + INV FA220742 + INV FA221286 - INV FA221885 + INV FA222332 + INV FA223059 + INV FA223516 + INV FA224394 + INV FA224876 + INV FA225836 + INV FA226248 + INV FA230355 + INV FA230553 + INV FA231011 + INV FA231476 + INV FA232599 + INV FA232526 + INV FA233112 + INV FA233590 + INV FA233588 + INV FA234392 + INV FA233943 + INV FA235136 + INV FA235375 + INV FA236180 + INV FACLI000200 + INV FACLI000130 + INV FACLI000367 + INV FACLI000410 + INV FACLI000728 + INV FACLI000828 + INV FACLI001122 + INV FACLI001310 + INV FACLI001565 + INV FACLI001668 + INV FACLI002008 + INv FACLI002284 + INV FACLI002498 + INV FACLI000089 + INV FACLI000222 + INV FACLI000522 + INV FACLI000789 + INV FACLI001018 + INV FACLI001256 + INV FACLI001575 + INV FACLI001671 + INV FACLI002080 + INV FACLI002375 + INV FACLI002305 + INV FACLI002303 + INV FACLI002599 + INV FACLI002610 + INV FACLI002658 + INV FACLI002836"/>
    <s v="29/10/2021 + 30/11/2021 + 31/12/2022 + 28/02/2022 + 31/03/2022 + 29/04/2022 + 31/05/2022 + 01/07/2022 + 29/07/2022 + 31/08/2022 + 30/09/2022 + 01/12/2022 + 30/12/2022 + 31/01/2023 + 31/01/2023 + 28/02/2023 + 31/03/2023 + 28/04/2023 + 28/04/2023 + 31/05/2023 + 30/06/2023 (recu en 07/2023) + 30/06/2023 (recu 07/2023) + 31/07/2023 + 31/07/2023 + 31/08/2023 + 30/09/2023 + 31/10/2023 + 29/12/2023 + 31/01/2024 + 29/02/2024 + 29/03/2024 + 30/04/2024 + 31/05/2024 + 28/06/2024 + 31/07/2024 + 30/08/2024 + 30/09/2024 + 31/10/2024 + 29/11/2024 + 31/12/2024 + 31/01/2025 + 28/02/2025 + 01/04/2025 + 02/05/2025 + 02/06/2025 + 01/07/2025 + 31/07/2025 + 01/09/2025 + 01/10/2025 + 03/11/2025 + 03/11/2025 + 03/11/2025 + 01/12/2025 + 01/12/2025 + 01/01/2026 + 01/01/2026"/>
    <n v="719415.69"/>
    <x v="1"/>
    <n v="381775.79000000004"/>
    <n v="337639.89999999991"/>
    <n v="381775.79000000004"/>
  </r>
  <r>
    <s v="ABX464"/>
    <m/>
    <s v="CMC"/>
    <m/>
    <s v="CREAPHARM"/>
    <s v="Devis 12992 - ALL PO"/>
    <m/>
    <s v="Bluk QP release &amp; certif for ABX464 studies"/>
    <m/>
    <s v="INV FA550551 + INV FA23957 + INV FA235450 + INV FACLI000221 + INV FACLI000441 + INV FACLI001249 + INV FACLI001947 + INV FACLI001315 + INV FACLI001764 + INV FACLI002437 + INV FACLI002652 + INV FACLI002653 + INV FACLI002654"/>
    <s v="28/02/2022 + 31/07/2023 + 30/09/2023 + 29/02/2024 + 29/03/2024 + 30/07/2024 + 30/09/2024 + 01/07/2025 + 01/09/2025 + 28/11/2025 + 01/01/2026 + 01/01/2026 + 01/01/2026"/>
    <n v="109660.6"/>
    <x v="1"/>
    <n v="77536.079999999987"/>
    <n v="32124.520000000019"/>
    <n v="77536.079999999987"/>
  </r>
  <r>
    <s v="UC105"/>
    <m/>
    <s v="CMC"/>
    <m/>
    <s v="CREAPHARM"/>
    <s v="Devis 13040 ALL Amdt ALL PO"/>
    <m/>
    <s v="UC105 - ABX464 ABTECT - Centralisation PO"/>
    <m/>
    <s v="INV FA230417 - AV FA230303 + INV FA231060 + INV FA231471 + INV FA232485 + INV FA233131 + INV FA233063 + INV FA233628 + INV FA234399 + INV FA235153 + INV FA235419 + INV FA235446 + INV FA235447 + INV FA235448 + INV FA236207 + INV FA236226 + INV FACLI000220 + INV FACLI000164 + INV FACLI000381 + INV FACLI000382  + INV FACLI000745 + INV FACLI000890 + INV FACLI000933 + INV FACLI000935 + INV FACLI000939 + INV FACLI000432 + INV FACL001159 + INV FACLI001144 + INV FACLI001400 + INV FACLI001351 + INV FACLI001627 + INV FACLI001669 + INV FACLI002011 + INV FACLI002013 + INV FACLI002329 + INV FACLI002345 + INV FACLI002574 + INV FACLI000102 + INV FACLI000396 + INV FACLI000349 + IN FACLI000839 + INV FACLI001040 + INV FACLI001325 + INV FACLI001592 + INV FACLI001738 + INV FACLI002106 + INV FACLI002124 + INV FACLI002347 + INV FACLI002608 + INV FACLI002656 + INV FACLI002866"/>
    <s v="31/01/2023 - 31/01/2023 + 28/02/2023 + 31/03/2023 + 28/04/2023 + 31/05/2023 + 31/05/2023 + 30/06/2023 (recu 07/2023) + 31/07/2023 + 31/08/2023 + 30/09/2023 + 30/09/2023 + 30/09/2023 + 30/09/2023 + 31/10/2023 + 31/10/2023 + 29/12/2023 + 31/01/2024 + 29/02/2024 + 29/02/2024 + 30/04/2024 + 31/05/2024 + 31/05/2024 + 31/05/2024 + 31/05/2024 + 29/03/2024 (recu en 07/2024) + 28/06/2024 + 28/06/2024 + 31/07/2024 + 31/07/2024 + 30/08/2024 + 30/09/2024 + 31/10/2024 + 31/10/2024 + 29/11/2024 + 29/11/2024 + 31/12/2024 + 31/01/2025 + 03/03/2025 + 03/03/2025 + 02/05/2025 + 02/06/2025 + 01/07/2025 + 01/08/2025 + 01/09/2025 + 01/10/2025 + 01/10/2025 + 03/11/2025 + 01/12/2025 + 01/01/2026 + 01/01/2026"/>
    <n v="1427389.28"/>
    <x v="1"/>
    <n v="1459199.7"/>
    <n v="0"/>
    <n v="1459199.7"/>
  </r>
  <r>
    <s v="UC106"/>
    <m/>
    <s v="CMC"/>
    <m/>
    <s v="CREAPHARM"/>
    <s v="Devis 13329 - ALL Amdt - ALL PO"/>
    <m/>
    <s v="UC106 - Secondary packing clinical labelling of blister cards and distribution - Centralisation PO 2023"/>
    <m/>
    <s v="(FA224881 + FA225502 + FA225840 + FA226255)+FA230401-FA230305 + FA231058 + Fa231252 + FA231457 + FA231462 + FA232480 + FA233081 + Fa233701 + FA234423 + Fa235167 + FA235449 + FA235435 + FA236187 + FACLI000217 + FACLI000163 + AVCLI000056 + INV FACLI000373 + INV FACLI000379 + INV FACLI000774 + INV FACLI000907 + INV FACLI000941 + INV FACLI000934 + INV FACLI000431 + INV FACLI001148 + INV FACLI001350 + INV FACLI001316 + INV FACLI001315 + INV FACLI001629 + INV FACLI001674 + INV FACLI002010 + INV FACLI002084 + INV FACLI002340 + INV FACLI002344 + INv FACLI002370 + INV FACLI002588 + INV FACLI000132 + INV FACLI000395 + INV FACLI000630 + INV FACLI000842 + INV FACLI001081 + INV FACLI001039 + INv FACLI001314 + INV FACLI001589 + INV FACLI001733 + INV FACLI002098 + INV FACLI002128 + INV FACLI002342 + INV FACLI002619 + INV FACLI002655 + INV FACLI002869 + INV FACLI002901"/>
    <s v="(30/09/2022 + 31/10/2022 + 30/11/2022 + 30/12/2022)+31/01/2023-31/01/2023 + 28/02/2023 + 28/02/2023 + 31/03/2023 + 31/03/2023 + 28/04/2023 + 31/05/2023 + 30/06/2023 (recu 07/2023) + 31/07/2023 + 31/08/2023 + 30/09/2023 + 30/09/2023 + 31/10/2023 + 29/12/2023 + 31/01/2024 + 29/02/2024 + 29/02/2024 + 29/02/2024 + 30/04/2024 + 31/05/2024 + 31/05/2024 + 31/05/2024 + 29/03/2024 (recu en 07/2024) + 28/06/2024 + 31/07/2024 + 31/07/2024 + 31/07/2024 + 30/08/2024 + 30/09/2024 + 31/10/2024 + 31/10/2024 + 29/11/2024 + 29/11/2024 + 29/11/2024 + 31/12/2024 + 31/01/2025 + 03/03/2025 + 01/04/2025 + 02/05/2025 + 02/06/2025 +02/06/2025 + 01/07/2025 + 01/08/2025 + 01/09/2025 + 01/10/2025 + 01/10/2025 + 03/11/2025 + 01/12/2025 + 01/01/2026 + 01/01/2026 + 01/01/2026"/>
    <n v="1178651.6700000002"/>
    <x v="1"/>
    <n v="1220823.5"/>
    <n v="0"/>
    <n v="1220823.5"/>
  </r>
  <r>
    <s v="ABX464"/>
    <m/>
    <s v="CMC"/>
    <s v="Marianne P"/>
    <s v="CREAPHARM"/>
    <s v="Devis 14079-2 - P00367_2024"/>
    <s v="P00367_2024"/>
    <s v="ABX464-CUP001 Labelling &amp; Packaging France ABX464 25mg&amp;50mg"/>
    <m/>
    <s v="INV FACLI001408"/>
    <d v="2024-07-31T00:00:00"/>
    <n v="107043.36"/>
    <x v="1"/>
    <n v="18335.8"/>
    <n v="88707.56"/>
    <n v="18335.8"/>
  </r>
  <r>
    <s v="MD914"/>
    <m/>
    <s v="CMC"/>
    <s v="Marianne P"/>
    <s v="CREAPHARM"/>
    <s v="Devis 14179-2 - ALL PO"/>
    <m/>
    <s v="MD914 - Labelling &amp; Secondary Packaging"/>
    <m/>
    <s v="INV FACLI002352 + INV FACLI002494 + FACLI000076 + FACLI000217 + FACLI000664"/>
    <s v="29/11/2024 + 31/12/2024 + 31/01/2025 + 28/02/2025 + 01/04/2025"/>
    <n v="46389.57"/>
    <x v="1"/>
    <n v="29210.940000000002"/>
    <n v="17178.629999999997"/>
    <n v="29210.940000000002"/>
  </r>
  <r>
    <s v="NOTAPP"/>
    <m/>
    <s v="MED"/>
    <m/>
    <s v="Crohn &amp; colitis Foudation"/>
    <s v="P00136_2024"/>
    <s v="P00136_2024"/>
    <s v="Socila Media Campaign - 2 Posts "/>
    <m/>
    <m/>
    <m/>
    <n v="18000"/>
    <x v="3"/>
    <m/>
    <n v="18000"/>
    <n v="0"/>
  </r>
  <r>
    <s v="HI908"/>
    <m/>
    <s v="CLI"/>
    <m/>
    <s v="CRS"/>
    <s v="A 22/128"/>
    <m/>
    <s v="PK hepatic impairment - Upon signature"/>
    <m/>
    <s v="INV 2023-KI-0087"/>
    <d v="2023-07-14T00:00:00"/>
    <n v="72954"/>
    <x v="1"/>
    <n v="72954"/>
    <n v="0"/>
    <n v="72954"/>
  </r>
  <r>
    <s v="HI908"/>
    <m/>
    <s v="CLI"/>
    <m/>
    <s v="CRS"/>
    <s v="A 22/128"/>
    <m/>
    <s v="PK hepatic impairment - FPFV (start screening)"/>
    <m/>
    <s v="INV 2023-KI-0117"/>
    <d v="2023-10-11T00:00:00"/>
    <n v="143724"/>
    <x v="1"/>
    <n v="143724"/>
    <n v="0"/>
    <n v="143724"/>
  </r>
  <r>
    <s v="HI908"/>
    <m/>
    <s v="CLI"/>
    <m/>
    <s v="CRS"/>
    <s v="A 22/128"/>
    <m/>
    <s v="PK hepatic impairment - 50% of mild and moderate group completed (total 8 patients)"/>
    <m/>
    <s v="INV 2024-KI-0008"/>
    <d v="2024-02-14T00:00:00"/>
    <n v="143724"/>
    <x v="1"/>
    <n v="143724"/>
    <n v="0"/>
    <n v="143724"/>
  </r>
  <r>
    <s v="HI908"/>
    <m/>
    <s v="CLI"/>
    <m/>
    <s v="CRS"/>
    <s v="A 22/128"/>
    <m/>
    <s v="PK hepatic impairment - 50% of matched control group completed (total 8 subjects)"/>
    <m/>
    <s v="INV 2024-KI-0026"/>
    <d v="2024-04-22T00:00:00"/>
    <n v="143724"/>
    <x v="1"/>
    <n v="143724"/>
    <n v="0"/>
    <n v="143724"/>
  </r>
  <r>
    <s v="HI908"/>
    <m/>
    <s v="CLI"/>
    <m/>
    <s v="CRS"/>
    <s v="A 22/128"/>
    <m/>
    <s v="PK hepatic impairment - 100% of mild and moderate group completed (total 8 patients each group)"/>
    <m/>
    <s v="INV 2024-KI-0070"/>
    <d v="2024-09-02T00:00:00"/>
    <n v="143724"/>
    <x v="1"/>
    <n v="143724"/>
    <n v="0"/>
    <n v="143724"/>
  </r>
  <r>
    <s v="HI908"/>
    <m/>
    <s v="CLI"/>
    <m/>
    <s v="CRS"/>
    <s v="A 22/128"/>
    <m/>
    <s v="PK hepatic impairment - LPLV"/>
    <m/>
    <s v="INV 2024-KI-0077"/>
    <d v="2024-09-11T00:00:00"/>
    <n v="143724"/>
    <x v="1"/>
    <n v="143724"/>
    <n v="0"/>
    <n v="143724"/>
  </r>
  <r>
    <s v="HI908"/>
    <m/>
    <s v="CLI"/>
    <m/>
    <s v="CRS"/>
    <s v="A 22/128"/>
    <m/>
    <s v="PK hepatic impairment - Data base lock (not later than 30 days after the last query is solved)"/>
    <m/>
    <s v="INV 2024-KI-0096"/>
    <d v="2024-10-28T00:00:00"/>
    <n v="95815"/>
    <x v="1"/>
    <n v="95818"/>
    <n v="0"/>
    <n v="95818"/>
  </r>
  <r>
    <s v="HI908"/>
    <m/>
    <s v="CLI"/>
    <m/>
    <s v="CRS"/>
    <s v="A 22/128"/>
    <m/>
    <s v="PK hepatic impairment - Final study report (not later than 30 days after review comments of CRS were provided)"/>
    <m/>
    <s v="INV 2025-KI-0061"/>
    <d v="2025-08-08T00:00:00"/>
    <n v="47908"/>
    <x v="1"/>
    <n v="47908"/>
    <n v="0"/>
    <n v="47908"/>
  </r>
  <r>
    <s v="HI908"/>
    <m/>
    <s v="CLI"/>
    <m/>
    <s v="CRS"/>
    <s v="A 22/128 - CO1"/>
    <m/>
    <s v="PK hepatic impairment - Upon signature CO1"/>
    <m/>
    <s v="INV 2024-KI-01103"/>
    <d v="2024-11-21T00:00:00"/>
    <n v="57288"/>
    <x v="1"/>
    <n v="57288"/>
    <n v="0"/>
    <n v="57288"/>
  </r>
  <r>
    <s v="HI908"/>
    <m/>
    <s v="CLI"/>
    <m/>
    <s v="CRS"/>
    <s v="A 22/128 - LOI"/>
    <m/>
    <s v="PK hepatic impairment - Unit 4 - Clinical Study Protocol Activities"/>
    <m/>
    <m/>
    <m/>
    <n v="22861"/>
    <x v="1"/>
    <n v="22861"/>
    <n v="0"/>
    <n v="22861"/>
  </r>
  <r>
    <s v="HI908"/>
    <m/>
    <s v="CLI"/>
    <m/>
    <s v="CRS"/>
    <s v="A 22/128 - LOI"/>
    <m/>
    <s v="PK hepatic impairment - PTC - Unit 4 Clinical Trial Application &amp; Study setup"/>
    <m/>
    <m/>
    <m/>
    <n v="0"/>
    <x v="1"/>
    <m/>
    <n v="0"/>
    <n v="0"/>
  </r>
  <r>
    <s v="HI908"/>
    <m/>
    <s v="CLI"/>
    <m/>
    <s v="CRS"/>
    <s v="A 22/128 - LOI"/>
    <m/>
    <s v="PK hepatic impairment - PTC - Unit 5 Project managment"/>
    <m/>
    <m/>
    <m/>
    <n v="0"/>
    <x v="1"/>
    <m/>
    <n v="0"/>
    <n v="0"/>
  </r>
  <r>
    <s v="HI908"/>
    <m/>
    <s v="CLI"/>
    <m/>
    <s v="CRS"/>
    <s v="A 22/128 - LOI"/>
    <m/>
    <s v="PK hepatic impairment - PTC - Unit 6 investigational mediclinal pdt managment"/>
    <m/>
    <m/>
    <m/>
    <n v="0"/>
    <x v="1"/>
    <m/>
    <n v="0"/>
    <n v="0"/>
  </r>
  <r>
    <s v="RI907"/>
    <m/>
    <s v="CLI"/>
    <s v="Josainne"/>
    <s v="CRS"/>
    <s v="SRV_24125"/>
    <m/>
    <s v="RI907 - Renal Impairment Study - At signature"/>
    <m/>
    <s v="INV 2024-KI-0046"/>
    <d v="2024-06-26T00:00:00"/>
    <n v="158465"/>
    <x v="1"/>
    <n v="158456"/>
    <n v="9"/>
    <n v="158456"/>
  </r>
  <r>
    <s v="RI907"/>
    <m/>
    <s v="CLI"/>
    <s v="Josainne"/>
    <s v="CRS"/>
    <s v="SRV_24125"/>
    <m/>
    <s v="RI907 - Renal Impairment Study - FPFV Start screening"/>
    <m/>
    <s v="INV 2024-KI-0080"/>
    <d v="2024-09-25T00:00:00"/>
    <n v="237698"/>
    <x v="1"/>
    <n v="237698"/>
    <n v="0"/>
    <n v="237698"/>
  </r>
  <r>
    <s v="RI907"/>
    <m/>
    <s v="CLI"/>
    <s v="Josainne"/>
    <s v="CRS"/>
    <s v="SRV_24125"/>
    <m/>
    <s v="RI907 - Renal Impairment Study - 50% severe and matched control completed"/>
    <m/>
    <s v="INV 2024-KI-0120"/>
    <d v="2024-12-31T00:00:00"/>
    <n v="190158"/>
    <x v="1"/>
    <n v="190158"/>
    <n v="0"/>
    <n v="190158"/>
  </r>
  <r>
    <s v="RI907"/>
    <m/>
    <s v="CLI"/>
    <s v="Josainne"/>
    <s v="CRS"/>
    <s v="SRV_24125"/>
    <m/>
    <s v="RI907 - Renal Impairment Study - 100% severe and matched control completed"/>
    <m/>
    <s v="INV 2025-KI-0083"/>
    <d v="2025-10-21T00:00:00"/>
    <n v="190158"/>
    <x v="1"/>
    <n v="190158"/>
    <n v="0"/>
    <n v="190158"/>
  </r>
  <r>
    <s v="RI907"/>
    <m/>
    <s v="CLI"/>
    <s v="Josainne"/>
    <s v="CRS"/>
    <s v="SRV_24125"/>
    <m/>
    <s v="RI907 - Renal Impairment Study - 50% mild and moderate group completed"/>
    <m/>
    <s v="INV 2025-KI-0056"/>
    <d v="2025-07-15T00:00:00"/>
    <n v="190158"/>
    <x v="1"/>
    <n v="190158"/>
    <n v="0"/>
    <n v="190158"/>
  </r>
  <r>
    <s v="RI907"/>
    <m/>
    <s v="CLI"/>
    <s v="Josainne"/>
    <s v="CRS"/>
    <s v="SRV_24125"/>
    <m/>
    <s v="RI907 - Renal Impairment Study - 100% mild and moderate group completed"/>
    <m/>
    <s v="INV 2025-KI-0081"/>
    <d v="2025-10-08T00:00:00"/>
    <n v="190158"/>
    <x v="1"/>
    <n v="190158"/>
    <n v="0"/>
    <n v="190158"/>
  </r>
  <r>
    <s v="RI907"/>
    <m/>
    <s v="CLI"/>
    <s v="Josainne"/>
    <s v="CRS"/>
    <s v="SRV_24125"/>
    <m/>
    <s v="RI907 - Renal Impairment Study - LPLV"/>
    <m/>
    <s v="INV 2025-KI-0083"/>
    <d v="2025-10-21T00:00:00"/>
    <n v="190158"/>
    <x v="1"/>
    <n v="190158"/>
    <n v="0"/>
    <n v="190158"/>
  </r>
  <r>
    <s v="RI907"/>
    <m/>
    <s v="CLI"/>
    <s v="Josainne"/>
    <s v="CRS"/>
    <s v="SRV_24125"/>
    <m/>
    <s v="RI907 - Renal Impairment Study - Data base lock"/>
    <m/>
    <s v="INV 2025-KI-0099"/>
    <d v="2025-12-01T00:00:00"/>
    <n v="158465"/>
    <x v="1"/>
    <n v="158465"/>
    <n v="0"/>
    <n v="158465"/>
  </r>
  <r>
    <s v="RI907"/>
    <m/>
    <s v="CLI"/>
    <s v="Josainne"/>
    <s v="CRS"/>
    <s v="SRV_24125"/>
    <m/>
    <s v="RI907 - Renal Impairment Study - Final study report"/>
    <d v="2025-10-01T00:00:00"/>
    <m/>
    <m/>
    <n v="79234"/>
    <x v="1"/>
    <m/>
    <n v="79234"/>
    <n v="0"/>
  </r>
  <r>
    <s v="RI907"/>
    <m/>
    <s v="CLI"/>
    <s v="Josainne"/>
    <s v="CRS"/>
    <s v="SRV_24125"/>
    <m/>
    <s v="RI907 - Renal Impairment Study - PTC"/>
    <m/>
    <s v="INV 2024-KI-0047 + INV 2024-KI-100 + INV 2024-KI-0120 + INV 2024-KI-0132 + INV 2024-KI-0131 + INV 2025-KI-0005 + INV 2025-KI-0020 + INV 2025-KI-0025+inv 2025-KI-0037 + INV 2025-KI-0044 +INV 2025-KI-0049  + INV 2025-KI-0071+ INV 2025-KI-0077 + INV 2025-KI-0089 + INV 2025-KI-0098"/>
    <s v="26/06/2024 + 29/10/2024 + 31/12/2024 + 30/01/2025 + 30/01/2025 + 03/02/2025+19/03/2025+28/03/2025+30/04/2025 + 02/06/2025 +24/06/2025 + 28/08/2025 + 30/09/2025 + 30/10/2025 +28/11/2025"/>
    <n v="48616"/>
    <x v="1"/>
    <n v="80767.710000000006"/>
    <n v="0"/>
    <n v="80767.710000000006"/>
  </r>
  <r>
    <s v="UC105"/>
    <s v="FG veux du NOTAPP"/>
    <s v="DAT"/>
    <s v="Kevin S"/>
    <s v="CYTEL INC"/>
    <s v="MSA_24185_WO1 - 24185_WO1_ABTECT + CO1 + CO2"/>
    <m/>
    <s v="replace IQVIA in performing IDMC support services - ABTECT IDMC "/>
    <n v="46082"/>
    <s v="INV PINV-14898 + INV CINV-12495 + INV CIN-12751 + INV CIN - 13066 + INV CIN -13338 + INV CINV-13647 + INV CINV-13979 +INV CINV-14235 + INV CINV-14550 + INV CINV-14879 + INV CINV-15239+ INV CYTELPBS-017"/>
    <s v="18/12/2024 + 28/02/2025 +31/03/2025+30/04/2025+31/05/2025 + 30/06/2025 + 31/07/2025 + 30/08/2025 +30/09/2025+31/10/2025 + 30/11/2025+31/12/2025"/>
    <n v="556386.44000000006"/>
    <x v="3"/>
    <n v="232286.05999999994"/>
    <n v="324100.38000000012"/>
    <n v="232286.05999999994"/>
  </r>
  <r>
    <s v="CD202"/>
    <s v="FG veux du NOTAPP"/>
    <s v="DAT"/>
    <s v="Kevin S"/>
    <s v="CYTEL INC"/>
    <s v="MSA_24185_WO2 - 24185_WO1_ABX464-202"/>
    <m/>
    <s v="replace IQVIA in performing IDMC support services - CD202 IDMC"/>
    <n v="46126"/>
    <s v="INV PINV-14899 + INV CINV-12496 + INV CINV- 13071 + INV CINV-13015 + INV CIN 13339 + INV CINV-13648 + INV 13980 + INV CINV-14237 + INV CINV-14553 + INV CINV-14882 + INV CINV-15240 + INV CYTELPBS-018"/>
    <s v="18/12/2024 + 28/02/2025+30/04/2025 + 10/04/2025+31/05/2025 + 30/06/2025+31/07/2025+31/08/2025 + 30/09/2025 + 31/10/2025 + 30/11/2025+31/12/2025"/>
    <n v="389301.84"/>
    <x v="3"/>
    <n v="144484.84999999998"/>
    <n v="244816.99000000005"/>
    <n v="144484.84999999998"/>
  </r>
  <r>
    <s v="ABX464"/>
    <s v="FG veux du NOTAPP"/>
    <s v="DAT"/>
    <s v="Kevin S"/>
    <s v="CYTEL INC"/>
    <s v="MSA_24185_WO3_ICVSC + CO1"/>
    <m/>
    <s v="replace Keyrus in performing independent cardiovascular safety committee (ICVSC)"/>
    <n v="46143"/>
    <s v="INV PINV-14900 + INV CINV-12497 + INV CINV-12753+ INV CINV-12072 + INV CINV-13340 + INV CINV-13744 + INV CINV-14145 + INV CINV-14238 + INV CINV-14556 + INV CINV-14883 + INV CINV-15241 + INV CYTELPBS-19"/>
    <s v="17/12/2024 + 28/02/2025 + 31/03/2025+30/04/2025+31/05/2025 + 30/06/2025+31/07/2025+31/08/2025 + 30/09/2025+31/10/2025 + 30/11/2025+31/12/2025"/>
    <n v="671209.89"/>
    <x v="3"/>
    <n v="391243.83000000007"/>
    <n v="279966.05999999994"/>
    <n v="391243.83000000007"/>
  </r>
  <r>
    <s v="ABX464"/>
    <m/>
    <s v="CMC"/>
    <m/>
    <s v="DELPHARM"/>
    <s v="L16_2086C"/>
    <m/>
    <s v="TRANSFERT GALENIQUE Campagne 1, lots de faisabilité "/>
    <n v="46150"/>
    <m/>
    <m/>
    <n v="35319"/>
    <x v="1"/>
    <s v="OK"/>
    <n v="0"/>
    <n v="35319"/>
  </r>
  <r>
    <s v="ABX464"/>
    <m/>
    <s v="CMC"/>
    <m/>
    <s v="DELPHARM"/>
    <s v="L16_2086C"/>
    <m/>
    <s v="TRANSFERT GALENIQUE Campagne 2, lots scale-up cliniques "/>
    <n v="46144"/>
    <m/>
    <m/>
    <n v="39796"/>
    <x v="1"/>
    <s v="OK"/>
    <n v="0"/>
    <n v="39796"/>
  </r>
  <r>
    <s v="ABX464"/>
    <m/>
    <s v="CMC"/>
    <m/>
    <s v="DELPHARM"/>
    <s v="L16_2086C"/>
    <m/>
    <s v="TRANSFERT GALENIQUE Campagne 3, conditionnement"/>
    <n v="46252"/>
    <m/>
    <m/>
    <n v="18178"/>
    <x v="1"/>
    <m/>
    <n v="18178"/>
    <n v="0"/>
  </r>
  <r>
    <s v="ABX464"/>
    <m/>
    <s v="CMC"/>
    <m/>
    <s v="DELPHARM"/>
    <s v="L16_2086C"/>
    <m/>
    <s v="TRANSFERT GALENIQUE CAMPAGNE 4 LOTS CLINIQUES"/>
    <n v="46266"/>
    <m/>
    <m/>
    <n v="53873"/>
    <x v="1"/>
    <m/>
    <n v="53873"/>
    <n v="0"/>
  </r>
  <r>
    <s v="ABX464"/>
    <m/>
    <s v="CMC"/>
    <m/>
    <s v="DELPHARM"/>
    <s v="L16_2086C"/>
    <m/>
    <s v="TRANSFERT GALENIQUE Campagne 4, conditionnement"/>
    <n v="46329"/>
    <m/>
    <m/>
    <n v="18178"/>
    <x v="1"/>
    <m/>
    <n v="18178"/>
    <n v="0"/>
  </r>
  <r>
    <s v="ABX464"/>
    <m/>
    <s v="CMC"/>
    <m/>
    <s v="DELPHARM"/>
    <s v="L16_2086C"/>
    <m/>
    <s v="Etudes de stabilités ICH Campagne 1 Conditionnement partiel pour stabilité"/>
    <n v="46343"/>
    <s v="INV 10001366 "/>
    <d v="2017-02-27T00:00:00"/>
    <n v="3450"/>
    <x v="1"/>
    <s v="OK"/>
    <n v="0"/>
    <n v="3450"/>
  </r>
  <r>
    <s v="ABX464"/>
    <m/>
    <s v="CMC"/>
    <m/>
    <s v="DELPHARM"/>
    <s v="L16_2086C"/>
    <m/>
    <s v="TRANSFERT 1312€/mois (durée 36 mois) MANAGEMENT"/>
    <m/>
    <m/>
    <m/>
    <n v="47232"/>
    <x v="1"/>
    <n v="14432"/>
    <n v="32800"/>
    <n v="14432"/>
  </r>
  <r>
    <s v="ABX464"/>
    <m/>
    <s v="CMC"/>
    <m/>
    <s v="DELPHARM"/>
    <s v="L16_2086C"/>
    <m/>
    <s v="Etudes de stabilités ICH Campagne 1  T0"/>
    <m/>
    <m/>
    <m/>
    <n v="3526"/>
    <x v="1"/>
    <s v="OK"/>
    <n v="0"/>
    <n v="3526"/>
  </r>
  <r>
    <s v="ABX464"/>
    <m/>
    <s v="CMC"/>
    <m/>
    <s v="DELPHARM"/>
    <s v="L16_2086C"/>
    <m/>
    <s v="Etudes de stabilités ICH Campagnes 2, 3 et 4  T0 campagne 3"/>
    <m/>
    <m/>
    <m/>
    <n v="984"/>
    <x v="1"/>
    <m/>
    <n v="984"/>
    <n v="0"/>
  </r>
  <r>
    <s v="ABX464"/>
    <m/>
    <s v="CMC"/>
    <m/>
    <s v="DELPHARM"/>
    <s v="L16_2086C"/>
    <m/>
    <s v="Etudes de stabilités ICH Campagnes 2, 3 et 4  T0 campagne 4"/>
    <m/>
    <m/>
    <m/>
    <n v="984"/>
    <x v="1"/>
    <m/>
    <n v="984"/>
    <n v="0"/>
  </r>
  <r>
    <s v="ABX464"/>
    <m/>
    <s v="CMC"/>
    <m/>
    <s v="DELPHARM"/>
    <s v="L16_2086C"/>
    <m/>
    <s v="Etudes de stabilités ICH Campagne 1 FA 26/03/2018  T12M"/>
    <m/>
    <m/>
    <d v="2019-03-26T00:00:00"/>
    <n v="3936"/>
    <x v="1"/>
    <s v="OK"/>
    <n v="0"/>
    <n v="3936"/>
  </r>
  <r>
    <s v="ABX464"/>
    <m/>
    <s v="CMC"/>
    <m/>
    <s v="DELPHARM"/>
    <s v="L16_2086C"/>
    <m/>
    <s v="Etudes de stabilités ICH Campagnes 2, 3 et 4   T12M campagne 2"/>
    <m/>
    <m/>
    <m/>
    <n v="3444"/>
    <x v="1"/>
    <s v="OK"/>
    <n v="0"/>
    <n v="3444"/>
  </r>
  <r>
    <s v="ABX464"/>
    <m/>
    <s v="CMC"/>
    <m/>
    <s v="DELPHARM"/>
    <s v="L16_2086C"/>
    <m/>
    <s v="Etudes de stabilités ICH Campagnes 2, 3 et 4   T12M campagne 3"/>
    <m/>
    <m/>
    <m/>
    <n v="3444"/>
    <x v="1"/>
    <m/>
    <n v="3444"/>
    <n v="0"/>
  </r>
  <r>
    <s v="ABX464"/>
    <m/>
    <s v="CMC"/>
    <m/>
    <s v="DELPHARM"/>
    <s v="L16_2086C"/>
    <m/>
    <s v="Etudes de stabilités ICH Campagnes 2, 3 et 4   T12M campagne 4"/>
    <m/>
    <m/>
    <m/>
    <n v="3444"/>
    <x v="1"/>
    <m/>
    <n v="3444"/>
    <n v="0"/>
  </r>
  <r>
    <s v="ABX464"/>
    <m/>
    <s v="CMC"/>
    <m/>
    <s v="DELPHARM"/>
    <s v="L16_2086C"/>
    <m/>
    <s v="Etudes de stabilités ICH Campagne 1 T18M"/>
    <m/>
    <s v="INV 10000266"/>
    <d v="2018-08-24T00:00:00"/>
    <n v="2460"/>
    <x v="1"/>
    <s v="OK"/>
    <n v="0"/>
    <n v="2460"/>
  </r>
  <r>
    <s v="ABX464"/>
    <m/>
    <s v="CMC"/>
    <m/>
    <s v="DELPHARM"/>
    <s v="L16_2086C"/>
    <m/>
    <s v="Etudes de stabilités ICH Campagnes 2, 3 et 4  T18M campagne 2"/>
    <m/>
    <s v="INV10000625"/>
    <d v="2018-10-22T00:00:00"/>
    <n v="2460"/>
    <x v="1"/>
    <s v="OK"/>
    <n v="0"/>
    <n v="2460"/>
  </r>
  <r>
    <s v="ABX464"/>
    <m/>
    <s v="CMC"/>
    <m/>
    <s v="DELPHARM"/>
    <s v="L16_2086C"/>
    <m/>
    <s v="Etudes de stabilités ICH Campagnes 2, 3 et 4   T18M campagne 3"/>
    <m/>
    <m/>
    <m/>
    <n v="2460"/>
    <x v="1"/>
    <m/>
    <n v="2460"/>
    <n v="0"/>
  </r>
  <r>
    <s v="ABX464"/>
    <m/>
    <s v="CMC"/>
    <m/>
    <s v="DELPHARM"/>
    <s v="L16_2086C"/>
    <m/>
    <s v="Etudes de stabilités ICH Campagnes 2, 3 et 4   T18M campagne 4"/>
    <m/>
    <m/>
    <m/>
    <n v="2460"/>
    <x v="1"/>
    <m/>
    <n v="2460"/>
    <n v="0"/>
  </r>
  <r>
    <s v="ABX464"/>
    <m/>
    <s v="CMC"/>
    <m/>
    <s v="DELPHARM"/>
    <s v="L16_2086C"/>
    <m/>
    <s v="Etudes de stabilités ICH Campagne 1 T24M"/>
    <m/>
    <s v="INV 10001449"/>
    <d v="2019-02-26T00:00:00"/>
    <n v="2788"/>
    <x v="1"/>
    <s v="OK"/>
    <n v="0"/>
    <n v="2788"/>
  </r>
  <r>
    <s v="ABX464"/>
    <m/>
    <s v="CMC"/>
    <m/>
    <s v="DELPHARM"/>
    <s v="L16_2086C"/>
    <m/>
    <s v="Etudes de stabilités ICH Campagnes 2, 3 et 4  T24M campagne 2"/>
    <m/>
    <s v="INV 10001642"/>
    <d v="2019-03-28T00:00:00"/>
    <n v="2624"/>
    <x v="1"/>
    <s v="OK"/>
    <n v="0"/>
    <n v="2624"/>
  </r>
  <r>
    <s v="ABX464"/>
    <m/>
    <s v="CMC"/>
    <m/>
    <s v="DELPHARM"/>
    <s v="L16_2086C"/>
    <m/>
    <s v="Etudes de stabilités ICH Campagnes 2, 3 et 4  T24M campagne 3"/>
    <m/>
    <m/>
    <m/>
    <n v="2624"/>
    <x v="1"/>
    <m/>
    <n v="2624"/>
    <n v="0"/>
  </r>
  <r>
    <s v="ABX464"/>
    <m/>
    <s v="CMC"/>
    <m/>
    <s v="DELPHARM"/>
    <s v="L16_2086C"/>
    <m/>
    <s v="Etudes de stabilités ICH Campagnes 2, 3 et 4  T24M campagne 4"/>
    <m/>
    <m/>
    <m/>
    <n v="2624"/>
    <x v="1"/>
    <m/>
    <n v="2624"/>
    <n v="0"/>
  </r>
  <r>
    <s v="ABX464"/>
    <m/>
    <s v="CMC"/>
    <m/>
    <s v="DELPHARM"/>
    <s v="L16_2086C"/>
    <m/>
    <s v="Etudes de stabilités ICH Campagne 1 T36M"/>
    <m/>
    <s v="INV 10001415"/>
    <d v="2020-02-26T00:00:00"/>
    <n v="2788"/>
    <x v="1"/>
    <s v="OK"/>
    <n v="0"/>
    <n v="2788"/>
  </r>
  <r>
    <s v="ABX464"/>
    <m/>
    <s v="CMC"/>
    <m/>
    <s v="DELPHARM"/>
    <s v="L16_2086C"/>
    <m/>
    <s v="Etudes de stabilités ICH Campagnes 2, 3 et 4  T36M campagne 2"/>
    <m/>
    <s v="INV 10001818"/>
    <d v="2020-04-27T00:00:00"/>
    <n v="2624"/>
    <x v="1"/>
    <s v="OK"/>
    <n v="0"/>
    <n v="2624"/>
  </r>
  <r>
    <s v="ABX464"/>
    <m/>
    <s v="CMC"/>
    <m/>
    <s v="DELPHARM"/>
    <s v="L16_2086C"/>
    <m/>
    <s v="Etudes de stabilités ICH Campagnes 2, 3 et 4  T36M campagne 3"/>
    <m/>
    <m/>
    <m/>
    <n v="2624"/>
    <x v="1"/>
    <m/>
    <n v="2624"/>
    <n v="0"/>
  </r>
  <r>
    <s v="ABX464"/>
    <m/>
    <s v="CMC"/>
    <m/>
    <s v="DELPHARM"/>
    <s v="L16_2086C"/>
    <m/>
    <s v="Etudes de stabilités ICH Campagnes 2, 3 et 4  T36M campagne 4"/>
    <m/>
    <m/>
    <m/>
    <n v="2624"/>
    <x v="1"/>
    <m/>
    <n v="2624"/>
    <n v="0"/>
  </r>
  <r>
    <s v="ABX464"/>
    <m/>
    <s v="CMC"/>
    <m/>
    <s v="DELPHARM"/>
    <s v="L16_2086C"/>
    <m/>
    <s v="Etudes de stabilités ICH Campagne 1 T6M"/>
    <m/>
    <m/>
    <m/>
    <n v="4428"/>
    <x v="1"/>
    <s v="OK"/>
    <n v="0"/>
    <n v="4428"/>
  </r>
  <r>
    <s v="ABX464"/>
    <m/>
    <s v="CMC"/>
    <m/>
    <s v="DELPHARM"/>
    <s v="L16_2086C"/>
    <m/>
    <s v="Etudes de stabilités ICH Campagnes 2, 3 et 4  T6M campagne 2"/>
    <m/>
    <m/>
    <m/>
    <n v="3936"/>
    <x v="1"/>
    <s v="OK"/>
    <n v="0"/>
    <n v="3936"/>
  </r>
  <r>
    <s v="ABX464"/>
    <m/>
    <s v="CMC"/>
    <m/>
    <s v="DELPHARM"/>
    <s v="L16_2086C"/>
    <m/>
    <s v="Etudes de stabilités ICH Campagnes 2, 3 et 4  T6M campagne 3"/>
    <m/>
    <m/>
    <m/>
    <n v="3936"/>
    <x v="1"/>
    <m/>
    <n v="3936"/>
    <n v="0"/>
  </r>
  <r>
    <s v="ABX464"/>
    <m/>
    <s v="CMC"/>
    <m/>
    <s v="DELPHARM"/>
    <s v="L16_2086C"/>
    <m/>
    <s v="Etudes de stabilités ICH Campagnes 2, 3 et 4  T6M campagne 4"/>
    <m/>
    <m/>
    <m/>
    <n v="3936"/>
    <x v="1"/>
    <m/>
    <n v="3936"/>
    <n v="0"/>
  </r>
  <r>
    <s v="ABX464"/>
    <m/>
    <s v="CMC"/>
    <m/>
    <s v="DELPHARM"/>
    <s v="L16_2086C"/>
    <m/>
    <s v="Etudes de stabilités ICH Campagne 1 T9M"/>
    <m/>
    <m/>
    <m/>
    <n v="3280"/>
    <x v="1"/>
    <s v="OK"/>
    <n v="0"/>
    <n v="3280"/>
  </r>
  <r>
    <s v="ABX464"/>
    <m/>
    <s v="CMC"/>
    <m/>
    <s v="DELPHARM"/>
    <s v="L16_2086C"/>
    <m/>
    <s v="Etudes de stabilités ICH Campagnes 2, 3 et 4  T9M campagne 2"/>
    <m/>
    <m/>
    <m/>
    <n v="3116"/>
    <x v="1"/>
    <s v="OK"/>
    <n v="0"/>
    <n v="3116"/>
  </r>
  <r>
    <s v="ABX464"/>
    <m/>
    <s v="CMC"/>
    <m/>
    <s v="DELPHARM"/>
    <s v="L16_2086C"/>
    <m/>
    <s v="Etudes de stabilités ICH Campagnes 2, 3 et 4  T9M campagne 3"/>
    <m/>
    <m/>
    <m/>
    <n v="3116"/>
    <x v="1"/>
    <m/>
    <n v="3116"/>
    <n v="0"/>
  </r>
  <r>
    <s v="ABX464"/>
    <m/>
    <s v="CMC"/>
    <m/>
    <s v="DELPHARM"/>
    <s v="L16_2086C"/>
    <m/>
    <s v="Etudes de stabilités ICH Campagnes 2, 3 et 4  T9M campagne 4"/>
    <m/>
    <m/>
    <m/>
    <n v="3116"/>
    <x v="1"/>
    <m/>
    <n v="3116"/>
    <n v="0"/>
  </r>
  <r>
    <s v="ABX464"/>
    <m/>
    <s v="CMC"/>
    <m/>
    <s v="DELPHARM"/>
    <s v="L16_2086C"/>
    <m/>
    <s v="TRANSFERT ANA Transfer T mé Thodes analy Tiques (3 mé Thodes) "/>
    <m/>
    <m/>
    <m/>
    <n v="14120"/>
    <x v="1"/>
    <s v="OK"/>
    <n v="0"/>
    <n v="14120"/>
  </r>
  <r>
    <s v="ABX464"/>
    <m/>
    <s v="CMC"/>
    <m/>
    <s v="DELPHARM"/>
    <s v="L16_2086C"/>
    <m/>
    <s v="TRANSFERT ANA Transfer T mé Thodes analy Tiques (3 mé Thodes+ Ud T)"/>
    <m/>
    <m/>
    <m/>
    <n v="16678"/>
    <x v="1"/>
    <s v="OK"/>
    <n v="0"/>
    <n v="16678"/>
  </r>
  <r>
    <s v="ABX464"/>
    <m/>
    <s v="CMC"/>
    <m/>
    <s v="DELPHARM"/>
    <s v="L16_2086C"/>
    <m/>
    <s v="TRANSFERT ANA Transfer T mé Thodes analy Tiques (mé Thode CPG)"/>
    <m/>
    <m/>
    <m/>
    <n v="5930"/>
    <x v="1"/>
    <s v="OK"/>
    <n v="0"/>
    <n v="5930"/>
  </r>
  <r>
    <s v="ABX464"/>
    <m/>
    <s v="CMC"/>
    <m/>
    <s v="DELPHARM"/>
    <s v="L16_2086C"/>
    <m/>
    <s v="TRANSFERT ANA Validation de nettoyage "/>
    <m/>
    <m/>
    <m/>
    <n v="4100"/>
    <x v="1"/>
    <s v="OK"/>
    <n v="0"/>
    <n v="4100"/>
  </r>
  <r>
    <s v="ABX464"/>
    <m/>
    <s v="CMC"/>
    <m/>
    <s v="DELPHARM"/>
    <s v="L16_2086C P00059 de 2018"/>
    <m/>
    <s v="TRANSFERT GALENIQUE  (75%) CAMPAGNE 3 LOTS CLINIQUES"/>
    <m/>
    <s v="Fact 10001523 + Fact 1000112"/>
    <s v="du 27/03/2018 (25%) +  du 31/07/2018"/>
    <n v="53873"/>
    <x v="1"/>
    <n v="53873"/>
    <n v="0"/>
    <n v="53873"/>
  </r>
  <r>
    <s v="ABX464"/>
    <m/>
    <s v="CMC"/>
    <m/>
    <s v="DELPHARM"/>
    <s v="L16_2086D"/>
    <m/>
    <s v="TRANSFERT GALENIQUE Campagne 2, conditionnement"/>
    <m/>
    <m/>
    <m/>
    <n v="18178"/>
    <x v="1"/>
    <s v="OK"/>
    <n v="0"/>
    <n v="18178"/>
  </r>
  <r>
    <s v="ABX464"/>
    <m/>
    <s v="CMC"/>
    <m/>
    <s v="DELPHARM"/>
    <s v="L16_2086D"/>
    <m/>
    <s v="Etudes de stabilités ICH Campagnes 2, 3 et 4  T0 campagne 2"/>
    <m/>
    <s v="INV 10001609"/>
    <d v="2017-03-30T00:00:00"/>
    <n v="984"/>
    <x v="1"/>
    <s v="OK"/>
    <n v="0"/>
    <n v="984"/>
  </r>
  <r>
    <s v="ABX464"/>
    <m/>
    <s v="CMC"/>
    <m/>
    <s v="DELPHARM"/>
    <s v="L16_2086D"/>
    <m/>
    <s v="Etudes de stabilités ICH Campagne 1 T3M"/>
    <m/>
    <m/>
    <m/>
    <n v="4100"/>
    <x v="1"/>
    <s v="OK"/>
    <n v="0"/>
    <n v="4100"/>
  </r>
  <r>
    <s v="ABX464"/>
    <m/>
    <s v="CMC"/>
    <m/>
    <s v="DELPHARM"/>
    <s v="L16_2086D"/>
    <m/>
    <s v="Etudes de stabilités ICH Campagnes 2, 3 et 4  T3M campagne 2"/>
    <m/>
    <m/>
    <m/>
    <n v="3772"/>
    <x v="1"/>
    <s v="OK"/>
    <n v="0"/>
    <n v="3772"/>
  </r>
  <r>
    <s v="ABX464"/>
    <m/>
    <s v="CMC"/>
    <m/>
    <s v="DELPHARM"/>
    <s v="L16_2086D"/>
    <m/>
    <s v="Etudes de stabilités ICH Campagnes 2, 3 et 4  T3M campagne 3"/>
    <m/>
    <m/>
    <m/>
    <n v="3772"/>
    <x v="1"/>
    <m/>
    <n v="3772"/>
    <n v="0"/>
  </r>
  <r>
    <s v="ABX464"/>
    <m/>
    <s v="CMC"/>
    <m/>
    <s v="DELPHARM"/>
    <s v="L16_2086D"/>
    <m/>
    <s v="Etudes de stabilités ICH Campagnes 2, 3 et 4  T3M campagne 4"/>
    <m/>
    <m/>
    <m/>
    <n v="3772"/>
    <x v="1"/>
    <m/>
    <n v="3772"/>
    <n v="0"/>
  </r>
  <r>
    <s v="ABX464"/>
    <m/>
    <s v="CMC"/>
    <m/>
    <s v="DELPHARM"/>
    <s v="L16_2086E"/>
    <m/>
    <s v="Etudes de stabilités ICH Campagne 1 T48M"/>
    <m/>
    <m/>
    <m/>
    <n v="2788"/>
    <x v="1"/>
    <n v="4182"/>
    <n v="0"/>
    <n v="4182"/>
  </r>
  <r>
    <s v="ABX464"/>
    <m/>
    <s v="CMC"/>
    <m/>
    <s v="DELPHARM"/>
    <s v="L16_2086E"/>
    <m/>
    <s v="Etudes de stabilités ICH Campagnes 2, 3 et 4  T48M campagne 2"/>
    <m/>
    <m/>
    <m/>
    <n v="0"/>
    <x v="1"/>
    <m/>
    <n v="0"/>
    <n v="0"/>
  </r>
  <r>
    <s v="ABX464"/>
    <m/>
    <s v="CMC"/>
    <m/>
    <s v="DELPHARM"/>
    <s v="L16_2086E"/>
    <m/>
    <s v="Etudes de stabilités ICH Campagnes 2, 3 et 4  T48M campagne 3"/>
    <m/>
    <m/>
    <m/>
    <n v="2624"/>
    <x v="1"/>
    <m/>
    <n v="2624"/>
    <n v="0"/>
  </r>
  <r>
    <s v="ABX464"/>
    <m/>
    <s v="CMC"/>
    <m/>
    <s v="DELPHARM"/>
    <s v="L16_2086E"/>
    <m/>
    <s v="Etudes de stabilités ICH Campagnes 2, 3 et 4  T30M campagne 4"/>
    <m/>
    <m/>
    <m/>
    <n v="2624"/>
    <x v="1"/>
    <m/>
    <n v="2624"/>
    <n v="0"/>
  </r>
  <r>
    <s v="ABX464"/>
    <m/>
    <s v="CMC"/>
    <m/>
    <s v="DELPHARM"/>
    <s v="L16_2086F"/>
    <m/>
    <s v="Etudes de stabilités ICH Campagnes 2, 3 et 4  T48M campagne 2"/>
    <m/>
    <s v="INV 10001512"/>
    <d v="2021-04-06T00:00:00"/>
    <n v="2624"/>
    <x v="1"/>
    <s v="OK"/>
    <n v="0"/>
    <n v="2624"/>
  </r>
  <r>
    <s v="ABX464"/>
    <m/>
    <s v="CMC"/>
    <m/>
    <s v="DELPHARM"/>
    <s v="L16_2086F"/>
    <m/>
    <s v="Etudes de stabilités ICH Campagnes 2, 3 et 4  T48M campagne 3"/>
    <m/>
    <m/>
    <m/>
    <n v="2624"/>
    <x v="1"/>
    <m/>
    <n v="2624"/>
    <n v="0"/>
  </r>
  <r>
    <s v="ABX464"/>
    <m/>
    <s v="CMC"/>
    <m/>
    <s v="DELPHARM"/>
    <s v="L16_2086F"/>
    <m/>
    <s v="Etudes de stabilités ICH Campagnes 2, 3 et 4  T48M campagne 4"/>
    <m/>
    <m/>
    <m/>
    <n v="2624"/>
    <x v="1"/>
    <m/>
    <n v="2624"/>
    <n v="0"/>
  </r>
  <r>
    <s v="ABX464"/>
    <m/>
    <s v="CMC"/>
    <m/>
    <s v="DELPHARM"/>
    <s v="L16_2086F + Mail du 20/03/2019"/>
    <m/>
    <s v=" Etudes de stabilités ICH Campagne 1  T30M"/>
    <m/>
    <s v="INV 10000125"/>
    <d v="2019-07-29T00:00:00"/>
    <n v="4182"/>
    <x v="1"/>
    <s v="OK"/>
    <n v="0"/>
    <n v="4182"/>
  </r>
  <r>
    <s v="ABX464"/>
    <m/>
    <s v="CMC"/>
    <m/>
    <s v="DELPHARM"/>
    <s v="L16_2086F + Mail du 20/03/2019"/>
    <m/>
    <s v=" Etudes de stabilités ICH Campagne 2 T30M"/>
    <m/>
    <s v="INV 10000613"/>
    <d v="2019-10-14T00:00:00"/>
    <n v="2624"/>
    <x v="1"/>
    <s v="OK"/>
    <n v="0"/>
    <n v="2624"/>
  </r>
  <r>
    <s v="ABX464"/>
    <m/>
    <s v="CMC"/>
    <m/>
    <s v="DELPHARM"/>
    <s v="L16_2086G"/>
    <m/>
    <s v="Etudes de stabilités ICH Campagne 1 T42M"/>
    <m/>
    <s v="INV 10000390"/>
    <d v="2020-09-21T00:00:00"/>
    <n v="2788"/>
    <x v="1"/>
    <s v="OK"/>
    <n v="0"/>
    <n v="2788"/>
  </r>
  <r>
    <s v="ABX464"/>
    <m/>
    <s v="CMC"/>
    <m/>
    <s v="DELPHARM"/>
    <s v="L16_2086G"/>
    <m/>
    <s v="Etudes de stabilités ICH Campagne 1 T60M"/>
    <m/>
    <s v="INV 10000888"/>
    <d v="2022-02-24T00:00:00"/>
    <n v="2788"/>
    <x v="1"/>
    <s v="OK"/>
    <n v="0"/>
    <n v="2788"/>
  </r>
  <r>
    <s v="ABX464"/>
    <m/>
    <s v="CMC"/>
    <m/>
    <s v="DELPHARM"/>
    <s v="L16_2086G"/>
    <m/>
    <s v="Etudes de stabilités ICH Campagnes 2, 3 et 4  T60M campagne 2"/>
    <m/>
    <s v="INV 10001108"/>
    <d v="2022-03-31T00:00:00"/>
    <n v="2624"/>
    <x v="1"/>
    <s v="OK"/>
    <n v="0"/>
    <n v="2624"/>
  </r>
  <r>
    <s v="ABX464"/>
    <m/>
    <s v="CMC"/>
    <m/>
    <s v="DELPHARM"/>
    <s v="L16_2086G"/>
    <m/>
    <s v="Etudes de stabilités ICH Campagnes 2, 3 et 4  T60M campagne 3"/>
    <m/>
    <m/>
    <m/>
    <n v="2624"/>
    <x v="1"/>
    <m/>
    <n v="2624"/>
    <n v="0"/>
  </r>
  <r>
    <s v="ABX464"/>
    <m/>
    <s v="CMC"/>
    <m/>
    <s v="DELPHARM"/>
    <s v="L16_2086G"/>
    <m/>
    <s v="Etudes de stabilités ICH Campagnes 2, 3 et 4  T60M campagne 4"/>
    <m/>
    <m/>
    <m/>
    <n v="2624"/>
    <x v="1"/>
    <m/>
    <n v="2624"/>
    <n v="0"/>
  </r>
  <r>
    <s v="ABX464"/>
    <m/>
    <s v="CMC"/>
    <m/>
    <s v="DELPHARM LILLE"/>
    <s v="L18_2706E - Pas de PO"/>
    <m/>
    <s v="Eutude de stabilité ICH (2 lots) - T42M"/>
    <m/>
    <s v="INV 1000447"/>
    <d v="2022-10-21T00:00:00"/>
    <n v="2728"/>
    <x v="1"/>
    <n v="2728"/>
    <n v="0"/>
    <n v="2728"/>
  </r>
  <r>
    <s v="ABX464"/>
    <m/>
    <s v="CMC"/>
    <m/>
    <s v="DELPHARM LILLE"/>
    <s v="L18_2706E - Pas de PO"/>
    <m/>
    <s v="Eutude de stabilité ICH (2 lots) - T60M"/>
    <m/>
    <m/>
    <m/>
    <n v="2678"/>
    <x v="1"/>
    <m/>
    <n v="2678"/>
    <n v="0"/>
  </r>
  <r>
    <s v="ABX464"/>
    <m/>
    <s v="CMC"/>
    <m/>
    <s v="DELPHARM LILLE"/>
    <s v="L18_2744A P00146 (Docushare)"/>
    <m/>
    <s v="Destruction de cellulose"/>
    <m/>
    <m/>
    <s v="INV 10001163 (21/12/2018)"/>
    <n v="4544.6000000000004"/>
    <x v="1"/>
    <s v="OK"/>
    <n v="0"/>
    <n v="4544.6000000000004"/>
  </r>
  <r>
    <s v="ABX464"/>
    <m/>
    <s v="CMC"/>
    <m/>
    <s v="DELPHARM LILLE"/>
    <s v="L19_2871B - P00313_2019"/>
    <s v="P00313_2019"/>
    <s v="Prestation analytique - 25%"/>
    <m/>
    <s v="INV 100021296"/>
    <d v="2019-06-25T00:00:00"/>
    <n v="658.25"/>
    <x v="1"/>
    <s v="OK"/>
    <n v="0"/>
    <n v="658.25"/>
  </r>
  <r>
    <s v="ABX464"/>
    <m/>
    <s v="CMC"/>
    <m/>
    <s v="DELPHARM LILLE"/>
    <s v="L19_2871B - P00313_2019"/>
    <s v="P00313_2019"/>
    <s v="Prestation analytique - 75%"/>
    <m/>
    <s v="INV 10000165"/>
    <d v="2019-07-31T00:00:00"/>
    <n v="1974.75"/>
    <x v="1"/>
    <s v="OK"/>
    <n v="0"/>
    <n v="1974.75"/>
  </r>
  <r>
    <s v="ABX464"/>
    <m/>
    <s v="CMC"/>
    <m/>
    <s v="DELPHARM LILLE"/>
    <s v="L19_2871B - P00313_2019"/>
    <s v="P00313_2019"/>
    <s v="Prestation de fabrication &amp; Conditionnement (Packaging) - 25%"/>
    <m/>
    <s v="INV 10001950"/>
    <d v="2019-05-28T00:00:00"/>
    <n v="4303.25"/>
    <x v="1"/>
    <s v="OK"/>
    <n v="0"/>
    <n v="4303.25"/>
  </r>
  <r>
    <s v="ABX464"/>
    <m/>
    <s v="CMC"/>
    <m/>
    <s v="DELPHARM LILLE"/>
    <s v="L19_2871B - P00313_2019"/>
    <s v="P00313_2019"/>
    <s v="Prestation de fabrication &amp; Conditionnement (Packaging) - 75%"/>
    <m/>
    <s v="INV 10000231"/>
    <d v="2019-08-13T00:00:00"/>
    <n v="12909.75"/>
    <x v="1"/>
    <s v="OK"/>
    <n v="0"/>
    <n v="12909.75"/>
  </r>
  <r>
    <s v="ABX464"/>
    <m/>
    <s v="CMC"/>
    <m/>
    <s v="DELPHARM LILLE"/>
    <s v="L19_2871B - P00313_2019"/>
    <s v="P00313_2019"/>
    <s v="Etude de Stabilité ICH lot clinique 80591 - T0"/>
    <m/>
    <s v="INV 1000498"/>
    <d v="2019-09-30T00:00:00"/>
    <n v="1275"/>
    <x v="1"/>
    <s v="OK"/>
    <n v="0"/>
    <n v="1275"/>
  </r>
  <r>
    <s v="ABX464"/>
    <m/>
    <s v="CMC"/>
    <m/>
    <s v="DELPHARM LILLE"/>
    <s v="L19_2871B - P00313_2019"/>
    <s v="P00313_2019"/>
    <s v="Etude de Stabilité ICH lot clinique 80591 - T3M"/>
    <m/>
    <s v="INV 10001072"/>
    <d v="2019-12-19T00:00:00"/>
    <n v="4313"/>
    <x v="1"/>
    <s v="OK"/>
    <n v="0"/>
    <n v="4313"/>
  </r>
  <r>
    <s v="ABX464"/>
    <m/>
    <s v="CMC"/>
    <m/>
    <s v="DELPHARM LILLE"/>
    <s v="L19_2871B - P00313_2019"/>
    <s v="P00313_2019"/>
    <s v="Etude de Stabilité ICH lot clinique 80591 - T6M"/>
    <m/>
    <s v="INV 10001447"/>
    <d v="2020-02-28T00:00:00"/>
    <n v="4538"/>
    <x v="1"/>
    <s v="OK"/>
    <n v="0"/>
    <n v="4538"/>
  </r>
  <r>
    <s v="ABX464"/>
    <m/>
    <s v="CMC"/>
    <m/>
    <s v="DELPHARM LILLE"/>
    <s v="L19_2871B - P00313_2019"/>
    <s v="P00313_2019"/>
    <s v="Etude de Stabilité ICH lot clinique 80591 - T9M"/>
    <m/>
    <s v="INV 10002183"/>
    <s v="26/06/2020 RECU le 01/12/2020"/>
    <n v="3408"/>
    <x v="1"/>
    <s v="OK"/>
    <n v="0"/>
    <n v="3408"/>
  </r>
  <r>
    <s v="ABX464"/>
    <m/>
    <s v="CMC"/>
    <m/>
    <s v="DELPHARM LILLE"/>
    <s v="L19_2871B - P00313_2019"/>
    <s v="P00313_2019"/>
    <s v="Etude de Stabilité ICH lot clinique 80591 - T12M"/>
    <m/>
    <s v="INV 10000472"/>
    <d v="2020-09-29T00:00:00"/>
    <n v="3858"/>
    <x v="1"/>
    <s v="OK"/>
    <n v="0"/>
    <n v="3858"/>
  </r>
  <r>
    <s v="ABX464"/>
    <m/>
    <s v="CMC"/>
    <m/>
    <s v="DELPHARM LILLE"/>
    <s v="L19_2871B - P00313_2019"/>
    <s v="P00313_2019"/>
    <s v="Etude de Stabilité ICH lot clinique 80591 - T18M"/>
    <m/>
    <s v="INV 10000524 - AV13000060 + INV 10001394"/>
    <s v="30/09/2020 - 30/09/2020 + 18/03/2021"/>
    <n v="2503"/>
    <x v="1"/>
    <s v="OK"/>
    <n v="0"/>
    <n v="2503"/>
  </r>
  <r>
    <s v="ABX464"/>
    <m/>
    <s v="CMC"/>
    <m/>
    <s v="DELPHARM LILLE"/>
    <s v="L19_2871B - P00313_2019"/>
    <s v="P00313_2019"/>
    <s v="Etude de Stabilité ICH lot clinique 80591 - T24M"/>
    <m/>
    <s v="INV 10000159"/>
    <d v="2021-08-31T00:00:00"/>
    <n v="2728"/>
    <x v="1"/>
    <s v="OK"/>
    <n v="0"/>
    <n v="2728"/>
  </r>
  <r>
    <s v="ABX464"/>
    <m/>
    <s v="CMC"/>
    <m/>
    <s v="DELPHARM LILLE"/>
    <s v="L19_2871B - P00313_2019"/>
    <s v="P00313_2019"/>
    <s v="Etude de Stabilité ICH lot clinique 80591 - T48M"/>
    <m/>
    <s v="INV 10000350"/>
    <d v="2023-09-29T00:00:00"/>
    <n v="2628"/>
    <x v="1"/>
    <s v="OK"/>
    <n v="0"/>
    <n v="2628"/>
  </r>
  <r>
    <s v="ABX464"/>
    <m/>
    <s v="CMC"/>
    <m/>
    <s v="DELPHARM LILLE"/>
    <s v="L19_2871B - P00313_2019"/>
    <s v="P00313_2019"/>
    <s v="Management de Projet pour ? mois - 1 mois = 820"/>
    <d v="2019-12-31T00:00:00"/>
    <s v="INV 10001950 + INV 10000165"/>
    <s v="28/05/2019 + 31/07/2019"/>
    <n v="4920"/>
    <x v="1"/>
    <n v="1640"/>
    <n v="3280"/>
    <n v="1640"/>
  </r>
  <r>
    <s v="ABX464"/>
    <m/>
    <s v="CMC"/>
    <m/>
    <s v="DELPHARM LILLE"/>
    <s v="L19_2871D"/>
    <m/>
    <s v="Etude de Stabilité ICH lot clinique 80591 - T30M"/>
    <m/>
    <s v="INV 10000887"/>
    <d v="2022-02-24T00:00:00"/>
    <n v="2728"/>
    <x v="1"/>
    <s v="OK"/>
    <n v="0"/>
    <n v="2728"/>
  </r>
  <r>
    <s v="ABX464"/>
    <m/>
    <s v="CMC"/>
    <m/>
    <s v="DELPHARM LILLE"/>
    <s v="L19_2871D"/>
    <m/>
    <s v="Etude de Stabilité ICH lot clinique 80591 - T60M"/>
    <m/>
    <s v="INV 10000292"/>
    <d v="2024-09-30T00:00:00"/>
    <n v="2728"/>
    <x v="1"/>
    <n v="2678"/>
    <n v="50"/>
    <n v="2678"/>
  </r>
  <r>
    <s v="ABX464"/>
    <m/>
    <s v="CMC"/>
    <m/>
    <s v="DELPHARM LILLE"/>
    <s v="L19_2871D - P00313_2019"/>
    <s v="P00313_2019"/>
    <s v="Etude de Stabilité ICH lot clinique 80591 - T36M"/>
    <m/>
    <s v="INV 10000276"/>
    <d v="2022-09-21T00:00:00"/>
    <n v="2728"/>
    <x v="1"/>
    <s v="OK"/>
    <n v="0"/>
    <n v="2728"/>
  </r>
  <r>
    <s v="ABX464"/>
    <m/>
    <s v="CMC"/>
    <m/>
    <s v="DELPHARM LILLE"/>
    <s v="L20 3127A - P00691_2020 - CAPS"/>
    <s v="2020 - CAPS"/>
    <s v="Production lot QbD phase 3 et reglementaires - Facbrication &amp; Conditionnement Campagne1"/>
    <m/>
    <m/>
    <m/>
    <n v="9139.5"/>
    <x v="1"/>
    <m/>
    <n v="9139.5"/>
    <n v="0"/>
  </r>
  <r>
    <s v="ABX464"/>
    <m/>
    <s v="CMC"/>
    <m/>
    <s v="DELPHARM LILLE"/>
    <s v="L20 3127A - P00691_2020 - CAPS"/>
    <s v="2020 - CAPS"/>
    <s v="Production lot QbD phase 3 et reglementaires - Facbrication &amp; Conditionnement Campagne 1"/>
    <m/>
    <m/>
    <m/>
    <n v="27418.5"/>
    <x v="1"/>
    <m/>
    <n v="27418.5"/>
    <n v="0"/>
  </r>
  <r>
    <s v="ABX464"/>
    <m/>
    <s v="CMC"/>
    <m/>
    <s v="DELPHARM LILLE"/>
    <s v="L20 3127A - P00691_2020 - CAPS"/>
    <s v="2020 - CAPS"/>
    <s v="Production lot QbD phase 3 et reglementaires - Facbrication &amp; Conditionnement Campagne2"/>
    <m/>
    <m/>
    <m/>
    <n v="18205.5"/>
    <x v="1"/>
    <m/>
    <n v="18205.5"/>
    <n v="0"/>
  </r>
  <r>
    <s v="ABX464"/>
    <m/>
    <s v="CMC"/>
    <m/>
    <s v="DELPHARM LILLE"/>
    <s v="L20 3127A - P00691_2020 - CAPS"/>
    <s v="2020 - CAPS"/>
    <s v="Production lot QbD phase 3 et reglementaires - Facbrication &amp; Conditionnement Campagne2"/>
    <m/>
    <m/>
    <m/>
    <n v="54616.5"/>
    <x v="1"/>
    <m/>
    <n v="54616.5"/>
    <n v="0"/>
  </r>
  <r>
    <s v="ABX464"/>
    <m/>
    <s v="CMC"/>
    <m/>
    <s v="DELPHARM LILLE"/>
    <s v="L20 3127A - P00691_2020 - CAPS"/>
    <s v="2020 - CAPS"/>
    <s v="Production lot QbD phase 3 et reglementaires - Stabilité ICH 5 ans Lot 1 T0"/>
    <d v="2020-08-01T00:00:00"/>
    <m/>
    <m/>
    <n v="1275"/>
    <x v="1"/>
    <m/>
    <n v="1275"/>
    <n v="0"/>
  </r>
  <r>
    <s v="ABX464"/>
    <m/>
    <s v="CMC"/>
    <m/>
    <s v="DELPHARM LILLE"/>
    <s v="L20 3127A - P00691_2020 - CAPS"/>
    <s v="2020 - CAPS"/>
    <s v="Production lot QbD phase 3 et reglementaires - Stabilité ICH 5 ans Lot 1 T3M"/>
    <d v="2020-11-01T00:00:00"/>
    <m/>
    <m/>
    <n v="4313"/>
    <x v="1"/>
    <m/>
    <n v="4313"/>
    <n v="0"/>
  </r>
  <r>
    <s v="ABX464"/>
    <m/>
    <s v="CMC"/>
    <m/>
    <s v="DELPHARM LILLE"/>
    <s v="L20 3127A - P00691_2020 - CAPS"/>
    <s v="2020 - CAPS"/>
    <s v="Production lot QbD phase 3 et reglementaires - Stabilité ICH 5 ans Lot 1 T6M"/>
    <d v="2021-02-01T00:00:00"/>
    <m/>
    <m/>
    <n v="4538"/>
    <x v="1"/>
    <m/>
    <n v="4538"/>
    <n v="0"/>
  </r>
  <r>
    <s v="ABX464"/>
    <m/>
    <s v="CMC"/>
    <m/>
    <s v="DELPHARM LILLE"/>
    <s v="L20 3127A - P00691_2020 - CAPS"/>
    <s v="2020 - CAPS"/>
    <s v="Production lot QbD phase 3 et reglementaires - Stabilité ICH 5 ans Lot 1 T9M"/>
    <d v="2021-05-01T00:00:00"/>
    <m/>
    <m/>
    <n v="3408"/>
    <x v="1"/>
    <m/>
    <n v="3408"/>
    <n v="0"/>
  </r>
  <r>
    <s v="ABX464"/>
    <m/>
    <s v="CMC"/>
    <m/>
    <s v="DELPHARM LILLE"/>
    <s v="L20 3127A - P00691_2020 - CAPS"/>
    <s v="2020 - CAPS"/>
    <s v="Production lot QbD phase 3 et reglementaires - Stabilité ICH 5 ans Lot 1 T12M"/>
    <d v="2021-08-01T00:00:00"/>
    <m/>
    <m/>
    <n v="3858"/>
    <x v="1"/>
    <m/>
    <n v="3858"/>
    <n v="0"/>
  </r>
  <r>
    <s v="ABX464"/>
    <m/>
    <s v="CMC"/>
    <m/>
    <s v="DELPHARM LILLE"/>
    <s v="L20 3127A - P00691_2020 - CAPS"/>
    <s v="2020 - CAPS"/>
    <s v="Production lot QbD phase 3 et reglementaires - Stabilité ICH 5 ans Lot 1 T18M"/>
    <d v="2022-02-01T00:00:00"/>
    <m/>
    <m/>
    <n v="2503"/>
    <x v="1"/>
    <m/>
    <n v="2503"/>
    <n v="0"/>
  </r>
  <r>
    <s v="ABX464"/>
    <m/>
    <s v="CMC"/>
    <m/>
    <s v="DELPHARM LILLE"/>
    <s v="L20 3127A - P00691_2020 - CAPS"/>
    <s v="2020 - CAPS"/>
    <s v="Production lot QbD phase 3 et reglementaires - Stabilité ICH 5 ans Lot 1 T24M"/>
    <d v="2022-08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30M"/>
    <d v="2023-02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36M"/>
    <d v="2023-08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48M"/>
    <d v="2024-08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60M"/>
    <d v="2025-08-01T00:00:00"/>
    <m/>
    <m/>
    <n v="2678"/>
    <x v="1"/>
    <m/>
    <n v="2678"/>
    <n v="0"/>
  </r>
  <r>
    <s v="ABX464"/>
    <m/>
    <s v="CMC"/>
    <m/>
    <s v="DELPHARM LILLE"/>
    <s v="L20 3127A - P00691_2020 - CAPS"/>
    <s v="2020 - CAPS"/>
    <s v="Production lot QbD phase 3 et reglementaires - Stabilité ICH 5 ans Lot 2 &amp; 3 T0"/>
    <d v="2020-08-01T00:00:00"/>
    <m/>
    <m/>
    <n v="1650"/>
    <x v="1"/>
    <m/>
    <n v="1650"/>
    <n v="0"/>
  </r>
  <r>
    <s v="ABX464"/>
    <m/>
    <s v="CMC"/>
    <m/>
    <s v="DELPHARM LILLE"/>
    <s v="L20 3127A - P00691_2020 - CAPS"/>
    <s v="2020 - CAPS"/>
    <s v="Production lot QbD phase 3 et reglementaires - Stabilité ICH 5 ans Lot 2 &amp; 3 T3M"/>
    <d v="2020-11-01T00:00:00"/>
    <m/>
    <m/>
    <n v="7028"/>
    <x v="1"/>
    <m/>
    <n v="7028"/>
    <n v="0"/>
  </r>
  <r>
    <s v="ABX464"/>
    <m/>
    <s v="CMC"/>
    <m/>
    <s v="DELPHARM LILLE"/>
    <s v="L20 3127A - P00691_2020 - CAPS"/>
    <s v="2020 - CAPS"/>
    <s v="Production lot QbD phase 3 et reglementaires - Stabilité ICH 5 ans Lot 2 &amp; 3 T6M"/>
    <d v="2021-02-01T00:00:00"/>
    <m/>
    <m/>
    <n v="7478"/>
    <x v="1"/>
    <m/>
    <n v="7478"/>
    <n v="0"/>
  </r>
  <r>
    <s v="ABX464"/>
    <m/>
    <s v="CMC"/>
    <m/>
    <s v="DELPHARM LILLE"/>
    <s v="L20 3127A - P00691_2020 - CAPS"/>
    <s v="2020 - CAPS"/>
    <s v="Production lot QbD phase 3 et reglementaires - Stabilité ICH 5 ans Lot 2 &amp; 3 T9M"/>
    <d v="2021-05-01T00:00:00"/>
    <m/>
    <m/>
    <n v="5218"/>
    <x v="1"/>
    <m/>
    <n v="5218"/>
    <n v="0"/>
  </r>
  <r>
    <s v="ABX464"/>
    <m/>
    <s v="CMC"/>
    <m/>
    <s v="DELPHARM LILLE"/>
    <s v="L20 3127A - P00691_2020 - CAPS"/>
    <s v="2020 - CAPS"/>
    <s v="Production lot QbD phase 3 et reglementaires - Stabilité ICH 5 ans Lot 2 &amp; 3 T12M"/>
    <d v="2021-08-01T00:00:00"/>
    <m/>
    <m/>
    <n v="6118"/>
    <x v="1"/>
    <m/>
    <n v="6118"/>
    <n v="0"/>
  </r>
  <r>
    <s v="ABX464"/>
    <m/>
    <s v="CMC"/>
    <m/>
    <s v="DELPHARM LILLE"/>
    <s v="L20 3127A - P00691_2020 - CAPS"/>
    <s v="2020 - CAPS"/>
    <s v="Production lot QbD phase 3 et reglementaires - Stabilité ICH 5 ans Lot 2 &amp; 3 T18M"/>
    <d v="2022-02-01T00:00:00"/>
    <m/>
    <m/>
    <n v="3408"/>
    <x v="1"/>
    <m/>
    <n v="3408"/>
    <n v="0"/>
  </r>
  <r>
    <s v="ABX464"/>
    <m/>
    <s v="CMC"/>
    <m/>
    <s v="DELPHARM LILLE"/>
    <s v="L20 3127A - P00691_2020 - CAPS"/>
    <s v="2020 - CAPS"/>
    <s v="Production lot QbD phase 3 et reglementaires - Stabilité ICH 5 ans Lot 2 &amp; 3 T24M"/>
    <d v="2022-08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30M"/>
    <d v="2023-02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36M"/>
    <d v="2023-08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48M"/>
    <d v="2024-08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60M"/>
    <d v="2025-08-01T00:00:00"/>
    <m/>
    <m/>
    <n v="3533"/>
    <x v="1"/>
    <m/>
    <n v="3533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d v="2020-08-01T00:00:00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s v="?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s v="?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s v="?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Complément QbD analyse stat + robustesse"/>
    <s v="?"/>
    <m/>
    <m/>
    <n v="30000"/>
    <x v="1"/>
    <m/>
    <n v="30000"/>
    <n v="0"/>
  </r>
  <r>
    <s v="ABX464"/>
    <m/>
    <s v="CMC"/>
    <m/>
    <s v="DELPHARM LILLE"/>
    <s v="L20_3117B - P00676_2020 - CAPS"/>
    <s v="P00676_2020"/>
    <s v="ABX464 Prod. 2 lot 35 Kg (25mg&amp;50mg) gélules - Stab IHC T3M"/>
    <m/>
    <s v="INV 10001163"/>
    <d v="2021-01-29T00:00:00"/>
    <n v="5218"/>
    <x v="1"/>
    <n v="5218"/>
    <n v="0"/>
    <n v="5218"/>
  </r>
  <r>
    <s v="ABX464"/>
    <m/>
    <s v="CMC"/>
    <m/>
    <s v="DELPHARM LILLE"/>
    <s v="L20_3117B - P00676_2020 - CAPS"/>
    <s v="P00676_2020"/>
    <s v="ABX464 Prod. 2 lot 35 Kg (25mg&amp;50mg) gélules - Stab IHC T6M"/>
    <m/>
    <s v="INV 10001625"/>
    <d v="2021-04-30T00:00:00"/>
    <n v="5443"/>
    <x v="1"/>
    <n v="5443"/>
    <n v="0"/>
    <n v="5443"/>
  </r>
  <r>
    <s v="ABX464"/>
    <m/>
    <s v="CMC"/>
    <m/>
    <s v="DELPHARM LILLE"/>
    <s v="L20_3117B - P00676_2020 - CAPS"/>
    <s v="P00676_2020"/>
    <s v="ABX464 Prod. 2 lot 35 Kg (25mg&amp;50mg) gélules - Stab IHC T9M"/>
    <m/>
    <s v="INV 10000157"/>
    <d v="2021-08-31T00:00:00"/>
    <n v="4313"/>
    <x v="1"/>
    <n v="4313"/>
    <n v="0"/>
    <n v="4313"/>
  </r>
  <r>
    <s v="ABX464"/>
    <m/>
    <s v="CMC"/>
    <m/>
    <s v="DELPHARM LILLE"/>
    <s v="L20_3117B - P00676_2020 - CAPS"/>
    <s v="P00676_2020"/>
    <s v="ABX464 Prod. 2 lot 35 Kg (25mg&amp;50mg) gélules - Stab IHC T12M"/>
    <m/>
    <s v="INV 10000383"/>
    <d v="2021-10-26T00:00:00"/>
    <n v="4988"/>
    <x v="1"/>
    <n v="4988"/>
    <n v="0"/>
    <n v="4988"/>
  </r>
  <r>
    <s v="ABX464"/>
    <m/>
    <s v="CMC"/>
    <m/>
    <s v="DELPHARM LILLE"/>
    <s v="L20_3117B - P00676_2020 - CAPS"/>
    <s v="P00676_2020"/>
    <s v="ABX464 Prod. 2 lot 35 Kg (25mg&amp;50mg) gélules - Stab IHC T18M"/>
    <m/>
    <s v="INV 10001343"/>
    <d v="2022-05-16T00:00:00"/>
    <n v="3408"/>
    <x v="1"/>
    <n v="3408"/>
    <n v="0"/>
    <n v="3408"/>
  </r>
  <r>
    <s v="ABX464"/>
    <m/>
    <s v="CMC"/>
    <m/>
    <s v="DELPHARM LILLE"/>
    <s v="L20_3117B - P00676_2020 - CAPS"/>
    <s v="P00676_2020"/>
    <s v="ABX464 Prod. 2 lot 35 Kg (25mg&amp;50mg) gélules - Stab IHC T24M"/>
    <m/>
    <s v="INV 10000682"/>
    <d v="2022-11-30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30M"/>
    <m/>
    <s v="INV 10001831"/>
    <d v="2023-06-23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36M"/>
    <m/>
    <s v="INV 10000681"/>
    <d v="2023-11-30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48M"/>
    <m/>
    <s v="INV 10000551"/>
    <d v="2024-11-28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60M"/>
    <m/>
    <s v="INV 10000585"/>
    <d v="2025-11-25T00:00:00"/>
    <n v="3533"/>
    <x v="1"/>
    <n v="3533"/>
    <n v="0"/>
    <n v="3533"/>
  </r>
  <r>
    <s v="ABX464"/>
    <m/>
    <s v="CMC"/>
    <m/>
    <s v="DELPHARM LILLE"/>
    <s v="L20_3117B + L21_3437C + L21_3318D - P00153_2023"/>
    <s v="P00153_2023"/>
    <s v="Consommables Labo - 03/2023"/>
    <m/>
    <s v="INV 10001569"/>
    <d v="2023-05-22T00:00:00"/>
    <n v="2706.93"/>
    <x v="1"/>
    <n v="2706.93"/>
    <n v="0"/>
    <n v="2706.93"/>
  </r>
  <r>
    <s v="ABX464"/>
    <m/>
    <s v="CMC"/>
    <m/>
    <s v="DELPHARM LILLE"/>
    <s v="L21_3265A - P00070_2021 - CAPS"/>
    <s v="P00070_2021"/>
    <s v="ABX464 25mg &amp; 50mg gélule - Transfert technique zone HP&amp;Scale up - Prestation de fabrication &amp; Conditionnement Campagne 1"/>
    <m/>
    <s v="INV 10001318 + INV 10001440"/>
    <s v="26/02/2021 + 29/03/2021"/>
    <n v="26177"/>
    <x v="1"/>
    <n v="26177"/>
    <n v="0"/>
    <n v="26177"/>
  </r>
  <r>
    <s v="ABX464"/>
    <m/>
    <s v="CMC"/>
    <m/>
    <s v="DELPHARM LILLE"/>
    <s v="L21_3265A - P00070_2021 - CAPS"/>
    <s v="P00070_2021"/>
    <s v="ABX464 25mg &amp; 50mg gélule - Transfert technique zone HP&amp;Scale up - Prestation de fabrication &amp; Conditionnement Campagne 2"/>
    <m/>
    <s v="INV 10001440 + INV 10001578"/>
    <s v="29/03/2021 + 26/04/2021"/>
    <n v="42852"/>
    <x v="1"/>
    <n v="42852"/>
    <n v="0"/>
    <n v="42852"/>
  </r>
  <r>
    <s v="ABX464"/>
    <m/>
    <s v="CMC"/>
    <m/>
    <s v="DELPHARM LILLE"/>
    <s v="L21_3265A - P00070_2021 - CAPS"/>
    <s v="P00070_2021"/>
    <s v="ABX464 25mg &amp; 50mg gélule - Transfert technique zone HP&amp;Scale up - Management de projet 3 mois"/>
    <m/>
    <s v="INV 10001318"/>
    <d v="2021-02-26T00:00:00"/>
    <n v="1640"/>
    <x v="1"/>
    <s v="OK"/>
    <n v="0"/>
    <n v="1640"/>
  </r>
  <r>
    <s v="ABX464"/>
    <m/>
    <s v="CMC"/>
    <m/>
    <s v="DELPHARM LILLE"/>
    <s v="L21_3265A - P00070_2021 - CAPS"/>
    <s v="P00070_2021"/>
    <s v="ABX464 25mg &amp; 50mg gélule - Transfert technique zone HP&amp;Scale up - Management de projet 3 mois"/>
    <m/>
    <s v="INV 10001440"/>
    <d v="2021-03-29T00:00:00"/>
    <n v="1640"/>
    <x v="1"/>
    <s v="OK"/>
    <n v="0"/>
    <n v="1640"/>
  </r>
  <r>
    <s v="ABX464"/>
    <m/>
    <s v="CMC"/>
    <m/>
    <s v="DELPHARM LILLE"/>
    <s v="L21_3265A - P00070_2021 - CAPS"/>
    <s v="P00070_2021"/>
    <s v="ABX464 25mg &amp; 50mg gélule - Transfert technique zone HP&amp;Scale up - Management de projet 3 mois"/>
    <m/>
    <s v="INV 1001578"/>
    <d v="2021-04-26T00:00:00"/>
    <n v="1640"/>
    <x v="1"/>
    <s v="OK"/>
    <n v="0"/>
    <n v="1640"/>
  </r>
  <r>
    <s v="ABX464"/>
    <m/>
    <s v="CMC"/>
    <m/>
    <s v="DELPHARM LILLE"/>
    <s v="L21_3265A - P00070_2021 - CAPS"/>
    <s v="P00070_2021"/>
    <s v="ABX464 25mg &amp; 50mg gélule - Transfert technique zone HP&amp;Scale up - Consomable de labo dédiés 1 Colone HPLC"/>
    <m/>
    <m/>
    <m/>
    <n v="800"/>
    <x v="1"/>
    <m/>
    <n v="800"/>
    <n v="0"/>
  </r>
  <r>
    <s v="ABX464"/>
    <m/>
    <s v="CMC"/>
    <m/>
    <s v="DELPHARM LILLE"/>
    <s v="L21_3265A - P00070_2021 - CAPS"/>
    <s v="P00070_2021"/>
    <s v="ABX464 25mg &amp; 50mg gélule - Transfert technique zone HP&amp;Scale up - Consomable de labo dédiés 1 CPG Methode"/>
    <m/>
    <m/>
    <m/>
    <n v="1000"/>
    <x v="1"/>
    <m/>
    <n v="1000"/>
    <n v="0"/>
  </r>
  <r>
    <s v="ABX464"/>
    <m/>
    <s v="CMC"/>
    <m/>
    <s v="DELPHARM LILLE"/>
    <s v="L21_3265A - P00070_2021 - CAPS"/>
    <s v="P00070_2021"/>
    <s v="ABX464 25mg &amp; 50mg gélule - Transfert technique zone HP&amp;Scale up - Outillage fab"/>
    <m/>
    <s v="INV 10000008"/>
    <d v="2021-07-06T00:00:00"/>
    <n v="2210"/>
    <x v="1"/>
    <n v="734.43"/>
    <n v="1475.5700000000002"/>
    <n v="734.43"/>
  </r>
  <r>
    <s v="ABX464"/>
    <m/>
    <s v="CMC"/>
    <m/>
    <s v="DELPHARM LILLE"/>
    <s v="L21_3318D - P00261_2021 -  "/>
    <s v="P00261_2021"/>
    <s v="ABX464 25mg &amp; 50mg gélule - Lot cliniques - Etude de stabilité lots verum 12,5mg &amp; 25 mg - T24M"/>
    <m/>
    <s v="INV 10000351"/>
    <d v="2023-09-29T00:00:00"/>
    <n v="2598"/>
    <x v="1"/>
    <n v="2598"/>
    <n v="0"/>
    <n v="2598"/>
  </r>
  <r>
    <s v="ABX464"/>
    <m/>
    <s v="CMC"/>
    <m/>
    <s v="DELPHARM LILLE"/>
    <s v="L21_3318D - P00261_2021 -  "/>
    <s v="P00261_2021"/>
    <s v="ABX464 25mg &amp; 50mg gélule - Lot cliniques - Etude de stabilité lots verum 12,5mg &amp; 25 mg - T36M"/>
    <m/>
    <s v="INV 10000293"/>
    <d v="2024-09-30T00:00:00"/>
    <n v="2598"/>
    <x v="1"/>
    <n v="2598"/>
    <n v="0"/>
    <n v="2598"/>
  </r>
  <r>
    <s v="ABX464"/>
    <m/>
    <s v="CMC"/>
    <m/>
    <s v="DELPHARM LILLE"/>
    <s v="L21_3318D - P00261_2021 -  "/>
    <s v="P00261_2021"/>
    <s v="ABX464 25mg &amp; 50mg gélule - Lot cliniques - Etude de stabilité lots verum 12,5mg &amp; 25 mg - T48M"/>
    <m/>
    <s v="INV 10000303"/>
    <d v="2025-09-29T00:00:00"/>
    <n v="2723"/>
    <x v="1"/>
    <n v="2723"/>
    <n v="0"/>
    <n v="2723"/>
  </r>
  <r>
    <s v="ABX464"/>
    <m/>
    <s v="CMC"/>
    <m/>
    <s v="DELPHARM LILLE"/>
    <s v="L21_3318D - P00261_2021 -  "/>
    <s v="P00261_2021"/>
    <s v="ABX464 25mg &amp; 50mg gélule - Lot cliniques - Etude de stabilité 3 lots clinique verum 5 ans - T18M"/>
    <m/>
    <s v="INV 10001833"/>
    <d v="2023-06-23T00:00:00"/>
    <n v="7028"/>
    <x v="1"/>
    <n v="7028"/>
    <n v="0"/>
    <n v="7028"/>
  </r>
  <r>
    <s v="ABX464"/>
    <m/>
    <s v="CMC"/>
    <m/>
    <s v="DELPHARM LILLE"/>
    <s v="L21_3318D - P00261_2021 -  "/>
    <s v="P00261_2021"/>
    <s v="ABX464 25mg &amp; 50mg gélule - Lot cliniques - Etude de stabilité 3 lots clinique verum 5 ans - T24M"/>
    <m/>
    <s v="INV 10000354"/>
    <d v="2023-09-29T00:00:00"/>
    <n v="8378"/>
    <x v="1"/>
    <n v="8378"/>
    <n v="0"/>
    <n v="8378"/>
  </r>
  <r>
    <s v="ABX464"/>
    <m/>
    <s v="CMC"/>
    <m/>
    <s v="DELPHARM LILLE"/>
    <s v="L21_3318D - P00261_2021 -  "/>
    <s v="P00261_2021"/>
    <s v="ABX464 25mg &amp; 50mg gélule - Lot cliniques - Etude de stabilité 3 lots clinique verum 5 ans - T30M"/>
    <m/>
    <m/>
    <m/>
    <n v="8378"/>
    <x v="1"/>
    <m/>
    <n v="8378"/>
    <n v="0"/>
  </r>
  <r>
    <s v="ABX464"/>
    <m/>
    <s v="CMC"/>
    <m/>
    <s v="DELPHARM LILLE"/>
    <s v="L21_3318D - P00261_2021 -  "/>
    <s v="P00261_2021"/>
    <s v="ABX464 25mg &amp; 50mg gélule - Lot cliniques - Etude de stabilité 3 lots clinique verum 5 ans - T36M"/>
    <m/>
    <s v="INV 10000445"/>
    <d v="2024-10-31T00:00:00"/>
    <n v="8378"/>
    <x v="1"/>
    <n v="8378"/>
    <n v="0"/>
    <n v="8378"/>
  </r>
  <r>
    <s v="ABX464"/>
    <m/>
    <s v="CMC"/>
    <m/>
    <s v="DELPHARM LILLE"/>
    <s v="L21_3318D - P00261_2021 -  "/>
    <s v="P00261_2021"/>
    <s v="ABX464 25mg &amp; 50mg gélule - Lot cliniques - Etude de stabilité 3 lots clinique verum 5 ans - T48M"/>
    <m/>
    <m/>
    <d v="2025-11-03T00:00:00"/>
    <n v="8378"/>
    <x v="1"/>
    <n v="8378"/>
    <n v="0"/>
    <n v="8378"/>
  </r>
  <r>
    <s v="ABX464"/>
    <m/>
    <s v="CMC"/>
    <m/>
    <s v="DELPHARM LILLE"/>
    <s v="L21_3318D - P00261_2021 -  "/>
    <s v="P00261_2021"/>
    <s v="ABX464 25mg &amp; 50mg gélule - Lot cliniques - Etude de stabilité 3 lots clinique verum 5 ans - T60M"/>
    <m/>
    <m/>
    <m/>
    <n v="8078"/>
    <x v="1"/>
    <m/>
    <n v="8078"/>
    <n v="0"/>
  </r>
  <r>
    <s v="ABX464"/>
    <s v="CAPS"/>
    <s v="CMC"/>
    <m/>
    <s v="DELPHARM LILLE"/>
    <s v="L21_3318D - P00261_2021  (ex P00145) - CAPS"/>
    <s v="P00261_2021  (ex P00145) "/>
    <s v="ABX464 25mg &amp; 50mg gélule - Lot cliniques - Presta analytiques transfert des methodes ana"/>
    <m/>
    <s v="INV 10001710"/>
    <d v="2021-05-31T00:00:00"/>
    <n v="1710"/>
    <x v="1"/>
    <n v="1710"/>
    <n v="0"/>
    <n v="171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1/2 - Documentation"/>
    <m/>
    <s v="INV 10001710 + INV 10000351"/>
    <s v="31/05/2021 + 20/10/2021"/>
    <n v="5760"/>
    <x v="1"/>
    <n v="5760"/>
    <n v="0"/>
    <n v="576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1/2 - fabrication &amp; coodination"/>
    <m/>
    <s v="INV 10001662 + INV 10000122"/>
    <s v="19/05/2021 + 24/08/2021"/>
    <n v="47830"/>
    <x v="1"/>
    <n v="47830"/>
    <n v="0"/>
    <n v="4783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1/2 - analyse"/>
    <m/>
    <s v="INV 10000083"/>
    <d v="2021-07-29T00:00:00"/>
    <n v="7830"/>
    <x v="1"/>
    <n v="7830"/>
    <n v="0"/>
    <n v="783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2/2 - Documentation"/>
    <m/>
    <s v="INV 10001662 + INV 10000351"/>
    <s v="19/05/2021 + 20/10/2021"/>
    <n v="3780"/>
    <x v="1"/>
    <n v="3780"/>
    <n v="0"/>
    <n v="378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2/2 - fabrication &amp; coodination"/>
    <m/>
    <s v="INV 10001662 + INV 10000122"/>
    <s v="19/05/2021 + 25/08/2021"/>
    <n v="38009"/>
    <x v="1"/>
    <n v="38009"/>
    <n v="0"/>
    <n v="38009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2/2 - analyse"/>
    <m/>
    <s v="INV 10000122 + INV 10000351"/>
    <s v="25/08/2021 + 20/10/2021"/>
    <n v="11430"/>
    <x v="1"/>
    <n v="11430"/>
    <n v="0"/>
    <n v="1143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x v="1"/>
    <n v="1640"/>
    <n v="0"/>
    <n v="164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x v="1"/>
    <n v="1640"/>
    <n v="0"/>
    <n v="164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1889"/>
    <d v="2021-06-26T00:00:00"/>
    <n v="1640"/>
    <x v="1"/>
    <n v="1640"/>
    <n v="0"/>
    <n v="164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0083"/>
    <d v="2021-07-29T00:00:00"/>
    <n v="1640"/>
    <x v="1"/>
    <n v="1640"/>
    <n v="0"/>
    <n v="1640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0"/>
    <m/>
    <s v="INV 10000287"/>
    <d v="2021-09-30T00:00:00"/>
    <n v="1370"/>
    <x v="1"/>
    <n v="1370"/>
    <n v="0"/>
    <n v="1370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6M"/>
    <m/>
    <s v="INV 10001160"/>
    <d v="2022-04-12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9M"/>
    <m/>
    <s v="INV 10001622"/>
    <d v="2022-06-29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12M"/>
    <m/>
    <s v="INV 10000355"/>
    <d v="2022-09-30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18M"/>
    <m/>
    <s v="INV 10001280"/>
    <d v="2023-03-27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0"/>
    <m/>
    <s v="INV 10000424"/>
    <d v="2021-10-29T00:00:00"/>
    <n v="6203"/>
    <x v="1"/>
    <n v="6203"/>
    <n v="0"/>
    <n v="6203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3M"/>
    <m/>
    <s v="INV 10000746"/>
    <d v="2022-01-21T00:00:00"/>
    <n v="12458"/>
    <x v="1"/>
    <n v="12458"/>
    <n v="0"/>
    <n v="12458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6M"/>
    <m/>
    <s v="INV 10001205"/>
    <d v="2022-04-26T00:00:00"/>
    <n v="13133"/>
    <x v="1"/>
    <n v="13133"/>
    <n v="0"/>
    <n v="13133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9M"/>
    <m/>
    <s v="INV 10000018"/>
    <d v="2022-07-06T00:00:00"/>
    <n v="9743"/>
    <x v="1"/>
    <n v="9743"/>
    <n v="0"/>
    <n v="9743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12M"/>
    <m/>
    <s v="INV 10000684"/>
    <d v="2022-11-30T00:00:00"/>
    <n v="11768"/>
    <x v="1"/>
    <n v="11768"/>
    <n v="0"/>
    <n v="11768"/>
  </r>
  <r>
    <s v="ABX464"/>
    <m/>
    <s v="CMC"/>
    <m/>
    <s v="DELPHARM LILLE"/>
    <s v="L21_3318D &amp; L21_3434C - P00115_2023"/>
    <s v="P00115_2023"/>
    <s v="Refacturation analytique consommbale Labo + sous-traitance 2022 Q1"/>
    <m/>
    <s v="INV 10001329"/>
    <d v="2023-03-30T00:00:00"/>
    <n v="6900.01"/>
    <x v="1"/>
    <n v="6900.01"/>
    <n v="0"/>
    <n v="6900.01"/>
  </r>
  <r>
    <s v="ABX464"/>
    <m/>
    <s v="CMC"/>
    <m/>
    <s v="DELPHARM LILLE"/>
    <s v="L21_3318D &amp; L21_3434C - P00115_2023"/>
    <s v="P00115_2023"/>
    <s v="Refacturation analytique consommbale Labo + sous-traitance 2022 Q2"/>
    <m/>
    <s v="INV 10001329"/>
    <d v="2023-03-30T00:00:00"/>
    <n v="4725.6000000000004"/>
    <x v="1"/>
    <n v="4725.6000000000004"/>
    <n v="0"/>
    <n v="4725.6000000000004"/>
  </r>
  <r>
    <s v="ABX464"/>
    <m/>
    <s v="CMC"/>
    <m/>
    <s v="DELPHARM LILLE"/>
    <s v="L21_3318D &amp; L21_3434C - P00115_2023"/>
    <s v="P00115_2023"/>
    <s v="Refacturation analytique consommbale Labo + sous-traitance 2022 Q3"/>
    <m/>
    <s v="INV 10001329"/>
    <d v="2023-03-30T00:00:00"/>
    <n v="1520.5"/>
    <x v="1"/>
    <n v="1520.5"/>
    <n v="0"/>
    <n v="1520.5"/>
  </r>
  <r>
    <s v="ABX464"/>
    <m/>
    <s v="CMC"/>
    <m/>
    <s v="DELPHARM LILLE"/>
    <s v="L21_3318D &amp; L21_3434C - P00115_2023"/>
    <s v="P00115_2023"/>
    <s v="Refacturation analytique consommbale Labo + sous-traitance 2022 Octobre Novembre"/>
    <m/>
    <s v="INV 10001329"/>
    <d v="2023-03-30T00:00:00"/>
    <n v="1520.5"/>
    <x v="1"/>
    <n v="1520.5"/>
    <n v="0"/>
    <n v="1520.5"/>
  </r>
  <r>
    <s v="ABX464"/>
    <m/>
    <s v="CMC"/>
    <m/>
    <s v="DELPHARM LILLE"/>
    <s v="L21_3437A - P00026_2022"/>
    <s v="P00026_2022"/>
    <s v="ABX464, 6.25mg &amp; 12.5mg &amp; 25mg &amp; 50mg, gélule - Lots cliniques Q1 2022"/>
    <m/>
    <s v="INV 10000743 + INV 10000884 + INV 10000900 + INV 10000895 + INV 10001076 + INV 10001228 + INV 10001357 + INV 10001376"/>
    <s v="20/01/2022 + 22/02/2022 + 25/02/2022 + 25/02/2022 + 30/03/2022 + 28/04/2022 + 18/05/2022 + 24/05/2022"/>
    <n v="0"/>
    <x v="1"/>
    <n v="0"/>
    <n v="0"/>
    <n v="0"/>
  </r>
  <r>
    <s v="ABX464"/>
    <m/>
    <s v="CMC"/>
    <m/>
    <s v="DELPHARM LILLE"/>
    <s v="L21_3437C - P00176_2022"/>
    <s v="P00176_2022"/>
    <s v="ABX464, 6.25mg &amp; 12.5mg &amp; 25mg &amp; 50mg, gélule - Lots cliniques Q1-Q2 2022"/>
    <m/>
    <s v="INV 10000743 + INV 10000884 + INV 10000900 + INV 10000895 + INV 10001076 + INV 10001228 + INV 10001357 + INV 10001376 + INV 10001513 + INV 10001510 + INV 10001615 + INV 10000121 + INV 10000356 + INV 10000527 + INV 10000798 + INV 10001132 + INV 10001279 + INV 10001281 + INV 10001390 + INV 10001832 + INV 10001942 + INV 10000352 + INV 10000524 + INV 10000682 + INV 10000820 + INV 10001001 + INV 10001326 + INV 10001652 + INV 10001861 + INV 10000065 + INV 10000294 +INV 10001166 + INV 10001377 + INV 10001378 + INV 10000080 + INV 10000176 + INV 10000302"/>
    <s v="20/01/2022 + 22/02/2022 + 25/02/2022 + 25/02/2022 + 30/03/2022 + 28/04/2022 + 18/05/2022 + 24/05/2022 + 16/06/2022 + 16/06/2022 + 28/06/2022 + 29/07/2022 + 30/09/2022 + 28/10/2022 + 20/12/2022 + 28/02/2023 + 27/03/2023 + 27/03/2023 + 17/04/2023 + 23/06/2023 + 30/06/2023 + 29/09/2023 + 30/10/2023 + 30/11/2023 + 01/01/2024 + 31/01/2024 + 27/03/2024 + 28/05/2024 + 27/06/2024 + 22/07/2024 + 30/09/2024 + 25/03/2025 + 30/04/2025 + 30/04/2025 +25/07/2025+29/08/25+29/09/2025"/>
    <n v="470836"/>
    <x v="1"/>
    <n v="415135.1"/>
    <n v="55700.900000000023"/>
    <n v="415135.1"/>
  </r>
  <r>
    <s v="ABX464"/>
    <m/>
    <s v="CMC"/>
    <m/>
    <s v="DELPHARM LILLE"/>
    <s v="L22_3662B - P00392_2022"/>
    <s v="P00392_2022"/>
    <s v="Etude d'optimisation du process de fabrication - Campagne 1"/>
    <m/>
    <s v="INV 10000780 - AV 13000032 + INV 10000914"/>
    <s v="16/12/2022 - 19/01/2023 + 19/01/2023"/>
    <n v="12929"/>
    <x v="1"/>
    <n v="5283.25"/>
    <n v="7645.75"/>
    <n v="5283.25"/>
  </r>
  <r>
    <s v="ABX464"/>
    <m/>
    <s v="CMC"/>
    <m/>
    <s v="DELPHARM LILLE"/>
    <s v="L22_3662B - P00392_2022"/>
    <s v="P00392_2022"/>
    <s v="Etude d'optimisation du process de fabrication - Campagne 2"/>
    <m/>
    <s v="INV 10000780 - AV 13000032 + INV 10000914"/>
    <s v="16/12/2022 - 19/01/2023 + 19/01/2023"/>
    <n v="20631"/>
    <x v="1"/>
    <n v="6771.75"/>
    <n v="13859.25"/>
    <n v="6771.75"/>
  </r>
  <r>
    <s v="ABX464"/>
    <m/>
    <s v="CMC"/>
    <m/>
    <s v="DELPHARM LILLE"/>
    <s v="L22_3662B - P00392_2022"/>
    <s v="P00392_2022"/>
    <s v="Etude d'optimisation du process de fabrication - Campgane 3"/>
    <m/>
    <m/>
    <m/>
    <n v="33981"/>
    <x v="1"/>
    <m/>
    <n v="33981"/>
    <n v="0"/>
  </r>
  <r>
    <s v="ABX464"/>
    <m/>
    <s v="CMC"/>
    <m/>
    <s v="DELPHARM LILLE"/>
    <s v="L22_3662B - P00392_2022"/>
    <s v="P00392_2022"/>
    <s v="Etude d'optimisation du process de fabrication - Campagne 4"/>
    <m/>
    <m/>
    <m/>
    <n v="42440"/>
    <x v="1"/>
    <m/>
    <n v="42440"/>
    <n v="0"/>
  </r>
  <r>
    <s v="ABX464"/>
    <m/>
    <s v="CMC"/>
    <m/>
    <s v="DELPHARM LILLE"/>
    <s v="L22_3662B - P00392_2022"/>
    <s v="P00392_2022"/>
    <s v="Etude d'optimisation du process de fabrication - Remise prestation de fabrication"/>
    <m/>
    <m/>
    <m/>
    <n v="-16780"/>
    <x v="1"/>
    <m/>
    <n v="0"/>
    <n v="0"/>
  </r>
  <r>
    <s v="ABX464"/>
    <m/>
    <s v="CMC"/>
    <m/>
    <s v="DELPHARM LILLE"/>
    <s v="L22_3662B - P00392_2022"/>
    <s v="P00392_2022"/>
    <s v="Etude d'optimisation du process de fabrication - Magement de projet 4 mois - mois 1"/>
    <m/>
    <s v="INV 10000780 - AV 13000032 + INV 10000914"/>
    <s v="16/12/2022 - 19/01/2023 + 19/01/2023"/>
    <n v="1800"/>
    <x v="1"/>
    <n v="1800"/>
    <n v="0"/>
    <n v="1800"/>
  </r>
  <r>
    <s v="ABX464"/>
    <m/>
    <s v="CMC"/>
    <m/>
    <s v="DELPHARM LILLE"/>
    <s v="L22_3662B - P00392_2022"/>
    <s v="P00392_2022"/>
    <s v="Etude d'optimisation du process de fabrication - Magement de projet 4 mois - mois 2"/>
    <m/>
    <s v="INV 10000780 - AV 13000032 + INV 10000914"/>
    <s v="16/12/2022 - 19/01/2023 + 19/01/2023"/>
    <n v="1800"/>
    <x v="1"/>
    <n v="1800"/>
    <n v="0"/>
    <n v="1800"/>
  </r>
  <r>
    <s v="ABX464"/>
    <m/>
    <s v="CMC"/>
    <m/>
    <s v="DELPHARM LILLE"/>
    <s v="L22_3662B - P00392_2022"/>
    <s v="P00392_2022"/>
    <s v="Etude d'optimisation du process de fabrication - Magement de projet 4 mois - mois 3"/>
    <m/>
    <m/>
    <m/>
    <n v="1800"/>
    <x v="1"/>
    <m/>
    <n v="1800"/>
    <n v="0"/>
  </r>
  <r>
    <s v="ABX464"/>
    <m/>
    <s v="CMC"/>
    <m/>
    <s v="DELPHARM LILLE"/>
    <s v="L22_3662B - P00392_2022"/>
    <s v="P00392_2022"/>
    <s v="Etude d'optimisation du process de fabrication - Magement de projet 4 mois - mois 4"/>
    <m/>
    <m/>
    <m/>
    <n v="1800"/>
    <x v="1"/>
    <m/>
    <n v="1800"/>
    <n v="0"/>
  </r>
  <r>
    <s v="ABX464"/>
    <m/>
    <s v="CMC"/>
    <m/>
    <s v="DELPHARM LILLE"/>
    <s v="L22_3685A - P00009_2023"/>
    <s v="P00009_2023"/>
    <s v="Support reglementaire Q4 2022 &amp; Q1 2023"/>
    <m/>
    <s v="INV 10000916"/>
    <d v="2023-01-23T00:00:00"/>
    <n v="4500"/>
    <x v="1"/>
    <n v="4500"/>
    <n v="0"/>
    <n v="4500"/>
  </r>
  <r>
    <s v="ABX464"/>
    <m/>
    <s v="CMC"/>
    <m/>
    <s v="DELPHARM LILLE"/>
    <s v="L23_3702B - P00116_2023"/>
    <s v="P00116_2023"/>
    <s v="ABX464, 6.25mg &amp; 12.5mg &amp; 25mg &amp; 50mg, gélule - Lots cliniques Q2 2023"/>
    <m/>
    <s v="INV 10001426 + INV 10001663 + INV 10001876 + INV 10001923 + INV 10001940 + INV 10000051 + INV 10000353 + INV 10000746 + INV 10001803 + INV 10000291 + INV 10001165 + INV 10000301"/>
    <s v="24/04/2023 + 31/05/2023 + 28/06/2023 + 30/06/2023 + 30/06/2023 + 20/07/2023 + 29/09/2023 + 01/01/2024 + 24/06/2024 + 30/09/2024+25/03/2025+29/09/2025"/>
    <n v="167375"/>
    <x v="1"/>
    <n v="152037"/>
    <n v="15338"/>
    <n v="152037"/>
  </r>
  <r>
    <s v="ABX464"/>
    <m/>
    <s v="CMC"/>
    <m/>
    <s v="DELPHARM LILLE"/>
    <s v="L23_3794A - P00190_2023"/>
    <s v="P00190_2023"/>
    <s v="Optimisation de procédé / Det. Caractère liant de la cellule - Option 1"/>
    <m/>
    <m/>
    <m/>
    <n v="3000"/>
    <x v="1"/>
    <m/>
    <n v="3000"/>
    <n v="0"/>
  </r>
  <r>
    <s v="ABX464"/>
    <m/>
    <s v="CMC"/>
    <m/>
    <s v="DELPHARM LILLE"/>
    <s v="L23_3794A - P00190_2023"/>
    <s v="P00190_2023"/>
    <s v="Optimisation de procédé / Det. Caractère liant de la cellule - Option 2"/>
    <m/>
    <s v="INV 10001811 + INV 10000073"/>
    <s v="22/06/2023 + 26/07/2023"/>
    <n v="9052"/>
    <x v="1"/>
    <n v="9052"/>
    <n v="0"/>
    <n v="9052"/>
  </r>
  <r>
    <s v="ABX464"/>
    <m/>
    <s v="CMC"/>
    <m/>
    <s v="DELPHARM LILLE"/>
    <s v="L23_3872A - P00344_2023"/>
    <s v="P00344_2023"/>
    <s v="Prélèvement et envoi de 580g du lot 22015440"/>
    <m/>
    <s v="INV 10000414"/>
    <d v="2023-10-13T00:00:00"/>
    <n v="1273"/>
    <x v="1"/>
    <n v="1273"/>
    <n v="0"/>
    <n v="1273"/>
  </r>
  <r>
    <s v="ABX464"/>
    <m/>
    <s v="CMC"/>
    <m/>
    <s v="DELPHARM LILLE"/>
    <s v="L24_3932A - P00108_2024"/>
    <s v="P00108_2024"/>
    <s v="Dissolution testing with new method"/>
    <m/>
    <m/>
    <m/>
    <n v="1200"/>
    <x v="1"/>
    <m/>
    <n v="1200"/>
    <n v="0"/>
  </r>
  <r>
    <s v="ABX464"/>
    <m/>
    <s v="CMC"/>
    <m/>
    <s v="DELPHARM LILLE"/>
    <s v="L24_3961A - P00107_2024"/>
    <s v="P00107_2024"/>
    <s v="ABX464 - Fabrication &amp; conditionnement 25mg"/>
    <m/>
    <s v="INV 10001377"/>
    <d v="2024-03-29T00:00:00"/>
    <n v="77100"/>
    <x v="1"/>
    <n v="38175"/>
    <n v="38925"/>
    <n v="38175"/>
  </r>
  <r>
    <s v="ABX464"/>
    <m/>
    <s v="CMC"/>
    <s v="Adrien K"/>
    <s v="DELPHARM LILLE"/>
    <s v="L24_4003A - P00247_2024"/>
    <s v="P00247_2024"/>
    <s v="Second lot technique 25mg avec API Jetpharma"/>
    <m/>
    <s v="INV 10001670 "/>
    <d v="2024-05-29T00:00:00"/>
    <n v="50300"/>
    <x v="1"/>
    <n v="38175"/>
    <n v="12125"/>
    <n v="38175"/>
  </r>
  <r>
    <s v="ABX464"/>
    <m/>
    <s v="CMC"/>
    <s v="Adrien K"/>
    <s v="DELPHARM LILLE"/>
    <s v="L24_4171A - P00542_2024"/>
    <s v="P00542_2024"/>
    <s v="Production lot technique avec API JP 5000rpm"/>
    <m/>
    <s v="INV 10000667 + INV 10000548"/>
    <s v="18/12/2024 + 28/11/2024"/>
    <n v="50300"/>
    <x v="1"/>
    <n v="50300"/>
    <n v="0"/>
    <n v="50300"/>
  </r>
  <r>
    <s v="ABX464"/>
    <m/>
    <s v="CMC"/>
    <s v="Adrien K"/>
    <s v="DELPHARM LILLE"/>
    <s v="L25_4230A - P00042_2025"/>
    <s v="P00042_2025"/>
    <s v="Commande de gélule Blanches Taille 1 B12"/>
    <m/>
    <m/>
    <m/>
    <n v="11213.3"/>
    <x v="1"/>
    <m/>
    <n v="11213.3"/>
    <n v="0"/>
  </r>
  <r>
    <s v="ABX464"/>
    <m/>
    <s v="CMC"/>
    <s v="Adrien K"/>
    <s v="DELPHARM LILLE"/>
    <s v="L24_4171A - P00047_2025"/>
    <s v="P00047_2025"/>
    <s v="Lots cliniques Q1 2025"/>
    <m/>
    <s v="INV 10000817 + INV 10000981 + INV 10001148 + INV 10001315"/>
    <s v="29/01/2025 + 25/02/2025+21/03/25 + 25/04/2025"/>
    <n v="104160"/>
    <x v="1"/>
    <n v="104160"/>
    <n v="0"/>
    <n v="104160"/>
  </r>
  <r>
    <s v="ABX464"/>
    <m/>
    <s v="CMC"/>
    <m/>
    <s v="DELPHARM PARIS"/>
    <s v="B 24 039 v1 - P00371_2023"/>
    <s v="P00371_2023"/>
    <s v="ABX464 Dissolution Tests"/>
    <m/>
    <s v="INV 10000574"/>
    <d v="2024-01-01T00:00:00"/>
    <n v="8480"/>
    <x v="1"/>
    <n v="6180"/>
    <n v="2300"/>
    <n v="6180"/>
  </r>
  <r>
    <s v="ABX464"/>
    <m/>
    <s v="CMC"/>
    <m/>
    <s v="DELPHARM PARIS"/>
    <s v="B 24 039 V1 - P00067_2024"/>
    <s v="P00067_2024"/>
    <s v="ABX464 Dossolution tests on API"/>
    <m/>
    <s v="INV 10000986"/>
    <d v="2024-03-19T00:00:00"/>
    <n v="7330"/>
    <x v="1"/>
    <n v="3880"/>
    <n v="3450"/>
    <n v="3880"/>
  </r>
  <r>
    <s v="ABX464"/>
    <m/>
    <s v="CMC"/>
    <m/>
    <s v="DELPHARM PARIS"/>
    <s v="B 24 039 V1 - P00137_2024"/>
    <s v="P00137_2024"/>
    <s v="ABX464 Dissolution tests on API"/>
    <m/>
    <s v="INV 10001044"/>
    <d v="2024-03-28T00:00:00"/>
    <n v="3880"/>
    <x v="1"/>
    <n v="3880"/>
    <n v="0"/>
    <n v="3880"/>
  </r>
  <r>
    <s v="ABX464"/>
    <m/>
    <s v="CMC"/>
    <m/>
    <s v="DELPHARM PARIS"/>
    <s v="B 24 039 V1 - P00164_2024"/>
    <s v="P00164_2024"/>
    <s v="ABX464 Dissolution retests on API"/>
    <m/>
    <m/>
    <m/>
    <n v="2730"/>
    <x v="1"/>
    <m/>
    <n v="2730"/>
    <n v="0"/>
  </r>
  <r>
    <s v="ABX464"/>
    <m/>
    <s v="CMC"/>
    <s v="Saadia"/>
    <s v="DELPHARM PARIS"/>
    <s v="B 24 039 V1 - P00202_2024"/>
    <s v="P00202_2024"/>
    <s v="ABX464 Dissolution retests on API Paddle dissolution"/>
    <m/>
    <m/>
    <m/>
    <n v="1580"/>
    <x v="1"/>
    <m/>
    <n v="1580"/>
    <n v="0"/>
  </r>
  <r>
    <s v="ABX464"/>
    <m/>
    <s v="CMC"/>
    <s v="Saadia"/>
    <s v="DELPHARM PARIS"/>
    <s v="B 24 039 V1 - P00284_2024"/>
    <s v="P00284_2024"/>
    <s v="ABX464 Dissolution consommable"/>
    <m/>
    <s v="INV 10001390"/>
    <d v="2024-06-10T00:00:00"/>
    <n v="460.16"/>
    <x v="1"/>
    <n v="460.16"/>
    <n v="0"/>
    <n v="460.16"/>
  </r>
  <r>
    <s v="ABX464"/>
    <m/>
    <s v="CMC"/>
    <m/>
    <s v="DELPHARM PARIS"/>
    <s v="B 24 039 V1 - P00283_2024"/>
    <s v="P00283_2024"/>
    <s v="ABX464 Dossolution retests on API"/>
    <m/>
    <s v="INV 10001483"/>
    <d v="2024-06-25T00:00:00"/>
    <n v="3880"/>
    <x v="1"/>
    <n v="3880"/>
    <n v="0"/>
    <n v="3880"/>
  </r>
  <r>
    <s v="ABX464"/>
    <m/>
    <s v="CMC"/>
    <s v="Saadia"/>
    <s v="DELPHARM PARIS"/>
    <s v="B 24 039 V1 - P00382_2024"/>
    <s v="P00382_2024"/>
    <s v="ABX464 Dissolution tests on API"/>
    <m/>
    <s v="INV 10000135"/>
    <d v="2024-08-27T00:00:00"/>
    <n v="1580"/>
    <x v="1"/>
    <n v="1580"/>
    <n v="0"/>
    <n v="1580"/>
  </r>
  <r>
    <s v="ABX464"/>
    <m/>
    <s v="CMC"/>
    <s v="Saadia"/>
    <s v="DELPHARM PARIS"/>
    <s v="B 24 039 V1 - P00429_2424"/>
    <s v="P00429_2424"/>
    <s v="ABX464 Dissolution tests on API"/>
    <m/>
    <s v="INV 10000218"/>
    <d v="2024-09-24T00:00:00"/>
    <n v="2730"/>
    <x v="1"/>
    <n v="2730"/>
    <n v="0"/>
    <n v="2730"/>
  </r>
  <r>
    <s v="ABX464"/>
    <m/>
    <s v="CMC"/>
    <s v="Saadia"/>
    <s v="DELPHARM PARIS"/>
    <s v="B 24 039 V1 - P00429_2024"/>
    <s v="P00429_2024"/>
    <s v="ABX464 Dissolution tests on API"/>
    <m/>
    <m/>
    <m/>
    <n v="2730"/>
    <x v="1"/>
    <m/>
    <n v="2730"/>
    <n v="0"/>
  </r>
  <r>
    <s v="ABX464"/>
    <m/>
    <s v="CMC"/>
    <s v="Saadia"/>
    <s v="DELPHARM PARIS"/>
    <s v="B 24 039 V1 - P00474_2024"/>
    <s v="P00474_2024"/>
    <s v="ABX464 Dissolution tests on API"/>
    <m/>
    <m/>
    <m/>
    <n v="9630"/>
    <x v="1"/>
    <m/>
    <n v="9630"/>
    <n v="0"/>
  </r>
  <r>
    <s v="ABX464"/>
    <m/>
    <s v="CMC"/>
    <s v="Saadia"/>
    <s v="DELPHARM PARIS"/>
    <s v="B 24 039 V1 - P00019_2025"/>
    <s v="P00019_2025"/>
    <s v="ABX464 Dissolution tests on API"/>
    <m/>
    <s v="INV 10000621"/>
    <d v="2025-01-23T00:00:00"/>
    <n v="1580"/>
    <x v="1"/>
    <n v="1580"/>
    <n v="0"/>
    <n v="1580"/>
  </r>
  <r>
    <s v="ABX464"/>
    <m/>
    <s v="CMC"/>
    <m/>
    <s v="DELPHARM REIMS"/>
    <s v="DDR 2020 087 V1 -  "/>
    <m/>
    <s v="ABX464 Dev. Tablet PHASE III - QBD program"/>
    <m/>
    <m/>
    <m/>
    <n v="0"/>
    <x v="1"/>
    <n v="0"/>
    <n v="0"/>
    <n v="0"/>
  </r>
  <r>
    <s v="ABX464"/>
    <m/>
    <s v="CMC"/>
    <m/>
    <s v="DELPHARM REIMS"/>
    <s v="DDR 2020 087 V1 -  "/>
    <m/>
    <s v="ABX464 Dev. Tablet PHASE V - CLINICAL Phase Pilot Program"/>
    <m/>
    <m/>
    <m/>
    <n v="0"/>
    <x v="1"/>
    <n v="0"/>
    <n v="0"/>
    <n v="0"/>
  </r>
  <r>
    <s v="ABX464"/>
    <m/>
    <s v="CMC"/>
    <m/>
    <s v="DELPHARM REIMS"/>
    <s v="DDR 2020 087 V1 - P00658_2020"/>
    <s v="P00658_2020"/>
    <s v="ABX464 Dev. Tablet PHASE I - Preformulation/Formulation - STAB"/>
    <m/>
    <s v="INV 0124/22 + INV 0213/22 + INV 0503/22 + INV 0685/22 + INV 0084/23 + INV 0236/23 + INV 0595/23 + INV 0681/23 + INV 0701/23 + INV 0600/24 + INV 0489/25 + INV 0591/25"/>
    <s v="27/09/2021 + 27/10/2021 + 23/02/2022 + 25/04/2022 + 30/08/2022 + 26/10/2022 + 27/02/2023 + 31/03/2023 + 19/04/2023 + 29/03/2024 + 19/02/2025+31/03/2025"/>
    <n v="121241"/>
    <x v="1"/>
    <n v="92098"/>
    <n v="29143"/>
    <n v="92098"/>
  </r>
  <r>
    <s v="ABX464"/>
    <m/>
    <s v="CMC"/>
    <m/>
    <s v="DELPHARM REIMS"/>
    <s v="DDR 2020 087 V1 - P00658_2020 -  "/>
    <s v="58_2020 -  "/>
    <s v="ABX464 Dev. Tablet PHASE I - Preformulation/Formulation"/>
    <m/>
    <s v="INV 0233/21 + INV 0320/21 + INV 0312/21 + INV 0355/21 + INV 0394/21 + INV 0446/21 + INV 0524/21 + INV 0563/21 + INV 0604/21 + INV 0626/21 + INV 0716/21 + INV 0851/21 + INV 0906/21 + INV 0450/22"/>
    <s v="29/10/2020 + 30/11/2020 + 30/11/2020 + 21/12/2020 + 14/01/2021 + 28/01/2021 + 28/02/2021 + 23/03/2021 + 31/03/2021 + 15/04/2021 + 19/05/2021 + 25/06/2021 + 29/06/2021 + 28/01/2022"/>
    <n v="251317"/>
    <x v="1"/>
    <n v="251317"/>
    <n v="0"/>
    <n v="251317"/>
  </r>
  <r>
    <s v="ABX464"/>
    <m/>
    <s v="CMC"/>
    <m/>
    <s v="DELPHARM REIMS"/>
    <s v="DDR 2020 087 V1 - P00658_2020 -  "/>
    <s v="58_2020 -  "/>
    <s v="ABX464 Dev. Tablet PHASE I - Preformulation/Formulation - 30% à signature"/>
    <m/>
    <s v="INV 0810/20"/>
    <d v="2020-06-24T00:00:00"/>
    <n v="73890"/>
    <x v="1"/>
    <n v="73890"/>
    <n v="0"/>
    <n v="73890"/>
  </r>
  <r>
    <s v="ABX464"/>
    <m/>
    <s v="CMC"/>
    <m/>
    <s v="DELPHARM REIMS"/>
    <s v="DDR 2020 087 V1 - P00879_2020"/>
    <s v="P00879_2020"/>
    <s v="ABX464 Dev. Tablet PHASE IV - CLINICAL LABSCALE PROGRAM - STAB"/>
    <m/>
    <s v="INV 0018/22 + INV 0216/22 + INV 0350/22 + INV 0369/22 + INV 0619/22 + INV 0744/22 + INV 0497/23 + INV 0841/23 + INV 0772/24 + INV  0762/25"/>
    <s v="22/07/2021 + 27/10/2021 + 17/12/2021 + 20/12/2021 + 30/03/2022 + 30/05/2022 + 31/01/2023 + 16/06/2023 + 19/06/2024+16/06/2025"/>
    <n v="61236"/>
    <x v="1"/>
    <n v="62431"/>
    <n v="0"/>
    <n v="62431"/>
  </r>
  <r>
    <s v="ABX464"/>
    <m/>
    <s v="CMC"/>
    <m/>
    <s v="DELPHARM REIMS"/>
    <s v="DDR 2020 087 V1 - P00879_2020 -  "/>
    <s v="P00879_2020"/>
    <s v="ABX464 Dev. Tablet PHASE IV - CLINICAL LABSCALE PROGRAM - 30% signature"/>
    <m/>
    <s v="INV 0428/21 + INV 0511/21 + INV 0608/21"/>
    <s v="25/01/2021 + 22/02/2021 + 31/03/2021"/>
    <n v="53280"/>
    <x v="1"/>
    <n v="53280"/>
    <n v="0"/>
    <n v="53280"/>
  </r>
  <r>
    <s v="ABX464"/>
    <m/>
    <s v="CMC"/>
    <m/>
    <s v="DELPHARM REIMS"/>
    <s v="DDR 2020 087 V1 - P00879_2020 -  "/>
    <s v="P00879_2020"/>
    <s v="ABX464 Dev. Tablet PHASE IV - CLINICAL LABSCALE PROGRAM"/>
    <s v="Stand by"/>
    <s v="INV 0608/21 + INV 0690/21 + INV 0854/21 + INV 0886/21"/>
    <s v="31/03/2021 + 29/04/2021 + 25/06/2021 + 28/06/2021"/>
    <n v="65947"/>
    <x v="1"/>
    <n v="65947"/>
    <n v="0"/>
    <n v="65947"/>
  </r>
  <r>
    <s v="ABX464"/>
    <m/>
    <s v="CMC"/>
    <m/>
    <s v="DELPHARM REIMS"/>
    <s v="DDR 2020 087 V1 - P00880_2020"/>
    <s v="P00880_2020"/>
    <s v="ABX464 Dev. Tablet PHASE II - PILOT SCALE PROGRAM - STAB"/>
    <m/>
    <s v="INV 0017/22 + INV 0215/22 + INV 0368/22 + INV 06002/22 + INV 0706/22 + INV 0387/23 + INV 0776/23 + INV 0771/24 + INV 0761/25"/>
    <s v="22/07/2021 + 27/10/2021 + 20/12/2021 + 25/03/2022 + 26/04/2022 + 19/12/2022 + 22/05/2023 + 19/06/2024 + 16/06/2025"/>
    <n v="27468"/>
    <x v="1"/>
    <n v="27468"/>
    <n v="0"/>
    <n v="27468"/>
  </r>
  <r>
    <s v="ABX464"/>
    <m/>
    <s v="CMC"/>
    <m/>
    <s v="DELPHARM REIMS"/>
    <s v="DDR 2020 087 V1 - P00880_2020 -  "/>
    <s v="P00880_2020"/>
    <s v="ABX464 Dev. Tablet PHASE II - PILOT SCALE PROGRAM - 30% signature"/>
    <m/>
    <s v="INV 0427/21 + INV 0510/21 + INV 0590/21"/>
    <s v="25/01/2021 + 22/02/2021 + 25/03/2021"/>
    <n v="84600"/>
    <x v="1"/>
    <n v="84600"/>
    <n v="0"/>
    <n v="84600"/>
  </r>
  <r>
    <s v="ABX464"/>
    <m/>
    <s v="CMC"/>
    <m/>
    <s v="DELPHARM REIMS"/>
    <s v="DDR 2020 087 V1 - P00880_2020 -  "/>
    <s v="P00880_2020"/>
    <s v="ABX464 Dev. Tablet PHASE II - PILOT SCALE PROGRAM"/>
    <s v="Stand by"/>
    <s v="INV 0590/21 + INV 0681/21 + INV 0728/21 + INV 0907/21"/>
    <s v="25/03/2021 + 28/04/2021 + 21/05/2021 + 26/06/2021"/>
    <n v="33057"/>
    <x v="1"/>
    <n v="33057"/>
    <n v="0"/>
    <n v="33057"/>
  </r>
  <r>
    <s v="ABX464"/>
    <m/>
    <s v="CMC"/>
    <m/>
    <s v="DELPHARM REIMS"/>
    <s v="DDR 2020 091 V1 - P00659_2020 - CAPS"/>
    <m/>
    <s v="Analyze step - Setp 1 - 30% a signature"/>
    <m/>
    <s v="INV 0809/20"/>
    <d v="2020-06-24T00:00:00"/>
    <n v="10230"/>
    <x v="1"/>
    <s v="OK"/>
    <n v="0"/>
    <n v="10230"/>
  </r>
  <r>
    <s v="ABX464"/>
    <m/>
    <s v="CMC"/>
    <m/>
    <s v="DELPHARM REIMS"/>
    <s v="DDR 2020 091 V1 - P00659_2020 - CAPS"/>
    <m/>
    <s v="Analyze step - Setp 1 - 70% draft report"/>
    <m/>
    <s v="INV 0146/21 + INV 0232/21 + INV 0354/21 + INV 0445/21 + INV 0715/21 + INV 0035/22"/>
    <s v="28/09/2020 + 29/10/2020 + 21/12/2020 + 28/01/2021 + 19/05/2021 + 23/07/2021"/>
    <n v="23870"/>
    <x v="1"/>
    <n v="23870"/>
    <n v="0"/>
    <n v="23870"/>
  </r>
  <r>
    <s v="ABX464"/>
    <m/>
    <s v="CMC"/>
    <m/>
    <s v="DELPHARM REIMS"/>
    <s v="DDR 2020 092 V1 - P00673_2020 - CAPS"/>
    <s v="2020 - CAPS"/>
    <s v="ABX464 Dev. Tablet PHASE II - EXECUTION - 30% à signature"/>
    <m/>
    <s v="INV 0862/20"/>
    <d v="2020-06-30T00:00:00"/>
    <n v="45000"/>
    <x v="1"/>
    <s v="OK"/>
    <n v="0"/>
    <n v="45000"/>
  </r>
  <r>
    <s v="ABX464"/>
    <m/>
    <s v="CMC"/>
    <m/>
    <s v="DELPHARM REIMS"/>
    <s v="DDR 2020 092 V1 - P00673_2020 - CAPS"/>
    <s v="2020 - CAPS"/>
    <s v="ABX464 Dev. Tablet PHASE II - EXECUTION"/>
    <s v="QUAND ?"/>
    <m/>
    <m/>
    <n v="105000"/>
    <x v="1"/>
    <m/>
    <n v="105000"/>
    <n v="0"/>
  </r>
  <r>
    <s v="ABX464"/>
    <m/>
    <s v="CMC"/>
    <m/>
    <s v="DELPHARM REIMS"/>
    <s v="DDR 2021 049 V1 - P00068_2021"/>
    <s v="P00068_2021"/>
    <s v="API dissolution analytical complements"/>
    <m/>
    <s v="INV 0525/21 + INV 0658/21"/>
    <s v="28/02/2021 + 21/04/2021"/>
    <n v="9600"/>
    <x v="1"/>
    <n v="9600"/>
    <n v="0"/>
    <n v="9600"/>
  </r>
  <r>
    <s v="ABX464"/>
    <m/>
    <s v="CMC"/>
    <m/>
    <s v="DELPHARM REIMS"/>
    <s v="DDR 2021 049 V1 - P00068_2021"/>
    <s v="P00068_2021"/>
    <s v="API dissolution analytical complements - OPTIONS"/>
    <m/>
    <s v="INV 0019/22"/>
    <d v="2021-07-22T00:00:00"/>
    <n v="4800"/>
    <x v="1"/>
    <n v="863"/>
    <n v="3937"/>
    <n v="863"/>
  </r>
  <r>
    <s v="ABX464"/>
    <m/>
    <s v="CMC"/>
    <m/>
    <s v="DELPHARM REIMS"/>
    <s v="DDR 2021 072 V1 - P00165_2021"/>
    <s v="P00165_2021"/>
    <s v="ABX464 CAPS new size - Batch manufacturing / analysis + Project management"/>
    <m/>
    <s v="INV 0926/21 + INV 0026/22 + INV 0044/22 + INV 0074/22 + INV 0076/22 + INV 0110/22 + INV 0133/22 + INV 0240/22"/>
    <s v="30/06/2021 + 22/07/2021 + 10/08/2021 + 31/08/2021 + 31/08/2021 + 21/09/2021 + 27/09/2021 + 29/10/2021"/>
    <n v="77100"/>
    <x v="1"/>
    <n v="77100"/>
    <n v="0"/>
    <n v="77100"/>
  </r>
  <r>
    <s v="ABX464"/>
    <m/>
    <s v="CMC"/>
    <m/>
    <s v="DELPHARM REIMS"/>
    <s v="DDR 2021 072 V1 - P00165_2021"/>
    <s v="P00165_2021"/>
    <s v="ABX464 CAPS new size - Option"/>
    <m/>
    <s v="INV 0240/22 + INV 0311/22"/>
    <s v="29/10/2021 + 30/11/2021"/>
    <n v="36400"/>
    <x v="1"/>
    <n v="23021"/>
    <n v="13379"/>
    <n v="23021"/>
  </r>
  <r>
    <s v="ABX464"/>
    <m/>
    <s v="CMC"/>
    <m/>
    <s v="DELPHARM REIMS"/>
    <s v="DDR 2022 013 V1 - P00279_2021"/>
    <s v="P00279_2021"/>
    <s v="Stability studies size 4 and size 1"/>
    <m/>
    <s v="INV 0222/22 + INV 0506/22 + INV 0627/22 + INV 0624/22 + INV 0690/22 + INV 0720/22 + INV 0716/22 + INV 0767/22 + INV 0065/23 + INV 0253/23 + INV 0237/23 + INV 0504/23 + INV 0500/23 + INV 0911/23 + INV 0933/23 + INV 0335/25 + INV 0336/25 + INV 0242/26 + INV 0277/26"/>
    <s v="27/10/2021 + 23/02/2022 + 30/03/2022 + 30/03/2022 + 25/04/2022 + 29/04/2022 + 29/04/2022 + 30/05/2022 + 25/08/2022 + 28/10/2022 + 26/10/2022 + 31/01/2023 + 31/01/2023 + 28/06/2023 + 30/06/2023 + 16/12/2024 + 16/12/2024+31/10/2025+20/11/2025"/>
    <n v="247500"/>
    <x v="1"/>
    <n v="251700"/>
    <n v="0"/>
    <n v="251700"/>
  </r>
  <r>
    <s v="ABX464"/>
    <m/>
    <s v="CMC"/>
    <m/>
    <s v="DELPHARM REIMS"/>
    <s v="DDR 2022 027 V1 - P00325_2021"/>
    <s v="P00325_2021"/>
    <s v="ABX464 - Technical confirmation batches (3 batches)"/>
    <m/>
    <s v="INV 0321/22 + INV 0341/22"/>
    <s v="30/11/2021 + 14/12/2021"/>
    <n v="39500"/>
    <x v="1"/>
    <n v="39500"/>
    <n v="0"/>
    <n v="39500"/>
  </r>
  <r>
    <s v="ABX464"/>
    <m/>
    <s v="CMC"/>
    <m/>
    <s v="DELPHARM REIMS"/>
    <s v="DDR 2022 027 V1 - P00348_2021"/>
    <s v="P00348_2021"/>
    <s v="MANUFACTURE OF TECHNICAL BATCHES ABX464 CAPSULE"/>
    <m/>
    <s v="INV 0375/22 + INV 0461/22 + INV 0536/22 + INV 0535/22 + INV 0534/22"/>
    <s v="20/12/2021 + 28/01/2022 + 28/02/2022 + 28/02/2022 + 28/02/2022"/>
    <n v="77100"/>
    <x v="1"/>
    <n v="71689"/>
    <n v="5411"/>
    <n v="71689"/>
  </r>
  <r>
    <s v="ABX464"/>
    <m/>
    <s v="CMC"/>
    <m/>
    <s v="DELPHARM REIMS"/>
    <s v="DDR 2022 035 V1 - P00349_2021"/>
    <s v="P00349_2021"/>
    <s v="stability study on 4 technical batches"/>
    <m/>
    <s v="INV 0633/22 + INV 0693/22 + INV 0762/22 + INV 0149/23 + INV 0247/23 + INV 0390/23 + INV 0627/23 + INV 0118/24 + INV 0436/24 + INV 0601/24 + INV 0487/25"/>
    <s v="31/03/2022 + 25/04/2022 + 30/05/2022 + 28/09/2022 + 28/10/2022 + 19/12/2022 + 17/03/2023 + 28/09/2023 + 31/01/2024 + 29/03/2024 + 19/02/2025"/>
    <n v="158500"/>
    <x v="1"/>
    <n v="108224"/>
    <n v="50276"/>
    <n v="108224"/>
  </r>
  <r>
    <s v="ABX464"/>
    <m/>
    <s v="CMC"/>
    <m/>
    <s v="DELPHARM REIMS"/>
    <s v="DDR 2022 035 V1 (option part) - P00355_2021"/>
    <s v="P00355_2021"/>
    <s v="stability study on 4 technical batches"/>
    <m/>
    <s v="INV 0467/22 + INV 0634/22 + INV 0694/22 + INV 0763/22 + INV 0883/22 + INV 0091/23 + INV 0238/23 + INV 0308/23 + INV 0502/23 + INV 0596/23 + INV 0684/23 + INV 0705/23 + INV 0063/24 + INV 0203/24 + INV 0602/24 + INV 0491/25+INV 0675/25"/>
    <s v="28/01/2022 + 31/03/2022 + 25/04/2022 + 30/05/2022 + 27/06/2022 + 31/08/2022 + 26/10/2022 + 28/11/2022 + 31/01/2023 + 27/02/2023 + 31/03/2023 + 19/04/2023 + 24/08/2023 + 30/10/2023 + 29/03/2024+ 19/02/2025+30/04/2025"/>
    <n v="145000"/>
    <x v="1"/>
    <n v="103400"/>
    <n v="41600"/>
    <n v="103400"/>
  </r>
  <r>
    <s v="ABX464"/>
    <m/>
    <s v="CMC"/>
    <m/>
    <s v="DELPHARM REIMS"/>
    <s v="DDR 2022 054 V1 - P00124_2022"/>
    <s v="P00124_2022"/>
    <s v="stability study on 3 technical batches"/>
    <m/>
    <s v="INV 0709/22 + INV 0779/22 + INV 0067/23 + INV 0248/23 + INV 0231/23 + INV 0391/23 + INV 0506/23 + INV 0628/23 + INV 0821/23 + INV 0924/23 + INV 0437/24 + INV 0413/24 + INV 0833/24 + INV0763/25"/>
    <s v="26/04/2022 + 30/05/2022 + 25/08/2022 + 28/10/2022 + 26/10/2022 + 19/12/2022 + 31/01/2023 + 17/03/2023 + 31/05/2023 + 29/06/2023 + 31/01/2024 + 29/01/2024 + 28/06/2024+16/06/2025"/>
    <n v="126625"/>
    <x v="1"/>
    <n v="117853"/>
    <n v="8772"/>
    <n v="117853"/>
  </r>
  <r>
    <s v="ABX464"/>
    <m/>
    <s v="CMC"/>
    <m/>
    <s v="DELPHARM REIMS"/>
    <s v="DDR 2024 037 V1 - P00100_2024"/>
    <s v="P00100_2024"/>
    <s v="ABX464 Process Optimization Trial Complements"/>
    <m/>
    <s v="INV 0605/24 + INV 0569/24 + INV 0835/24 +INV0384/25 + INV 0595/25"/>
    <s v="29/03/2024 + 22/03/2024 + 28/06/2024 +30/12/2024+31/03/2025"/>
    <n v="44000"/>
    <x v="1"/>
    <n v="24220"/>
    <n v="19780"/>
    <n v="24220"/>
  </r>
  <r>
    <s v="ABX464"/>
    <m/>
    <s v="CMC"/>
    <m/>
    <s v="DELPHARM REIMS"/>
    <s v="DDR 2024 55 V1.0 - P00190_2024"/>
    <s v="P00190_2024"/>
    <s v="JetPharma API Technical batches"/>
    <m/>
    <s v="INV 0710/24"/>
    <d v="2024-05-28T00:00:00"/>
    <n v="42600"/>
    <x v="1"/>
    <n v="2100"/>
    <n v="40500"/>
    <n v="2100"/>
  </r>
  <r>
    <s v="ABX464"/>
    <m/>
    <s v="CMC"/>
    <s v="Saadia"/>
    <s v="DELPHARM REIMS"/>
    <s v="DDR 2024 62 V1 - P00278_2024"/>
    <s v="P00278_2024"/>
    <s v="Assay method robustness activites"/>
    <m/>
    <s v="INV 0743/24 + INV 0830/24 + INV 0039/25"/>
    <s v="14/06/2024 + 27/06/2024 + 25/07/2024"/>
    <n v="13000"/>
    <x v="1"/>
    <n v="12090"/>
    <n v="910"/>
    <n v="12090"/>
  </r>
  <r>
    <s v="ABX464"/>
    <m/>
    <s v="CMC"/>
    <s v="Adrien K"/>
    <s v="DELPHARM REIMS"/>
    <s v="DDR 2025 008 V1.0 - P00435_2024"/>
    <s v="P00435_2024"/>
    <s v="Blister PVC Stability Study"/>
    <m/>
    <s v="INV 0368/25 + INV 0442/25 + INV 0593/25"/>
    <s v="20/12/2024+31/01/2025+31/03/2025"/>
    <n v="13100"/>
    <x v="1"/>
    <n v="7600"/>
    <n v="5500"/>
    <n v="7600"/>
  </r>
  <r>
    <s v="ABX464"/>
    <m/>
    <s v="CMC"/>
    <s v="Saadia"/>
    <s v="DELPHARM REIMS"/>
    <s v="DDR 2025 007 V1 - P00455_2024"/>
    <s v="P00455_2024"/>
    <s v="Assay method complementary validation"/>
    <m/>
    <s v="INV 0163/25  +INV 0488/25"/>
    <s v="15/10/2024+19/02/2025"/>
    <n v="2900"/>
    <x v="1"/>
    <n v="2900"/>
    <n v="0"/>
    <n v="2900"/>
  </r>
  <r>
    <s v="ABX464"/>
    <m/>
    <s v="CMC"/>
    <m/>
    <s v="DELPHARM REIMS"/>
    <s v="DDR 2025 014 V1.0 - P00513_2024"/>
    <s v="P00513_2024"/>
    <s v="Transparent PVC-PVDC Blister Stab Study"/>
    <m/>
    <s v="INV 0369/25 + INV 0381/25 + INV 0594/25 + INV 0729/25 + INV 0033/26 + INV 0225/26 + INV 0368/26"/>
    <s v="20/12/2024 + 30/12/2024 + 31/03/2025 + 28/05/2025 + 25/07/2025 + 24/10/2025 + 19/12/2025"/>
    <n v="26500"/>
    <x v="1"/>
    <n v="27071"/>
    <n v="0"/>
    <n v="27071"/>
  </r>
  <r>
    <s v="NOTAPP"/>
    <m/>
    <s v="CMC"/>
    <s v="Adrien K"/>
    <s v="DELPHARM REIMS"/>
    <s v="DDR 2025 23 V1.0 - P00563_2024"/>
    <s v="P00563_2024"/>
    <s v="Discriminatory dissolution method"/>
    <m/>
    <s v="INV 0313/25 + INV 0401/25 + INV 0449/25"/>
    <s v="10/12/2024 + 15/01/2024 + 31/01/2025"/>
    <n v="52600"/>
    <x v="1"/>
    <n v="52600"/>
    <n v="0"/>
    <n v="52600"/>
  </r>
  <r>
    <s v="ABX464"/>
    <m/>
    <s v="CMC"/>
    <s v="Saadia"/>
    <s v="DELPHARM REIMS"/>
    <s v="DDR 2025 021 V1 - P00558_2024"/>
    <s v="P00558_2024"/>
    <s v="WP1 +WP 2 - Solubility test + commun cost + Option 3"/>
    <m/>
    <s v="INV 0337/25 + INV 0502/25 + INV 0523/25 +INV 0676/25"/>
    <s v="16/12/2024+21/02/225+28/02/2025+30/04/2025"/>
    <n v="10800"/>
    <x v="1"/>
    <n v="10800"/>
    <n v="0"/>
    <n v="10800"/>
  </r>
  <r>
    <s v="ABX464"/>
    <m/>
    <s v="CMC"/>
    <s v="Saadia"/>
    <s v="DELPHARM REIMS"/>
    <s v="DDR 2025 021 V1 - P00029_2025"/>
    <s v="P00029_2025"/>
    <s v="WP3 - Skin conditions for 3 drugs product"/>
    <m/>
    <s v="INV 0408/25 + INV0503/25"/>
    <s v="28/01/2025+21/02/2025"/>
    <n v="6000"/>
    <x v="1"/>
    <n v="6000"/>
    <n v="0"/>
    <n v="6000"/>
  </r>
  <r>
    <s v="ABX464"/>
    <m/>
    <s v="CMC"/>
    <s v="Saadia"/>
    <s v="DELPHARM REIMS"/>
    <s v="DDR 2024 028 V1 - P00028_2025"/>
    <s v="P00028_2025"/>
    <s v="Dissolution trials"/>
    <m/>
    <s v="INV 0412/25 + INV 0413/25 + INV 0504/25+ INV 0524/25 + 0682/2025"/>
    <s v="28/01/2025 + 28/01/2025 + 21/02/2025 + 28/02/2025 + 30/04/2025"/>
    <n v="31400"/>
    <x v="1"/>
    <n v="27400"/>
    <n v="4000"/>
    <n v="27400"/>
  </r>
  <r>
    <s v="ABX464"/>
    <m/>
    <s v="CMC"/>
    <s v="Adrien K"/>
    <s v="DELPHARM REIMS"/>
    <s v="DDR 2025 024 v1.0 - P00040_2025"/>
    <s v="P00040_2025"/>
    <s v="Comparaison Reims &amp; Lille results batch 50kg"/>
    <m/>
    <s v="INV 0452/25+ INV 0597/25"/>
    <s v="31/01/2025+31/03/2025"/>
    <n v="4300"/>
    <x v="1"/>
    <n v="6800"/>
    <n v="0"/>
    <n v="6800"/>
  </r>
  <r>
    <s v="ABX464"/>
    <m/>
    <s v="CMC"/>
    <s v="Adrien K"/>
    <s v="DELPHARM LILLE"/>
    <s v="DDR 2025 024 v1.0 - P00040_2025"/>
    <s v="P00040_2025"/>
    <s v="Comparaison Reims &amp; Lille results batch 50kg"/>
    <m/>
    <s v="INV 10000879 + INV 10001317"/>
    <s v="07/02/2025+25/04/25"/>
    <n v="2500"/>
    <x v="1"/>
    <n v="2500"/>
    <n v="0"/>
    <n v="2500"/>
  </r>
  <r>
    <s v="ABX464"/>
    <m/>
    <s v="CMC"/>
    <s v="Adrien K"/>
    <s v="DELPHARM REIMS"/>
    <s v="DDR 2025 015 v1.0 - P00065_2025"/>
    <s v="P00065_2025"/>
    <s v="JetPharma API Technical batches Q1 2025"/>
    <m/>
    <s v="INV 0445/25+INV 0545/25 + INV 0596/25 + INV 0892/25"/>
    <s v="31/01/2025+12/03/2025+31/03/2025+30/06/2025"/>
    <n v="56900"/>
    <x v="1"/>
    <n v="39715"/>
    <n v="17185"/>
    <n v="39715"/>
  </r>
  <r>
    <s v="ABX196"/>
    <m/>
    <s v="CMC"/>
    <m/>
    <s v="DEXTRA"/>
    <s v="ABI-1026 - P00264"/>
    <s v="P00264"/>
    <s v="Synthèse chimique of matrials for GMP ABX ABX196"/>
    <m/>
    <m/>
    <m/>
    <n v="52000"/>
    <x v="2"/>
    <n v="66040"/>
    <n v="0"/>
    <n v="66040"/>
  </r>
  <r>
    <s v="ABX464"/>
    <m/>
    <s v="REG"/>
    <m/>
    <s v="DLRC"/>
    <s v="SRV_21066 - P00189_2021"/>
    <s v="P00189_2021"/>
    <s v="EMA Scientific Advise Briefing Package Prepartion and Sub ABX464"/>
    <m/>
    <s v="INV 3455 + INV 3539 + INV 3640 + INV 3725 + INV 3831 + INV 3942 + INV 4054 + INV 4154 + INV 4245"/>
    <s v="30/06/2021 + 31/07/2021 + 31/08/2021 + 30/09/2021 + 31/10/2021 + 30/11/2021 + 31/12/2021 + 31/01/2022 + 28/02/2022"/>
    <n v="40205"/>
    <x v="2"/>
    <n v="55381.25"/>
    <n v="0"/>
    <n v="55381.25"/>
  </r>
  <r>
    <s v="ABX464"/>
    <m/>
    <s v="REG"/>
    <m/>
    <s v="DLRC"/>
    <s v="SRV_21066 - P00189_2021"/>
    <s v="P00189_2021"/>
    <s v="Preparation for US FDA breifing book for EOP2 Meeting"/>
    <m/>
    <s v="INV 4346 + INV 4414 + INV 5047"/>
    <s v="31/03/2022 + 30/04/2022 + 31/12/2022"/>
    <n v="25455"/>
    <x v="2"/>
    <n v="6957.5"/>
    <n v="18497.5"/>
    <n v="6957.5"/>
  </r>
  <r>
    <s v="ABX464"/>
    <m/>
    <s v="REG"/>
    <m/>
    <s v="DLRC"/>
    <s v="SRV_21067 - P00190_2021"/>
    <s v="P00190_2021"/>
    <s v="EMA CMC Scientific Advise Packaging Review and Sub"/>
    <m/>
    <s v="INV 4346"/>
    <d v="2022-03-31T00:00:00"/>
    <n v="6350"/>
    <x v="2"/>
    <n v="472.5"/>
    <n v="5877.5"/>
    <n v="472.5"/>
  </r>
  <r>
    <s v="ABX464"/>
    <m/>
    <s v="REG"/>
    <m/>
    <s v="DLRC"/>
    <s v="SRV_21072_A1  - P00225_2022"/>
    <s v="P00225_2022"/>
    <s v="Support adhoc"/>
    <m/>
    <s v="INV 4723"/>
    <d v="2022-08-31T00:00:00"/>
    <n v="30460"/>
    <x v="2"/>
    <n v="2562.5"/>
    <n v="27897.5"/>
    <n v="2562.5"/>
  </r>
  <r>
    <s v="ABX464"/>
    <m/>
    <s v="REG"/>
    <m/>
    <s v="DLRC"/>
    <s v="SRV_21072_A2  - P00281_2022"/>
    <s v="P00281_2022"/>
    <s v="Support adhoc"/>
    <m/>
    <m/>
    <m/>
    <n v="43485"/>
    <x v="2"/>
    <m/>
    <n v="43485"/>
    <n v="0"/>
  </r>
  <r>
    <s v="ABX464"/>
    <m/>
    <s v="REG"/>
    <m/>
    <s v="DLRC"/>
    <s v="SRV_22103  - P00352_2022"/>
    <s v="P00352_2022"/>
    <s v="WO7 - Senior Regulatory Executive 585 € - 11/2022 a 04/2023"/>
    <m/>
    <s v="INV 4969 + INV 5044 + INV 5137 + INV 5199 + INV 5273 + INV 5364 + INV 5456 + INV 5541 + INV 5670"/>
    <s v="30/11/2022 + 31/12/2022 + 31/01/2023 + 28/02/2023 + 31/03/2023 + 30/04/2023 + 31/05/2023 + 30/06/2023 (recu 07/2023) + 31/07/2023"/>
    <n v="61425"/>
    <x v="2"/>
    <n v="57055"/>
    <n v="4370"/>
    <n v="57055"/>
  </r>
  <r>
    <s v="NOTAPP"/>
    <m/>
    <s v="LAB"/>
    <s v="Aude G"/>
    <s v="DUTSCHER"/>
    <s v="783085 - P00035_2025"/>
    <s v="P00035_2025"/>
    <s v="Consommable Labo"/>
    <m/>
    <s v="INV 4063741"/>
    <d v="2025-01-24T00:00:00"/>
    <n v="864.44"/>
    <x v="1"/>
    <n v="864.44"/>
    <n v="0"/>
    <n v="864.44"/>
  </r>
  <r>
    <s v="UC105"/>
    <m/>
    <s v="DAT"/>
    <s v="Kevin S"/>
    <s v="EDETEK"/>
    <s v="MSA_24154_W1 + Amdt 1"/>
    <m/>
    <s v="UC105 - WO#1 biostatistics programming"/>
    <m/>
    <s v="INV ABX001 + INV ABX005 + INV ABX009 + INV ABX013 + INV ABX017 + INV ABX021 + INV ABX025 + ABX033 +ABX029 + Inv ABX037 + INV ABX040 - CM-ABX040 + INV ABX044 + INV ABX047 + INV ABX051"/>
    <s v="16/01/2025 + 16/01/2025 + 16/01/2025 + 16/01/2025 + 09/04/2025 + 09/04/2025 + 09/04/2025 + 19/06/2025 + 30/05/2025 + 17/07/2025 + 22/08/2025 + 22/09/2025 + 22/09/2025 + 14/11/2025 + 08/12/2025"/>
    <n v="595209"/>
    <x v="3"/>
    <n v="480930.75"/>
    <n v="114278.25"/>
    <n v="480930.75"/>
  </r>
  <r>
    <s v="UC106"/>
    <m/>
    <s v="DAT"/>
    <s v="Kevin S"/>
    <s v="EDETEK"/>
    <s v="MSA_24154_W2 + Amdt 1"/>
    <m/>
    <s v="UC106 - WO#2 biostatistics programming"/>
    <m/>
    <s v="INV ABX002 + INV ABX006 + INV ABX010 + INV ABX014 + INV ABX018 + ABX022 + ABX026 + ABX034 +ABX030 + INV ABX038 + INV ABX041 - CM-ABX041 + INV ABX045 + INV ABX048 + INV ABX052"/>
    <s v="16/01/2025 + 16/01/2025 + 16/01/2025 + 16/01/2025 + 09/04/2025 + 09/04/2025 + 09/04/2025 + 19/06/2025 + 30/05+2025 + 17/07/2025 + 22/08/2025 + 22/09/2025 + 24/09/2025 + 14/11/2025 + 08/12/2025"/>
    <n v="553680"/>
    <x v="3"/>
    <n v="497334.80999999994"/>
    <n v="56345.190000000061"/>
    <n v="497334.80999999994"/>
  </r>
  <r>
    <s v="UC107"/>
    <m/>
    <s v="DAT"/>
    <s v="Kevin S"/>
    <s v="EDETEK"/>
    <s v="MSA_24154_W3"/>
    <m/>
    <s v="UC107 - WO#3 biostatistics programming"/>
    <m/>
    <s v="INV ABX003 + INV ABX007 + INV ABX011 + INV ABX015 + INV ABX019 + INV ABX023 + INV ABX027 +INV ABX035 +INV ABX031 - CM-ABX031 - CM-ABX035 + INV ABX039 + INV ABX042 + INV ABX046 + INV ABX049 + INV ABX053"/>
    <s v="16/01/2025 + 16/01/2025 + 16/01/2025 + 16/01/2025 + 09/04/2025 + 09/04/2025 + 09/04/2025 + 19/06/2025 + 30/05/2025 + 23/07/2025 + 23/07/2025 + 17/07/2025 + 22/08/2025 + 24/09/2025 + 14/11/2025 + 08/12/2025"/>
    <n v="622346"/>
    <x v="3"/>
    <n v="169766.24999999997"/>
    <n v="452579.75"/>
    <n v="169766.24999999997"/>
  </r>
  <r>
    <s v="CD202"/>
    <m/>
    <s v="DAT"/>
    <s v="Kevin S"/>
    <s v="EDETEK"/>
    <s v="MSA_24154_W4"/>
    <m/>
    <s v="CD202 - WO#4 biostatistics programming"/>
    <m/>
    <s v="INV ABX004 + INV ABX008 + INV ABX012 + INV ABX016 + INV ABX020 + INV ABX024 + INV ABX028 + INVABX032 + INV ABX036 - CM-ABX032 - CM-ABX036 + INV ABX036V2 + INV ABX050 + INV ABX054"/>
    <s v="16/01/2025 + 16/01/2025 + 16/01/2025 + 16/01/2025 + 09/04/2025 + 09/04/2025 + 09/04/2025+30/05/2025 + 23/07/2025 + 23/07/2025 + 23/07/2025 + 14/11/2025 + 08/12/2025"/>
    <n v="784541"/>
    <x v="3"/>
    <n v="22428.010000000002"/>
    <n v="762112.99"/>
    <n v="22428.010000000002"/>
  </r>
  <r>
    <s v="ABX464"/>
    <m/>
    <s v="CMC"/>
    <s v="Saadia"/>
    <s v="EDQM"/>
    <s v="10049679 - P00453_2024"/>
    <s v="P00453_2024"/>
    <s v="Online EP access renewal 2025 - 01/2025 to 12/2025"/>
    <m/>
    <s v="INV 90655372 "/>
    <d v="2024-10-03T00:00:00"/>
    <n v="2166"/>
    <x v="1"/>
    <n v="2166"/>
    <n v="0"/>
    <n v="2166"/>
  </r>
  <r>
    <s v="ABX464"/>
    <m/>
    <s v="LAB"/>
    <s v="Aude G"/>
    <s v="EFS"/>
    <s v="commande janvier 2025 - P00568_2024"/>
    <s v="P00568_2024"/>
    <s v="Consommable Labo - janvier 2025"/>
    <m/>
    <s v="INV 0090076357 + INV 0090076358 + INV 0090076359 + INV 0090076360 - (0090093484+0090096483+0090096482+0090096481) + (235+234+232+236)"/>
    <s v="31/01/2025x4 - (25/03/2025) + (30/03/2025)"/>
    <n v="735.86"/>
    <x v="1"/>
    <n v="735.8599999999999"/>
    <n v="0"/>
    <n v="735.8599999999999"/>
  </r>
  <r>
    <s v="ABX464"/>
    <m/>
    <s v="LAB"/>
    <s v="Aude G"/>
    <s v="EFS"/>
    <s v="commande février 2025 - P00569_2024"/>
    <s v="P00569_2024"/>
    <s v="Consommable Labo - février 2025"/>
    <m/>
    <s v="INV 0090087774 + INV 0090087769 + INV 0090087770 + INV 0090087771 + 0090087772 + INV 0090087773 - (0090096499+0090096498+0090096497+0090096496+0090096494+0090096493) + (0090099242+0090099241+240+239+238+237)"/>
    <s v="28/02/2025 + 28/02/2025 + 28/02/2025 + 28/02/2025 + 28/02/2025 + 28/02/2025 - (25/03/2025) + 30/03/2025"/>
    <n v="1471.72"/>
    <x v="1"/>
    <n v="1103.79"/>
    <n v="0"/>
    <n v="1103.79"/>
  </r>
  <r>
    <s v="ABX464"/>
    <m/>
    <s v="LAB"/>
    <s v="Aude G"/>
    <s v="EFS"/>
    <s v="commande mars 2025 - P00570_2024"/>
    <s v="P00570_2024"/>
    <s v="Consommable Labo - mars 2025"/>
    <m/>
    <s v="INV 0090099243+INV 0090099244+INV 0090099233+INV 0090099249+INV 0090099245+INV 0090099246+INV 0090099247+INV 0090099248)"/>
    <d v="2025-03-31T00:00:00"/>
    <n v="1471.72"/>
    <x v="1"/>
    <n v="1471.7199999999998"/>
    <n v="2.2737367544323206E-13"/>
    <n v="1471.7199999999998"/>
  </r>
  <r>
    <s v="ABX464"/>
    <m/>
    <s v="LAB"/>
    <s v="Aude G"/>
    <s v="EFS"/>
    <s v="commande avril 2025 - P00571_2024"/>
    <s v="P00571_2024"/>
    <s v="Consommable Labo - avril 2025"/>
    <m/>
    <s v="INV 0090115790 + INV 0090115791 + INV 0090115792 + INV 0090115793 + INV 0090115794"/>
    <s v="30/04/2025*5"/>
    <n v="1103.79"/>
    <x v="1"/>
    <n v="739.3"/>
    <n v="0"/>
    <n v="739.3"/>
  </r>
  <r>
    <s v="ABX464"/>
    <m/>
    <s v="LAB"/>
    <s v="Aude G"/>
    <s v="EFS"/>
    <s v="commande mai 2025 - P00572_2024"/>
    <s v="P00572_2024"/>
    <s v="Consommable Labo - mai 2025"/>
    <m/>
    <s v="INV 0090126866 + INV 0090126865"/>
    <s v="31/05/2025 + 31/05/2025"/>
    <n v="367.93"/>
    <x v="1"/>
    <n v="247.58"/>
    <n v="0"/>
    <n v="247.58"/>
  </r>
  <r>
    <s v="ABX464"/>
    <m/>
    <s v="LAB"/>
    <s v="Aude G"/>
    <s v="EFS"/>
    <s v="commande juin 2025 - P00573_2024"/>
    <s v="P00573_2024"/>
    <s v="Consommable Labo - juin 2025"/>
    <m/>
    <s v="INV 0090139054 + INV 0090139053 + INV 0090139052 + INV 0090139051"/>
    <d v="2025-06-30T00:00:00"/>
    <n v="735.86"/>
    <x v="1"/>
    <n v="735.86"/>
    <n v="0"/>
    <n v="735.86"/>
  </r>
  <r>
    <s v="NA"/>
    <m/>
    <s v="REG"/>
    <m/>
    <s v="EMA"/>
    <s v="EMA - P00252_2021"/>
    <s v="P00252_2021"/>
    <s v="Scientific Advise EMA 2021"/>
    <m/>
    <m/>
    <m/>
    <n v="6680"/>
    <x v="1"/>
    <m/>
    <n v="6680"/>
    <n v="0"/>
  </r>
  <r>
    <s v="UC103"/>
    <m/>
    <s v="CLI"/>
    <m/>
    <s v="EUROFINS"/>
    <s v="UC-103 WO3 - WO3 A1 - WO3 A2 - WO3 A3"/>
    <m/>
    <s v="I. Study start-up - 2019"/>
    <m/>
    <s v="INV 21900023"/>
    <d v="2019-01-15T00:00:00"/>
    <n v="42600"/>
    <x v="1"/>
    <n v="42600"/>
    <n v="0"/>
    <n v="42600"/>
  </r>
  <r>
    <s v="UC103"/>
    <m/>
    <s v="CLI"/>
    <m/>
    <s v="EUROFINS"/>
    <s v="UC-103 WO3 - WO3 A1 - WO3 A2 - WO3 A3"/>
    <m/>
    <s v="I. Study start-up - 2020"/>
    <m/>
    <s v="INV 22000097 + INV 22000235 + INV 22001607"/>
    <s v="20/01/2020 + 17/02/2020 + 21/12/2020"/>
    <n v="44462.5"/>
    <x v="1"/>
    <n v="44462.5"/>
    <n v="0"/>
    <n v="44462.5"/>
  </r>
  <r>
    <s v="UC103"/>
    <m/>
    <s v="CLI"/>
    <m/>
    <s v="EUROFINS"/>
    <s v="UC-103 WO3 - WO3 A1 - WO3 A2 - WO3 A3"/>
    <m/>
    <s v="I. Study start-up - 2021"/>
    <m/>
    <s v="INV 22100621 + INV 22100967"/>
    <s v="31/05/2021 + 22/08/2021"/>
    <n v="6000"/>
    <x v="1"/>
    <n v="6000"/>
    <n v="0"/>
    <n v="6000"/>
  </r>
  <r>
    <s v="UC103"/>
    <m/>
    <s v="CLI"/>
    <m/>
    <s v="EUROFINS"/>
    <s v="UC-103 WO3 - WO3 A1 - WO3 A2 - WO3 A3"/>
    <m/>
    <s v="I. Study start-up - 2022 ?"/>
    <m/>
    <m/>
    <m/>
    <n v="501"/>
    <x v="1"/>
    <m/>
    <n v="501"/>
    <n v="0"/>
  </r>
  <r>
    <s v="UC103"/>
    <m/>
    <s v="CLI"/>
    <m/>
    <s v="EUROFINS"/>
    <s v="UC-103 WO3 - WO3 A1 - WO3 A2 - WO3 A3"/>
    <m/>
    <s v="II. Project &amp; Data Management - 2019"/>
    <m/>
    <s v="INV 21900878+INV 21901052+INV 21901206+INV 21901295+INV 201901484+INV 21901615"/>
    <s v="08/07/2019+16/08/2019+16/09/2019+16/10/2019+18/11/2019+16/12/2019"/>
    <n v="20030.5"/>
    <x v="1"/>
    <n v="20030.5"/>
    <n v="0"/>
    <n v="20030.5"/>
  </r>
  <r>
    <s v="UC103"/>
    <m/>
    <s v="CLI"/>
    <m/>
    <s v="EUROFINS"/>
    <s v="UC-103 WO3 - WO3 A1 - WO3 A2 - WO3 A3"/>
    <m/>
    <s v="II. Project &amp; Data Management - 2020"/>
    <m/>
    <s v="INV 22000097 + INV 22000235 + INV 22000385 + INV 22000519 + INV 22000642 + INV 22000745 + INV 22000943 + INV 22001050 + INV 22001189 + INV 22001290 + INV 22001429 + INV 22001607"/>
    <s v="20/01/2020 + 17/02/2020+ 18/03/2020 + 17/04/2020 + 18/05/2020 + 15/06/2020 + 15/07/2020 + 14/08/2020 + 17/09/2020 + 15/10/2020 + 24/11/2020 + 21/12/2020"/>
    <n v="136608.82999999999"/>
    <x v="1"/>
    <n v="136608.82999999999"/>
    <n v="0"/>
    <n v="136608.82999999999"/>
  </r>
  <r>
    <s v="UC103"/>
    <m/>
    <s v="CLI"/>
    <m/>
    <s v="EUROFINS"/>
    <s v="UC-103 WO3 - WO3 A1 - WO3 A2 - WO3 A3"/>
    <m/>
    <s v="II. Project &amp; Data Management - 2021-2022-2023"/>
    <m/>
    <s v="INV 22100067 + INV 22100200 + INV 22100344 + INV 22100476 + INV 22100621 + INV 22100723 + INV 22100867 + INV 22200148"/>
    <s v="22/01/2021 + 18/02/2021 + 23/03/2021 + 22/04/2021 + 31/05/2021 + 22/06/2021 + 23/07/2021 + 21/02/2022"/>
    <n v="-101639.32999999999"/>
    <x v="1"/>
    <n v="37900"/>
    <n v="0"/>
    <n v="37900"/>
  </r>
  <r>
    <s v="UC103"/>
    <m/>
    <s v="CLI"/>
    <m/>
    <s v="EUROFINS"/>
    <s v="UC-103 WO3 - WO3 A1 - WO3 A2 - WO3 A3"/>
    <m/>
    <s v="III. Kits and Supplies - 2019"/>
    <m/>
    <s v="INV 21901295+INV 21901484+ INV 21901615"/>
    <s v="16/10/2019+18/11/2021+16/12/2019"/>
    <n v="194904.36"/>
    <x v="1"/>
    <n v="194904.36"/>
    <n v="0"/>
    <n v="194904.36"/>
  </r>
  <r>
    <s v="UC103"/>
    <m/>
    <s v="CLI"/>
    <m/>
    <s v="EUROFINS"/>
    <s v="UC-103 WO3 - WO3 A1 - WO3 A2 - WO3 A3"/>
    <m/>
    <s v="III. Kits and Supplies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28097.5"/>
    <x v="1"/>
    <n v="328097.5"/>
    <n v="0"/>
    <n v="328097.5"/>
  </r>
  <r>
    <s v="UC103"/>
    <m/>
    <s v="CLI"/>
    <m/>
    <s v="EUROFINS"/>
    <s v="UC-103 WO3 - WO3 A1 - WO3 A2 - WO3 A3"/>
    <m/>
    <s v="III. Kits and Supplies - 2021"/>
    <m/>
    <s v="INV 22100067 + INV 22100200 + INV 22100344 + INV 22100476 + INV 22100621 + INV 22100867"/>
    <s v="22/01/2021 + 18/02/2021 + 23/03/2021 + 22/04/2021 + 31/05/2021 + 23/07/2021"/>
    <n v="19290.38"/>
    <x v="1"/>
    <n v="19290.38"/>
    <n v="0"/>
    <n v="19290.38"/>
  </r>
  <r>
    <s v="UC103"/>
    <m/>
    <s v="CLI"/>
    <m/>
    <s v="EUROFINS"/>
    <s v="UC-103 WO3 - WO3 A1 - WO3 A2 - WO3 A3"/>
    <m/>
    <s v="III. Kits and Supplies - 2022-2023"/>
    <m/>
    <s v="INV 22200148"/>
    <d v="2022-02-21T00:00:00"/>
    <n v="67889.760000000009"/>
    <x v="1"/>
    <n v="1340.69"/>
    <n v="66549.070000000007"/>
    <n v="1340.69"/>
  </r>
  <r>
    <s v="UC103"/>
    <m/>
    <s v="CLI"/>
    <m/>
    <s v="EUROFINS"/>
    <s v="UC-103 WO3 - WO3 A1 - WO3 A2 - WO3 A3"/>
    <m/>
    <s v="IV. Specimen Management - 2019"/>
    <m/>
    <m/>
    <m/>
    <n v="0"/>
    <x v="1"/>
    <m/>
    <n v="0"/>
    <n v="0"/>
  </r>
  <r>
    <s v="UC103"/>
    <m/>
    <s v="CLI"/>
    <m/>
    <s v="EUROFINS"/>
    <s v="UC-103 WO3 - WO3 A1 - WO3 A2 - WO3 A3"/>
    <m/>
    <s v="IV. Specimen Management - 2020"/>
    <m/>
    <s v="INV 22001429 + INV 22001607"/>
    <s v="24/11/2020 + 21/12/2020"/>
    <n v="27485.260000000002"/>
    <x v="1"/>
    <n v="27485.260000000002"/>
    <n v="0"/>
    <n v="27485.260000000002"/>
  </r>
  <r>
    <s v="UC103"/>
    <m/>
    <s v="CLI"/>
    <m/>
    <s v="EUROFINS"/>
    <s v="UC-103 WO3 - WO3 A1 - WO3 A2 - WO3 A3"/>
    <m/>
    <s v="IV. Specimen Management - 2021"/>
    <m/>
    <s v="INV 22100067 + INV 22100200 + INV 22100344 + INV 22100476 + INV 22100621 + INV 22100723 + INV 22100867 + INV 22100967 + INV 22101124 + INV 22101260 + INV 22101309 + INV 22101514"/>
    <s v="22/01/2021 + 18/02/2021 + 23/03/2021 + 22/04/2021 + 31/05/2021 + 22/06/2021 + 23/07/2021 + 22/08/2021 + 23/09/2021 + 20/10/2021 + 18/11/2021 + 21/12/2021"/>
    <n v="119550.70999999999"/>
    <x v="1"/>
    <n v="119550.70999999999"/>
    <n v="0"/>
    <n v="119550.70999999999"/>
  </r>
  <r>
    <s v="UC103"/>
    <m/>
    <s v="CLI"/>
    <m/>
    <s v="EUROFINS"/>
    <s v="UC-103 WO3 - WO3 A1 - WO3 A2 - WO3 A3"/>
    <m/>
    <s v="IV. Specimen Management - 2022"/>
    <m/>
    <s v="INV 22200042 + INV 22200148 + INV 22200347 + INV 22200429 + INV 22200551 + INV 22200641 + INV 22200765 + INV 22200957 + INV 22200958 + INV 22201103 + INV 22201272 + INV 22201472"/>
    <s v="20/01/2022 + 21/02/2022 + 23/03/2022 + 22/04/2022 + 19/05/2022 + 22/06/2022 + 20/07/2022 + 22/08/2022 + 21/09/2022 + 20/10/2022 + 18/11/2022 + 21/12/2022"/>
    <n v="69801.780000000013"/>
    <x v="1"/>
    <n v="69801.780000000013"/>
    <n v="0"/>
    <n v="69801.780000000013"/>
  </r>
  <r>
    <s v="UC103"/>
    <m/>
    <s v="CLI"/>
    <m/>
    <s v="EUROFINS"/>
    <s v="UC-103 WO3 - WO3 A1 - WO3 A2 - WO3 A3"/>
    <m/>
    <s v="IV. Specimen Management - 2023"/>
    <m/>
    <s v="INV 22300003"/>
    <d v="2023-01-20T00:00:00"/>
    <n v="83707.25"/>
    <x v="1"/>
    <n v="2652.19"/>
    <n v="81055.06"/>
    <n v="2652.19"/>
  </r>
  <r>
    <s v="UC103"/>
    <m/>
    <s v="CLI"/>
    <m/>
    <s v="EUROFINS"/>
    <s v="UC-103 WO3 - WO3 A1 - WO3 A2 - WO3 A3"/>
    <m/>
    <s v="V. Laboratory Analysis - 2019"/>
    <m/>
    <m/>
    <m/>
    <n v="0"/>
    <x v="1"/>
    <m/>
    <n v="0"/>
    <n v="0"/>
  </r>
  <r>
    <s v="UC103"/>
    <m/>
    <s v="CLI"/>
    <m/>
    <s v="EUROFINS"/>
    <s v="UC-103 WO3 - WO3 A1 - WO3 A2 - WO3 A3"/>
    <m/>
    <s v="V. Laboratory Analysis - 2020"/>
    <m/>
    <s v="INV 22000385 + INV 22000519 + INV 22000642 + INV 22000745 + INV 22000943 + INV 22001050 + INV 22001189 + INV 22001290 + INV 22001429 + INV 22001607"/>
    <s v="18/03/2020 + 17/04/2020 + 18/05/2020 + 15/06/2020 + 15/07/2020 + 14/08/2020 + 17/09/2020 + 15/10/2020 + 24/11/2020 + 21/12/2020"/>
    <n v="271821.99"/>
    <x v="1"/>
    <n v="271821.99"/>
    <n v="0"/>
    <n v="271821.99"/>
  </r>
  <r>
    <s v="UC103"/>
    <m/>
    <s v="CLI"/>
    <m/>
    <s v="EUROFINS"/>
    <s v="UC-103 WO3 - WO3 A1 - WO3 A2 - WO3 A3"/>
    <m/>
    <s v="V. Laboratory Analysis - 2021"/>
    <m/>
    <s v="INV 22100067 + INV 22100200 + INV 22100344 + INV 22100476 + INV 22100621 + INV 22100723 + INV 22101124"/>
    <s v="22/01/2021 + 18/02/2021 + 23/03/2021 + 22/04/2021 + 31/05/2021 + 22/06/2021 + 23/09/2021"/>
    <n v="154629.57"/>
    <x v="1"/>
    <n v="154629.57"/>
    <n v="0"/>
    <n v="154629.57"/>
  </r>
  <r>
    <s v="UC103"/>
    <m/>
    <s v="CLI"/>
    <m/>
    <s v="EUROFINS"/>
    <s v="UC-103 WO3 - WO3 A1 - WO3 A2 - WO3 A3"/>
    <m/>
    <s v="V. Laboratory Analysis - 2022-2023"/>
    <m/>
    <s v="INV 22200148"/>
    <d v="2022-02-21T00:00:00"/>
    <n v="74273.440000000002"/>
    <x v="1"/>
    <n v="-1445.85"/>
    <n v="75719.290000000008"/>
    <n v="-1445.85"/>
  </r>
  <r>
    <s v="UC103"/>
    <m/>
    <s v="CLI"/>
    <m/>
    <s v="EUROFINS"/>
    <s v="UC-103 WO3 - WO3 A1 - WO3 A2 - WO3 A3"/>
    <m/>
    <s v="VI. PTC Transport and Rental - 2019"/>
    <m/>
    <s v="INV 21900878+INV 21901052+INV 21901206+INV 21901295+INV 201901484+INV 21901615"/>
    <s v="08/07/2019+16/08/2021+16/09/2021+16/10/2019+18/11/2019+16/12/2019"/>
    <n v="30706.559999999998"/>
    <x v="1"/>
    <n v="30706.559999999998"/>
    <n v="0"/>
    <n v="30706.559999999998"/>
  </r>
  <r>
    <s v="UC103"/>
    <m/>
    <s v="CLI"/>
    <m/>
    <s v="EUROFINS"/>
    <s v="UC-103 WO3 - WO3 A1 - WO3 A2 - WO3 A3"/>
    <m/>
    <s v="VI. PTC Transport and Rental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30442.26999999996"/>
    <x v="1"/>
    <n v="330442.26999999996"/>
    <n v="0"/>
    <n v="330442.26999999996"/>
  </r>
  <r>
    <s v="UC103"/>
    <m/>
    <s v="CLI"/>
    <m/>
    <s v="EUROFINS"/>
    <s v="UC-103 WO3 - WO3 A1 - WO3 A2 - WO3 A3"/>
    <m/>
    <s v="VI. PTC Transport and Rental - 2021"/>
    <m/>
    <s v="INV 22100067 + INV 22100200 + INV 22100344 + INV 22100476 + INV 22100621 + INV 22100723 + INV 22100867 + INV 22100967 + INV 22101260 + INV 22101309 + INV 22101514"/>
    <s v="22/01/2021 + 18/02/2021 + 23/03/2021 + 22/04/2021 + 31/05/2021 + 22/06/2021 + 23/07/2021 + 22/08/2021 + 20/10/2021 + 18/11/2021 + 21/12/2021"/>
    <n v="95658.54"/>
    <x v="1"/>
    <n v="95658.54"/>
    <n v="0"/>
    <n v="95658.54"/>
  </r>
  <r>
    <s v="UC103"/>
    <m/>
    <s v="CLI"/>
    <m/>
    <s v="EUROFINS"/>
    <s v="UC-103 WO3 - WO3 A1 - WO3 A2 - WO3 A3"/>
    <m/>
    <s v="VI. PTC Transport and Rental - 2022"/>
    <m/>
    <s v="INV 22200042 + INV 22200148 + INV 22200347 + INV 22200429 + INV 22200551 + INV 22200641 + INV 22200765 + INV 22200957 + INV 22200958 + INV 22201103 + INV 22201272 + INV 22201472"/>
    <s v="20/01/2022 + 21/02/2022 + 22/03/2022 + 22/04/2022 + 19/05/2022 + 22/06/2022 + 20/07/2022 + 22/08/2022 + 21/09/2022 + 20/10/2022 + 18/11/2022 + 21/12/2022"/>
    <n v="16962.420000000002"/>
    <x v="1"/>
    <n v="16962.420000000002"/>
    <n v="0"/>
    <n v="16962.420000000002"/>
  </r>
  <r>
    <s v="UC103"/>
    <m/>
    <s v="CLI"/>
    <m/>
    <s v="EUROFINS"/>
    <s v="UC-103 WO3 - WO3 A1 - WO3 A2 - WO3 A3"/>
    <m/>
    <s v="VI. PTC Transport and Rental - 2023"/>
    <m/>
    <s v="INV 22300003"/>
    <d v="2023-01-20T00:00:00"/>
    <n v="194971.21"/>
    <x v="1"/>
    <n v="360.46"/>
    <n v="194610.75"/>
    <n v="360.46"/>
  </r>
  <r>
    <s v="UC104"/>
    <m/>
    <s v="CLI"/>
    <m/>
    <s v="EUROFINS"/>
    <s v="UC-104 WO4 + Amendement 2 +  Amendement 3"/>
    <m/>
    <s v="I. Study start-up - 2019"/>
    <m/>
    <s v="INV 21901217"/>
    <d v="2019-09-26T00:00:00"/>
    <n v="37000"/>
    <x v="1"/>
    <n v="37000"/>
    <n v="0"/>
    <n v="37000"/>
  </r>
  <r>
    <s v="UC104"/>
    <m/>
    <s v="CLI"/>
    <m/>
    <s v="EUROFINS"/>
    <s v="UC-104 WO4 + Amendement 2 +  Amendement 3"/>
    <m/>
    <s v="I. Study start-up - 2020"/>
    <m/>
    <s v="INV 22001608"/>
    <d v="2020-12-21T00:00:00"/>
    <n v="10070.799999999999"/>
    <x v="1"/>
    <n v="10070.799999999999"/>
    <n v="0"/>
    <n v="10070.799999999999"/>
  </r>
  <r>
    <s v="UC104"/>
    <m/>
    <s v="CLI"/>
    <m/>
    <s v="EUROFINS"/>
    <s v="UC-104 WO4 + Amendement 2 +  Amendement 3"/>
    <m/>
    <s v="I. Study start-up - 2021 part. 1"/>
    <m/>
    <s v="INV 22100724 + INV 22100868"/>
    <s v="22/06/2021 + 23/07/2021"/>
    <n v="6750.2000000000007"/>
    <x v="1"/>
    <n v="6750"/>
    <n v="0.2000000000007276"/>
    <n v="6750"/>
  </r>
  <r>
    <s v="UC104"/>
    <m/>
    <s v="CLI"/>
    <m/>
    <s v="EUROFINS"/>
    <s v="UC-104 WO4 + Amendement 2 +  Amendement 3"/>
    <m/>
    <s v="II. Project &amp; Data Management - 2019"/>
    <m/>
    <s v="INV 21901625"/>
    <d v="2019-12-13T00:00:00"/>
    <n v="2400"/>
    <x v="1"/>
    <n v="2400"/>
    <n v="0"/>
    <n v="2400"/>
  </r>
  <r>
    <s v="UC104"/>
    <m/>
    <s v="CLI"/>
    <m/>
    <s v="EUROFINS"/>
    <s v="UC-104 WO4 + Amendement 2 +  Amendement 3"/>
    <m/>
    <s v="II. Project &amp; Data Management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39202.6"/>
    <x v="1"/>
    <n v="39202.6"/>
    <n v="0"/>
    <n v="39202.6"/>
  </r>
  <r>
    <s v="UC104"/>
    <m/>
    <s v="CLI"/>
    <m/>
    <s v="EUROFINS"/>
    <s v="UC-104 WO4 + Amendement 2 +  Amendement 3"/>
    <m/>
    <s v="II. Project &amp; Data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3700"/>
    <x v="1"/>
    <n v="33700"/>
    <n v="0"/>
    <n v="33700"/>
  </r>
  <r>
    <s v="UC104"/>
    <m/>
    <s v="CLI"/>
    <m/>
    <s v="EUROFINS"/>
    <s v="UC-104 WO4 + Amendement 2 +  Amendement 3"/>
    <m/>
    <s v="II. Project &amp; Data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33000"/>
    <x v="1"/>
    <n v="33000"/>
    <n v="0"/>
    <n v="33000"/>
  </r>
  <r>
    <s v="UC104"/>
    <m/>
    <s v="CLI"/>
    <m/>
    <s v="EUROFINS"/>
    <s v="UC-104 WO4 + Amendement 2 +  Amendement 3"/>
    <m/>
    <s v="II. Project &amp; Data Management - 2023"/>
    <m/>
    <s v="INV 22300131 + INV 22300289 + INV 22300505 + INV 22300564 + INV 22300689 + INV 22300809 + INV 22300923 + INV 22301035 + INV 22301153 + INV 22301265 + INV 22301319 + INV 22301445 - INV 922400002 - INV 22400001"/>
    <s v="23/01/2023 + 20/02/2023 + 23/03/2023 + 19/04/2023 + 23/05/2023 + 21/06/2023 + 20/07/2023 + 22/08/2023 + 22/09/2023 + 20/10/2023 + 21/11/2023 + 01/01/2024 + 04/01/2024 + 03/01/2024"/>
    <n v="8297.3999999999942"/>
    <x v="1"/>
    <n v="27820"/>
    <n v="0"/>
    <n v="27820"/>
  </r>
  <r>
    <s v="UC104"/>
    <m/>
    <s v="CLI"/>
    <m/>
    <s v="EUROFINS"/>
    <s v="UC-104 WO4 + Amendement 2 +  Amendement 3"/>
    <m/>
    <s v="III. Kits &amp; Supplies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9086.699999999983"/>
    <x v="1"/>
    <n v="79086.699999999983"/>
    <n v="0"/>
    <n v="79086.699999999983"/>
  </r>
  <r>
    <s v="UC104"/>
    <m/>
    <s v="CLI"/>
    <m/>
    <s v="EUROFINS"/>
    <s v="UC-104 WO4 + Amendement 2 +  Amendement 3"/>
    <m/>
    <s v="V. Laboratory Analysis - 2020"/>
    <m/>
    <s v="INV 22000214 + INV 22000386 + INV 22000520 + INV 22000643 + INV 22000746 + INV 22000944 + INV 22001051 + INV 22001191 + INV 22001291 + INV 22001432 + INV 22001608"/>
    <s v="17/02/2021 + 18/03/2020 + 17/04/2020 + 18/05/2020 + 15/06/2020 + 15/07/2020 + 14/08/2020 + 17/09/2020 + 15/10/2020 + 24/11/2020 + 21/12/2020"/>
    <n v="92406.62"/>
    <x v="1"/>
    <n v="92406.62"/>
    <n v="0"/>
    <n v="92406.62"/>
  </r>
  <r>
    <s v="UC104"/>
    <m/>
    <s v="CLI"/>
    <m/>
    <s v="EUROFINS"/>
    <s v="UC-104 WO4 + Amendement 2 +  Amendement 3"/>
    <m/>
    <s v="VI. PTC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1220.91"/>
    <x v="1"/>
    <n v="71220.91"/>
    <n v="0"/>
    <n v="71220.91"/>
  </r>
  <r>
    <s v="UC104"/>
    <m/>
    <s v="CLI"/>
    <m/>
    <s v="EUROFINS"/>
    <s v="UC-104 WO4 + Amendement 2 +  Amendement 3 + Amendement 4"/>
    <m/>
    <s v="I. Study start-up - 2021 part.2"/>
    <m/>
    <s v="INV 22101310"/>
    <d v="2021-11-18T00:00:00"/>
    <n v="10000"/>
    <x v="1"/>
    <n v="10000"/>
    <n v="0"/>
    <n v="10000"/>
  </r>
  <r>
    <s v="UC104"/>
    <m/>
    <s v="CLI"/>
    <m/>
    <s v="EUROFINS"/>
    <s v="UC-104 WO4 + Amendement 2 +  Amendement 3 + Amendement 4"/>
    <m/>
    <s v="III. Kits &amp; Supplies -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84584.23"/>
    <x v="1"/>
    <n v="84584.23"/>
    <n v="0"/>
    <n v="84584.23"/>
  </r>
  <r>
    <s v="UC104"/>
    <m/>
    <s v="CLI"/>
    <m/>
    <s v="EUROFINS"/>
    <s v="UC-104 WO4 + Amendement 2 +  Amendement 3 + Amendement 4"/>
    <m/>
    <s v="III. Kits &amp; Supplies -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28511.13"/>
    <x v="1"/>
    <n v="28511.13"/>
    <n v="0"/>
    <n v="28511.13"/>
  </r>
  <r>
    <s v="UC104"/>
    <m/>
    <s v="CLI"/>
    <m/>
    <s v="EUROFINS"/>
    <s v="UC-104 WO4 + Amendement 2 +  Amendement 3 + Amendement 4"/>
    <m/>
    <s v="III. Kits &amp; Supplies -2023+2024"/>
    <m/>
    <s v="INV 22300131 + INV 22300289 + INV 22300505"/>
    <s v="23/01/2023 + 20/02/2023 + 23/03/2023"/>
    <n v="103254.94"/>
    <x v="1"/>
    <n v="6071.39"/>
    <n v="97183.55"/>
    <n v="6071.39"/>
  </r>
  <r>
    <s v="UC104"/>
    <m/>
    <s v="CLI"/>
    <m/>
    <s v="EUROFINS"/>
    <s v="UC-104 WO4 + Amendement 2 +  Amendement 3 + Amendement 4"/>
    <m/>
    <s v="IV. Speciemen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67953.05"/>
    <x v="1"/>
    <n v="67953.05"/>
    <n v="0"/>
    <n v="67953.05"/>
  </r>
  <r>
    <s v="UC104"/>
    <m/>
    <s v="CLI"/>
    <m/>
    <s v="EUROFINS"/>
    <s v="UC-104 WO4 + Amendement 2 +  Amendement 3 + Amendement 4"/>
    <m/>
    <s v="IV. Speciemen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61681.660000000011"/>
    <x v="1"/>
    <n v="61681.660000000011"/>
    <n v="0"/>
    <n v="61681.660000000011"/>
  </r>
  <r>
    <s v="UC104"/>
    <m/>
    <s v="CLI"/>
    <m/>
    <s v="EUROFINS"/>
    <s v="UC-104 WO4 + Amendement 2 +  Amendement 3 + Amendement 4"/>
    <m/>
    <s v="IV. Speciemen Management - 2023+2024"/>
    <m/>
    <s v="INV 22300131 + INV 22300289 + INV 22300505 + INV 22300564 + INV 22300689 + INV 22300809 + INV 22300923 + INV 22301035 + INV 22301153 + INV 22301265 + INV 22301319 + INV 22301445"/>
    <s v="23/01/2023 + 20/02/2023 + 23/03/2023 + 19/04/2023 + 23/05/2023 + 21/06/2023 + 20/07/2023 + 23/08/2023 + 22/09/2023 + 20/10/2023 + 21/11/2023 + 01/01/2024"/>
    <n v="62420.289999999986"/>
    <x v="1"/>
    <n v="27844.6"/>
    <n v="34575.689999999988"/>
    <n v="27844.6"/>
  </r>
  <r>
    <s v="UC104"/>
    <m/>
    <s v="CLI"/>
    <m/>
    <s v="EUROFINS"/>
    <s v="UC-104 WO4 + Amendement 2 +  Amendement 3 + Amendement 4"/>
    <m/>
    <s v="V. Laboratory Analysis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42919.19999999995"/>
    <x v="1"/>
    <n v="342919.19999999995"/>
    <n v="0"/>
    <n v="342919.19999999995"/>
  </r>
  <r>
    <s v="UC104"/>
    <m/>
    <s v="CLI"/>
    <m/>
    <s v="EUROFINS"/>
    <s v="UC-104 WO4 + Amendement 2 +  Amendement 3 + Amendement 4"/>
    <m/>
    <s v="V. Laboratory Analysis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159559.31"/>
    <x v="1"/>
    <n v="159559.31"/>
    <n v="0"/>
    <n v="159559.31"/>
  </r>
  <r>
    <s v="UC104"/>
    <m/>
    <s v="CLI"/>
    <m/>
    <s v="EUROFINS"/>
    <s v="UC-104 WO4 + Amendement 2 +  Amendement 3 + Amendement 4"/>
    <m/>
    <s v="V. Laboratory Analysis - 2023+2024"/>
    <m/>
    <s v="INV 22300131 + INV 22300289 + INV 22300505 + INV 22300564 + INV 22300689 + INV 22301153 + INV 23301265"/>
    <s v="23/01/2023 + 20/02/2023 + 23/03/2023 + 19/04/2023 + 23/05/2023 + 22/09/2023 + 20/10/2023"/>
    <n v="316672.87"/>
    <x v="1"/>
    <n v="38877.85"/>
    <n v="277795.02"/>
    <n v="38877.85"/>
  </r>
  <r>
    <s v="UC104"/>
    <m/>
    <s v="CLI"/>
    <m/>
    <s v="EUROFINS"/>
    <s v="UC-104 WO4 + Amendement 2 +  Amendement 3 + Amendement 4"/>
    <m/>
    <s v="VI. PTC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268548.02"/>
    <x v="1"/>
    <n v="268548.02"/>
    <n v="0"/>
    <n v="268548.02"/>
  </r>
  <r>
    <s v="UC104"/>
    <m/>
    <s v="CLI"/>
    <m/>
    <s v="EUROFINS"/>
    <s v="UC-104 WO4 + Amendement 2 +  Amendement 3 + Amendement 4"/>
    <m/>
    <s v="VI. PTC - 2022"/>
    <m/>
    <s v="INV 22200043 + INV 22200146 + INV 22200348 + INV 22200399 + INV 22200586 + INV 22200642 + INV 22200766 + INV 22200853 + INV 22200986 + INV 22201105 + INV 22201274 + INV 22201473"/>
    <s v="20/01/2022 + 21/01/2022 + 23/03/2022 + 22/04/2022 + 19/05/2022 + 22/06/2022 + 20/07/2022 + 22/08/2022 + 21/09/2022 + 20/10/2022 + 18/11/2022 + 21/12/2022"/>
    <n v="148519.44999999998"/>
    <x v="1"/>
    <n v="148519.44999999998"/>
    <n v="0"/>
    <n v="148519.44999999998"/>
  </r>
  <r>
    <s v="UC104"/>
    <m/>
    <s v="CLI"/>
    <m/>
    <s v="EUROFINS"/>
    <s v="UC-104 WO4 + Amendement 2 +  Amendement 3 + Amendement 4"/>
    <m/>
    <s v="VI. PTC - 2023+2024"/>
    <m/>
    <s v="INV 22300131 + INV 22300289 + INV 22300505 + INV 22300564 + INV 22300689 + INV 22300809 + INV 22300923 + INV 22301035 + INV 22301153 + INV 22301265 + INV 22301445 + INV 22400007"/>
    <s v="23/01/2023 + 20/02/2023 + 23/03/2023 + 19/04/2023 + 23/05/2023 + 21/06/2023 + 20/07/2023 + 23/08/2023 + 22/09/2023 + 20/10/2023 + 01/01/2024 + 24/01/2024"/>
    <n v="479991.62"/>
    <x v="1"/>
    <n v="53205.719999999994"/>
    <n v="426785.9"/>
    <n v="53205.719999999994"/>
  </r>
  <r>
    <s v="ABX464"/>
    <m/>
    <s v="CMC"/>
    <m/>
    <s v="EUROFINS CDMO"/>
    <s v="20240307v1 - P00165_2024"/>
    <s v="P00165_2024"/>
    <s v="Destruction of material"/>
    <m/>
    <m/>
    <m/>
    <n v="1475"/>
    <x v="1"/>
    <m/>
    <n v="1475"/>
    <n v="0"/>
  </r>
  <r>
    <s v="TP906"/>
    <m/>
    <s v="CLI"/>
    <m/>
    <s v="EUROFINS OPTIMED"/>
    <s v="LOI - TP906 - Serra a écraser par le WO (soon 09/2023)"/>
    <m/>
    <s v="Phase I DDI BCRP"/>
    <m/>
    <m/>
    <m/>
    <n v="0"/>
    <x v="1"/>
    <m/>
    <n v="0"/>
    <n v="0"/>
  </r>
  <r>
    <s v="TP906"/>
    <m/>
    <s v="CLI"/>
    <m/>
    <s v="EUROFINS OPTIMED"/>
    <s v="LOI - TP906 - WO - P00378_2023"/>
    <s v="P00378_2023"/>
    <s v="Phase I DDI BCRP - Signature of contract"/>
    <m/>
    <s v="INV F020-SIN-0002475"/>
    <d v="2023-11-07T00:00:00"/>
    <n v="109537.47"/>
    <x v="1"/>
    <n v="109537.47"/>
    <n v="0"/>
    <n v="109537.47"/>
  </r>
  <r>
    <s v="TP906"/>
    <m/>
    <s v="CLI"/>
    <m/>
    <s v="EUROFINS OPTIMED"/>
    <s v="LOI - TP906 - WO - P00378_2023"/>
    <s v="P00378_2023"/>
    <s v="Phase I DDI BCRP - FPI part A"/>
    <m/>
    <s v="INV F020-SIN-0002719"/>
    <d v="2024-06-27T00:00:00"/>
    <n v="87629.975999999995"/>
    <x v="1"/>
    <n v="87629.98"/>
    <n v="0"/>
    <n v="87629.98"/>
  </r>
  <r>
    <s v="TP906"/>
    <m/>
    <s v="CLI"/>
    <m/>
    <s v="EUROFINS OPTIMED"/>
    <s v="LOI - TP906 - WO_A1 - P00378_2023"/>
    <s v="P00378_2023"/>
    <s v="Phase I DDI BCRP - LPI part A"/>
    <m/>
    <s v="INV F020-SIN-0002785"/>
    <d v="2024-08-29T00:00:00"/>
    <n v="92883.67"/>
    <x v="1"/>
    <n v="92883.67"/>
    <n v="0"/>
    <n v="92883.67"/>
  </r>
  <r>
    <s v="TP906"/>
    <m/>
    <s v="CLI"/>
    <m/>
    <s v="EUROFINS OPTIMED"/>
    <s v="LOI - TP906 - WO_A1 - P00378_2023"/>
    <s v="P00378_2023"/>
    <s v="Phase I DDI BCRP - LPI part B"/>
    <m/>
    <s v="INV F020-SIN-0002928"/>
    <d v="2025-01-07T00:00:00"/>
    <n v="92883.67"/>
    <x v="1"/>
    <n v="92883.87"/>
    <n v="0"/>
    <n v="92883.87"/>
  </r>
  <r>
    <s v="TP906"/>
    <m/>
    <s v="CLI"/>
    <m/>
    <s v="EUROFINS OPTIMED"/>
    <s v="LOI - TP906 - WO_A1 - P00378_2023"/>
    <s v="P00378_2023"/>
    <s v="Phase I DDI BCRP - Database Lock"/>
    <m/>
    <s v="INV F020-SIN-0003030"/>
    <d v="2025-04-08T00:00:00"/>
    <n v="46441.84"/>
    <x v="1"/>
    <n v="46441.84"/>
    <n v="0"/>
    <n v="46441.84"/>
  </r>
  <r>
    <s v="TP906"/>
    <m/>
    <s v="CLI"/>
    <m/>
    <s v="EUROFINS OPTIMED"/>
    <s v="LOI - TP906 - WO_A1 - P00378_2023"/>
    <s v="P00378_2023"/>
    <s v="Phase I DDI BCRP - Close out visit"/>
    <m/>
    <s v="INV F020-SIN-0003058"/>
    <d v="2025-04-28T00:00:00"/>
    <n v="35041.730000000003"/>
    <x v="1"/>
    <n v="35041.730000000003"/>
    <n v="0"/>
    <n v="35041.730000000003"/>
  </r>
  <r>
    <s v="TP906"/>
    <m/>
    <s v="CLI"/>
    <m/>
    <s v="EUROFINS OPTIMED"/>
    <s v="LOI - TP906 - WO_A1 - P00378_2023"/>
    <s v="P00378_2023"/>
    <s v="Phase I DDI BCRP - PTC"/>
    <m/>
    <s v="INV F020-SIN-0002748 + INV F020-SIN-0002850 + INV F020-SIN-0002891 + INV F020-SIN-0002950 + INV F020-SIN-0002947 + INV F020-SIN-0002979 + INV F020-SIN-0002988 + INV F020-SIN-0003035 + INC F020-SIN-0003059 + INV F020-SIN-0003063 + INV F020-SIN-0003182 + INV F020-SIN-0003207 + INV F020-SIN-0003232 + INV F020-SIN-0003258 + INV F020-SIN-0003275"/>
    <s v="24/07/2024 + 28/10/2024 + 02/12/2024+27/01/2025+20/01/2025+14/02/2025 + 26/02/2025 + 08/04/2025 + 28/04/2025 + 29/04/2025 + 03/09/2025 + 06/10/2025 + 05/11/2025 + 04/12/2025 + 24/102/2025"/>
    <n v="25178.87"/>
    <x v="1"/>
    <n v="26119.25"/>
    <n v="0"/>
    <n v="26119.25"/>
  </r>
  <r>
    <s v="TP906"/>
    <m/>
    <s v="CLI"/>
    <m/>
    <s v="EUROFINS OPTIMED"/>
    <s v="LOI - TP906 - WO_A1 - P00378_2023"/>
    <s v="P00378_2023"/>
    <s v="Phase I DDI BCRP - Compensation to volunteers costs"/>
    <m/>
    <s v="INV F020-SIN-0002788 + INV F020-SIN-0002789 + INV F020-SIN-0002830 + INV F020-SIN-0002866 + INV F020-SIN-0002831 + INV F020-SIN-0002951 + INV F020-SIN-0002964 + INV F020-SIN-0002965 + INV F020-SIN-0002978 + INV F020-SIN-0002942 + INV F020-SIN-0003004 + INV F020-SIN-0003031 + INV f020- SIN- 0003107+ INV F0202-SIN-0003104 + INv F020-SIN-0003156"/>
    <s v="02/09/2024 + 02/09/2024 + 08/10/2024 + 13/11/2024 + 08/10/2024 + 27/01/2025 + 30/02/2025 + 03/02/2025 + 14/02/2025 + 16/01/2025 + 05/03/2025 + 08/04/2025+13/06/2025+11/06/2025  + 01/08/2025"/>
    <n v="96472.5"/>
    <x v="1"/>
    <n v="113881.05"/>
    <n v="0"/>
    <n v="113881.05"/>
  </r>
  <r>
    <s v="ABX464"/>
    <m/>
    <s v="LAB"/>
    <s v="Aude G"/>
    <s v="EUROMEDEX"/>
    <s v="DE-51793 - P00004_2025"/>
    <s v="P00004_2025"/>
    <s v="Consomable Labo"/>
    <m/>
    <s v="INV FV25REC00196"/>
    <d v="2025-01-09T00:00:00"/>
    <n v="4575"/>
    <x v="1"/>
    <n v="4575"/>
    <n v="0"/>
    <n v="4575"/>
  </r>
  <r>
    <s v="NOTAPP"/>
    <m/>
    <s v="DAT"/>
    <s v="David D"/>
    <s v="EVEREST"/>
    <s v="MSA_23179_WO2_A2 - Obefazimod NDA"/>
    <m/>
    <s v="1. Statistics and Statistical Programming Services - Upfront payment - 5% To be credited toward completion of Wave 1 cross checks for 10 studies in 2024."/>
    <m/>
    <s v="INV ABIV202402"/>
    <d v="2024-02-21T00:00:00"/>
    <n v="123023.39"/>
    <x v="3"/>
    <n v="123023.39"/>
    <n v="0"/>
    <n v="123023.39"/>
  </r>
  <r>
    <s v="NOTAPP"/>
    <m/>
    <s v="DAT"/>
    <s v="David D"/>
    <s v="EVEREST"/>
    <s v="MSA_23179_WO2_A3 - Obefazimod NDA"/>
    <m/>
    <s v="2. Statistics and Statistical Programming Services - 6,5% - Fee of $8,880 per study - Total 28 studies (10 alrready inclued into the uprfont payment) - 27 * 8800 USD"/>
    <m/>
    <s v="INV ABIV202414 + INV ABIV202501 + INV ABIV202505"/>
    <s v="08/11/2024 + 06/02/2025 + 19/03/2025"/>
    <n v="150960"/>
    <x v="3"/>
    <n v="62160"/>
    <n v="88800"/>
    <n v="62160"/>
  </r>
  <r>
    <s v="NOTAPP"/>
    <m/>
    <s v="DAT"/>
    <s v="David D"/>
    <s v="EVEREST"/>
    <s v="MSA_23179_WO2_A3 - Obefazimod NDA"/>
    <m/>
    <s v="3. Statistics and Statistical Programming Services - Upon programming completion of legacy data to CDISC compliant SDTM."/>
    <m/>
    <s v="INV ABIV202408 + INV ABIV202409 + INV ABIV202411 + INV ABIV202501 + INV ABIV202520 + INV ABIV202521"/>
    <s v="30/06/2024 + 31/07/2024 + 09/09/2024 + 06/02/2025 + 04/11/2025 + 28/11/2025"/>
    <n v="428940"/>
    <x v="3"/>
    <n v="329130"/>
    <n v="99810"/>
    <n v="329130"/>
  </r>
  <r>
    <s v="NOTAPP"/>
    <m/>
    <s v="DAT"/>
    <s v="David D"/>
    <s v="EVEREST"/>
    <s v="MSA_23179_WO2_A2 - Obefazimod NDA"/>
    <m/>
    <s v="4. Statistics and Statistical Programming Services - Upon preparation of raw data for integration for 3 studies"/>
    <m/>
    <s v="INV ABIV202414 + INV ABIV202501"/>
    <s v="08/11/2024 + 06/02/2025"/>
    <n v="45360"/>
    <x v="3"/>
    <n v="45360"/>
    <n v="0"/>
    <n v="4536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03"/>
    <d v="2024-03-31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05"/>
    <d v="2024-05-01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07"/>
    <d v="2024-05-31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08"/>
    <d v="2024-06-30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09"/>
    <d v="2024-07-31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11"/>
    <d v="2024-09-09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12"/>
    <d v="2024-10-04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14"/>
    <d v="2024-11-08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16"/>
    <d v="2024-12-03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419"/>
    <d v="2024-12-19T00:00:00"/>
    <n v="5550"/>
    <x v="3"/>
    <n v="5550"/>
    <n v="0"/>
    <n v="5550"/>
  </r>
  <r>
    <s v="NOTAPP"/>
    <m/>
    <s v="DAT"/>
    <s v="David D"/>
    <s v="EVEREST"/>
    <s v="MSA_23179_WO2_A2 - Obefazimod NDA"/>
    <m/>
    <s v="5. Statistics and Statistical Programming Services - Ongoing Project planning, tracking and Management. 5 550 USD * 11 month"/>
    <m/>
    <s v="INV ABIV202501"/>
    <d v="2025-02-06T00:00:00"/>
    <n v="5550"/>
    <x v="3"/>
    <n v="5550"/>
    <n v="0"/>
    <n v="55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05"/>
    <d v="2025-03-19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06"/>
    <d v="2025-03-26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08"/>
    <d v="2025-05-01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302510"/>
    <d v="2025-05-27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12"/>
    <d v="2025-06-27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14"/>
    <d v="2025-07-29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17"/>
    <d v="2025-09-02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18"/>
    <d v="2025-09-23T00:00:00"/>
    <n v="9750"/>
    <x v="3"/>
    <n v="9750"/>
    <n v="0"/>
    <n v="9750"/>
  </r>
  <r>
    <s v="NOTAPP"/>
    <m/>
    <s v="DAT"/>
    <s v="David D"/>
    <s v="EVEREST"/>
    <s v="MSA_23179_WO2_A2 - Obefazimod NDA"/>
    <m/>
    <s v="6. Statistics and Statistical Programming Services - Ongoing Project planning, tracking and Management. 9 750*20 month - Janv 2025 - Dec 2025"/>
    <m/>
    <s v="INV ABIV202520"/>
    <d v="2025-11-04T00:00:00"/>
    <n v="9750"/>
    <x v="3"/>
    <n v="9750"/>
    <n v="0"/>
    <n v="9750"/>
  </r>
  <r>
    <s v="NOTAPP"/>
    <m/>
    <s v="DAT"/>
    <s v="David D"/>
    <s v="EVEREST"/>
    <s v="MSA_23179_WO2_A3 - Obefazimod NDA"/>
    <m/>
    <s v="6. Statistics and Statistical Programming Services - Ongoing Project planning, tracking and Management. 9 750*20 month - Janv 2025 - Dec 2025"/>
    <m/>
    <s v="INV ABIV202521"/>
    <d v="2025-11-28T00:00:00"/>
    <n v="9750"/>
    <x v="3"/>
    <n v="9750"/>
    <n v="0"/>
    <n v="9750"/>
  </r>
  <r>
    <s v="NOTAPP"/>
    <m/>
    <s v="DAT"/>
    <s v="David D"/>
    <s v="EVEREST"/>
    <s v="MSA_23179_WO2_A3 - Obefazimod NDA"/>
    <m/>
    <s v="6. Statistics and Statistical Programming Services - Ongoing Project planning, tracking and Management. 9 750*20 month - Janv 2025 - Dec 2025"/>
    <m/>
    <s v="INV ABIV202525"/>
    <d v="2026-01-06T00:00:00"/>
    <n v="9750"/>
    <x v="3"/>
    <n v="9750"/>
    <n v="0"/>
    <n v="9750"/>
  </r>
  <r>
    <s v="NOTAPP"/>
    <m/>
    <s v="DAT"/>
    <s v="David D"/>
    <s v="EVEREST"/>
    <s v="MSA_23179_WO2_A3 - Obefazimod NDA"/>
    <m/>
    <s v="6. Statistics and Statistical Programming Services - Ongoing Project planning, tracking and Management. 9 750*20 month - Janv 2025 - Dec 2025"/>
    <d v="2025-12-01T00:00:00"/>
    <m/>
    <m/>
    <n v="9750"/>
    <x v="3"/>
    <m/>
    <n v="9750"/>
    <n v="0"/>
  </r>
  <r>
    <s v="NOTAPP"/>
    <m/>
    <s v="DAT"/>
    <s v="David D"/>
    <s v="EVEREST"/>
    <s v="MSA_23179_WO2_A3 - Obefazimod NDA"/>
    <m/>
    <s v="6. Statistics and Statistical Programming Services - Ongoing Project planning, tracking and Management. 9 750*20 month - Janv 2026 - Aug 2026"/>
    <s v="Année 2026"/>
    <m/>
    <m/>
    <n v="78000"/>
    <x v="3"/>
    <m/>
    <n v="78000"/>
    <n v="0"/>
  </r>
  <r>
    <s v="NOTAPP"/>
    <m/>
    <s v="DAT"/>
    <s v="David D"/>
    <s v="EVEREST"/>
    <s v="MSA_23179_WO2_A3 - Obefazimod NDA"/>
    <m/>
    <s v="7. Medical Coding for ABX464-005"/>
    <m/>
    <s v="INV ABIV202523"/>
    <d v="2025-12-10T00:00:00"/>
    <n v="6857"/>
    <x v="3"/>
    <n v="6857"/>
    <n v="0"/>
    <n v="6857"/>
  </r>
  <r>
    <s v="NOTAPP"/>
    <m/>
    <s v="DAT"/>
    <s v="David D"/>
    <s v="EVEREST"/>
    <s v="MSA_23179_WO2_A3 - Obefazimod NDA"/>
    <m/>
    <s v="8. Upon programming completion CDISC - 58 245$ / 4 études"/>
    <m/>
    <m/>
    <m/>
    <n v="232980"/>
    <x v="3"/>
    <m/>
    <n v="232980"/>
    <n v="0"/>
  </r>
  <r>
    <s v="NOTAPP"/>
    <m/>
    <s v="DAT"/>
    <s v="David D"/>
    <s v="EVEREST"/>
    <s v="MSA_23179_WO2_A2 - Obefazimod NDA"/>
    <m/>
    <s v="9. Statistics and Statistical Programming Services - ISS - Development of ISS SAP text and mocks"/>
    <m/>
    <s v="INV ABIV202416"/>
    <d v="2024-12-03T00:00:00"/>
    <n v="44360"/>
    <x v="3"/>
    <n v="44360"/>
    <n v="0"/>
    <n v="44360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05"/>
    <d v="2025-03-19T00:00:00"/>
    <n v="76004.36"/>
    <x v="3"/>
    <n v="76004.36"/>
    <n v="0"/>
    <n v="76004.36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06"/>
    <d v="2025-03-28T00:00:00"/>
    <n v="76004.36"/>
    <x v="3"/>
    <n v="76004.36"/>
    <n v="0"/>
    <n v="76004.36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08"/>
    <d v="2025-05-01T00:00:00"/>
    <n v="76004.36"/>
    <x v="3"/>
    <n v="76004.36"/>
    <n v="0"/>
    <n v="76004.36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10"/>
    <d v="2025-05-27T00:00:00"/>
    <n v="76004.36"/>
    <x v="3"/>
    <n v="76004.36"/>
    <n v="0"/>
    <n v="76004.36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12"/>
    <d v="2025-06-27T00:00:00"/>
    <n v="76004.36"/>
    <x v="3"/>
    <n v="76004.36"/>
    <n v="0"/>
    <n v="76004.36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14"/>
    <d v="2025-07-29T00:00:00"/>
    <n v="76004.36"/>
    <x v="3"/>
    <n v="76004.36"/>
    <n v="0"/>
    <n v="76004.36"/>
  </r>
  <r>
    <s v="NOTAPP"/>
    <m/>
    <s v="DAT"/>
    <s v="David D"/>
    <s v="EVEREST"/>
    <s v="MSA_23179_WO2_A2 - Obefazimod NDA"/>
    <m/>
    <s v="10. Statistics and Statistical Programming Services - ISS Dry Run 1 - 86 901,75 USD*7 month / 7"/>
    <m/>
    <s v="INV ABIV202517"/>
    <d v="2025-09-02T00:00:00"/>
    <n v="76004.36"/>
    <x v="3"/>
    <n v="76004.36"/>
    <n v="0"/>
    <n v="76004.36"/>
  </r>
  <r>
    <s v="NOTAPP"/>
    <m/>
    <s v="DAT"/>
    <s v="David D"/>
    <s v="EVEREST"/>
    <s v="MSA_23179_WO2_A3 - Obefazimod NDA"/>
    <m/>
    <s v="11. Updates ISS for FDA WR"/>
    <m/>
    <s v="INV ABIV202523"/>
    <d v="2025-12-10T00:00:00"/>
    <n v="240225"/>
    <x v="3"/>
    <n v="240255"/>
    <n v="0"/>
    <n v="240255"/>
  </r>
  <r>
    <s v="NOTAPP"/>
    <m/>
    <s v="DAT"/>
    <s v="Keija"/>
    <s v="EVEREST"/>
    <s v="MSA_23179_WO2_A3 - Obefazimod NDA"/>
    <m/>
    <s v="9. Statistics and Statistical Programming Services - ISS Dry Run 2"/>
    <m/>
    <m/>
    <m/>
    <n v="196135.5"/>
    <x v="3"/>
    <m/>
    <n v="196135.5"/>
    <n v="0"/>
  </r>
  <r>
    <s v="NOTAPP"/>
    <m/>
    <s v="DAT"/>
    <s v="Keija"/>
    <s v="EVEREST"/>
    <s v="MSA_23179_WO2_A3 - Obefazimod NDA"/>
    <m/>
    <s v="10. Statistics and Statistical Programming Services - ISS SAP Finalization"/>
    <d v="2026-05-01T00:00:00"/>
    <m/>
    <m/>
    <n v="11090"/>
    <x v="3"/>
    <m/>
    <n v="11090"/>
    <n v="0"/>
  </r>
  <r>
    <s v="NOTAPP"/>
    <m/>
    <s v="DAT"/>
    <s v="Keija"/>
    <s v="EVEREST"/>
    <s v="MSA_23179_WO2_A3 - Obefazimod NDA"/>
    <m/>
    <s v="11. Statistics and Statistical Programming Services - ISS Final Run"/>
    <d v="2026-06-01T00:00:00"/>
    <m/>
    <m/>
    <n v="113000"/>
    <x v="3"/>
    <m/>
    <n v="113000"/>
    <n v="0"/>
  </r>
  <r>
    <s v="NOTAPP"/>
    <m/>
    <s v="DAT"/>
    <s v="David D"/>
    <s v="EVEREST"/>
    <s v="MSA_23179_WO2_A2 - Obefazimod NDA"/>
    <m/>
    <s v="12. Statistics and Statistical Programming Services - ISE - Development of ISE SAP text and"/>
    <m/>
    <s v="INV ABIV202505"/>
    <d v="2025-03-19T00:00:00"/>
    <n v="30480"/>
    <x v="3"/>
    <n v="30480"/>
    <n v="0"/>
    <n v="30480"/>
  </r>
  <r>
    <s v="NOTAPP"/>
    <m/>
    <s v="DAT"/>
    <s v="David D"/>
    <s v="EVEREST"/>
    <s v="MSA_23179_WO2_A2 - Obefazimod NDA"/>
    <m/>
    <s v="13. Statistics and Statistical Programming Services - ISE Dry Run 1 100 000 USD*3 month"/>
    <m/>
    <s v="INV ABIV202518"/>
    <d v="2025-09-23T00:00:00"/>
    <n v="100000"/>
    <x v="3"/>
    <n v="100000"/>
    <n v="0"/>
    <n v="100000"/>
  </r>
  <r>
    <s v="NOTAPP"/>
    <m/>
    <s v="DAT"/>
    <s v="David D"/>
    <s v="EVEREST"/>
    <s v="MSA_23179_WO2_A2 - Obefazimod NDA"/>
    <m/>
    <s v="13. Statistics and Statistical Programming Services - ISE Dry Run 1 100 000 USD*3 month"/>
    <m/>
    <s v="INV ABIV202520"/>
    <d v="2025-11-04T00:00:00"/>
    <n v="100000"/>
    <x v="3"/>
    <n v="100000"/>
    <n v="0"/>
    <n v="100000"/>
  </r>
  <r>
    <s v="NOTAPP"/>
    <m/>
    <s v="DAT"/>
    <s v="Keija"/>
    <s v="EVEREST"/>
    <s v="MSA_23179_WO2_A3 - Obefazimod NDA"/>
    <m/>
    <s v="13. Statistics and Statistical Programming Services - ISE Dry Run 1 100 000 USD*3 month + 1 month at 109 115,56"/>
    <m/>
    <s v="INV ABI202521"/>
    <d v="2025-11-28T00:00:00"/>
    <n v="309115.56"/>
    <x v="3"/>
    <n v="100000"/>
    <n v="209115.56"/>
    <n v="100000"/>
  </r>
  <r>
    <s v="NOTAPP"/>
    <m/>
    <s v="DAT"/>
    <s v="Keija"/>
    <s v="EVEREST"/>
    <s v="MSA_23179_WO2_A3 - Obefazimod NDA"/>
    <m/>
    <s v="14. Statistics and Statistical Programming Services - ISE Dry Run 2"/>
    <d v="2025-09-01T00:00:00"/>
    <m/>
    <m/>
    <n v="134115.56"/>
    <x v="3"/>
    <m/>
    <n v="134115.56"/>
    <n v="0"/>
  </r>
  <r>
    <s v="NOTAPP"/>
    <m/>
    <s v="DAT"/>
    <s v="Keija"/>
    <s v="EVEREST"/>
    <s v="MSA_23179_WO2_A3 - Obefazimod NDA"/>
    <m/>
    <s v="15. Statistics and Statistical Programming Services - ISE SAP Finalization"/>
    <d v="2025-10-01T00:00:00"/>
    <m/>
    <m/>
    <n v="7620"/>
    <x v="3"/>
    <m/>
    <n v="7620"/>
    <n v="0"/>
  </r>
  <r>
    <s v="NOTAPP"/>
    <m/>
    <s v="DAT"/>
    <s v="Keija"/>
    <s v="EVEREST"/>
    <s v="MSA_23179_WO2_A3 - Obefazimod NDA"/>
    <m/>
    <s v="16. Statistics and Statistical Programming Services - ISE Final Run"/>
    <d v="2025-12-01T00:00:00"/>
    <m/>
    <m/>
    <n v="69115.56"/>
    <x v="3"/>
    <m/>
    <n v="69115.56"/>
    <n v="0"/>
  </r>
  <r>
    <s v="NOTAPP"/>
    <m/>
    <s v="DAT"/>
    <s v="Keija"/>
    <s v="EVEREST"/>
    <s v="MSA_23179_WO2_A3 - Obefazimod NDA"/>
    <m/>
    <s v="17. Statistics and Statistical Programming Services - BIMO Dry Run Complete"/>
    <d v="2026-01-01T00:00:00"/>
    <m/>
    <m/>
    <n v="69278.48"/>
    <x v="3"/>
    <m/>
    <n v="69278.48"/>
    <n v="0"/>
  </r>
  <r>
    <s v="NOTAPP"/>
    <m/>
    <s v="DAT"/>
    <s v="Keija"/>
    <s v="EVEREST"/>
    <s v="MSA_23179_WO2_A3 - Obefazimod NDA"/>
    <m/>
    <s v="18. Statistics and Statistical Programming Services - Everest Support of Submission Complete (ISS, ISE, BIMO Final Run, Packaging and Production Run)"/>
    <d v="2026-08-01T00:00:00"/>
    <m/>
    <m/>
    <n v="130000"/>
    <x v="3"/>
    <m/>
    <n v="130000"/>
    <n v="0"/>
  </r>
  <r>
    <s v="NOTAPP"/>
    <m/>
    <s v="DAT"/>
    <s v="Keija"/>
    <s v="EVEREST"/>
    <s v="MSA_23179_WO2_A3 - Obefazimod NDA"/>
    <m/>
    <s v="Statistics and Statistical Programming Services - Pinnacle 21 Enterprise License fees. Fee of $3,500 per annual license, per study."/>
    <s v="INV ABIV202525"/>
    <d v="2026-01-06T00:00:00"/>
    <m/>
    <n v="17500"/>
    <x v="3"/>
    <n v="7000"/>
    <n v="10500"/>
    <n v="7000"/>
  </r>
  <r>
    <s v="NOTAPP"/>
    <m/>
    <s v="DAT"/>
    <s v="Keija"/>
    <s v="EVEREST"/>
    <s v="MSA_23179_WO1 A1+A2+A3+A4+A5"/>
    <m/>
    <s v="Biostatistics and Statistical Programming Services"/>
    <m/>
    <s v="INV ABIV202301 + INV ABIV202401 + INV ABIV202404 + INV ABIV202406 + INV ABIV202410 + INV ABIV202413 + INV BAIV202415 + INV ABIV202417 + INV ABIV202419 + INV ABIV202502  + INV ABIV202503 + INV ABIV202507 + INV ABIV202509 + INV ABIV202511 + INV ABIV202513 + INV ABIV202515 + INV ABIV202516 + INV ABI202519R + INV ABIV202522"/>
    <s v="31/12/2023 + 01/02/2024 + 03/04/2024 + 02/05/2024 + 09/09/2024 + 04/10/2024 + 08/11/2024 + 06/12/2024 + 02/01/2025 + 31/01/2025 + 05/03/2025 + 31/03/2025 + 01/05/2025 + 02/06/2025+ 02/07/2025+ 01/08/2025 + 02/09/2025 + 12/11/2025 + 01/12/2025"/>
    <n v="317000"/>
    <x v="3"/>
    <n v="304815"/>
    <n v="12185"/>
    <n v="304815"/>
  </r>
  <r>
    <s v="NOTAPP"/>
    <m/>
    <s v="LAB"/>
    <m/>
    <s v="EVOTEC"/>
    <s v="EVT07074 - Pas de PO"/>
    <m/>
    <s v="Chimiotheque - Project Management - 10 500 € / an pendant 5 ans - année 2023 - mois 1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2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3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4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5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6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7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8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9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10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11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Chimiotheque - Project Management - 10 500 € / an pendant 5 ans - année 2023 - mois 12"/>
    <m/>
    <s v="PJ20230218"/>
    <d v="2023-02-09T00:00:00"/>
    <n v="875"/>
    <x v="1"/>
    <n v="1000.7399999999998"/>
    <n v="0"/>
    <n v="1000.7399999999998"/>
  </r>
  <r>
    <s v="NOTAPP"/>
    <m/>
    <s v="LAB"/>
    <m/>
    <s v="EVOTEC"/>
    <s v="EVT07074 - Pas de PO"/>
    <m/>
    <s v="Chimiotheque - Project Management - 10 500 € / an pendant 5 ans - année 2024"/>
    <m/>
    <s v="PJ20250154"/>
    <d v="2025-01-31T00:00:00"/>
    <n v="10500"/>
    <x v="1"/>
    <n v="10500"/>
    <n v="0"/>
    <n v="10500"/>
  </r>
  <r>
    <s v="NOTAPP"/>
    <m/>
    <s v="LAB"/>
    <m/>
    <s v="EVOTEC"/>
    <s v="EVT07074 - Pas de PO"/>
    <m/>
    <s v="Chimiotheque - Project Management - 10 500 € / an pendant 5 ans - année 2025"/>
    <m/>
    <s v="PJ20260018"/>
    <d v="2026-01-14T00:00:00"/>
    <n v="10500"/>
    <x v="1"/>
    <n v="10500"/>
    <n v="0"/>
    <n v="10500"/>
  </r>
  <r>
    <s v="NOTAPP"/>
    <m/>
    <s v="LAB"/>
    <m/>
    <s v="EVOTEC"/>
    <s v="EVT07074 - Pas de PO"/>
    <m/>
    <s v="Chimiotheque - Project Management - 10 500 € / an pendant 5 ans - année 2026"/>
    <d v="2027-01-01T00:00:00"/>
    <m/>
    <m/>
    <n v="10500"/>
    <x v="1"/>
    <m/>
    <n v="10500"/>
    <n v="0"/>
  </r>
  <r>
    <s v="NOTAPP"/>
    <m/>
    <s v="LAB"/>
    <m/>
    <s v="EVOTEC"/>
    <s v="EVT07074 - Pas de PO"/>
    <m/>
    <s v="Chimiotheque - Project Management - 10 500 € / an pendant 5 ans - année 2027"/>
    <d v="2028-01-01T00:00:00"/>
    <m/>
    <m/>
    <n v="10500"/>
    <x v="1"/>
    <m/>
    <n v="10500"/>
    <n v="0"/>
  </r>
  <r>
    <s v="NOTAPP"/>
    <m/>
    <s v="LAB"/>
    <m/>
    <s v="EVOTEC"/>
    <s v="EVT07074 - Pas de PO"/>
    <m/>
    <s v="Chimiotheque - Web service Maintenance &amp; Support  - 2 800 € / an pendant 5 ans - année 2023"/>
    <m/>
    <s v="PJ20240972"/>
    <d v="2024-05-16T00:00:00"/>
    <n v="2800"/>
    <x v="1"/>
    <n v="3955"/>
    <n v="0"/>
    <n v="3955"/>
  </r>
  <r>
    <s v="NOTAPP"/>
    <m/>
    <s v="LAB"/>
    <m/>
    <s v="EVOTEC"/>
    <s v="EVT07074 - Pas de PO"/>
    <m/>
    <s v="Chimiotheque - Web service Maintenance &amp; Support  - 2 800 € / an pendant 5 ans - année 2024"/>
    <m/>
    <s v="PJ20250154"/>
    <d v="2025-01-31T00:00:00"/>
    <n v="2800"/>
    <x v="1"/>
    <n v="2800"/>
    <n v="0"/>
    <n v="2800"/>
  </r>
  <r>
    <s v="NOTAPP"/>
    <m/>
    <s v="LAB"/>
    <m/>
    <s v="EVOTEC"/>
    <s v="EVT07074 - Pas de PO"/>
    <m/>
    <s v="Chimiotheque - Web service Maintenance &amp; Support  - 2 800 € / an pendant 5 ans - année 2025"/>
    <m/>
    <s v="PJ20260018"/>
    <d v="2026-01-14T00:00:00"/>
    <n v="2800"/>
    <x v="1"/>
    <n v="2800"/>
    <n v="0"/>
    <n v="2800"/>
  </r>
  <r>
    <s v="NOTAPP"/>
    <m/>
    <s v="LAB"/>
    <m/>
    <s v="EVOTEC"/>
    <s v="EVT07074 - Pas de PO"/>
    <m/>
    <s v="Chimiotheque - Web service Maintenance &amp; Support  - 2 800 € / an pendant 5 ans - année 2026"/>
    <d v="2027-01-01T00:00:00"/>
    <m/>
    <m/>
    <n v="2800"/>
    <x v="1"/>
    <m/>
    <n v="2800"/>
    <n v="0"/>
  </r>
  <r>
    <s v="NOTAPP"/>
    <m/>
    <s v="LAB"/>
    <m/>
    <s v="EVOTEC"/>
    <s v="EVT07074 - Pas de PO"/>
    <m/>
    <s v="Chimiotheque - Web service Maintenance &amp; Support  - 2 800 € / an pendant 5 ans - année 2027"/>
    <d v="2028-01-01T00:00:00"/>
    <m/>
    <m/>
    <n v="2800"/>
    <x v="1"/>
    <m/>
    <n v="2800"/>
    <n v="0"/>
  </r>
  <r>
    <s v="ABX464"/>
    <m/>
    <s v="LAB"/>
    <m/>
    <s v="EVOTEC"/>
    <s v="EVT11251 - P00207_2021"/>
    <s v="P00207_2021"/>
    <s v="Tissue distribution study 2 test on Lon Evans RATS"/>
    <m/>
    <s v="INV PJ202113017"/>
    <d v="2021-12-20T00:00:00"/>
    <n v="38915"/>
    <x v="1"/>
    <n v="31020"/>
    <n v="7895"/>
    <n v="31020"/>
  </r>
  <r>
    <s v="DHODH1"/>
    <m/>
    <s v="LAB"/>
    <m/>
    <s v="EVOTEC"/>
    <s v="EVT86332"/>
    <m/>
    <s v="Abivax01 follow-up for PDC nomination - Mois 1"/>
    <m/>
    <s v="INV PJ20231325"/>
    <s v="30/06/2023 (recu 07/2023)"/>
    <n v="58750"/>
    <x v="1"/>
    <n v="58750"/>
    <n v="0"/>
    <n v="58750"/>
  </r>
  <r>
    <s v="DHODH1"/>
    <m/>
    <s v="LAB"/>
    <m/>
    <s v="EVOTEC"/>
    <s v="EVT86332"/>
    <m/>
    <s v="Abivax01 follow-up for PDC nomination - Mois 2"/>
    <m/>
    <s v="INV PJ20231325 + INV PJ20231487"/>
    <s v="30/06/2023 (recu 07/2023) + 31/07/2023"/>
    <n v="67187"/>
    <x v="1"/>
    <n v="67187"/>
    <n v="0"/>
    <n v="67187"/>
  </r>
  <r>
    <s v="DHODH1"/>
    <m/>
    <s v="LAB"/>
    <m/>
    <s v="EVOTEC"/>
    <s v="EVT86332"/>
    <m/>
    <s v="Abivax01 follow-up for PDC nomination - Mois 3"/>
    <m/>
    <s v="INV PJ20231487 + INV PJ20231055"/>
    <s v="31/07/2023 + 30/06/2023 (reçu 08/2023)"/>
    <n v="56771"/>
    <x v="1"/>
    <n v="56771"/>
    <n v="0"/>
    <n v="56771"/>
  </r>
  <r>
    <s v="DHODH1"/>
    <m/>
    <s v="LAB"/>
    <m/>
    <s v="EVOTEC"/>
    <s v="EVT86332"/>
    <m/>
    <s v="Abivax01 follow-up for PDC nomination - Mois 4"/>
    <m/>
    <s v="INV PJ20231055"/>
    <s v="30/06/2023 (reçu 08/2023)"/>
    <n v="79271"/>
    <x v="1"/>
    <n v="79271"/>
    <n v="0"/>
    <n v="79271"/>
  </r>
  <r>
    <s v="DHODH1"/>
    <m/>
    <s v="LAB"/>
    <m/>
    <s v="EVOTEC"/>
    <s v="EVT86332"/>
    <m/>
    <s v="Abivax01 follow-up for PDC nomination - Mois 5"/>
    <m/>
    <s v="INV PJ20231055 + INV PJ20231733"/>
    <s v="30/06/2023 (reçu 08/2023) + 31/08/2023"/>
    <n v="38021"/>
    <x v="1"/>
    <n v="38021"/>
    <n v="0"/>
    <n v="38021"/>
  </r>
  <r>
    <s v="DHODH1"/>
    <m/>
    <s v="LAB"/>
    <m/>
    <s v="EVOTEC"/>
    <s v="EVT86332"/>
    <m/>
    <s v="Abivax01 follow-up for PDC nomination - Mois 6"/>
    <m/>
    <s v="INV PJ20231733 + INV PJ20232057"/>
    <s v="31/08/2023 + 30/09/2023"/>
    <n v="36146"/>
    <x v="1"/>
    <n v="36146"/>
    <n v="0"/>
    <n v="36146"/>
  </r>
  <r>
    <s v="DHODH1"/>
    <m/>
    <s v="LAB"/>
    <m/>
    <s v="EVOTEC"/>
    <s v="EVT86332"/>
    <m/>
    <s v="Abivax01 follow-up for PDC nomination - Mois 7"/>
    <m/>
    <s v="INV PJ20232057 + INV PJ20232379 "/>
    <s v="30/09/2023 + 31/10/2023"/>
    <n v="64271"/>
    <x v="1"/>
    <n v="64271"/>
    <n v="0"/>
    <n v="64271"/>
  </r>
  <r>
    <s v="DHODH1"/>
    <m/>
    <s v="LAB"/>
    <m/>
    <s v="EVOTEC"/>
    <s v="EVT86332"/>
    <m/>
    <s v="Abivax01 follow-up for PDC nomination - Mois 8"/>
    <m/>
    <s v="INV PJ20232379 + INV PJ20232626"/>
    <s v="31/10/2023 + 30/11/2023"/>
    <n v="78645"/>
    <x v="1"/>
    <n v="78645"/>
    <n v="0"/>
    <n v="78645"/>
  </r>
  <r>
    <s v="DHODH1"/>
    <m/>
    <s v="LAB"/>
    <m/>
    <s v="EVOTEC"/>
    <s v="EVT86332"/>
    <m/>
    <s v="Abivax01 follow-up for PDC nomination - Mois 9"/>
    <m/>
    <s v="INV PJ20232626"/>
    <d v="2023-11-30T00:00:00"/>
    <n v="59895"/>
    <x v="1"/>
    <n v="59895"/>
    <n v="0"/>
    <n v="59895"/>
  </r>
  <r>
    <s v="DHODH1"/>
    <m/>
    <s v="LAB"/>
    <m/>
    <s v="EVOTEC"/>
    <s v="EVT86332"/>
    <m/>
    <s v="Abivax01 follow-up for PDC nomination - Mois 10"/>
    <m/>
    <s v="INV PJ20232626 + INV PJ20233069"/>
    <s v="30/11/2023 + 22/12/2023 (recu 2024)"/>
    <n v="43020"/>
    <x v="1"/>
    <n v="43019.999999999993"/>
    <n v="7.2759576141834259E-12"/>
    <n v="43019.999999999993"/>
  </r>
  <r>
    <s v="DHODH1"/>
    <m/>
    <s v="LAB"/>
    <m/>
    <s v="EVOTEC"/>
    <s v="EVT86332"/>
    <m/>
    <s v="Abivax01 follow-up for PDC nomination - Mois 11"/>
    <m/>
    <s v="INV PJ20233069"/>
    <s v="22/12/2023 (recu 2024)"/>
    <n v="41979"/>
    <x v="1"/>
    <n v="17591.549999999996"/>
    <n v="24387.450000000004"/>
    <n v="17591.549999999996"/>
  </r>
  <r>
    <s v="DHODH1"/>
    <m/>
    <s v="LAB"/>
    <m/>
    <s v="EVOTEC"/>
    <s v="EVT86332"/>
    <m/>
    <s v="Abivax01 follow-up for PDC nomination - Mois 12"/>
    <m/>
    <s v="INV PJ20253212"/>
    <n v="46022"/>
    <n v="41979"/>
    <x v="1"/>
    <n v="153468.18"/>
    <n v="0"/>
    <n v="153468.18"/>
  </r>
  <r>
    <s v="DHODH1"/>
    <m/>
    <s v="LAB"/>
    <m/>
    <s v="EVOTEC"/>
    <s v="EVT86332"/>
    <m/>
    <s v="Abivax01 follow-up for PDC nomination - Mois 13"/>
    <m/>
    <m/>
    <m/>
    <n v="41979"/>
    <x v="1"/>
    <m/>
    <n v="41979"/>
    <n v="0"/>
  </r>
  <r>
    <s v="ABX711"/>
    <m/>
    <s v="CMC"/>
    <m/>
    <s v="EVOTEC"/>
    <s v="EVT86427 - P00037_2023"/>
    <s v="P00037_2023"/>
    <s v="WP1. 2 steps dissolution measurements in fed human models"/>
    <m/>
    <s v="PJ20231996"/>
    <d v="2023-09-30T00:00:00"/>
    <n v="2800"/>
    <x v="1"/>
    <n v="2800"/>
    <n v="0"/>
    <n v="2800"/>
  </r>
  <r>
    <s v="ABX711"/>
    <m/>
    <s v="CMC"/>
    <m/>
    <s v="EVOTEC"/>
    <s v="EVT86427 - P00037_2023"/>
    <s v="P00037_2023"/>
    <s v="WP2. 2 steps dissolution measurements in fasted human models"/>
    <m/>
    <s v="PJ20231996"/>
    <d v="2023-09-30T00:00:00"/>
    <n v="2800"/>
    <x v="1"/>
    <n v="2800"/>
    <n v="0"/>
    <n v="2800"/>
  </r>
  <r>
    <s v="ABX464"/>
    <m/>
    <s v="CMC"/>
    <m/>
    <s v="EVOTEC"/>
    <s v="EVT89679 - P00305_2023"/>
    <s v="P00305_2023"/>
    <s v="Permeability measurment of Obefazimod"/>
    <m/>
    <m/>
    <m/>
    <n v="12330"/>
    <x v="1"/>
    <m/>
    <n v="12330"/>
    <n v="0"/>
  </r>
  <r>
    <s v="ABX464"/>
    <m/>
    <s v="CMC"/>
    <m/>
    <s v="FILAB"/>
    <s v="Devis 2111002 - P00294_2021"/>
    <s v="P00294_2021"/>
    <s v="Specific surface Area Analysis"/>
    <m/>
    <s v="INV 2111002"/>
    <d v="2021-11-05T00:00:00"/>
    <n v="3665"/>
    <x v="1"/>
    <n v="3665"/>
    <n v="0"/>
    <n v="3665"/>
  </r>
  <r>
    <s v="ABX464"/>
    <m/>
    <s v="CMC"/>
    <m/>
    <s v="FILAB"/>
    <s v="Devis D217276 - P00335_2021"/>
    <s v="P00335_2021"/>
    <s v="Specific surface Area Analysis"/>
    <m/>
    <m/>
    <m/>
    <n v="820"/>
    <x v="1"/>
    <m/>
    <n v="820"/>
    <n v="0"/>
  </r>
  <r>
    <s v="NA"/>
    <m/>
    <s v="QA1"/>
    <m/>
    <s v="FIONA BOOTH - RICHMOND QA"/>
    <s v="Quote du 04/08/2021 - P00228_2021"/>
    <s v="P00228_2021"/>
    <s v="Audit of Intuvigilance vendor"/>
    <m/>
    <s v="INV-1040 + INV-1045 + INV-1046 + INV-1050 + INV-1056"/>
    <s v="06/08/2021 + 04/10/2021 + 02/11/2021 + 01/12/2021 + 04/02/2022"/>
    <n v="5125"/>
    <x v="2"/>
    <n v="5468.75"/>
    <n v="0"/>
    <n v="5468.75"/>
  </r>
  <r>
    <s v="UC103 / UC104"/>
    <m/>
    <s v="QA1"/>
    <m/>
    <s v="FIONA BOOTH - RICHMOND QA"/>
    <s v="Quote du 07/01/2021 - P00005_2021"/>
    <s v="P00005_2021"/>
    <s v="6 Audit of Abivax UC study ABX464-103/104 Ukraine  - Conduct of the audits"/>
    <m/>
    <s v="INV-1029"/>
    <d v="2021-04-19T00:00:00"/>
    <n v="1625"/>
    <x v="2"/>
    <n v="1625"/>
    <n v="0"/>
    <n v="1625"/>
  </r>
  <r>
    <s v="UC103 / UC104"/>
    <m/>
    <s v="QA1"/>
    <m/>
    <s v="FIONA BOOTH - RICHMOND QA"/>
    <s v="Quote du 07/01/2021 - P00005_2021"/>
    <s v="P00005_2021"/>
    <s v="6 Audit of Abivax UC study ABX464-103/104 Ukraine - Post audit activities"/>
    <m/>
    <s v="INV-1029 + INV-1032"/>
    <s v="19/04/2021 + 25/05/2021"/>
    <n v="1375"/>
    <x v="2"/>
    <n v="2000"/>
    <n v="0"/>
    <n v="2000"/>
  </r>
  <r>
    <s v="UC103 / UC104"/>
    <m/>
    <s v="QA1"/>
    <m/>
    <s v="FIONA BOOTH - RICHMOND QA"/>
    <s v="Quote du 07/01/2021 - P00005_2021"/>
    <s v="P00005_2021"/>
    <s v="6 Audit of Abivax UC study ABX464-103/104 Ukraine - review of the proposed CAPA plans"/>
    <m/>
    <s v="INV-1029 + INV-1032 + INV-1035"/>
    <s v="19/04/2021 + 25/05/2021 + 01/07/2021"/>
    <n v="250"/>
    <x v="2"/>
    <n v="2375"/>
    <n v="0"/>
    <n v="2375"/>
  </r>
  <r>
    <s v="UC103 / UC104"/>
    <m/>
    <s v="QA1"/>
    <m/>
    <s v="FIONA BOOTH - RICHMOND QA"/>
    <s v="Quote du 07/01/2021 - P00005_2021"/>
    <s v="P00005_2021"/>
    <s v="6 Audit of Abivax UC study ABX464-103/104 Poland  - Conduct of the audits"/>
    <s v="Q1 2021"/>
    <s v="INV-1029"/>
    <d v="2021-04-19T00:00:00"/>
    <n v="1625"/>
    <x v="2"/>
    <n v="1625"/>
    <n v="0"/>
    <n v="1625"/>
  </r>
  <r>
    <s v="UC103 / UC104"/>
    <m/>
    <s v="QA1"/>
    <m/>
    <s v="FIONA BOOTH - RICHMOND QA"/>
    <s v="Quote du 07/01/2021 - P00005_2021"/>
    <s v="P00005_2021"/>
    <s v="6 Audit of Abivax UC study ABX464-103/104  Poland  - Post audit activities"/>
    <s v="Q1 2021"/>
    <s v="INV-1032"/>
    <d v="2021-05-25T00:00:00"/>
    <n v="1375"/>
    <x v="2"/>
    <n v="125"/>
    <n v="1250"/>
    <n v="125"/>
  </r>
  <r>
    <s v="UC103 / UC104"/>
    <m/>
    <s v="QA1"/>
    <m/>
    <s v="FIONA BOOTH - RICHMOND QA"/>
    <s v="Quote du 07/01/2021 - P00005_2021"/>
    <s v="P00005_2021"/>
    <s v="6 Audit of Abivax UC study ABX464-103/104  Poland  - review of the proposed CAPA plans"/>
    <s v="Q1 2021"/>
    <s v="INV-1032 + INV-1035"/>
    <s v="25/05/2021 + 01/07/2021"/>
    <n v="250"/>
    <x v="2"/>
    <n v="93.75"/>
    <n v="156.25"/>
    <n v="93.75"/>
  </r>
  <r>
    <s v="UC103 / UC104"/>
    <m/>
    <s v="QA1"/>
    <m/>
    <s v="FIONA BOOTH - RICHMOND QA"/>
    <s v="Quote du 07/01/2021 - P00005_2021"/>
    <s v="P00005_2021"/>
    <s v="6 Audit of Abivax UC study ABX464-103/104 Poland - Conduct of the audits"/>
    <m/>
    <s v="INV-1024"/>
    <d v="2021-03-15T00:00:00"/>
    <n v="1625"/>
    <x v="2"/>
    <n v="2375"/>
    <n v="0"/>
    <n v="2375"/>
  </r>
  <r>
    <s v="UC103 / UC104"/>
    <m/>
    <s v="QA1"/>
    <m/>
    <s v="FIONA BOOTH - RICHMOND QA"/>
    <s v="Quote du 07/01/2021 - P00005_2021"/>
    <s v="P00005_2021"/>
    <s v="6 Audit of Abivax UC study ABX464-103/104  Poland - Post audit activities"/>
    <s v="Q1 2021"/>
    <s v="INV-1024 + INV-1026"/>
    <s v="15/03/2021 + 19/04/2021"/>
    <n v="1375"/>
    <x v="2"/>
    <n v="1500"/>
    <n v="0"/>
    <n v="1500"/>
  </r>
  <r>
    <s v="UC103 / UC104"/>
    <m/>
    <s v="QA1"/>
    <m/>
    <s v="FIONA BOOTH - RICHMOND QA"/>
    <s v="Quote du 07/01/2021 - P00005_2021"/>
    <s v="P00005_2021"/>
    <s v="6 Audit of Abivax UC study ABX464-103/104 Poland - review of the proposed CAPA plans"/>
    <s v="Q1 2021"/>
    <s v="INV-1032 + INV-1035"/>
    <s v="25/05/2021 + 01/07/2021"/>
    <n v="250"/>
    <x v="2"/>
    <n v="343.75"/>
    <n v="0"/>
    <n v="343.75"/>
  </r>
  <r>
    <s v="UC103 / UC104"/>
    <m/>
    <s v="QA1"/>
    <m/>
    <s v="FIONA BOOTH - RICHMOND QA"/>
    <s v="Quote du 07/01/2021 - P00005_2021"/>
    <s v="P00005_2021"/>
    <s v="6 Audit of Abivax UC study ABX464-103/104 Poland - Conduct of the audits"/>
    <s v="Q1 2021"/>
    <s v="INV-1032"/>
    <d v="2021-05-25T00:00:00"/>
    <n v="1625"/>
    <x v="2"/>
    <n v="1500"/>
    <n v="125"/>
    <n v="1500"/>
  </r>
  <r>
    <s v="UC103 / UC104"/>
    <m/>
    <s v="QA1"/>
    <m/>
    <s v="FIONA BOOTH - RICHMOND QA"/>
    <s v="Quote du 07/01/2021 - P00005_2021"/>
    <s v="P00005_2021"/>
    <s v="6 Audit of Abivax UC study ABX464-103/104  Poland - Post audit activities"/>
    <s v="Q1 2021"/>
    <s v="INV-1032"/>
    <d v="2021-05-25T00:00:00"/>
    <n v="1375"/>
    <x v="2"/>
    <n v="1812.5"/>
    <n v="0"/>
    <n v="1812.5"/>
  </r>
  <r>
    <s v="UC103 / UC104"/>
    <m/>
    <s v="QA1"/>
    <m/>
    <s v="FIONA BOOTH - RICHMOND QA"/>
    <s v="Quote du 07/01/2021 - P00005_2021"/>
    <s v="P00005_2021"/>
    <s v="6 Audit of Abivax UC study ABX464-103/104 Poland - review of the proposed CAPA plans"/>
    <s v="Q1 2021"/>
    <s v="INV-1035 + INV-1040 + INV-1045"/>
    <s v="01/07/2021 + 06/08/2021 + 04/10/2021"/>
    <n v="250"/>
    <x v="2"/>
    <n v="187.5"/>
    <n v="62.5"/>
    <n v="187.5"/>
  </r>
  <r>
    <s v="UC103 / UC104"/>
    <m/>
    <s v="QA1"/>
    <m/>
    <s v="FIONA BOOTH - RICHMOND QA"/>
    <s v="Quote du 07/01/2021 - P00005_2021"/>
    <s v="P00005_2021"/>
    <s v="6 Audit of Abivax UC study ABX464-103/104 Poland - Conduct of the audits"/>
    <s v="Q1 2021"/>
    <s v="INV-1032"/>
    <d v="2021-05-25T00:00:00"/>
    <n v="1625"/>
    <x v="2"/>
    <n v="1500"/>
    <n v="125"/>
    <n v="1500"/>
  </r>
  <r>
    <s v="UC103 / UC104"/>
    <m/>
    <s v="QA1"/>
    <m/>
    <s v="FIONA BOOTH - RICHMOND QA"/>
    <s v="Quote du 07/01/2021 - P00005_2021"/>
    <s v="P00005_2021"/>
    <s v="6 Audit of Abivax UC study ABX464-103/104  Poland - Post audit activities"/>
    <s v="Q1 2021"/>
    <s v="INV-1032"/>
    <d v="2021-05-25T00:00:00"/>
    <n v="1375"/>
    <x v="2"/>
    <n v="2062.5"/>
    <n v="0"/>
    <n v="2062.5"/>
  </r>
  <r>
    <s v="UC103 / UC104"/>
    <m/>
    <s v="QA1"/>
    <m/>
    <s v="FIONA BOOTH - RICHMOND QA"/>
    <s v="Quote du 07/01/2021 - P00005_2021"/>
    <s v="P00005_2021"/>
    <s v="6 Audit of Abivax UC study ABX464-103/104 Poland - review of the proposed CAPA plans"/>
    <s v="Q1 2021"/>
    <s v="INV-1035 + INV-1040"/>
    <s v="01/07/2021 + 06/08/2021"/>
    <n v="250"/>
    <x v="2"/>
    <n v="343.75"/>
    <n v="0"/>
    <n v="343.75"/>
  </r>
  <r>
    <s v="UC103 / UC104"/>
    <m/>
    <s v="QA1"/>
    <m/>
    <s v="FIONA BOOTH - RICHMOND QA"/>
    <s v="Quote du 07/01/2021 - P00005_2021"/>
    <s v="P00005_2021"/>
    <s v="6 Audit of Abivax UC study ABX464-103/104 Hungary - Conduct of the audits"/>
    <s v="Q1 2021"/>
    <m/>
    <m/>
    <n v="1625"/>
    <x v="2"/>
    <m/>
    <n v="1625"/>
    <n v="0"/>
  </r>
  <r>
    <s v="UC103 / UC104"/>
    <m/>
    <s v="QA1"/>
    <m/>
    <s v="FIONA BOOTH - RICHMOND QA"/>
    <s v="Quote du 07/01/2021 - P00005_2021"/>
    <s v="P00005_2021"/>
    <s v="6 Audit of Abivax UC study ABX464-103/104 Hungary - Post audit activities"/>
    <s v="Q1 2021"/>
    <m/>
    <m/>
    <n v="1375"/>
    <x v="2"/>
    <m/>
    <n v="1375"/>
    <n v="0"/>
  </r>
  <r>
    <s v="UC103 / UC104"/>
    <m/>
    <s v="QA1"/>
    <m/>
    <s v="FIONA BOOTH - RICHMOND QA"/>
    <s v="Quote du 07/01/2021 - P00005_2021"/>
    <s v="P00005_2021"/>
    <s v="6 Audit of Abivax UC study ABX464-103/104  Hungary - review of the proposed CAPA plans"/>
    <s v="Q1 2021"/>
    <m/>
    <m/>
    <n v="250"/>
    <x v="2"/>
    <m/>
    <n v="250"/>
    <n v="0"/>
  </r>
  <r>
    <s v="UC103 / UC104"/>
    <m/>
    <s v="QA1"/>
    <m/>
    <s v="FIONA BOOTH - RICHMOND QA"/>
    <s v="Quote du 07/01/2021 - P00005_2021 Site 3603"/>
    <s v="P00005_2021"/>
    <s v="6 Audit of Abivax UC study ABX464-103/104 Hungary - site audit planning"/>
    <s v="Q1 2021"/>
    <m/>
    <m/>
    <n v="1250"/>
    <x v="2"/>
    <m/>
    <n v="1250"/>
    <n v="0"/>
  </r>
  <r>
    <s v="UC103 / UC104"/>
    <m/>
    <s v="QA1"/>
    <m/>
    <s v="FIONA BOOTH - RICHMOND QA"/>
    <s v="Quote du 07/01/2021 - P00005_2021 Site 4802"/>
    <s v="P00005_2021"/>
    <s v="6 Audit of Abivax UC study ABX464-103/104 Poland - site audit planning"/>
    <s v="Q1 2021"/>
    <s v="INV-1026 + INV-1029"/>
    <s v="15/03/2021 + 19/04/2021"/>
    <n v="1250"/>
    <x v="2"/>
    <n v="958.33666666666659"/>
    <n v="291.66333333333341"/>
    <n v="958.33666666666659"/>
  </r>
  <r>
    <s v="UC103 / UC104"/>
    <m/>
    <s v="QA1"/>
    <m/>
    <s v="FIONA BOOTH - RICHMOND QA"/>
    <s v="Quote du 07/01/2021 - P00005_2021 Site 4804"/>
    <s v="P00005_2021"/>
    <s v="6 Audit of Abivax UC study ABX464-103/104 Poland - site audit planning"/>
    <s v="Q1 2021"/>
    <s v="INV-1026 + INV-1029 + INV-1032"/>
    <s v="15/03/2021 + 19/04/2021 + 25/05/2021"/>
    <n v="1250"/>
    <x v="2"/>
    <n v="854.16666666666663"/>
    <n v="395.83333333333337"/>
    <n v="854.16666666666663"/>
  </r>
  <r>
    <s v="UC103 / UC104"/>
    <m/>
    <s v="QA1"/>
    <m/>
    <s v="FIONA BOOTH - RICHMOND QA"/>
    <s v="Quote du 07/01/2021 - P00005_2021 Site 4818"/>
    <s v="P00005_2021"/>
    <s v="6 Audit of Abivax UC study ABX464-103/104 Poland - site audit planning"/>
    <m/>
    <s v="INV-1024 + INV-1026"/>
    <s v="16/02/2021 + 15/03/2021"/>
    <n v="1250"/>
    <x v="2"/>
    <n v="1781.25"/>
    <n v="0"/>
    <n v="1781.25"/>
  </r>
  <r>
    <s v="UC103 / UC104"/>
    <m/>
    <s v="QA1"/>
    <m/>
    <s v="FIONA BOOTH - RICHMOND QA"/>
    <s v="Quote du 07/01/2021 - P00005_2021 Site 4823"/>
    <s v="P00005_2021"/>
    <s v="6 Audit of Abivax UC study ABX464-103/104 Poland  - site audit planning"/>
    <s v="Q1 2021"/>
    <s v="INV-1025 + INV-1026 + INV-1029"/>
    <s v="01/02/2021 + 15/03/2021 + 19/04/2021"/>
    <n v="1250"/>
    <x v="2"/>
    <n v="1249.9966666666667"/>
    <n v="3.3333333333303017E-3"/>
    <n v="1249.9966666666667"/>
  </r>
  <r>
    <s v="UC103 / UC104"/>
    <m/>
    <s v="QA1"/>
    <m/>
    <s v="FIONA BOOTH - RICHMOND QA"/>
    <s v="Quote du 07/01/2021 - P00005_2021 Site 7313 + 7316"/>
    <s v="P00005_2021"/>
    <s v="6 Audit of Abivax UC study ABX464-103/104 Ukraine - site audit planning"/>
    <m/>
    <s v="INV-1020 + INV-1024 + INV-1026"/>
    <s v="01/02/2021 + 16/02/2021 + 15/03/2021"/>
    <n v="1250"/>
    <x v="2"/>
    <n v="1531.25"/>
    <n v="0"/>
    <n v="1531.25"/>
  </r>
  <r>
    <s v="UC104"/>
    <m/>
    <s v="QA1"/>
    <m/>
    <s v="FIONA BOOTH - RICHMOND QA"/>
    <s v="Quote du 09/09/2021 - P00241_2021 Site 3307"/>
    <s v="P00241_2021"/>
    <s v="Audit Sites UC104 - French sites Site 3307"/>
    <m/>
    <s v="INV-1045 + INV-1046 + INV-1050"/>
    <s v="04/10/2021 + 02/11/2021 + 01/12/2021"/>
    <n v="5312.5"/>
    <x v="2"/>
    <n v="5375"/>
    <n v="0"/>
    <n v="5375"/>
  </r>
  <r>
    <s v="UC103 / UC104"/>
    <m/>
    <s v="QA1"/>
    <m/>
    <s v="FIONA BOOTH - RICHMOND QA"/>
    <s v="Quote du 14/06/2021 - P00173_2021 Site 3316 (France) "/>
    <m/>
    <s v="Audit site France site 3316"/>
    <m/>
    <s v="INV-1035 + INV-1040 + INV-1045"/>
    <s v="01/07/2021 + 06/08/2021 + 04/10/2021"/>
    <n v="4625"/>
    <x v="2"/>
    <n v="5125"/>
    <n v="0"/>
    <n v="5125"/>
  </r>
  <r>
    <s v="NA"/>
    <m/>
    <s v="QA1"/>
    <m/>
    <s v="FIONA BOOTH - RICHMOND QA"/>
    <s v="Quote du 17/01/2023 - P00018_2023"/>
    <s v="P00018_2023"/>
    <s v="Agenda Audit IQVIA + VOISIN CONSULTING"/>
    <m/>
    <s v="INV-1086"/>
    <d v="2023-01-27T00:00:00"/>
    <n v="1260"/>
    <x v="2"/>
    <n v="1260"/>
    <n v="0"/>
    <n v="1260"/>
  </r>
  <r>
    <s v="UC103 / UC104"/>
    <m/>
    <s v="QA1"/>
    <m/>
    <s v="FIONA BOOTH - RICHMOND QA"/>
    <s v="Quote du 29/04/2021 - P00133_2021 Site 4104"/>
    <s v="P00133_2021"/>
    <s v="Audit site Slovenie site 4104"/>
    <m/>
    <s v="INV-1032 + INV-1035 + INV-1040 + INV-1045"/>
    <s v="25/05/2021 + 01/07/2021 + 06/08/2021 + 04/10/2021"/>
    <n v="4500"/>
    <x v="2"/>
    <n v="4875"/>
    <n v="0"/>
    <n v="4875"/>
  </r>
  <r>
    <s v="UC103"/>
    <m/>
    <s v="QA1"/>
    <m/>
    <s v="FIONA BOOTH - RICHMOND QA"/>
    <s v="Quote du 29/06/2020 - P00682_2020"/>
    <s v="P00682_2020"/>
    <s v="Audite site Rep. Tcheque UC103 Q4 2020"/>
    <s v="Q4 2020"/>
    <s v="INV-1011 + INV-1018 + INV 1026"/>
    <s v="19/10/2020 + 30/12/2020 + 15/03/2021"/>
    <n v="6125"/>
    <x v="2"/>
    <n v="5031.25"/>
    <n v="1093.75"/>
    <n v="5031.25"/>
  </r>
  <r>
    <s v="UC103"/>
    <m/>
    <s v="QA1"/>
    <m/>
    <s v="FIONA BOOTH - RICHMOND QA"/>
    <s v="Quote du 29/06/2020 - P00683_2020"/>
    <s v="P00683_2020"/>
    <s v="Audite site Hongrie UC103 Q4 2020"/>
    <m/>
    <s v="INV-1011 + INV-1018 + INV 1020 + Inv 1024"/>
    <s v="19/10/2020 + 30/12/2020 + 01/02/2021 + 16/02/2021"/>
    <n v="5437.5"/>
    <x v="2"/>
    <n v="5437.5"/>
    <n v="0"/>
    <n v="5437.5"/>
  </r>
  <r>
    <s v="UC103"/>
    <m/>
    <s v="QA1"/>
    <m/>
    <s v="FIONA BOOTH - RICHMOND QA"/>
    <s v="Quote du 29/06/2020 - P00684_2020"/>
    <s v="P00684_2020"/>
    <s v="Audite site Pologne UC103 Q4 2020"/>
    <s v="Q4 2020"/>
    <s v="INV-1011 + INV-1014 + INV-1018 + INV-1035"/>
    <s v="19/10/2020 + 13/11/2020 + 30/12/2020 + 01/07/2021"/>
    <n v="5875"/>
    <x v="2"/>
    <n v="5187.5"/>
    <n v="687.5"/>
    <n v="5187.5"/>
  </r>
  <r>
    <s v="UC103"/>
    <m/>
    <s v="QA1"/>
    <m/>
    <s v="FIONA BOOTH - RICHMOND QA"/>
    <s v="Quote du 29/06/2020 - P00685_2020"/>
    <s v="P00685_2020"/>
    <s v="Audite site Belgique UC103 Q4 2020"/>
    <s v="Q4 2020"/>
    <s v="INV-1011 + INV-1020 + INV 1024"/>
    <s v="19/10/2020 + 01/02/2021 + 16/02/2021"/>
    <n v="5312.5"/>
    <x v="2"/>
    <n v="4281.25"/>
    <n v="1031.25"/>
    <n v="4281.25"/>
  </r>
  <r>
    <s v="196-1"/>
    <m/>
    <s v="CMC"/>
    <m/>
    <s v="FISHER CLINICAL SERVICES"/>
    <s v="PSG-1004037 v4 + V6 - P00293_2019"/>
    <s v="P00293_2019"/>
    <s v="Packaging - I."/>
    <m/>
    <s v="INV 407174 + INV 407289 + INV 407811 + INV 408776 + INV 408775 + INV 408843 + INV 409004"/>
    <s v="15/07/2019 + 23/08/2019 + 26/02/2020 + 22/02/2021 + 22/02/2021 + 22/02/2021 + 14/04/2021"/>
    <n v="38724.910000000003"/>
    <x v="1"/>
    <n v="39441.389999999985"/>
    <n v="0"/>
    <n v="39441.389999999985"/>
  </r>
  <r>
    <s v="196-1"/>
    <m/>
    <s v="CMC"/>
    <m/>
    <s v="FISHER CLINICAL SERVICES"/>
    <s v="PSG-1004037 v4 + V6 - P00293_2019"/>
    <s v="P00293_2019"/>
    <s v="Labeling Services - II."/>
    <m/>
    <s v="INV 407174 + INV 407289 + INV 409052"/>
    <s v="15/07/2019 + 23/08/2019 + 29/04/2021"/>
    <n v="2629.96"/>
    <x v="1"/>
    <n v="12389.49"/>
    <n v="0"/>
    <n v="12389.49"/>
  </r>
  <r>
    <s v="196-1"/>
    <m/>
    <s v="CMC"/>
    <m/>
    <s v="FISHER CLINICAL SERVICES"/>
    <s v="PSG-1004037 v4 + V6 - P00293_2019"/>
    <s v="P00293_2019"/>
    <s v="Inventory Management - III."/>
    <m/>
    <s v="INV 407289 + INV 5148232 + INV 407395 + INV 407403 + INV 407404 + INV 407496 + INV 407541 + INV 407621 + INV 407717 + INV 407811 + INV 407890 + INV 407979 + INV 408044 + INV 408113 + INV 408243 + INV 408386 + INV 408384 + INV 408467 + INV 408599 + INV 408621 + INV 409052 + INV 409286 + INV 409309 + INV 40572 + INV 409608 + INV 408776 + INV 409922 + INV 410041"/>
    <s v="23/08/2019 + 15/08/2019 + 27/09/2019 + 08/10/2019 + 08/10/2019 bis + 31/10/2019 + 28/11/2019 + 18/12/2019 + 29/01/2020 + 26/02/2020 + 27/03/2020 + 29/04/2020 + 26/05/2020 + 16/06/2020 + 27/07/2020 + 23/09/2020 + 23/09/2020 + 16/10/2020 + 26/11/2020 + 12/12/2020 + 29/04/2021 + 23/06/2021 + 28/06/2021 + 06/08/2021 + 18/08/2021 + 01/10/2021 + 02/11/2021 + 03/12/2021"/>
    <n v="15472.65"/>
    <x v="1"/>
    <n v="30225.669999999991"/>
    <n v="0"/>
    <n v="30225.669999999991"/>
  </r>
  <r>
    <s v="196-1"/>
    <m/>
    <s v="CMC"/>
    <m/>
    <s v="FISHER CLINICAL SERVICES"/>
    <s v="PSG-1004037 v4 + V6 - P00293_2019"/>
    <s v="P00293_2019"/>
    <s v="Distribution - IV."/>
    <m/>
    <s v="INV 407309 + INV 407271 + INV 407395 + INV 407403 + INV 407405 + INV 407541 + INV 407542 + INV 407621 + INV 407979 + INV 407044 + INV 408621 + INV 408734 + INV 408843 + INV 409004 + INV 409052 + INV 409310 + INV 409573 + INV 409635 + INV 409777 + INV 410428  + INV 410690 + INV 410845 + INV 410897"/>
    <s v="29/08/2019 + 15/08/2019 + 27/09/2019 + 08/10/2019 + 08/10/2019 bis + 28/11/2019 + 28/11/2019 Bis + 18/12/2019 + 29/04/2020 + 26/05/2020 + 11/12/2020 + 05/02/2021 + 22/02/2021 + 14/04/2021 + 29/04/2021 + 28/06/2021 + 06/08/2021 + 26/08/2021 + 01/10/2021 + 28/02/2022 +  + 04/05/2022 + 09/06/2022 + 27/06/2022"/>
    <n v="66863.22"/>
    <x v="1"/>
    <n v="44112.739999999983"/>
    <n v="22750.480000000018"/>
    <n v="44112.739999999983"/>
  </r>
  <r>
    <s v="196-1"/>
    <m/>
    <s v="CMC"/>
    <m/>
    <s v="FISHER CLINICAL SERVICES"/>
    <s v="PSG-1004037 v4 + V6 - P00293_2019"/>
    <s v="P00293_2019"/>
    <s v="Total Transportation Mangement - V."/>
    <m/>
    <s v="INV 410428 + INV 410691 + INV 4108445 - INV 410566CN + INV 410897 + INV 413993 + INV 414177 + INV 414252 + INV 414246 + INV 414245 + INV 414244 + INV 414243 + INV 414242 + INV 414241 + INV 414240 + INV 414239 + INV 414238 + INV 414237 + INV 414336 + INV 414477 + INV 414599 + INV 414748 + INV 415019 + INV 415287 + INV 415632 + INV 415840 + INV 415963 + INV 416160"/>
    <s v="28/02/2022 + 04/05/2022 + 09/06/2022 - 29/06/2022 + 27/06/2022 + 29/04/2024 + 30/05/2024 + 07/06/2024 + 07/06/2024 + 07/06/2024 + 07/06/2024 + 07/06/2024 + 07/06/2024 + 07/06/2024 + 07/06/2024 + 07/06/2024 + 07/06/2024 + 07/06/2024 + 27/06/2024 + 25/07/2024 + 26/08/2024 + 16/09/2024 + 30/10/2024 + 18/12/2024 +20/02/2025 + 28/03/2025 + 28/04/2025 + 30/05/2025"/>
    <n v="9440"/>
    <x v="1"/>
    <n v="2308.33"/>
    <n v="7131.67"/>
    <n v="2308.33"/>
  </r>
  <r>
    <s v="196-1"/>
    <m/>
    <s v="CMC"/>
    <m/>
    <s v="FISHER CLINICAL SERVICES"/>
    <s v="Quote 67467 Order 1 V2 - P00321_2019"/>
    <s v="P00321_2019"/>
    <s v="Sourcing of medicinal product for CT - 100% à la livraison des produits"/>
    <m/>
    <m/>
    <s v="INV 5144119 du 13/06/2019 + Estimated handing &amp; shipping fees a venir"/>
    <n v="2267.6799999999998"/>
    <x v="3"/>
    <n v="767.68000000000006"/>
    <n v="1499.9999999999998"/>
    <n v="767.68000000000006"/>
  </r>
  <r>
    <s v="196-1"/>
    <m/>
    <s v="CMC"/>
    <m/>
    <s v="FISHER CLINICAL SERVICES"/>
    <s v="Quote PSG-A-1027572.V2 - P00789_2020"/>
    <s v="P00789_2020"/>
    <s v="Ancillaries and kit manufacturing - Clinical Ancillaries"/>
    <m/>
    <m/>
    <m/>
    <n v="1009.88"/>
    <x v="1"/>
    <m/>
    <n v="1009.88"/>
    <n v="0"/>
  </r>
  <r>
    <s v="196-1"/>
    <m/>
    <s v="CMC"/>
    <m/>
    <s v="FISHER CLINICAL SERVICES"/>
    <s v="Quote PSG-A-1027572.V2 - P00789_2020"/>
    <s v="P00789_2020"/>
    <s v="Ancillaries and kit manufacturing - Packaging"/>
    <m/>
    <s v="INV 408517"/>
    <d v="2020-10-28T00:00:00"/>
    <n v="11456.29"/>
    <x v="1"/>
    <n v="2723.3"/>
    <n v="8732.9900000000016"/>
    <n v="2723.3"/>
  </r>
  <r>
    <s v="196-1"/>
    <m/>
    <s v="CMC"/>
    <m/>
    <s v="FISHER CLINICAL SERVICES"/>
    <s v="Quote PSG-A-1027572.V2 - P00789_2020"/>
    <s v="P00789_2020"/>
    <s v="Ancillaries and kit manufacturing - Labeling Services"/>
    <m/>
    <m/>
    <m/>
    <n v="2413.25"/>
    <x v="1"/>
    <m/>
    <n v="2413.25"/>
    <n v="0"/>
  </r>
  <r>
    <s v="196-1"/>
    <m/>
    <s v="CMC"/>
    <m/>
    <s v="FISHER CLINICAL SERVICES"/>
    <s v="Quote PSG-A-1027572.V2 - P00789_2020"/>
    <s v="P00789_2020"/>
    <s v="Ancillaries and kit manufacturing - Inveroty Management"/>
    <m/>
    <m/>
    <m/>
    <n v="719.36"/>
    <x v="1"/>
    <m/>
    <n v="719.36"/>
    <n v="0"/>
  </r>
  <r>
    <s v="196-1"/>
    <m/>
    <s v="CMC"/>
    <m/>
    <s v="FISHER USA"/>
    <s v="67467.O4.V1 - P00096_2022"/>
    <s v="P00096_2022"/>
    <s v="Sourcing of Medicinal Product(s) for Clinical Trials + Transport"/>
    <m/>
    <s v="INV 5232316P + INV 5233604"/>
    <s v="10/03/2022 + 23/03/2022"/>
    <n v="4207.6000000000004"/>
    <x v="3"/>
    <n v="3271.6000000000004"/>
    <n v="936"/>
    <n v="3271.6000000000004"/>
  </r>
  <r>
    <s v="ABX464"/>
    <m/>
    <s v="REG"/>
    <m/>
    <s v="FREYR"/>
    <s v="P00262_2022"/>
    <s v="P00262_2022"/>
    <s v="Publishing and Sumbission Support + IND Publishing and submission Support"/>
    <m/>
    <s v="INV FRGRE2022411 + INV FRGRE2022467 + INV FRGRE2022539 + INV FRGRE2022606 + INV FRGRE2022760 + INV FRGRE2023118"/>
    <s v="10/08/2022 + 06/09/2022 + 06/10/2022 + 10/11/2022 + 04/01/2023 + 10/04/2023"/>
    <n v="30000"/>
    <x v="1"/>
    <n v="18506"/>
    <n v="11494"/>
    <n v="18506"/>
  </r>
  <r>
    <s v="RA301"/>
    <m/>
    <s v="QA1"/>
    <m/>
    <s v="HARMSON CONSULTING"/>
    <s v="Quote du 03/03/2020 - P00582_2020"/>
    <s v="P00582_2020"/>
    <s v="Audit site Hongrie Avril 2020"/>
    <d v="2020-12-01T00:00:00"/>
    <s v="INV 2020-018"/>
    <d v="2020-11-27T00:00:00"/>
    <n v="4750"/>
    <x v="2"/>
    <n v="2750"/>
    <n v="2000"/>
    <n v="2750"/>
  </r>
  <r>
    <s v="RA301"/>
    <m/>
    <s v="QA1"/>
    <m/>
    <s v="HARMSON CONSULTING"/>
    <s v="Quote du 26/06/2020 - P00681_2020"/>
    <s v="P00681_2020"/>
    <s v="Audit site Belgique Octobre 2020"/>
    <d v="2020-12-01T00:00:00"/>
    <s v="INV 2020-019"/>
    <d v="2020-11-27T00:00:00"/>
    <n v="4750"/>
    <x v="2"/>
    <n v="3000"/>
    <n v="1750"/>
    <n v="3000"/>
  </r>
  <r>
    <s v="UC107"/>
    <m/>
    <s v="CLI"/>
    <m/>
    <s v="HISTALIM / Cerba Research"/>
    <s v="Q2200254 - P00380_2022"/>
    <s v="P00380_2022"/>
    <s v="Histopathology Scoring ABX464-107 - année 2023"/>
    <n v="2023"/>
    <s v="INV F23000216 + INV F23000398 + INV F23000559 + INV F23000693 + INV F23000870 + INV F23001057 + INV F23001321 + INV F23001437"/>
    <s v="27/02/2023 + 31/03/2023 + 27/04/2023 + 26/05/2023 + 30/06/2023 + 31/07/2023 + 29/09/2023 + 31/10/2023"/>
    <n v="93859.199999999997"/>
    <x v="1"/>
    <n v="93859.199999999997"/>
    <n v="0"/>
    <n v="93859.199999999997"/>
  </r>
  <r>
    <s v="UC107"/>
    <m/>
    <s v="CLI"/>
    <m/>
    <s v="HISTALIM / Cerba Research"/>
    <s v="Q2200254_A1 - P00152_2024"/>
    <s v="P00152_2024"/>
    <s v="Histopathology Scoring ABX464-107 - année 2024"/>
    <n v="2024"/>
    <s v="INV F24000637 + INV F24000820"/>
    <s v="30/05/2024 + 28/06/2024"/>
    <n v="98623.32"/>
    <x v="1"/>
    <n v="49311.66"/>
    <n v="49311.66"/>
    <n v="49311.66"/>
  </r>
  <r>
    <s v="UC107"/>
    <m/>
    <s v="CLI"/>
    <m/>
    <s v="HISTALIM / Cerba Research"/>
    <s v="Q2200254_A1 - P00152_2024"/>
    <s v="P00152_2024"/>
    <s v="Histopathology Scoring ABX464-107 - année 2025"/>
    <n v="2025"/>
    <s v="INV F25001213 + INV F25001214 + INV F25001236"/>
    <s v="28/11/2025 + 28/11/2025 + 23/12/2025"/>
    <n v="98623.32"/>
    <x v="1"/>
    <n v="66818.819999999992"/>
    <n v="31804.500000000015"/>
    <n v="66818.819999999992"/>
  </r>
  <r>
    <s v="UC107"/>
    <m/>
    <s v="CLI"/>
    <m/>
    <s v="HISTALIM / Cerba Research"/>
    <s v="Q2200254_A1 - P00152_2024"/>
    <s v="P00152_2024"/>
    <s v="Histopathology Scoring ABX464-107 - année 2026"/>
    <n v="2026"/>
    <m/>
    <m/>
    <n v="32874.44"/>
    <x v="1"/>
    <m/>
    <n v="32874.44"/>
    <n v="0"/>
  </r>
  <r>
    <s v="UC105"/>
    <m/>
    <s v="CLI"/>
    <m/>
    <s v="HISTALIM / Cerba Research"/>
    <s v="Q2200284 - P00378_2022"/>
    <s v="P00378_2022"/>
    <s v="Histopathology Scoring ABX464-105 - année 2022"/>
    <m/>
    <s v="INV F22001693"/>
    <d v="2022-12-29T00:00:00"/>
    <n v="12354"/>
    <x v="1"/>
    <n v="12354"/>
    <n v="0"/>
    <n v="12354"/>
  </r>
  <r>
    <s v="UC105"/>
    <m/>
    <s v="CLI"/>
    <m/>
    <s v="HISTALIM / Cerba Research"/>
    <s v="Q2200284 - P00378_2022"/>
    <s v="P00378_2022"/>
    <s v="Histopathology Scoring ABX464-105 - année 2023"/>
    <n v="2023"/>
    <s v="INV F22000114 + INV F23000214 + INV F23000396 + INV F23000557 + INV F23000691 + INV F23000868 + INV F23001055 + INV F23001319 + INV 23001435"/>
    <s v="31/01/2023 + 27/02/2023 + 31/03/2023 + 27/04/2023 + 26/05/2023 + 30/06/2023 + 31/07/2023 + 29/09/2023 + 31/10/2023"/>
    <n v="181770"/>
    <x v="1"/>
    <n v="181770"/>
    <n v="0"/>
    <n v="181770"/>
  </r>
  <r>
    <s v="UC105"/>
    <m/>
    <s v="CLI"/>
    <m/>
    <s v="HISTALIM / Cerba Research"/>
    <s v="Q2200284_A1 - P00150_2024"/>
    <s v="P00150_2024"/>
    <s v="Histopathology Scoring ABX464-105 - année 2024"/>
    <n v="2024"/>
    <s v="INV F24000635 + INV F24000818 + INV F24000917 + INV F24001072 + INV 24001149 + INV F24001387 INV F24001508"/>
    <s v="30/05/2024 + 28/06/2024 + 29/07/2024 + 30/08/2024+30/09/2024+28/11/2024+24/12/2024"/>
    <n v="146484.72"/>
    <x v="1"/>
    <n v="146484.72"/>
    <n v="0"/>
    <n v="146484.72"/>
  </r>
  <r>
    <s v="UC105"/>
    <m/>
    <s v="CLI"/>
    <m/>
    <s v="HISTALIM / Cerba Research"/>
    <s v="Q2200284_A1 - P00150_2024"/>
    <s v="P00150_2024"/>
    <s v="Histopathology Scoring ABX464-105 - année 2025"/>
    <n v="2025"/>
    <s v="INV F25000105+ INV F25000261 + INV F25000376 + INV 25000507 + INV F25000599 + Inv F25001210 + INV F25001209"/>
    <s v="28/02/2025+31/12/2025+31/03/2025+30/04/2025+30/05/2025 + 27/11/2025 + 27/11/2025"/>
    <n v="61035.299999999996"/>
    <x v="1"/>
    <n v="76157.440000000002"/>
    <n v="0"/>
    <n v="76157.440000000002"/>
  </r>
  <r>
    <s v="UC106"/>
    <m/>
    <s v="CLI"/>
    <m/>
    <s v="HISTALIM / Cerba Research"/>
    <s v="Q2200285 - P00379_2022"/>
    <s v="P00379_2022"/>
    <s v="Histopathology Scoring ABX464-106 - année 2022"/>
    <m/>
    <s v="INV F22001694"/>
    <d v="2022-12-29T00:00:00"/>
    <n v="12354"/>
    <x v="1"/>
    <n v="12354"/>
    <n v="0"/>
    <n v="12354"/>
  </r>
  <r>
    <s v="UC106"/>
    <m/>
    <s v="CLI"/>
    <m/>
    <s v="HISTALIM / Cerba Research"/>
    <s v="Q2200285 - P00379_2022"/>
    <s v="P00379_2022"/>
    <s v="Histopathology Scoring ABX464-106 - année 2023"/>
    <n v="2023"/>
    <s v="INV F23000113 + INV F23000215 + INV F23000397 + INV F23000558 + INV F23000692 + INV F23000869 + INV F23001056 + INV F23001320 + INV F23001436"/>
    <s v="31/01/2023 + 27/02/2023 + 31/03/2023 + 27/04/2023 + 26/05/2023 + 30/06/2023 + 30/07/2023 + 29/09/2023 + 31/10/2023"/>
    <n v="181770"/>
    <x v="1"/>
    <n v="181770"/>
    <n v="0"/>
    <n v="181770"/>
  </r>
  <r>
    <s v="UC106"/>
    <m/>
    <s v="CLI"/>
    <m/>
    <s v="HISTALIM / Cerba Research"/>
    <s v="Q2200285_A1 - P00151_2024"/>
    <s v="P00151_2024"/>
    <s v="Histopathology Scoring ABX464-106 - année 2024"/>
    <n v="2024"/>
    <s v="INV F24000636 + INV F24000819 + INV F24000918 + INV F24001073 + INV F24001150 + INV F24001507"/>
    <s v="30/05/2024 + 28/06/2024 + 29/07/2024 + 30/08/2024 + 30/09/2024 + 24/12/2024"/>
    <n v="146484.72"/>
    <x v="1"/>
    <n v="122070.59999999999"/>
    <n v="24414.12000000001"/>
    <n v="122070.59999999999"/>
  </r>
  <r>
    <s v="UC106"/>
    <m/>
    <s v="CLI"/>
    <m/>
    <s v="HISTALIM / Cerba Research"/>
    <s v="Q2200285_A1 - P00151_2024"/>
    <s v="P00151_2024"/>
    <s v="Histopathology Scoring ABX464-106 - année 2025"/>
    <n v="2025"/>
    <s v="INV F25000106 + INV F25000262 + INV F25000377+INV F25000508+ INV F25000600 + INV F25001211 + INV F25001212"/>
    <s v="31/01/2025+28/02/2025+31/03/2025+30/04/2025+31/05/2025 + 28/11/2025 + 28/11/2025"/>
    <n v="61035.299999999996"/>
    <x v="1"/>
    <n v="71906.320999999996"/>
    <n v="0"/>
    <n v="71906.320999999996"/>
  </r>
  <r>
    <s v="CD202"/>
    <m/>
    <s v="CLI"/>
    <s v="Julien S"/>
    <s v="HISTALIM / Cerba Research"/>
    <s v="Q2300304_V3&amp;V4 - P00448_2023 + P00297_2024"/>
    <s v="P00448_2023 + P00297_2024"/>
    <s v="Histopathology Geboes Scoring"/>
    <m/>
    <s v="INV F25001215 + INV F2501216 + INV F25001235"/>
    <s v="28/11/2025 + 28/11/2025+23/12/2025"/>
    <n v="869643.05"/>
    <x v="1"/>
    <n v="82560.149999999994"/>
    <n v="787082.9"/>
    <n v="82560.149999999994"/>
  </r>
  <r>
    <s v="UC104"/>
    <m/>
    <s v="CLI"/>
    <m/>
    <s v="IQVIA"/>
    <s v="CNF 2 - Ecrasé par CO3"/>
    <m/>
    <s v="CNF2"/>
    <m/>
    <m/>
    <m/>
    <n v="0"/>
    <x v="1"/>
    <m/>
    <n v="0"/>
    <n v="0"/>
  </r>
  <r>
    <s v="JP921"/>
    <m/>
    <s v="CLI"/>
    <m/>
    <s v="IQVIA"/>
    <s v="MSA_18231_W3  - P00203_2021 + WO1 - P00336_2021"/>
    <s v="P00336_2021"/>
    <s v="Pass-Through costs*"/>
    <m/>
    <s v="INV FRA-002695 + INV FRA-002762 + INV FRA-002803 + INV FRA-002875 + INV FRA-002955 + INV FRA-003023 + INV FRA-003086 + INV FRA-003152 + INV FRA-003244 + INV FRA-003297 + INV FRA-003351 + INV FRA-003440 + INV FRA-003865"/>
    <s v="11/08/2021 + 14/09/2021 + 12/10/2021 + 10/11/2021 + 09/12/2021 + 13/01/2022 + 11/02/2022 + 08/03/2022 + 11/04/2022 + 10/05/2022 + 08/06/2022 + 12/07/2022 + 12/12/2022"/>
    <n v="82370.067999999999"/>
    <x v="1"/>
    <n v="51342.57"/>
    <n v="31027.498"/>
    <n v="51342.57"/>
  </r>
  <r>
    <s v="JP921"/>
    <m/>
    <s v="CLI"/>
    <m/>
    <s v="IQVIA"/>
    <s v="MSA_18231_W3  - P00203_2021 + WO1 + WO2 - P00336_2021 + P00123_2022"/>
    <s v="P00123_2022"/>
    <s v="Investigator costs**"/>
    <m/>
    <s v="INV FRA-002876 + INV FRA-003296"/>
    <s v="10/11/2021 + 10/05/2022"/>
    <n v="784532.78199999989"/>
    <x v="1"/>
    <n v="866102.02"/>
    <n v="0"/>
    <n v="866102.02"/>
  </r>
  <r>
    <s v="JP921"/>
    <m/>
    <s v="CLI"/>
    <m/>
    <s v="IQVIA"/>
    <s v="MSA_18231_W3 - P00203_2021"/>
    <s v="P00203_2021"/>
    <s v="Pre-payment upon Signature of WO"/>
    <m/>
    <s v="INV FRA-002668"/>
    <d v="2021-07-22T00:00:00"/>
    <n v="250000"/>
    <x v="1"/>
    <n v="250000"/>
    <n v="0"/>
    <n v="250000"/>
  </r>
  <r>
    <s v="JP921"/>
    <m/>
    <s v="CLI"/>
    <m/>
    <s v="IQVIA"/>
    <s v="MSA_18231_W3 - P00203_2021"/>
    <s v="P00203_2021"/>
    <s v="50% of Site Qualification Visits &amp; Reports Completed"/>
    <m/>
    <s v="INV FRA-002668"/>
    <d v="2021-07-22T00:00:00"/>
    <n v="109000"/>
    <x v="1"/>
    <n v="109000"/>
    <n v="0"/>
    <n v="109000"/>
  </r>
  <r>
    <s v="JP921"/>
    <m/>
    <s v="CLI"/>
    <m/>
    <s v="IQVIA"/>
    <s v="MSA_18231_W3 - P00203_2021"/>
    <s v="P00203_2021"/>
    <s v="First Site Initiated"/>
    <m/>
    <s v="INV FRA-002804"/>
    <d v="2021-10-12T00:00:00"/>
    <n v="103000"/>
    <x v="1"/>
    <n v="103000"/>
    <n v="0"/>
    <n v="103000"/>
  </r>
  <r>
    <s v="JP921"/>
    <m/>
    <s v="CLI"/>
    <m/>
    <s v="IQVIA"/>
    <s v="MSA_18231_W3 - P00203_2021"/>
    <s v="P00203_2021"/>
    <s v="FPI on Single Dose Part"/>
    <m/>
    <s v="INV FRA-002804"/>
    <d v="2021-10-12T00:00:00"/>
    <n v="63000"/>
    <x v="1"/>
    <n v="63000"/>
    <n v="0"/>
    <n v="63000"/>
  </r>
  <r>
    <s v="JP921"/>
    <m/>
    <s v="CLI"/>
    <m/>
    <s v="IQVIA"/>
    <s v="MSA_18231_W3 - P00203_2021"/>
    <s v="P00203_2021"/>
    <s v="FPI of Multiple Dose Part"/>
    <m/>
    <s v="INV FRA-002922"/>
    <d v="2021-12-02T00:00:00"/>
    <n v="63000"/>
    <x v="1"/>
    <n v="63000"/>
    <n v="0"/>
    <n v="63000"/>
  </r>
  <r>
    <s v="JP921"/>
    <m/>
    <s v="CLI"/>
    <m/>
    <s v="IQVIA"/>
    <s v="MSA_18231_W3 - P00203_2021"/>
    <s v="P00203_2021"/>
    <s v="Credit Back"/>
    <m/>
    <s v="INV FRA-003896 + INV FRA-003895"/>
    <s v="19/12/2022 + 19/12/2022 (saisie 01/2023)"/>
    <n v="-250000"/>
    <x v="1"/>
    <n v="-266928"/>
    <n v="0"/>
    <n v="-266928"/>
  </r>
  <r>
    <s v="JP921"/>
    <m/>
    <s v="CLI"/>
    <m/>
    <s v="IQVIA"/>
    <s v="MSA_18231_W3 - P00203_2021"/>
    <s v="P00203_2021"/>
    <s v="Monthly Payment 1"/>
    <m/>
    <s v="INV FRA-002701"/>
    <d v="2021-08-11T00:00:00"/>
    <n v="66045"/>
    <x v="1"/>
    <n v="66045"/>
    <n v="0"/>
    <n v="66045"/>
  </r>
  <r>
    <s v="JP921"/>
    <m/>
    <s v="CLI"/>
    <m/>
    <s v="IQVIA"/>
    <s v="MSA_18231_W3 - P00203_2021"/>
    <s v="P00203_2021"/>
    <s v="Monthly Payment 2"/>
    <m/>
    <s v="INV FRA-002745"/>
    <d v="2021-09-09T00:00:00"/>
    <n v="66045"/>
    <x v="1"/>
    <n v="66045"/>
    <n v="0"/>
    <n v="66045"/>
  </r>
  <r>
    <s v="JP921"/>
    <m/>
    <s v="CLI"/>
    <m/>
    <s v="IQVIA"/>
    <s v="MSA_18231_W3 - P00203_2021"/>
    <s v="P00203_2021"/>
    <s v="Monthly Payment 3"/>
    <m/>
    <s v="INV FRA-002804"/>
    <d v="2021-10-12T00:00:00"/>
    <n v="66045"/>
    <x v="1"/>
    <n v="66045"/>
    <n v="0"/>
    <n v="66045"/>
  </r>
  <r>
    <s v="JP921"/>
    <m/>
    <s v="CLI"/>
    <m/>
    <s v="IQVIA"/>
    <s v="MSA_18231_W3 - P00203_2021"/>
    <s v="P00203_2021"/>
    <s v="Monthly Payment 4"/>
    <m/>
    <s v="INV FRA-002874"/>
    <d v="2021-11-10T00:00:00"/>
    <n v="66045"/>
    <x v="1"/>
    <n v="66045"/>
    <n v="0"/>
    <n v="66045"/>
  </r>
  <r>
    <s v="JP921"/>
    <m/>
    <s v="CLI"/>
    <m/>
    <s v="IQVIA"/>
    <s v="MSA_18231_W3 - P00203_2021"/>
    <s v="P00203_2021"/>
    <s v="Monthly Payment 5"/>
    <m/>
    <s v="INV FRA-002982"/>
    <d v="2021-12-23T00:00:00"/>
    <n v="66045"/>
    <x v="1"/>
    <n v="66045"/>
    <n v="0"/>
    <n v="66045"/>
  </r>
  <r>
    <s v="JP921"/>
    <m/>
    <s v="CLI"/>
    <m/>
    <s v="IQVIA"/>
    <s v="MSA_18231_W3 - P00203_2021"/>
    <s v="P00203_2021"/>
    <s v="Monthly Payment 6"/>
    <m/>
    <s v="INV FRA-003188"/>
    <d v="2022-03-28T00:00:00"/>
    <n v="57041"/>
    <x v="1"/>
    <n v="57041"/>
    <n v="0"/>
    <n v="57041"/>
  </r>
  <r>
    <s v="JP921"/>
    <m/>
    <s v="CLI"/>
    <m/>
    <s v="IQVIA"/>
    <s v="MSA_18231_W3 - P00203_2021"/>
    <s v="P00203_2021"/>
    <s v="Monthly Payment 7"/>
    <m/>
    <s v="INV FRA-003188"/>
    <d v="2022-03-28T00:00:00"/>
    <n v="57041"/>
    <x v="1"/>
    <n v="57041"/>
    <n v="0"/>
    <n v="57041"/>
  </r>
  <r>
    <s v="JP921"/>
    <m/>
    <s v="CLI"/>
    <m/>
    <s v="IQVIA"/>
    <s v="MSA_18231_W3 - P00203_2021"/>
    <s v="P00203_2021"/>
    <s v="Monthly Payment 8"/>
    <m/>
    <s v="INV FRA-003188"/>
    <d v="2022-03-28T00:00:00"/>
    <n v="57041"/>
    <x v="1"/>
    <n v="57041"/>
    <n v="0"/>
    <n v="57041"/>
  </r>
  <r>
    <s v="JP921"/>
    <m/>
    <s v="CLI"/>
    <m/>
    <s v="IQVIA"/>
    <s v="MSA_18231_W3 - P00203_2021"/>
    <s v="P00203_2021"/>
    <s v="Monthly Payment 9"/>
    <m/>
    <s v="INV FRA-003260"/>
    <d v="2022-04-28T00:00:00"/>
    <n v="57042"/>
    <x v="1"/>
    <n v="57042"/>
    <n v="0"/>
    <n v="57042"/>
  </r>
  <r>
    <s v="JP921"/>
    <m/>
    <s v="CLI"/>
    <m/>
    <s v="IQVIA"/>
    <s v="MSA_18231_W3 - P00203_2021"/>
    <s v="P00203_2021"/>
    <s v="Pass-Through costs - Upfront 20%"/>
    <m/>
    <s v="INV FRA-002907"/>
    <d v="2021-11-24T00:00:00"/>
    <n v="16928.432000000001"/>
    <x v="1"/>
    <n v="16928"/>
    <n v="0.43200000000069849"/>
    <n v="16928"/>
  </r>
  <r>
    <s v="JP921"/>
    <m/>
    <s v="CLI"/>
    <m/>
    <s v="IQVIA"/>
    <s v="MSA_18231_W3 - P00203_2021"/>
    <s v="P00203_2021"/>
    <s v="Investigator costs - Upfont 20%"/>
    <m/>
    <s v="INV FRA-002908 - INV FRA-003897"/>
    <s v="24/11/2021 - 19/12/2022 (Recu 01/2023)"/>
    <n v="148641.758"/>
    <x v="1"/>
    <n v="0"/>
    <n v="0"/>
    <n v="0"/>
  </r>
  <r>
    <s v="JP921"/>
    <m/>
    <s v="CLI"/>
    <m/>
    <s v="IQVIA"/>
    <s v="MSA_18231_W3 - WO1 - P00336_2021"/>
    <s v="P00336_2021"/>
    <s v="Database Lock (DBL)"/>
    <m/>
    <s v="INV FRA-003188"/>
    <d v="2022-03-28T00:00:00"/>
    <n v="50000"/>
    <x v="1"/>
    <n v="50000"/>
    <n v="0"/>
    <n v="50000"/>
  </r>
  <r>
    <s v="JP921"/>
    <m/>
    <s v="CLI"/>
    <m/>
    <s v="IQVIA"/>
    <s v="MSA_18231_W3 - WO2 - P00123_2022"/>
    <s v="P00123_2022"/>
    <s v="Planned Statistical Analysis Complete"/>
    <m/>
    <s v="INV FRA-003724"/>
    <d v="2022-10-12T00:00:00"/>
    <n v="38633.199999999997"/>
    <x v="1"/>
    <n v="38633.199999999997"/>
    <n v="0"/>
    <n v="38633.199999999997"/>
  </r>
  <r>
    <s v="JP921"/>
    <m/>
    <s v="CLI"/>
    <m/>
    <s v="IQVIA"/>
    <s v="MSA_18231_W3_CO1 - P00059_2021"/>
    <s v="P00059_2021"/>
    <s v="Japan PMDE support ABX464"/>
    <m/>
    <s v="INV QJP-040943 + INV QJP-040942 + INV QJP-041894 - INV QJP-041895"/>
    <s v="11/03/2021 + 11/03/2021 + 07/05/2021 + 07/05/2021"/>
    <n v="6840"/>
    <x v="1"/>
    <n v="6840"/>
    <n v="0"/>
    <n v="6840"/>
  </r>
  <r>
    <s v="JP921"/>
    <m/>
    <s v="CLI"/>
    <m/>
    <s v="IQVIA"/>
    <s v="MSA_18231_W3LOA - P00167_2021"/>
    <s v="P00167_2021"/>
    <s v="Pre-payment upon Signature of ATP"/>
    <m/>
    <s v="INV FRA-002598"/>
    <d v="2021-05-28T00:00:00"/>
    <n v="159042"/>
    <x v="1"/>
    <n v="159042"/>
    <n v="0"/>
    <n v="159042"/>
  </r>
  <r>
    <s v="JP921"/>
    <m/>
    <s v="CLI"/>
    <m/>
    <s v="IQVIA"/>
    <s v="MSA_18231_W3LOA - P00167_2021"/>
    <s v="P00167_2021"/>
    <s v="Site Selection Approval"/>
    <m/>
    <s v="INV FRA-002668"/>
    <d v="2021-07-22T00:00:00"/>
    <n v="159042"/>
    <x v="1"/>
    <n v="159042"/>
    <n v="0"/>
    <n v="159042"/>
  </r>
  <r>
    <s v="UC104"/>
    <m/>
    <s v="CLI"/>
    <m/>
    <s v="IQVIA"/>
    <s v="MSA_19087 LOA"/>
    <m/>
    <s v="Professionnal Fee due Upon LOA signature - 25%"/>
    <m/>
    <s v="INV FRA-001701"/>
    <d v="2019-07-10T00:00:00"/>
    <n v="263581.40749999997"/>
    <x v="1"/>
    <s v="OK"/>
    <n v="0"/>
    <n v="263581.40749999997"/>
  </r>
  <r>
    <s v="UC104"/>
    <m/>
    <s v="CLI"/>
    <m/>
    <s v="IQVIA"/>
    <s v="MSA_19087 LOA"/>
    <m/>
    <s v="Monthly fee Juillet 2019 - 20%"/>
    <m/>
    <s v="INV FRA-001701"/>
    <d v="2019-07-10T00:00:00"/>
    <n v="210865.12599999999"/>
    <x v="1"/>
    <s v="OK"/>
    <n v="0"/>
    <n v="210865.12599999999"/>
  </r>
  <r>
    <s v="UC104"/>
    <m/>
    <s v="CLI"/>
    <m/>
    <s v="IQVIA"/>
    <s v="MSA_19087 LOA"/>
    <m/>
    <s v="Monthly fee Août 2019 - 20%"/>
    <m/>
    <s v="INV FRA-001724"/>
    <d v="2019-08-09T00:00:00"/>
    <n v="210865.12599999999"/>
    <x v="1"/>
    <s v="OK"/>
    <n v="0"/>
    <n v="210865.12599999999"/>
  </r>
  <r>
    <s v="UC104"/>
    <m/>
    <s v="CLI"/>
    <m/>
    <s v="IQVIA"/>
    <s v="MSA_19087 LOA"/>
    <m/>
    <s v="Monthly fee Septembre 2019 - 20%"/>
    <m/>
    <s v="INV FRA-001730"/>
    <d v="2019-09-04T00:00:00"/>
    <n v="210865.12599999999"/>
    <x v="1"/>
    <s v="OK"/>
    <n v="0"/>
    <n v="210865.12599999999"/>
  </r>
  <r>
    <s v="UC104"/>
    <m/>
    <s v="CLI"/>
    <m/>
    <s v="IQVIA"/>
    <s v="MSA_19087 LOA"/>
    <m/>
    <s v="Monthly fee Octobre 2019 - 15%"/>
    <m/>
    <s v="INV FRA-001786"/>
    <d v="2019-10-22T00:00:00"/>
    <n v="158148.84449999998"/>
    <x v="1"/>
    <s v="OK"/>
    <n v="0"/>
    <n v="158148.84449999998"/>
  </r>
  <r>
    <s v="UC104"/>
    <m/>
    <s v="CLI"/>
    <m/>
    <s v="IQVIA"/>
    <s v="MSA_19087 LOA"/>
    <m/>
    <s v="PTC due upon signature"/>
    <m/>
    <s v="INV FRA-001735 + INV FRA-001778 + INV FRA-001795"/>
    <s v="10/09/2019 + 17/10/2019 + 08/11/2019"/>
    <n v="73358.86"/>
    <x v="1"/>
    <n v="73358.86"/>
    <n v="0"/>
    <n v="73358.86"/>
  </r>
  <r>
    <s v="UC104"/>
    <m/>
    <s v="CLI"/>
    <m/>
    <s v="IQVIA"/>
    <s v="MSA_19087 WO1"/>
    <m/>
    <s v="Upon execution of WO"/>
    <m/>
    <s v="INV FRA-001804"/>
    <d v="2019-11-21T00:00:00"/>
    <n v="500000"/>
    <x v="1"/>
    <s v="OK"/>
    <n v="0"/>
    <n v="500000"/>
  </r>
  <r>
    <s v="UC104"/>
    <m/>
    <s v="CLI"/>
    <m/>
    <s v="IQVIA"/>
    <s v="MSA_19087 WO1"/>
    <m/>
    <s v="First Patient Randomized"/>
    <m/>
    <s v="INV FRA-001884"/>
    <d v="2020-01-15T00:00:00"/>
    <n v="400000"/>
    <x v="1"/>
    <s v="OK"/>
    <n v="0"/>
    <n v="400000"/>
  </r>
  <r>
    <s v="UC104"/>
    <m/>
    <s v="CLI"/>
    <m/>
    <s v="IQVIA"/>
    <s v="MSA_19087 WO1"/>
    <m/>
    <s v="15% of Site Initiation Visits &amp; Reports Completed"/>
    <m/>
    <s v="INV FRA-002069"/>
    <d v="2020-05-26T00:00:00"/>
    <n v="400000"/>
    <x v="1"/>
    <s v="OK"/>
    <n v="0"/>
    <n v="400000"/>
  </r>
  <r>
    <s v="UC104"/>
    <m/>
    <s v="CLI"/>
    <m/>
    <s v="IQVIA"/>
    <s v="MSA_19087 WO1"/>
    <m/>
    <s v="10% of Monitoring Visit &amp; Reports Completed"/>
    <m/>
    <s v="INV FRA-002205"/>
    <d v="2020-10-08T00:00:00"/>
    <n v="400000"/>
    <x v="1"/>
    <s v="OK"/>
    <n v="0"/>
    <n v="400000"/>
  </r>
  <r>
    <s v="UC104"/>
    <m/>
    <s v="CLI"/>
    <m/>
    <s v="IQVIA"/>
    <s v="MSA_19087 WO1"/>
    <m/>
    <s v="25% of Total CRF Pages Monitored (Source Data Verified)"/>
    <m/>
    <s v="INV FRA-002412"/>
    <d v="2021-02-04T00:00:00"/>
    <n v="200000"/>
    <x v="1"/>
    <s v="OK"/>
    <n v="0"/>
    <n v="200000"/>
  </r>
  <r>
    <s v="UC104"/>
    <m/>
    <s v="CLI"/>
    <m/>
    <s v="IQVIA"/>
    <s v="MSA_19087 WO1"/>
    <m/>
    <s v="75% of Patients Randomized"/>
    <m/>
    <s v="INV FRA-002461"/>
    <d v="2021-03-05T00:00:00"/>
    <n v="200000"/>
    <x v="1"/>
    <s v="OK"/>
    <n v="0"/>
    <n v="200000"/>
  </r>
  <r>
    <s v="UC104"/>
    <m/>
    <s v="CLI"/>
    <m/>
    <s v="IQVIA"/>
    <s v="MSA_19087 WO1"/>
    <m/>
    <s v="35% of Total CRF Pages Monitored (Source Data Verified)"/>
    <m/>
    <s v="INV FRA-002540"/>
    <d v="2021-04-15T00:00:00"/>
    <n v="200000"/>
    <x v="1"/>
    <s v="OK"/>
    <n v="0"/>
    <n v="200000"/>
  </r>
  <r>
    <s v="UC104"/>
    <m/>
    <s v="CLI"/>
    <m/>
    <s v="IQVIA"/>
    <s v="MSA_19087 WO1"/>
    <m/>
    <s v="45% of Total CRF Pages Monitored (Source Data Verified)"/>
    <m/>
    <s v="INV FRA-002540"/>
    <d v="2021-04-15T00:00:00"/>
    <n v="150000"/>
    <x v="1"/>
    <s v="OK"/>
    <n v="0"/>
    <n v="150000"/>
  </r>
  <r>
    <s v="UC104"/>
    <m/>
    <s v="CLI"/>
    <m/>
    <s v="IQVIA"/>
    <s v="MSA_19087 WO1"/>
    <m/>
    <s v="55% of Total CRF Pages Monitored (Source Data Verified)"/>
    <m/>
    <s v="INV FRA-002588"/>
    <d v="2021-05-19T00:00:00"/>
    <n v="150000"/>
    <x v="1"/>
    <s v="OK"/>
    <n v="0"/>
    <n v="150000"/>
  </r>
  <r>
    <s v="UC104"/>
    <m/>
    <s v="CLI"/>
    <m/>
    <s v="IQVIA"/>
    <s v="MSA_19087 WO1"/>
    <m/>
    <s v="PTC - 10% upon execution"/>
    <m/>
    <s v="INV FRA-001812"/>
    <d v="2019-12-05T00:00:00"/>
    <n v="200520.91399999999"/>
    <x v="1"/>
    <s v="OK"/>
    <n v="0"/>
    <n v="200520.91399999999"/>
  </r>
  <r>
    <s v="UC104"/>
    <m/>
    <s v="CLI"/>
    <m/>
    <s v="IQVIA"/>
    <s v="MSA_19087 WO1"/>
    <m/>
    <s v="Investigator cost - 10% au First Patient Screened (Janv. 2020)"/>
    <m/>
    <s v="INV FRA-002168"/>
    <d v="2020-08-21T00:00:00"/>
    <n v="256888.7"/>
    <x v="1"/>
    <s v="OK"/>
    <n v="0"/>
    <n v="256888.7"/>
  </r>
  <r>
    <s v="UC104"/>
    <m/>
    <s v="CLI"/>
    <m/>
    <s v="IQVIA"/>
    <s v="MSA_19087 WO1 +  CO1 + CO2 + CO3"/>
    <m/>
    <s v="PTC"/>
    <m/>
    <s v="INV FRA-001819 + INV FRA-001850 + INV FRA-001930 + INV FRA-001964 + INV FRA-0020221 + INV FRA-002043 + INV FRA-002125 + INV FRA-002151 + INV FRA-002188 + INV FRA-002213 + INV FRA-002088 + INV FRA-002250 + INV FRA-002312 + INV FRA-002375 + INV FRA-002420 + INV FRA-002468 + INV FRA-002528 + INV FRA-002576 + INV FRA-002624 + INV FRA-002658 + INV FRA-002703 + INV FRA-002765 + INV FRA-002807 + INV FRA-002884 + INV FRA-002970 + INV FRA-003034 + INV FRA-003030 + INV FRA-003125 + INV FRA-003137 + INV FRA-003185 + INV FRA-003250 + INV FRA-003310 + INV FRA-003375 + INV FRA-003456 + INV FRA-003532 + INV FRA-003652 + INV FRA-003812 + INV FRA-003864 + INV FRA-003964 + INV FRA-004045 + INV FRA-004113 + INV FRA-004170 + INV FRA-004222 + INV FRA-004278 + INV FRA-004307 + INV FRA-004406 + INV FRA-004441 + INV FRA-004475 + INV FRA-004556 + INV FRA-004637 + INV FRA-004748 + INv FRA-004847 + INV FRA-004886 - INV FRA-004977 + INV FRA-004993 + INV FRA-005163 + INV FRA-005321 + INV FRA-005387 + INV FRA-005661 + INC FRA-005741+ INV FR-005823 + INV FRA-005897 + INV FRA-006045 + INV FRA-006640 + INV FRA-007115"/>
    <s v="09/12/2019 + 09/01/2020 + 10/02/2020 + 10/03/2020 + 15/04/2020 + 14/05/2020 + 20/07/2020 + 11/08/2020 + 11/09/2020 + 13/10/2020 + 10/06/2020 + 11/11/2020 + 11/12/2020 + 14/01/2021 + 11/02/2021 + 11/03/2021 + 09/04/2021 + 12/05/2021 + 10/06/2021 + 14/07/2021 + 12/08/2021 + 14/09/2021 + 14/10/2021 + 18/11/2021 + 15/12/2021 + 14/01/2022 + 14/01/2022 + 21/02/2022 + 02/03/2022 + 22/03/2022 + 13/04/2022 + 16/05/2022 + 13/06/2022 + 14/07/2022 + 11/08/2022 + 16/09/2022 + 15/11/2022 + 09/12/2022 + 13/01/2023 + 15/02/2023 + 14/03/2023 + 12/04/2023 + 10/05/2023 + 01/06/2023 + 13/06/2023 + 14/07/2023 + 27/07/2023 + 11/08/2023 + 13/09/2023 + 12/10/2023 + 10/11/2023 + 01/01/2024 + 08/01/2024 - 09/02/2024 + 13/02/2024 + 12/04/2024 + 18/06/2024 + 12/07/2024 + 14/11/2024 + 09/12/2024 + 10/01/2025+12/02/2025+14/03/2025+10/09/2025+ 09/01/2026"/>
    <n v="2381021.8760000002"/>
    <x v="1"/>
    <n v="1818960.5999999999"/>
    <n v="562061.2760000003"/>
    <n v="1818960.5999999999"/>
  </r>
  <r>
    <s v="UC104"/>
    <m/>
    <s v="CLI"/>
    <m/>
    <s v="IQVIA"/>
    <s v="MSA_19087 WO1 +  CO1 + CO2 + CO3"/>
    <m/>
    <s v="Investigator cost"/>
    <m/>
    <s v="INV FRA-002022 + INV FRA-002045 + INV FRA-002090  + INV FRA-002118 + INV FRA-002151 + INV FRA-002187 + INV FRA-002212 + INV FRA-002249 + INV FRA-002313 + INV FRA-002376 + INV FRA-002417 + INV FRA-002467 + INV FRA-002527 + INV FRA-002577 + INV FRA-002623 + INV FRA-002659 + INV FRA-002705 + INV FRA-002763 + iNV FRA-002808 + INV FRA-002891 + INV FRA-002971 + INV FRA-003033 + INV FRA-003126 + INV FRA-003135 + INV FRA-003186 + INV FRA-003248 + INV FRA-003309 - CR FRA-003134 + INV FRA-003373 + INV FRA-003458 + INV FRA-003533 + INV FRA-003653 + INV FRA-003727 + INV FRA-003813 + INV FRA-003862 + INV FRA-003961 + INV FRA-004048 + INV FRA-004116 + INV FRA-004171 + INV FRA-004224 + INV FRA-004308 + INV FRA-004408 + INV FRA-004476 + INV FRA-004557 + INV FRA-004639 + INV FRA-004746 + INv FRA-004845 + INV FRA-004884 + INV FRA-005164 + INV FRA-005236 - INV FRA-005325 + INV FRA-005388 + INV FRA-005444 + INV FRA-05590 + INV FRA-005662 + INV FRA-005740 + INV FRA-005824 + INV FRA-005898 + INV FRA-006319 + INV FRA - 006564 + INV FRA-007117"/>
    <s v="15/04/2020 + 14/05/2020 + 10/06/2020 + 13/07/2020 + 11/08/2020 + 11/09/2020 + 13/10/2020 + 11/11/2020 + 11/12/2020 + 14/01/2021 + 11/02/2021 + 11/03/2021 + 08/04/2021 + 12/05/2021 + 10/06/2021 + 14/07/2021 + 12/08/2021 + 14/09/2021 + 14/10/2021 + 19/11/2021 + 15/12/2021 + 14/01/2022 + 21/02/2022 + 24/02/2022 + 22/03/2022 + 13/04/2022 + 16/05/2022 + 24/02/2022 (saisie 05/2022) + 13/06/2022 + 14/07/2022 + 11/08/2022 + 16/09/2022 + 13/10/2022 + 15/11/2022 + 09/12/2022 + 13/01/2023 + 15/02/2023 + 14/03/2023 + 12/04/2023 + 10/05/2023 + 13/06/2023 + 14/07/2023 + 11/08/2023 + 13/09/2023 + 12/10/2023 + 10/11/2023 + 15/12/2023 + 08/01/2024 + 12/04/2024 + 13/05/2024 + 18/06/2024 + 12/07/2024 + 14/08/2024 + 11/10/2024 + 14/11/2024 + 09/12/2024 + 10/01/2025 + 12/02/2025 + 12/06/2025+13/08/2025 + 09/01/2026"/>
    <n v="2386811"/>
    <x v="1"/>
    <n v="2332910.81"/>
    <n v="53900.189999999944"/>
    <n v="2332910.81"/>
  </r>
  <r>
    <s v="UC104"/>
    <m/>
    <s v="CLI"/>
    <m/>
    <s v="IQVIA"/>
    <s v="MSA_19087 WO1 + MSA_19087 WO1 CO2"/>
    <m/>
    <s v="30% of Monitoring Visita &amp; Reports Completed"/>
    <m/>
    <s v="INV FRA-002811"/>
    <d v="2021-10-14T00:00:00"/>
    <n v="500000"/>
    <x v="1"/>
    <s v="OK"/>
    <n v="0"/>
    <n v="500000"/>
  </r>
  <r>
    <s v="UC104"/>
    <m/>
    <s v="CLI"/>
    <m/>
    <s v="IQVIA"/>
    <s v="MSA_19087 WO1 + MSA_19087 WO1 CO2"/>
    <m/>
    <s v="40% of Monitoring Visits &amp; Reports Completed"/>
    <m/>
    <s v="INV FRA-003014"/>
    <d v="2022-01-12T00:00:00"/>
    <n v="600000"/>
    <x v="1"/>
    <s v="OK"/>
    <n v="0"/>
    <n v="600000"/>
  </r>
  <r>
    <s v="UC104"/>
    <m/>
    <s v="CLI"/>
    <m/>
    <s v="IQVIA"/>
    <s v="MSA_19087 WO1 + MSA_19087 WO1 CO2"/>
    <m/>
    <s v="50% of Monitoring Visits &amp; Reports Completed"/>
    <m/>
    <s v="INV FRA-003129"/>
    <d v="2022-02-24T00:00:00"/>
    <n v="600000"/>
    <x v="1"/>
    <s v="OK"/>
    <n v="0"/>
    <n v="600000"/>
  </r>
  <r>
    <s v="UC104"/>
    <m/>
    <s v="CLI"/>
    <m/>
    <s v="IQVIA"/>
    <s v="MSA_19087 WO1 + MSA_19087 WO1 CO2"/>
    <m/>
    <s v="60% of Monitoring Visits &amp; Reports Completed"/>
    <m/>
    <s v="INV FRA-003451"/>
    <d v="2022-07-13T00:00:00"/>
    <n v="150000"/>
    <x v="1"/>
    <s v="OK"/>
    <n v="0"/>
    <n v="150000"/>
  </r>
  <r>
    <s v="UC104"/>
    <m/>
    <s v="CLI"/>
    <m/>
    <s v="IQVIA"/>
    <s v="MSA_19087 WO1 + MSA_19087 WO1 CO2"/>
    <m/>
    <s v="65% of Total CRF Pages Monitored (Source Data Verified)"/>
    <m/>
    <s v="INV FRA-003024"/>
    <d v="2022-01-13T00:00:00"/>
    <n v="280000"/>
    <x v="1"/>
    <s v="OK"/>
    <n v="0"/>
    <n v="280000"/>
  </r>
  <r>
    <s v="UC104"/>
    <m/>
    <s v="CLI"/>
    <m/>
    <s v="IQVIA"/>
    <s v="MSA_19087 WO1 + MSA_19087 WO1 CO2"/>
    <m/>
    <s v="70% of Monitoring Visits &amp; Reports Completed"/>
    <m/>
    <s v="INV FRA-003746"/>
    <d v="2022-10-21T00:00:00"/>
    <n v="100000"/>
    <x v="1"/>
    <s v="OK"/>
    <n v="0"/>
    <n v="100000"/>
  </r>
  <r>
    <s v="UC104"/>
    <m/>
    <s v="CLI"/>
    <m/>
    <s v="IQVIA"/>
    <s v="MSA_19087 WO1 + MSA_19087 WO1 CO2"/>
    <m/>
    <s v="75% of Total CRF Pages Monitored (Source Data Verifsed)"/>
    <m/>
    <s v="INV FRA-003136"/>
    <d v="2022-02-25T00:00:00"/>
    <n v="100000"/>
    <x v="1"/>
    <s v="OK"/>
    <n v="0"/>
    <n v="100000"/>
  </r>
  <r>
    <s v="UC104"/>
    <m/>
    <s v="CLI"/>
    <m/>
    <s v="IQVIA"/>
    <s v="MSA_19087 WO1 + MSA_19087 WO1 CO2"/>
    <m/>
    <s v="85% of Total CRF Pages Monitored (Source Data Verified)"/>
    <m/>
    <s v="INV FRA-003625"/>
    <d v="2022-09-09T00:00:00"/>
    <n v="100000"/>
    <x v="1"/>
    <s v="OK"/>
    <n v="0"/>
    <n v="100000"/>
  </r>
  <r>
    <s v="UC104"/>
    <m/>
    <s v="CLI"/>
    <m/>
    <s v="IQVIA"/>
    <s v="MSA_19087 WO1 + MSA_19087 WO1 CO3"/>
    <m/>
    <s v="Upon exceution CO3"/>
    <m/>
    <s v="INV FRA-003933"/>
    <d v="2023-01-06T00:00:00"/>
    <n v="600000"/>
    <x v="1"/>
    <s v="OK"/>
    <n v="0"/>
    <n v="600000"/>
  </r>
  <r>
    <s v="UC104"/>
    <m/>
    <s v="CLI"/>
    <m/>
    <s v="IQVIA"/>
    <s v="MSA_19087 WO1 + MSA_19087 WO1 CO3"/>
    <m/>
    <s v="80% of Monitoring Visits &amp; Reports Completed"/>
    <m/>
    <s v="INV FRA-003990"/>
    <d v="2023-02-02T00:00:00"/>
    <n v="500000"/>
    <x v="1"/>
    <s v="OK"/>
    <n v="0"/>
    <n v="500000"/>
  </r>
  <r>
    <s v="UC104"/>
    <m/>
    <s v="CLI"/>
    <m/>
    <s v="IQVIA"/>
    <s v="MSA_19087 WO1 + MSA_19087 WO1 CO3"/>
    <m/>
    <s v="90% of Monitoring Visita &amp; Reports Completed"/>
    <m/>
    <s v="INV FRA-004143"/>
    <d v="2023-03-23T00:00:00"/>
    <n v="300000"/>
    <x v="1"/>
    <s v="OK"/>
    <n v="0"/>
    <n v="300000"/>
  </r>
  <r>
    <s v="UC104"/>
    <m/>
    <s v="CLI"/>
    <m/>
    <s v="IQVIA"/>
    <s v="MSA_19087 WO1 + MSA_19087 WO1 CO3"/>
    <m/>
    <s v="Database Lock (DBL)"/>
    <m/>
    <s v="INV FRA-004152"/>
    <d v="2023-04-04T00:00:00"/>
    <n v="170000"/>
    <x v="1"/>
    <s v="OK"/>
    <n v="0"/>
    <n v="170000"/>
  </r>
  <r>
    <s v="UC104"/>
    <m/>
    <s v="CLI"/>
    <m/>
    <s v="IQVIA"/>
    <s v="MSA_19087 WO1 + MSA_19087 WO1 CO3"/>
    <m/>
    <s v="Final Clinical Study Report (CSR) Delivered to Sponsor"/>
    <m/>
    <s v="INV FRA-005592"/>
    <d v="2024-10-11T00:00:00"/>
    <n v="50000"/>
    <x v="1"/>
    <n v="50000"/>
    <n v="0"/>
    <n v="50000"/>
  </r>
  <r>
    <s v="UC104"/>
    <m/>
    <s v="CLI"/>
    <m/>
    <s v="IQVIA"/>
    <s v="MSA_19087 WO1 + MSA_19087 WO1 CO4"/>
    <m/>
    <s v="Transfer of Trial Master File (TMF) to Sponsor"/>
    <m/>
    <s v="INV FRA-006442"/>
    <d v="2025-07-10T00:00:00"/>
    <n v="57894.38"/>
    <x v="1"/>
    <n v="57894.38"/>
    <n v="0"/>
    <n v="57894.38"/>
  </r>
  <r>
    <s v="UC104"/>
    <m/>
    <s v="CLI"/>
    <m/>
    <s v="IQVIA"/>
    <s v="MSA_19087 WO1 + MSA_19087 WO1 CO4"/>
    <m/>
    <s v="Upon execution CO4"/>
    <m/>
    <s v="INV FRA-006159"/>
    <d v="2025-04-25T00:00:00"/>
    <n v="321706.2"/>
    <x v="1"/>
    <n v="321706.2"/>
    <n v="0"/>
    <n v="321706.2"/>
  </r>
  <r>
    <s v="UC104"/>
    <m/>
    <s v="CLI"/>
    <m/>
    <s v="IQVIA"/>
    <s v="MSA_19087 WO1 CO1"/>
    <m/>
    <s v="Upon execution of CO1 8.12%"/>
    <m/>
    <s v="INV FRA-002199"/>
    <d v="2020-10-06T00:00:00"/>
    <n v="520000"/>
    <x v="1"/>
    <s v="OK"/>
    <n v="0"/>
    <n v="520000"/>
  </r>
  <r>
    <s v="UC104"/>
    <m/>
    <s v="CLI"/>
    <m/>
    <s v="IQVIA"/>
    <s v="MSA_19087 WO1 CO1"/>
    <m/>
    <s v="15% of Total CRF Pages Monitored (Source Data Verified)"/>
    <m/>
    <s v="INV FRA-002240"/>
    <d v="2020-11-06T00:00:00"/>
    <n v="400000"/>
    <x v="1"/>
    <s v="OK"/>
    <n v="0"/>
    <n v="400000"/>
  </r>
  <r>
    <s v="UC104"/>
    <m/>
    <s v="CLI"/>
    <m/>
    <s v="IQVIA"/>
    <s v="MSA_19087 WO1 CO1"/>
    <m/>
    <s v="20% of Monitoring Visits &amp; Reports Completed"/>
    <m/>
    <s v="INV FRA-002442"/>
    <d v="2021-02-24T00:00:00"/>
    <n v="400000"/>
    <x v="1"/>
    <s v="OK"/>
    <n v="0"/>
    <n v="400000"/>
  </r>
  <r>
    <s v="UC104"/>
    <m/>
    <s v="CLI"/>
    <m/>
    <s v="IQVIA"/>
    <s v="MSA_19087 WO1 CO2"/>
    <m/>
    <s v="Upon execution of WO2"/>
    <m/>
    <s v="INV FRA-002640"/>
    <d v="2021-07-02T00:00:00"/>
    <n v="450000"/>
    <x v="1"/>
    <s v="OK"/>
    <n v="0"/>
    <n v="450000"/>
  </r>
  <r>
    <s v="UC104"/>
    <m/>
    <s v="CLI"/>
    <m/>
    <s v="IQVIA"/>
    <s v="MSA_19087 WO1_CNF1"/>
    <m/>
    <s v="Professional fees COVID"/>
    <m/>
    <s v="INV FRA-0021167"/>
    <d v="2020-08-21T00:00:00"/>
    <n v="30126.06"/>
    <x v="1"/>
    <s v="OK"/>
    <n v="0"/>
    <n v="30126.06"/>
  </r>
  <r>
    <s v="UC105/106/107"/>
    <m/>
    <s v="CLI"/>
    <m/>
    <s v="IQVIA"/>
    <s v="MSA_LOI-21109"/>
    <m/>
    <s v="Professional fee - Pre payement due upon ATP - 2 880 942,63 €"/>
    <m/>
    <s v="INV FRA-002852"/>
    <d v="2021-11-09T00:00:00"/>
    <n v="0"/>
    <x v="1"/>
    <n v="0"/>
    <n v="0"/>
    <n v="0"/>
  </r>
  <r>
    <s v="UC105/106/107"/>
    <m/>
    <s v="CLI"/>
    <m/>
    <s v="IQVIA"/>
    <s v="MSA_LOI-21109"/>
    <m/>
    <s v="Professional fee - Monthly fee 1 - 617 344,85 €"/>
    <m/>
    <s v="INV FRA-002851"/>
    <d v="2021-11-09T00:00:00"/>
    <n v="0"/>
    <x v="1"/>
    <n v="0"/>
    <n v="0"/>
    <n v="0"/>
  </r>
  <r>
    <s v="UC105/106/107"/>
    <m/>
    <s v="CLI"/>
    <m/>
    <s v="IQVIA"/>
    <s v="MSA_LOI-21109"/>
    <m/>
    <s v="Professional fee - Monthly fee 2 - 617 344,85 €"/>
    <m/>
    <s v="INV FRA-003189 - CN FRA-002916"/>
    <s v="29/03/2022 + 30/11/2021"/>
    <n v="0"/>
    <x v="1"/>
    <n v="0"/>
    <n v="0"/>
    <n v="0"/>
  </r>
  <r>
    <s v="UC105/106/107"/>
    <m/>
    <s v="CLI"/>
    <m/>
    <s v="IQVIA"/>
    <s v="MSA_LOI-21109"/>
    <m/>
    <s v="PTC - Pre payelent upon ATP - 1 108 296,71 €"/>
    <m/>
    <s v="INV FRA-002873"/>
    <d v="2021-11-10T00:00:00"/>
    <n v="0"/>
    <x v="1"/>
    <n v="0"/>
    <n v="0"/>
    <n v="0"/>
  </r>
  <r>
    <s v="UC105/106/107"/>
    <m/>
    <s v="CLI"/>
    <m/>
    <s v="IQVIA"/>
    <s v="MSA_LOI-21109"/>
    <m/>
    <s v="PTC - Monthly expenses instalment 1 - 237 492,15 €"/>
    <m/>
    <s v="INV FRA-002873"/>
    <d v="2021-11-10T00:00:00"/>
    <n v="0"/>
    <x v="1"/>
    <n v="0"/>
    <n v="0"/>
    <n v="0"/>
  </r>
  <r>
    <s v="UC105/106/107"/>
    <m/>
    <s v="CLI"/>
    <m/>
    <s v="IQVIA"/>
    <s v="MSA_LOI-21109"/>
    <m/>
    <s v="PTC - Monthly expenses instalment 2 - 237 492,15 €"/>
    <m/>
    <s v="INV FRA-003190"/>
    <d v="2022-03-29T00:00:00"/>
    <n v="0"/>
    <x v="1"/>
    <n v="0"/>
    <n v="0"/>
    <n v="0"/>
  </r>
  <r>
    <s v="UC105/106/107"/>
    <m/>
    <s v="CLI"/>
    <m/>
    <s v="IQVIA"/>
    <s v="MSA_LOI-21109 Amdt 02"/>
    <m/>
    <s v="Professional fee - Monthly fee 3 - 234 421,91 €"/>
    <m/>
    <s v="INV FRA-003283"/>
    <d v="2022-05-06T00:00:00"/>
    <n v="0"/>
    <x v="1"/>
    <n v="0"/>
    <n v="0"/>
    <n v="0"/>
  </r>
  <r>
    <s v="UC105/106/107"/>
    <m/>
    <s v="CLI"/>
    <m/>
    <s v="IQVIA"/>
    <s v="MSA_LOI-21109 Amdt 02"/>
    <m/>
    <s v="Professional fee - Monthly fee 4 - 234 421,91 €"/>
    <m/>
    <s v="INV FRA-003283"/>
    <d v="2022-05-06T00:00:00"/>
    <n v="0"/>
    <x v="1"/>
    <n v="0"/>
    <n v="0"/>
    <n v="0"/>
  </r>
  <r>
    <s v="UC105/106/107"/>
    <m/>
    <s v="CLI"/>
    <m/>
    <s v="IQVIA"/>
    <s v="MSA_LOI-21109 Amdt 02"/>
    <m/>
    <s v="PTC - To be invoice monthly based on actual - 1 214 164 €"/>
    <m/>
    <s v="INV FRA-003153 + INV FRA-003302 + INV FRA-003303 + INV FRA-003393 + INV FRA-003392 + INV FRA-003391"/>
    <s v="08/03/2022 + 11/05/2022 + 11/05/2022 + 16/06/2022 + 16/06/2022 + 16/06/2022"/>
    <n v="0"/>
    <x v="1"/>
    <n v="0"/>
    <n v="0"/>
    <n v="0"/>
  </r>
  <r>
    <s v="UC105/106/107"/>
    <m/>
    <s v="CLI"/>
    <m/>
    <s v="IQVIA"/>
    <s v="MSA_LOI-21109 Amdt 05"/>
    <m/>
    <s v="Professional fee - Monthly fee 5 - 1 269 762 €"/>
    <m/>
    <s v="INV FRA-003412"/>
    <d v="2022-07-05T00:00:00"/>
    <n v="0"/>
    <x v="1"/>
    <n v="0"/>
    <n v="0"/>
    <n v="0"/>
  </r>
  <r>
    <s v="UC105/106/107"/>
    <m/>
    <s v="CLI"/>
    <m/>
    <s v="IQVIA"/>
    <s v="MSA_LOI-21109 Amdt 05"/>
    <m/>
    <s v="PTC - Monthly expenses instalment 3"/>
    <m/>
    <m/>
    <m/>
    <n v="0"/>
    <x v="1"/>
    <s v="OK"/>
    <n v="0"/>
    <n v="0"/>
  </r>
  <r>
    <s v="UC103"/>
    <m/>
    <s v="CLI"/>
    <m/>
    <s v="IQVIA"/>
    <s v="SRV_18230 LOA"/>
    <m/>
    <s v="Upon execution"/>
    <m/>
    <s v="INV FRA-001653"/>
    <d v="2019-01-24T00:00:00"/>
    <n v="625000"/>
    <x v="1"/>
    <s v="OK"/>
    <n v="0"/>
    <n v="625000"/>
  </r>
  <r>
    <s v="UC103"/>
    <m/>
    <s v="CLI"/>
    <m/>
    <s v="IQVIA"/>
    <s v="SRV_18230 LOA"/>
    <m/>
    <s v="Monthly fee - Janvier 2019"/>
    <m/>
    <s v="INV FRA-001653"/>
    <d v="2019-01-24T00:00:00"/>
    <n v="305000"/>
    <x v="1"/>
    <s v="OK"/>
    <n v="0"/>
    <n v="305000"/>
  </r>
  <r>
    <s v="UC103"/>
    <m/>
    <s v="CLI"/>
    <m/>
    <s v="IQVIA"/>
    <s v="SRV_18230 LOA"/>
    <m/>
    <s v="Monthly fee - Fevrier 2019"/>
    <m/>
    <s v="INV FRA-001654"/>
    <d v="2019-02-06T00:00:00"/>
    <n v="255000"/>
    <x v="1"/>
    <s v="OK"/>
    <n v="0"/>
    <n v="255000"/>
  </r>
  <r>
    <s v="UC103"/>
    <m/>
    <s v="CLI"/>
    <m/>
    <s v="IQVIA"/>
    <s v="SRV_18230 LOA"/>
    <m/>
    <s v="Monthly fee - Mars 2019"/>
    <m/>
    <s v="INV FRA-001659"/>
    <d v="2019-03-06T00:00:00"/>
    <n v="245000"/>
    <x v="1"/>
    <s v="OK"/>
    <n v="0"/>
    <n v="245000"/>
  </r>
  <r>
    <s v="UC103"/>
    <m/>
    <s v="CLI"/>
    <m/>
    <s v="IQVIA"/>
    <s v="SRV_18230 LOA"/>
    <m/>
    <s v="Monthly fee - Avril 2019"/>
    <m/>
    <s v="INV FRA-001662"/>
    <d v="2019-04-03T00:00:00"/>
    <n v="206895.04"/>
    <x v="1"/>
    <s v="OK"/>
    <n v="0"/>
    <n v="206895.04"/>
  </r>
  <r>
    <s v="UC103"/>
    <m/>
    <s v="CLI"/>
    <m/>
    <s v="IQVIA"/>
    <s v="SRV_18230 LOA"/>
    <m/>
    <s v="PTC - Decembre 2018 - Avril 2019"/>
    <m/>
    <s v="INV FRA-001655 + INV FRA-001660 "/>
    <s v="07/02/2019 + 07/03/2019"/>
    <n v="0"/>
    <x v="1"/>
    <s v="OK"/>
    <n v="0"/>
    <n v="0"/>
  </r>
  <r>
    <s v="PIP"/>
    <m/>
    <s v="MED"/>
    <m/>
    <s v="IQVIA"/>
    <s v="SRV_21008"/>
    <m/>
    <s v="PIP Module D.4 Support + Clinical Study Synopses"/>
    <m/>
    <s v="INV INC-265070"/>
    <d v="2021-09-29T00:00:00"/>
    <n v="85000"/>
    <x v="3"/>
    <n v="85000"/>
    <n v="0"/>
    <n v="85000"/>
  </r>
  <r>
    <s v="PIP"/>
    <m/>
    <s v="MED"/>
    <m/>
    <s v="IQVIA"/>
    <s v="SRV_21008_CO1"/>
    <m/>
    <s v="PIP Module D.4 Support + Clinical Study Synopses"/>
    <m/>
    <s v="INV INC-265070"/>
    <d v="2021-09-29T00:00:00"/>
    <n v="18000"/>
    <x v="3"/>
    <n v="18000"/>
    <n v="0"/>
    <n v="18000"/>
  </r>
  <r>
    <s v="UC105/106/107"/>
    <m/>
    <s v="CLI"/>
    <m/>
    <s v="IQVIA"/>
    <s v="SRV_21077 - P00202_2021"/>
    <s v="P00202_2021"/>
    <s v="Redaction protocol études UC105 / UC106 / UC107"/>
    <m/>
    <s v="INV FRA-002737"/>
    <d v="2021-09-07T00:00:00"/>
    <n v="45175.78"/>
    <x v="1"/>
    <n v="45175.78"/>
    <n v="0"/>
    <n v="45175.78"/>
  </r>
  <r>
    <s v="CD202"/>
    <m/>
    <s v="CLI"/>
    <m/>
    <s v="IQVIA"/>
    <s v="SRV_23176 - ATP"/>
    <m/>
    <s v="CD202 - Pre-Payment Due Upon ATP Execution"/>
    <m/>
    <s v="INV FRA-004663"/>
    <d v="2023-10-13T00:00:00"/>
    <n v="1208618.24"/>
    <x v="1"/>
    <n v="1208618.24"/>
    <n v="0"/>
    <n v="1208618.24"/>
  </r>
  <r>
    <s v="CD202"/>
    <m/>
    <s v="CLI"/>
    <m/>
    <s v="IQVIA"/>
    <s v="SRV_23176 - ATP"/>
    <m/>
    <s v="CD202 - Monthly professional fees instalment 1"/>
    <m/>
    <s v="INV FRA-004736"/>
    <d v="2023-11-07T00:00:00"/>
    <n v="258989.63"/>
    <x v="1"/>
    <n v="258989.63"/>
    <n v="0"/>
    <n v="258989.63"/>
  </r>
  <r>
    <s v="CD202"/>
    <m/>
    <s v="CLI"/>
    <m/>
    <s v="IQVIA"/>
    <s v="SRV_23176 - ATP"/>
    <m/>
    <s v="CD202 - Monthly professional fees instalment 2"/>
    <m/>
    <s v="INV FRA-004805"/>
    <d v="2023-12-06T00:00:00"/>
    <n v="258989.62"/>
    <x v="1"/>
    <n v="258989.63"/>
    <n v="0"/>
    <n v="258989.63"/>
  </r>
  <r>
    <s v="CD202"/>
    <m/>
    <s v="CLI"/>
    <m/>
    <s v="IQVIA"/>
    <s v="SRV_23176 - ATP"/>
    <m/>
    <s v="CD202 - PTC - Pre-Payment Due Upon ATP Execution"/>
    <m/>
    <s v="INV FRA-004844"/>
    <d v="2023-12-14T00:00:00"/>
    <n v="261776.83"/>
    <x v="1"/>
    <n v="261776.83"/>
    <n v="0"/>
    <n v="261776.83"/>
  </r>
  <r>
    <s v="CD202"/>
    <m/>
    <s v="CLI"/>
    <m/>
    <s v="IQVIA"/>
    <s v="SRV_23176 - ATP"/>
    <m/>
    <s v="CD202 - Monthly expenses instalment"/>
    <m/>
    <s v="INV FRA-004844"/>
    <d v="2023-12-14T00:00:00"/>
    <n v="56095.040000000001"/>
    <x v="1"/>
    <n v="56095.040000000001"/>
    <n v="0"/>
    <n v="56095.040000000001"/>
  </r>
  <r>
    <s v="CD202"/>
    <m/>
    <s v="CLI"/>
    <m/>
    <s v="IQVIA"/>
    <s v="SRV_23176 - ATP"/>
    <m/>
    <s v="CD202 - Monthly expenses instalment"/>
    <m/>
    <s v="INV FRA-004844"/>
    <d v="2023-12-14T00:00:00"/>
    <n v="56095.03"/>
    <x v="1"/>
    <n v="56095.03"/>
    <n v="0"/>
    <n v="56095.03"/>
  </r>
  <r>
    <s v="CD202"/>
    <m/>
    <s v="CLI"/>
    <m/>
    <s v="IQVIA"/>
    <s v="SRV_23176_A1 - ATP"/>
    <m/>
    <s v="CD202 - PTC - To be invoiced monthly based on actuals "/>
    <m/>
    <m/>
    <m/>
    <n v="0"/>
    <x v="1"/>
    <n v="0"/>
    <n v="0"/>
    <n v="0"/>
  </r>
  <r>
    <s v="UC106"/>
    <m/>
    <s v="CLI"/>
    <m/>
    <s v="IQVIA"/>
    <s v="WO ZZA92069"/>
    <m/>
    <s v="Signature of the ATP"/>
    <m/>
    <s v="INV FRA-002852"/>
    <d v="2021-11-09T00:00:00"/>
    <n v="1104752.56"/>
    <x v="1"/>
    <n v="1104752.56"/>
    <n v="0"/>
    <n v="1104752.56"/>
  </r>
  <r>
    <s v="UC106"/>
    <m/>
    <s v="CLI"/>
    <m/>
    <s v="IQVIA"/>
    <s v="WO ZZA92069"/>
    <m/>
    <s v="Monthly Payment - 01 Nov 2021 (ATP)"/>
    <m/>
    <s v="INV FRA-002851"/>
    <d v="2021-11-09T00:00:00"/>
    <n v="236732.69"/>
    <x v="1"/>
    <n v="236732.69"/>
    <n v="0"/>
    <n v="236732.69"/>
  </r>
  <r>
    <s v="UC106"/>
    <m/>
    <s v="CLI"/>
    <m/>
    <s v="IQVIA"/>
    <s v="WO ZZA92069"/>
    <m/>
    <s v="Monthly Payment - 01 Dec 2021 (ATP)"/>
    <m/>
    <s v="INV FRA-003189 - CN FRA-002916"/>
    <s v="29/03/2022 + 30/11/2021"/>
    <n v="236732.69"/>
    <x v="1"/>
    <n v="236732.69"/>
    <n v="0"/>
    <n v="236732.69"/>
  </r>
  <r>
    <s v="UC106"/>
    <m/>
    <s v="CLI"/>
    <m/>
    <s v="IQVIA"/>
    <s v="WO ZZA92069"/>
    <m/>
    <s v="Monthly Payment - 01 Apr 2022 (ATP)"/>
    <m/>
    <s v="INV FRA-003283"/>
    <d v="2022-05-06T00:00:00"/>
    <n v="89893.57"/>
    <x v="1"/>
    <n v="89893.57"/>
    <n v="0"/>
    <n v="89893.57"/>
  </r>
  <r>
    <s v="UC106"/>
    <m/>
    <s v="CLI"/>
    <m/>
    <s v="IQVIA"/>
    <s v="WO ZZA92069"/>
    <m/>
    <s v="Monthly Payment - 01 May 2022 (ATP)"/>
    <m/>
    <s v="INV FRA-003283"/>
    <d v="2022-05-06T00:00:00"/>
    <n v="89893.57"/>
    <x v="1"/>
    <n v="89893.57"/>
    <n v="0"/>
    <n v="89893.57"/>
  </r>
  <r>
    <s v="UC106"/>
    <m/>
    <s v="CLI"/>
    <m/>
    <s v="IQVIA"/>
    <s v="WO ZZA92069"/>
    <m/>
    <s v="Monthly Payment - June - July 2022 (ATP)"/>
    <m/>
    <s v="INV FRA-003412"/>
    <d v="2022-07-05T00:00:00"/>
    <n v="391023"/>
    <x v="1"/>
    <n v="391023"/>
    <n v="0"/>
    <n v="391023"/>
  </r>
  <r>
    <s v="UC106"/>
    <m/>
    <s v="CLI"/>
    <m/>
    <s v="IQVIA"/>
    <s v="WO ZZA92069"/>
    <m/>
    <s v="Upon execution of WO Part 1 [A]"/>
    <m/>
    <s v="IN FRA-003502"/>
    <d v="2022-08-05T00:00:00"/>
    <n v="1222207"/>
    <x v="1"/>
    <n v="1222207"/>
    <n v="0"/>
    <n v="1222207"/>
  </r>
  <r>
    <s v="UC106"/>
    <m/>
    <s v="CLI"/>
    <m/>
    <s v="IQVIA"/>
    <s v="WO ZZA92069"/>
    <m/>
    <s v="Upon execution of WO Part 2 [A]"/>
    <m/>
    <s v="INV FRA-003626"/>
    <d v="2022-09-09T00:00:00"/>
    <n v="2523013"/>
    <x v="1"/>
    <n v="2523013"/>
    <n v="0"/>
    <n v="2523013"/>
  </r>
  <r>
    <s v="UC106"/>
    <m/>
    <s v="CLI"/>
    <m/>
    <s v="IQVIA"/>
    <s v="WO ZZA92069"/>
    <m/>
    <s v="First site initiated"/>
    <m/>
    <s v="INV FRA-003758"/>
    <d v="2022-11-01T00:00:00"/>
    <n v="392993"/>
    <x v="1"/>
    <n v="392993"/>
    <n v="0"/>
    <n v="392993"/>
  </r>
  <r>
    <s v="UC106"/>
    <m/>
    <s v="CLI"/>
    <m/>
    <s v="IQVIA"/>
    <s v="WO ZZA92069"/>
    <m/>
    <s v="5% of Site Initiation Visits &amp; Reports Completed"/>
    <m/>
    <s v="INV FRA-003916"/>
    <d v="2023-01-05T00:00:00"/>
    <n v="392993"/>
    <x v="1"/>
    <n v="392993"/>
    <n v="0"/>
    <n v="392993"/>
  </r>
  <r>
    <s v="UC106"/>
    <m/>
    <s v="CLI"/>
    <m/>
    <s v="IQVIA"/>
    <s v="WO ZZA92069"/>
    <m/>
    <s v="20% of Site Initiation Visits &amp; Reports Completed"/>
    <m/>
    <s v="INV FRA-004366"/>
    <d v="2023-06-26T00:00:00"/>
    <n v="1964964"/>
    <x v="1"/>
    <n v="1964964"/>
    <n v="0"/>
    <n v="1964964"/>
  </r>
  <r>
    <s v="UC106"/>
    <m/>
    <s v="CLI"/>
    <m/>
    <s v="IQVIA"/>
    <s v="WO ZZA92069"/>
    <m/>
    <s v="PTC - Upfront payment - Pass-Through [A]"/>
    <m/>
    <s v="INV FRA-003503"/>
    <d v="2022-08-05T00:00:00"/>
    <n v="1994443"/>
    <x v="1"/>
    <n v="1994443"/>
    <n v="0"/>
    <n v="1994443"/>
  </r>
  <r>
    <s v="UC106"/>
    <m/>
    <s v="CLI"/>
    <m/>
    <s v="IQVIA"/>
    <s v="WO ZZA92069"/>
    <m/>
    <s v="PTC - Upfront payment - Pass-Through Reimbursement"/>
    <m/>
    <m/>
    <m/>
    <n v="-1994443"/>
    <x v="1"/>
    <m/>
    <n v="-1994443"/>
    <n v="0"/>
  </r>
  <r>
    <s v="UC106"/>
    <m/>
    <s v="CLI"/>
    <m/>
    <s v="IQVIA"/>
    <s v="WO ZZA92069"/>
    <m/>
    <s v="PTC - Pre-Payment Due Upon ATP Execution"/>
    <m/>
    <s v="INV FRA-002873"/>
    <d v="2021-11-10T00:00:00"/>
    <n v="424997.57"/>
    <x v="1"/>
    <n v="424997.57"/>
    <n v="0"/>
    <n v="424997.57"/>
  </r>
  <r>
    <s v="UC106"/>
    <m/>
    <s v="CLI"/>
    <m/>
    <s v="IQVIA"/>
    <s v="WO ZZA92069"/>
    <m/>
    <s v="PTC - Monthly Payment - 01 Nov 2021"/>
    <m/>
    <s v="INV FRA-002873"/>
    <d v="2021-11-10T00:00:00"/>
    <n v="91070.91"/>
    <x v="1"/>
    <n v="91070.91"/>
    <n v="0"/>
    <n v="91070.91"/>
  </r>
  <r>
    <s v="UC106"/>
    <m/>
    <s v="CLI"/>
    <m/>
    <s v="IQVIA"/>
    <s v="WO ZZA92069"/>
    <m/>
    <s v="PTC - Monthly Payment - 01 Dec 2021"/>
    <m/>
    <s v="INV FRA-003190"/>
    <d v="2022-03-29T00:00:00"/>
    <n v="91070.91"/>
    <x v="1"/>
    <n v="91070.91"/>
    <n v="0"/>
    <n v="91070.91"/>
  </r>
  <r>
    <s v="UC106"/>
    <m/>
    <s v="CLI"/>
    <m/>
    <s v="IQVIA"/>
    <s v="WO ZZA92069"/>
    <m/>
    <s v="PTC - Other payments based on actual"/>
    <m/>
    <s v="INV FRA-003153 + INV FRA-003302 + INV FRA-003303 + INV FRA-003393 + INV FRA-003392 + INV FRA-003391 + INV FRA-003467"/>
    <s v="08/03/2022 + 11/05/2022 + 11/05/2022 + 16/06/2022 + 16/06/2022 + 16/06/2022 + 18/07/2022"/>
    <n v="391616.08"/>
    <x v="1"/>
    <n v="391616.08"/>
    <n v="0"/>
    <n v="391616.08"/>
  </r>
  <r>
    <s v="UC106"/>
    <m/>
    <s v="CLI"/>
    <m/>
    <s v="IQVIA"/>
    <s v="WO ZZA92069"/>
    <m/>
    <s v="Investigator fee - Upfront payment - Investigator Fees [A]"/>
    <m/>
    <s v="INV FRA-003627"/>
    <d v="2022-09-09T00:00:00"/>
    <n v="1065333"/>
    <x v="1"/>
    <n v="1065333"/>
    <n v="0"/>
    <n v="1065333"/>
  </r>
  <r>
    <s v="UC106"/>
    <m/>
    <s v="CLI"/>
    <m/>
    <s v="IQVIA"/>
    <s v="WO ZZA92069"/>
    <m/>
    <s v="Upfront payment - Investigator Fees Reimbursement"/>
    <m/>
    <m/>
    <m/>
    <n v="-1065333"/>
    <x v="1"/>
    <m/>
    <n v="-1065333"/>
    <n v="0"/>
  </r>
  <r>
    <s v="UC106"/>
    <m/>
    <s v="CLI"/>
    <m/>
    <s v="IQVIA"/>
    <s v="WO ZZA92069"/>
    <m/>
    <s v="Investigator fees - Upfront payment - Q2 [A]"/>
    <m/>
    <s v="INV FRA-004008"/>
    <d v="2023-02-03T00:00:00"/>
    <n v="477449"/>
    <x v="1"/>
    <n v="477449"/>
    <n v="0"/>
    <n v="477449"/>
  </r>
  <r>
    <s v="UC106"/>
    <m/>
    <s v="CLI"/>
    <m/>
    <s v="IQVIA"/>
    <s v="WO ZZA92069"/>
    <m/>
    <s v="Investigator fees - Upfront payment - Q2 Reimbursement"/>
    <m/>
    <m/>
    <m/>
    <n v="-477449"/>
    <x v="1"/>
    <m/>
    <n v="-477449"/>
    <n v="0"/>
  </r>
  <r>
    <s v="UC106"/>
    <m/>
    <s v="CLI"/>
    <m/>
    <s v="IQVIA"/>
    <s v="WO ZZA92069 - CO1"/>
    <m/>
    <s v="Upon execution of CO1"/>
    <m/>
    <s v="INV FRA-004521"/>
    <d v="2023-08-24T00:00:00"/>
    <n v="4111390"/>
    <x v="1"/>
    <n v="4111390"/>
    <n v="0"/>
    <n v="4111390"/>
  </r>
  <r>
    <s v="UC106"/>
    <m/>
    <s v="CLI"/>
    <m/>
    <s v="IQVIA"/>
    <s v="WO ZZA92069 - CO1"/>
    <m/>
    <s v="40% of Site Initiation Visits &amp; Reports Completed"/>
    <m/>
    <s v="INV FRA-004591"/>
    <d v="2023-09-18T00:00:00"/>
    <n v="2245434"/>
    <x v="1"/>
    <n v="2245434"/>
    <n v="0"/>
    <n v="2245434"/>
  </r>
  <r>
    <s v="UC106"/>
    <m/>
    <s v="CLI"/>
    <m/>
    <s v="IQVIA"/>
    <s v="WO ZZA92069 - CO1"/>
    <m/>
    <s v="60% of Site Initiation Visits &amp; Reports Completed"/>
    <m/>
    <s v="INV FRA-004819"/>
    <d v="2023-12-11T00:00:00"/>
    <n v="2245434"/>
    <x v="1"/>
    <n v="2245434"/>
    <n v="0"/>
    <n v="2245434"/>
  </r>
  <r>
    <s v="UC106"/>
    <m/>
    <s v="CLI"/>
    <m/>
    <s v="IQVIA"/>
    <s v="WO ZZA92069 - CO2"/>
    <m/>
    <s v="80% of Site Initiation Visits &amp; Reports Completed"/>
    <m/>
    <s v="INV FRA-005102"/>
    <d v="2024-03-27T00:00:00"/>
    <n v="2941173"/>
    <x v="1"/>
    <n v="2941173"/>
    <n v="0"/>
    <n v="2941173"/>
  </r>
  <r>
    <s v="UC106"/>
    <m/>
    <s v="CLI"/>
    <m/>
    <s v="IQVIA"/>
    <s v="WO ZZA92069 - CO1"/>
    <m/>
    <s v="15% Patients randomised &amp; 80% of Site Initiation Visits &amp; Reports Completed"/>
    <m/>
    <s v="INV FRA-004819 - INV FRA-004851 + INV FRA-004925"/>
    <s v="11/12/2023 - 01/01/2024 + 17/01/2024"/>
    <n v="2694521"/>
    <x v="1"/>
    <n v="2694521"/>
    <n v="0"/>
    <n v="2694521"/>
  </r>
  <r>
    <s v="UC106"/>
    <m/>
    <s v="CLI"/>
    <m/>
    <s v="IQVIA"/>
    <s v="WO ZZA92069 - CO1"/>
    <m/>
    <s v="25% Patients randomised"/>
    <m/>
    <s v="INV FRA-005020"/>
    <d v="2024-02-16T00:00:00"/>
    <n v="3143608"/>
    <x v="1"/>
    <n v="3143608"/>
    <n v="0"/>
    <n v="3143608"/>
  </r>
  <r>
    <s v="UC106"/>
    <m/>
    <s v="CLI"/>
    <m/>
    <s v="IQVIA"/>
    <s v="WO ZZA92069 - CO2"/>
    <m/>
    <s v="Upon execution CO2"/>
    <m/>
    <s v="INV FRA-005101"/>
    <d v="2024-03-26T00:00:00"/>
    <n v="3431368"/>
    <x v="1"/>
    <n v="3431368"/>
    <n v="0"/>
    <n v="3431368"/>
  </r>
  <r>
    <s v="UC106"/>
    <m/>
    <s v="CLI"/>
    <m/>
    <s v="IQVIA"/>
    <s v="WO ZZA92069 - CO2"/>
    <m/>
    <s v="40% Patients randomised"/>
    <m/>
    <s v="INV FRA-005327"/>
    <d v="2024-06-19T00:00:00"/>
    <n v="1960782"/>
    <x v="1"/>
    <n v="1960782"/>
    <n v="0"/>
    <n v="1960782"/>
  </r>
  <r>
    <s v="UC106"/>
    <m/>
    <s v="CLI"/>
    <m/>
    <s v="IQVIA"/>
    <s v="WO ZZA92069 - CO2"/>
    <m/>
    <s v="50% Patients randomised"/>
    <m/>
    <s v="INV FRA-005434"/>
    <s v="09/008/2024"/>
    <n v="1960782"/>
    <x v="1"/>
    <n v="1960782"/>
    <n v="0"/>
    <n v="1960782"/>
  </r>
  <r>
    <s v="UC106"/>
    <m/>
    <s v="CLI"/>
    <m/>
    <s v="IQVIA"/>
    <s v="WO ZZA92069 - CO2"/>
    <m/>
    <s v="60% Patients randomised"/>
    <m/>
    <s v="INV FRA-005543"/>
    <d v="2024-09-27T00:00:00"/>
    <n v="2450977"/>
    <x v="1"/>
    <n v="2941172.4"/>
    <n v="0"/>
    <n v="2941172.4"/>
  </r>
  <r>
    <s v="UC106"/>
    <m/>
    <s v="CLI"/>
    <m/>
    <s v="IQVIA"/>
    <s v="WO ZZA92069 - CO2"/>
    <m/>
    <s v="70% Patients randomised"/>
    <m/>
    <s v="INV FRA-005693"/>
    <d v="2024-11-29T00:00:00"/>
    <n v="2450977"/>
    <x v="1"/>
    <n v="2450977"/>
    <n v="0"/>
    <n v="2450977"/>
  </r>
  <r>
    <s v="UC106"/>
    <m/>
    <s v="CLI"/>
    <m/>
    <s v="IQVIA"/>
    <s v="WO ZZA92069 - CO2"/>
    <m/>
    <s v="80% Patients randomised"/>
    <m/>
    <s v="INV FRA-005793"/>
    <d v="2024-12-31T00:00:00"/>
    <n v="2450977"/>
    <x v="1"/>
    <n v="2450977"/>
    <n v="0"/>
    <n v="2450977"/>
  </r>
  <r>
    <s v="UC106"/>
    <m/>
    <s v="CLI"/>
    <m/>
    <s v="IQVIA"/>
    <s v="WO ZZA92069 - CO2"/>
    <m/>
    <s v="Last patient entered"/>
    <m/>
    <s v="INV FRA-006169"/>
    <d v="2025-05-01T00:00:00"/>
    <n v="2941173"/>
    <x v="1"/>
    <n v="2941173"/>
    <n v="0"/>
    <n v="2941173"/>
  </r>
  <r>
    <s v="UC106"/>
    <m/>
    <s v="CLI"/>
    <m/>
    <s v="IQVIA"/>
    <s v="WO ZZA92069 - CO3"/>
    <m/>
    <s v="Upon signature CO3 - Last Patient Entered CO3 adjustment"/>
    <m/>
    <s v="INV FRA-006269"/>
    <d v="2025-05-29T00:00:00"/>
    <n v="2101003"/>
    <x v="1"/>
    <n v="2101003"/>
    <n v="0"/>
    <n v="2101003"/>
  </r>
  <r>
    <s v="UC106"/>
    <m/>
    <s v="CLI"/>
    <m/>
    <s v="IQVIA"/>
    <s v="WO ZZA92069 - CO3"/>
    <m/>
    <s v="Database Lock (DBL)"/>
    <d v="2025-06-01T00:00:00"/>
    <s v="INV FRA-006478"/>
    <d v="2025-07-23T00:00:00"/>
    <n v="3781632"/>
    <x v="1"/>
    <n v="3781632"/>
    <n v="0"/>
    <n v="3781632"/>
  </r>
  <r>
    <s v="UC106"/>
    <m/>
    <s v="CLI"/>
    <m/>
    <s v="IQVIA"/>
    <s v="WO ZZA92069 - CO3"/>
    <m/>
    <s v="Final Clinical Study Report (CSR) Delivered to Sponsor"/>
    <d v="2025-10-01T00:00:00"/>
    <m/>
    <m/>
    <n v="756326"/>
    <x v="1"/>
    <m/>
    <n v="756326"/>
    <n v="0"/>
  </r>
  <r>
    <s v="UC106"/>
    <m/>
    <s v="CLI"/>
    <m/>
    <s v="IQVIA"/>
    <s v="WO ZZA92069 - CO3"/>
    <m/>
    <s v="Transfer of Trial Master File (TMF) to Sponsor"/>
    <d v="2026-02-01T00:00:00"/>
    <m/>
    <m/>
    <n v="109003"/>
    <x v="1"/>
    <m/>
    <n v="109003"/>
    <n v="0"/>
  </r>
  <r>
    <s v="UC106"/>
    <m/>
    <s v="CLI"/>
    <m/>
    <s v="IQVIA"/>
    <s v="WO ZZA92069 - CO3"/>
    <m/>
    <s v="PTC - Pass-Through Costs*"/>
    <m/>
    <s v="INV FRA-003541 + INV FRA-003637 + INV FRA-003700 + INV FRA-003776 + INV FRA-003792 + INV FRA-003866 + INV FRA-003843 + FRA-003950 + INV FRA-004041 + INV FRA-004130 + INV FRA-004179 + INV FRA-004253 + INV FRA-004321 + INV FRA-004422 + INV FRA-004497 + INV FRA-004585 + INV FRA-004649 + INV FRA-004766 + IN FRA-004837 + INV FRA-004918 + INV FRA-004983 + INV FRA-005013 + INV FRA-005162 + INV FRA-005072 + INV FRA-005228 + INV FRA-005308 + INV FRA-005437 + INV FRA-005513 + INV FRA-005580 + INV FRA-005654 + INV FRA-005766 + INV FRA-005916 + INV FRA-005935+INV FRA-006037 + INV FRA-006127 + INV FRA-006318 + INV FRA-006458 + INV FRA-006567+ INV FRA- 006657 + INVFRA-006764 + INV FRA-006902 + INV FRA-007052 + INV FRA- 007168"/>
    <s v="16/08/2022 + 13/09/2022 + 10/10/2022 + 04/11/2022 + 09/11/2022 + 12/12/2022 + 06/12/2022 + 12/01/2023 + 15/02/2023 + 15/03/2023 + 13/04/2023 + 15/05/2023 + 15/06/2023 + 17/07/2023 + 14/08/2023 + 15/09/2023 + 13/10/2023 + 13/11/2023 + 13/12/2023 + 12/01/2024 + 09/02/2024 + 15/02/2024 + 12/04/2024 + 13/03/2024 + 10/05/2024 + 13/06/2024 + 14/008/2024 + 13/09/2024 + 11/10/2024 + 13/11/2024 + 12/12/2024 + 13/02/2025+18/02/2025+13/03/2025 + 11/04/2025+ 13/05/2025 + 12/06/2025 +15/07/2025 + 13/08/2025+12/09/2025+13/10/2025+13/11/2025+11/12/2025+15/01/2026"/>
    <n v="8447255.5299999993"/>
    <x v="1"/>
    <n v="8585975.5299999993"/>
    <n v="0"/>
    <n v="8585975.5299999993"/>
  </r>
  <r>
    <s v="UC106"/>
    <m/>
    <s v="CLI"/>
    <m/>
    <s v="IQVIA"/>
    <s v="WO ZZA92069 - CO3"/>
    <m/>
    <s v="Investigator fees"/>
    <m/>
    <s v="INV FRA-003850 + INV FRA-003943 + INV FRA-004039 + INV FRA-004131 + INV FRA-004176 + INV FRA-004260 + INV FRA-004326 + INV FRA-004417 + INV FRA-004498 + INV 004573 + INV FRA-004634 + INV FRA-004767 + INV FRA-004839 + INV FRA-004907 + INV FRA-005012 + INV FRA-005144 + INV FRA-005074 + INV FRA-005224 + INV FRA-005309 + INV FRA-005384 + INV FRA-005439 + INV FRA-005517 + INV FRA-005577 + INV FRA-005650 + INV FRA-005767  + INV FRA-005937 + INV FRA-005917 + INV FRA-006036 + INV FRA-006123 + INV FRA-006218 + INV FRA-006326 + INV FRA- 006455+ INV FRA- 006568 + INV FRA-006658 +INV FRA-006763 + INV FRA-006893 + INV FRA-007045+INV FRA-007163"/>
    <s v="08/12/2022 + 10/01/2023 + 15/02/2023 + 14/03/2023 + 13/04/2023 + 15/05/2023 + 15/06/2023 + 17/07/2023 + 14/08/2023 + 14/09/2023 + 12/10/2023 + 13/11/2023 + 13/12/2023 + 12/01/2024 + 15/02/2024 + 11/04/2024 + 13/03/2024 + 10/05/2024 + 13/06/2024 + 12/07/2024 + 14/08/2024 + 13/09/2024 + 11/10/2024 + 13/11/2024 + 12/12/2024+ 18/02/2025 + 13/02/2025+13/03/2025 + 11/04/2025 + 13/05/2025 + 12/06/2025 + 15/07/2025+ 13/08/2025+12/09/2025+13/10/2025+13/11/2025+11/12/2025+15/01/2026"/>
    <n v="9380962"/>
    <x v="1"/>
    <n v="9694246.120000001"/>
    <n v="0"/>
    <n v="9694246.120000001"/>
  </r>
  <r>
    <s v="UC106"/>
    <m/>
    <s v="CLI"/>
    <m/>
    <s v="IQVIA"/>
    <s v="WO ZZA92069 - CO3"/>
    <m/>
    <s v="Q2 (Fees and PTCs)***"/>
    <m/>
    <s v="INV FRA-003776 + INV FRA-003925 + INV FRA-004002 + INV FRA-004129 + INV FRA-004258 + INV FRA-004323 + INV FRA-004424 + INV FRA-004496 + INV FRA-004574 + INV FRA-004633 + INV FRA-004765 + INV FRA-004840 + INV FRA-004909 + INV FRA-005011 + INV FRA-005071 + INV FRA-005147 + INV FRA-005071 + INV FRA-005307 + INV FRA-005378 + INV FRA-005438 + INV FRA-005512 + INV FRA-005578 + INV FRA-005651 + INV FRA-005768 + INV FRA-005939 + INV FRA-005915+ INV FRA-006035 + INV FRA-006129 + INV FRA-006217 + INV FRA-006327 +INV FRA- 006457 + INV FRA- 006562+ INV FRA-006650 + INV FRA-006768 + INV FRA-006900 + INV FRA-007044+ INV FRA-007162"/>
    <s v="04/11/2022 + 06/01/2023 + 03/02/2023 + 14/03/2023 + 15/05/2023 + 15/06/2023 + 17/07/2023 + 14/08/2023 + 14/09/2023 + 12/10/2023 + 13/11/2023 + 13/12/2023 (recu 2024) + 12/01/2024 + 15/02/2024 + 13/03/2024 + 11/04/2024 + 13/03/2024 + 13/06/2024 + 12/07/2024 + 14/08/2024 + 13/09/2024 + 11/10/2024 + 13/11/2024 + 12/12/2024  + 18/02/2025+13/02/2025+13/03/2025 + 11/04/2025 + 13/05/2025 + 12/06/2025+15/07/2025+13/08/2025+12/09/2025+13/10/2025+13/11/2025+11/12/2025+15/01/2026"/>
    <n v="10366398"/>
    <x v="1"/>
    <n v="9621655.1300000008"/>
    <n v="744742.86999999918"/>
    <n v="9621655.1300000008"/>
  </r>
  <r>
    <s v="UC107"/>
    <m/>
    <s v="CLI"/>
    <m/>
    <s v="IQVIA"/>
    <s v="WO ZZA92074"/>
    <m/>
    <s v="Signature of the ATP"/>
    <m/>
    <s v="INV FRA-002852"/>
    <d v="2021-11-09T00:00:00"/>
    <n v="355320.77"/>
    <x v="1"/>
    <n v="355320.77"/>
    <n v="0"/>
    <n v="355320.77"/>
  </r>
  <r>
    <s v="UC107"/>
    <m/>
    <s v="CLI"/>
    <m/>
    <s v="IQVIA"/>
    <s v="WO ZZA92074"/>
    <m/>
    <s v="Monthly Payment - 01 Nov 2021 (ATP)"/>
    <m/>
    <s v="INV FRA-002851"/>
    <d v="2021-11-09T00:00:00"/>
    <n v="76140.17"/>
    <x v="1"/>
    <n v="76140.17"/>
    <n v="0"/>
    <n v="76140.17"/>
  </r>
  <r>
    <s v="UC107"/>
    <m/>
    <s v="CLI"/>
    <m/>
    <s v="IQVIA"/>
    <s v="WO ZZA92074"/>
    <m/>
    <s v="Monthly Payment - 01 Dec 2021 (ATP)"/>
    <m/>
    <s v="INV FRA-003189 - CN FRA-002916"/>
    <s v="29/03/2022 + 30/11/2021"/>
    <n v="76140.17"/>
    <x v="1"/>
    <n v="76140.17"/>
    <n v="0"/>
    <n v="76140.17"/>
  </r>
  <r>
    <s v="UC107"/>
    <m/>
    <s v="CLI"/>
    <m/>
    <s v="IQVIA"/>
    <s v="WO ZZA92074"/>
    <m/>
    <s v="Monthly Payment - 01 Apr 2022 (ATP)"/>
    <m/>
    <s v="INV FRA-003283"/>
    <d v="2022-05-06T00:00:00"/>
    <n v="28912.400000000001"/>
    <x v="1"/>
    <n v="28912.400000000001"/>
    <n v="0"/>
    <n v="28912.400000000001"/>
  </r>
  <r>
    <s v="UC107"/>
    <m/>
    <s v="CLI"/>
    <m/>
    <s v="IQVIA"/>
    <s v="WO ZZA92074"/>
    <m/>
    <s v="Monthly Payment - 01 May 2022 (ATP)"/>
    <m/>
    <s v="INV FRA-003283"/>
    <d v="2022-05-06T00:00:00"/>
    <n v="28912.400000000001"/>
    <x v="1"/>
    <n v="28912.400000000001"/>
    <n v="0"/>
    <n v="28912.400000000001"/>
  </r>
  <r>
    <s v="UC107"/>
    <m/>
    <s v="CLI"/>
    <m/>
    <s v="IQVIA"/>
    <s v="WO ZZA92074"/>
    <m/>
    <s v="Monthly Payment - June - July 2022 (ATP)"/>
    <m/>
    <s v="INV FRA-003412"/>
    <d v="2022-07-05T00:00:00"/>
    <n v="479262"/>
    <x v="1"/>
    <n v="479262"/>
    <n v="0"/>
    <n v="479262"/>
  </r>
  <r>
    <s v="UC107"/>
    <m/>
    <s v="CLI"/>
    <m/>
    <s v="IQVIA"/>
    <s v="WO ZZA92074"/>
    <m/>
    <s v="Upon execution of WO Part 1 [A]"/>
    <m/>
    <s v="INV FRA-003504"/>
    <d v="2022-08-05T00:00:00"/>
    <n v="1498548"/>
    <x v="1"/>
    <n v="1498548"/>
    <n v="0"/>
    <n v="1498548"/>
  </r>
  <r>
    <s v="UC107"/>
    <m/>
    <s v="CLI"/>
    <m/>
    <s v="IQVIA"/>
    <s v="WO ZZA92074"/>
    <m/>
    <s v="Upon execution of WO Part 2 [A]"/>
    <m/>
    <s v="INV FRA-003629"/>
    <d v="2022-09-09T00:00:00"/>
    <n v="4683567"/>
    <x v="1"/>
    <n v="4683567"/>
    <n v="0"/>
    <n v="4683567"/>
  </r>
  <r>
    <s v="UC107"/>
    <m/>
    <s v="CLI"/>
    <m/>
    <s v="IQVIA"/>
    <s v="WO ZZA92074"/>
    <m/>
    <s v="First site initiated"/>
    <m/>
    <s v="INV FRA-003883"/>
    <d v="2022-12-14T00:00:00"/>
    <n v="963697"/>
    <x v="1"/>
    <n v="963697"/>
    <n v="0"/>
    <n v="963697"/>
  </r>
  <r>
    <s v="UC107"/>
    <m/>
    <s v="CLI"/>
    <m/>
    <s v="IQVIA"/>
    <s v="WO ZZA92074"/>
    <m/>
    <s v="PTC - Upfront payment - Pass-Through [A]"/>
    <m/>
    <s v="INV FRA-003505"/>
    <d v="2022-08-05T00:00:00"/>
    <n v="3378370"/>
    <x v="1"/>
    <n v="3378370"/>
    <n v="0"/>
    <n v="3378370"/>
  </r>
  <r>
    <s v="UC107"/>
    <m/>
    <s v="CLI"/>
    <m/>
    <s v="IQVIA"/>
    <s v="WO ZZA92074"/>
    <m/>
    <s v="PTC - Upfront payment - Pass-Through Reimbursement"/>
    <m/>
    <m/>
    <m/>
    <n v="-3378370"/>
    <x v="1"/>
    <m/>
    <n v="-3378370"/>
    <n v="0"/>
  </r>
  <r>
    <s v="UC107"/>
    <m/>
    <s v="CLI"/>
    <m/>
    <s v="IQVIA"/>
    <s v="WO ZZA92074"/>
    <m/>
    <s v="PTC - Pre-Payment Due Upon ATP Execution"/>
    <m/>
    <s v="INV FRA-002873"/>
    <d v="2021-11-10T00:00:00"/>
    <n v="136691.66"/>
    <x v="1"/>
    <n v="136691.66"/>
    <n v="0"/>
    <n v="136691.66"/>
  </r>
  <r>
    <s v="UC107"/>
    <m/>
    <s v="CLI"/>
    <m/>
    <s v="IQVIA"/>
    <s v="WO ZZA92074"/>
    <m/>
    <s v="PTC - Monthly Payment - 01 Nov 2021"/>
    <m/>
    <s v="INV FRA-002873"/>
    <d v="2021-11-10T00:00:00"/>
    <n v="29291.07"/>
    <x v="1"/>
    <n v="29291.07"/>
    <n v="0"/>
    <n v="29291.07"/>
  </r>
  <r>
    <s v="UC107"/>
    <m/>
    <s v="CLI"/>
    <m/>
    <s v="IQVIA"/>
    <s v="WO ZZA92074"/>
    <m/>
    <s v="PTC - Monthly Payment - 01 Dec 2021"/>
    <m/>
    <s v="INV FRA-003190"/>
    <d v="2022-03-29T00:00:00"/>
    <n v="29291.07"/>
    <x v="1"/>
    <n v="29291.07"/>
    <n v="0"/>
    <n v="29291.07"/>
  </r>
  <r>
    <s v="UC107"/>
    <m/>
    <s v="CLI"/>
    <m/>
    <s v="IQVIA"/>
    <s v="WO ZZA92074"/>
    <m/>
    <s v="PTC - Other payments based on actual"/>
    <m/>
    <s v="INV FRA-003153 + INV FRA-003302 + INV FRA-003303 + INV FRA-003393 + INV FRA-003392 + INV FRA-003391 + INV FRA-003463"/>
    <s v="08/03/2022 + 11/05/2022 + 11/05/2022 + 16/06/2022 + 16/06/2022 + 16/06/2022 + 18/07/2022"/>
    <n v="587291.43999999994"/>
    <x v="1"/>
    <n v="587291.43999999994"/>
    <n v="0"/>
    <n v="587291.43999999994"/>
  </r>
  <r>
    <s v="UC107"/>
    <m/>
    <s v="CLI"/>
    <m/>
    <s v="IQVIA"/>
    <s v="WO ZZA92074"/>
    <m/>
    <s v="Investigator fees - Upfront payment - Investigator Fees [A]"/>
    <m/>
    <s v="INV FRA-003629"/>
    <d v="2022-09-09T00:00:00"/>
    <n v="1322036"/>
    <x v="1"/>
    <n v="1322036"/>
    <n v="0"/>
    <n v="1322036"/>
  </r>
  <r>
    <s v="UC107"/>
    <m/>
    <s v="CLI"/>
    <m/>
    <s v="IQVIA"/>
    <s v="WO ZZA92074"/>
    <m/>
    <s v="Investigator fees - Upfront payment - Investigator Fees Reimbursement"/>
    <m/>
    <m/>
    <m/>
    <n v="-1322036"/>
    <x v="1"/>
    <m/>
    <n v="-1322036"/>
    <n v="0"/>
  </r>
  <r>
    <s v="UC107"/>
    <m/>
    <s v="CLI"/>
    <m/>
    <s v="IQVIA"/>
    <s v="WO ZZA92074"/>
    <m/>
    <s v="Upfront payment - Q2 [A]"/>
    <m/>
    <s v="INV FRA-004009"/>
    <d v="2023-02-03T00:00:00"/>
    <n v="642796"/>
    <x v="1"/>
    <n v="642796"/>
    <n v="0"/>
    <n v="642796"/>
  </r>
  <r>
    <s v="UC107"/>
    <m/>
    <s v="CLI"/>
    <m/>
    <s v="IQVIA"/>
    <s v="WO ZZA92074"/>
    <m/>
    <s v="Upfront payment - Q2 Reimbursement"/>
    <m/>
    <m/>
    <m/>
    <n v="-642796"/>
    <x v="1"/>
    <m/>
    <n v="-642796"/>
    <n v="0"/>
  </r>
  <r>
    <s v="UC107"/>
    <m/>
    <s v="CLI"/>
    <m/>
    <s v="IQVIA"/>
    <s v="WO ZZA92074 - CO1"/>
    <m/>
    <s v="Upon execution of CO1"/>
    <m/>
    <s v="INV FRA-004523"/>
    <d v="2023-08-25T00:00:00"/>
    <n v="1633000"/>
    <x v="1"/>
    <n v="1633000"/>
    <n v="0"/>
    <n v="1633000"/>
  </r>
  <r>
    <s v="UC107"/>
    <m/>
    <s v="CLI"/>
    <m/>
    <s v="IQVIA"/>
    <s v="WO ZZA92074 - CO1"/>
    <m/>
    <s v="5% of Site Initiation Visits &amp; Reports Completed"/>
    <m/>
    <s v="INV FRA-004528"/>
    <d v="2023-09-04T00:00:00"/>
    <n v="3265999"/>
    <x v="1"/>
    <n v="3265999"/>
    <n v="0"/>
    <n v="3265999"/>
  </r>
  <r>
    <s v="UC107"/>
    <m/>
    <s v="CLI"/>
    <m/>
    <s v="IQVIA"/>
    <s v="WO ZZA92074 - CO1"/>
    <m/>
    <s v="10% of Site Initiation Visits &amp; Reports Completed"/>
    <m/>
    <s v="INV FRA-004664"/>
    <d v="2023-10-16T00:00:00"/>
    <n v="4082499"/>
    <x v="1"/>
    <n v="4082499"/>
    <n v="0"/>
    <n v="4082499"/>
  </r>
  <r>
    <s v="UC107"/>
    <m/>
    <s v="CLI"/>
    <m/>
    <s v="IQVIA"/>
    <s v="WO ZZA92074 - CO1"/>
    <m/>
    <s v="15% of Site Initiation Visits &amp; Reports Completed"/>
    <m/>
    <s v="INV FRA-004826"/>
    <d v="2023-12-12T00:00:00"/>
    <n v="4626832"/>
    <x v="1"/>
    <n v="4626832"/>
    <n v="0"/>
    <n v="4626832"/>
  </r>
  <r>
    <s v="UC107"/>
    <m/>
    <s v="CLI"/>
    <m/>
    <s v="IQVIA"/>
    <s v="WO ZZA92074 - CO2"/>
    <m/>
    <s v="30% of Site Initiation Visits &amp; Reports Completed"/>
    <m/>
    <s v="INV FRA-005103"/>
    <d v="2024-03-27T00:00:00"/>
    <n v="3489016"/>
    <x v="1"/>
    <n v="3489016"/>
    <n v="0"/>
    <n v="3489016"/>
  </r>
  <r>
    <s v="UC107"/>
    <m/>
    <s v="CLI"/>
    <m/>
    <s v="IQVIA"/>
    <s v="WO ZZA92074 - CO2"/>
    <m/>
    <s v="50% of Site Initiation Visits &amp; Reports Completed"/>
    <m/>
    <s v="INV FRA -005528"/>
    <d v="2024-09-18T00:00:00"/>
    <n v="4652021"/>
    <x v="1"/>
    <n v="4652021"/>
    <n v="0"/>
    <n v="4652021"/>
  </r>
  <r>
    <s v="UC107"/>
    <m/>
    <s v="CLI"/>
    <m/>
    <s v="IQVIA"/>
    <s v="WO ZZA92074 - CO2"/>
    <m/>
    <s v="10% of Monitoring Visits &amp; Reports Completed"/>
    <m/>
    <s v="INV FRA-005794"/>
    <d v="2024-12-31T00:00:00"/>
    <n v="4652021"/>
    <x v="1"/>
    <n v="4652021"/>
    <n v="0"/>
    <n v="4652021"/>
  </r>
  <r>
    <s v="UC107"/>
    <m/>
    <s v="CLI"/>
    <m/>
    <s v="IQVIA"/>
    <s v="WO ZZA92074 - CO3"/>
    <m/>
    <s v="20% of Monitoring Visits &amp; Reports Completed"/>
    <n v="45748"/>
    <s v="INV FRA-006486"/>
    <s v="29/02/2025"/>
    <n v="8384183"/>
    <x v="1"/>
    <n v="8384183"/>
    <n v="0"/>
    <n v="8384183"/>
  </r>
  <r>
    <s v="UC107"/>
    <m/>
    <s v="CLI"/>
    <m/>
    <s v="IQVIA"/>
    <s v="WO ZZA92074 - CO3"/>
    <m/>
    <s v="30% of Monitoring Visits &amp; Reports Completed"/>
    <n v="45931"/>
    <s v="INV FRA -007016"/>
    <d v="2025-12-08T00:00:00"/>
    <n v="4790962"/>
    <x v="1"/>
    <n v="4790962"/>
    <n v="0"/>
    <n v="4790962"/>
  </r>
  <r>
    <s v="UC107"/>
    <m/>
    <s v="CLI"/>
    <m/>
    <s v="IQVIA"/>
    <s v="WO ZZA92074 - CO3"/>
    <m/>
    <s v="40% of Monitoring Visits &amp; Reports Completed"/>
    <d v="2026-01-01T00:00:00"/>
    <m/>
    <m/>
    <n v="7186443"/>
    <x v="1"/>
    <m/>
    <n v="7186443"/>
    <n v="0"/>
  </r>
  <r>
    <s v="UC107"/>
    <m/>
    <s v="CLI"/>
    <m/>
    <s v="IQVIA"/>
    <s v="WO ZZA92074 - CO3"/>
    <m/>
    <s v="50% of Monitoring Visits &amp; Reports Completed"/>
    <d v="2026-03-01T00:00:00"/>
    <m/>
    <m/>
    <n v="9581924"/>
    <x v="1"/>
    <m/>
    <n v="9581924"/>
    <n v="0"/>
  </r>
  <r>
    <s v="UC107"/>
    <m/>
    <s v="CLI"/>
    <m/>
    <s v="IQVIA"/>
    <s v="WO ZZA92074 - CO3"/>
    <m/>
    <s v="60% of Monitoring Visits &amp; Reports Completed"/>
    <d v="2026-07-01T00:00:00"/>
    <m/>
    <m/>
    <n v="7186443"/>
    <x v="1"/>
    <m/>
    <n v="7186443"/>
    <n v="0"/>
  </r>
  <r>
    <s v="UC107"/>
    <m/>
    <s v="CLI"/>
    <m/>
    <s v="IQVIA"/>
    <s v="WO ZZA92074 - CO3"/>
    <m/>
    <s v="65% of Monitoring Visits &amp; Reports Completed"/>
    <d v="2026-12-01T00:00:00"/>
    <m/>
    <m/>
    <n v="7186443"/>
    <x v="1"/>
    <m/>
    <n v="7186443"/>
    <n v="0"/>
  </r>
  <r>
    <s v="UC107"/>
    <m/>
    <s v="CLI"/>
    <m/>
    <s v="IQVIA"/>
    <s v="WO ZZA92074 - CO3"/>
    <m/>
    <s v="70% of Monitoring Visits &amp; Reports Completed"/>
    <d v="2027-06-01T00:00:00"/>
    <m/>
    <m/>
    <n v="8384183"/>
    <x v="1"/>
    <m/>
    <n v="8384183"/>
    <n v="0"/>
  </r>
  <r>
    <s v="UC107"/>
    <m/>
    <s v="CLI"/>
    <m/>
    <s v="IQVIA"/>
    <s v="WO ZZA92074 - CO3"/>
    <m/>
    <s v="75% of Monitoring Visits &amp; Reports Completed"/>
    <d v="2028-03-01T00:00:00"/>
    <m/>
    <m/>
    <n v="7186443"/>
    <x v="1"/>
    <m/>
    <n v="7186443"/>
    <n v="0"/>
  </r>
  <r>
    <s v="UC107"/>
    <m/>
    <s v="CLI"/>
    <m/>
    <s v="IQVIA"/>
    <s v="WO ZZA92074 - CO3"/>
    <m/>
    <s v="80% of Monitoring Visits &amp; Reports Completed"/>
    <d v="2028-12-01T00:00:00"/>
    <m/>
    <m/>
    <n v="7186443"/>
    <x v="1"/>
    <m/>
    <n v="7186443"/>
    <n v="0"/>
  </r>
  <r>
    <s v="UC107"/>
    <m/>
    <s v="CLI"/>
    <m/>
    <s v="IQVIA"/>
    <s v="WO ZZA92074 - CO3"/>
    <m/>
    <s v="90% of Monitoring Visits &amp; Reports Completed"/>
    <d v="2029-10-01T00:00:00"/>
    <m/>
    <m/>
    <n v="5988702"/>
    <x v="1"/>
    <m/>
    <n v="5988702"/>
    <n v="0"/>
  </r>
  <r>
    <s v="UC107"/>
    <m/>
    <s v="CLI"/>
    <m/>
    <s v="IQVIA"/>
    <s v="WO ZZA92074 - CO3"/>
    <m/>
    <s v="Database Lock (DBL)"/>
    <d v="2030-03-01T00:00:00"/>
    <m/>
    <m/>
    <n v="5988702"/>
    <x v="1"/>
    <m/>
    <n v="5988702"/>
    <n v="0"/>
  </r>
  <r>
    <s v="UC107"/>
    <m/>
    <s v="CLI"/>
    <m/>
    <s v="IQVIA"/>
    <s v="WO ZZA92074 - CO3"/>
    <m/>
    <s v="Final Clinical Study Report (CSR) Delivered to Sponsor"/>
    <d v="2030-07-01T00:00:00"/>
    <m/>
    <m/>
    <n v="4790962"/>
    <x v="1"/>
    <m/>
    <n v="4790962"/>
    <n v="0"/>
  </r>
  <r>
    <s v="UC107"/>
    <m/>
    <s v="CLI"/>
    <m/>
    <s v="IQVIA"/>
    <s v="WO ZZA92074 - CO3"/>
    <m/>
    <s v="Transfer of Trial Master File (TMF) to Sponsor"/>
    <d v="2030-11-01T00:00:00"/>
    <m/>
    <m/>
    <n v="1340328"/>
    <x v="1"/>
    <m/>
    <n v="1340328"/>
    <n v="0"/>
  </r>
  <r>
    <s v="UC107"/>
    <m/>
    <s v="CLI"/>
    <m/>
    <s v="IQVIA"/>
    <s v="WO ZZA92074 - CO3"/>
    <m/>
    <s v="PTC - Pass-Through Costs*"/>
    <m/>
    <s v="INV FRA-003543 + INV FRA-003639 + INV FRA-003692 + INV FRA-003789 + INV FRA-003867 + INV FRA-003945 + INV FRA-004044 + INV FRA-004108 + INV FRA-004187 + INV FRA-004257 + INV FRA-004328 + INV FRA-004416 + INV FRA-004494 + INV FRA-004570 + INV FRA-004650 + INV FRA-00464 + INV FRA-004835 + INV FRA-004906 + INV FRA-005009 + INV FRA-005150 + INV FRA-005079 + INV FRA-005234 + INV FRA-005311 + INV FRA-005377 + INV FRA-005441 + INC FRA-005515 + INV FRA-005583 + INV FRA-005655 + INV FRA-005759 + INV FRA-005914 + INV FRA- 005929 + INV FRA-006031 + INV FRA-006124 + INV FRA-006220 + INV FRA-006320+ INV FRA-006454+ INV FRA-006565+ INV FRA- 006656 + INV FRA-006780 + INV FRA- 006894 + INV FRA-007057+ INV FRA-007170"/>
    <s v="16/08/2022 + 13/09/2022 + 07/10/2022 + 08/11/2022 + 12/12/2022 + 11/01/2023 + 15/02/2023 + 14/03/2023 + 13/04/2023 + 15/05/2023 + 15/06/2023 + 17/07/2023 + 14/08/2023 + 14/09/2023 + 13/10/2023 + 13/11/2023 + 13/12/2023 + 12/01/2024 + 15/02/2024 + 11/04/2024 + 13/03/2024 + 13/05/2024 + 13/06/2024 + 12/07/2024 + 14/08/2024 + 13/09/2024 + 11/10/2024 + 13/11/2024 + 12/12/2024 + 13/02/2025 +18/02/2025+11/03/2025 + 11/04/2025 + 13/05/2025 + 12/06/2025+15/07/2025+13/08/2025+12/09/2025+13/10/2025 + 13/11/2025 + 15/12/2025 + 15/01/2026"/>
    <n v="27980891.559999999"/>
    <x v="1"/>
    <n v="10285526.530000001"/>
    <n v="17695365.029999997"/>
    <n v="10285526.530000001"/>
  </r>
  <r>
    <s v="UC107"/>
    <m/>
    <s v="CLI"/>
    <m/>
    <s v="IQVIA"/>
    <s v="WO ZZA92074 - CO3"/>
    <m/>
    <s v="Investigator fees"/>
    <m/>
    <s v="INV FRA-003854 + INV FRA-003944 + INV FRA-004038 + INV FRA-004126 + INV FRA-004186 + INV FRA-004259 + INV FRA-004330 + INV FRA-004418 + INV FRA-004490 + INV FRA-004576 + INV FRA-004646 + INV FRA-004760 + INV FRA-004834 + INV FRA-004904 + INV FRA-005008 + INV FRA-005149 + INV FRA-005077 + INV FRA-005232 + INV FRA-005303 + INV FRA-005383 + INV FRA-005445 + INV FRA-005516 + INV FRA-005584 + INV FRA-005549 + INV FRA-005762 + INV FRA-005918 + INV FRA-005933 + INV FRA-006038 + INV FRA-006120 + INV FRA -006211 + INV FRA-006322+ INV FRA-006451 + INV FRA-006563+INV FRA-006655+INV FRA-006765 + INV FRA-006897  + INV FRA-007056 + FRA-007169"/>
    <s v="09/12/2022 + 10/01/2023 + 15/02/2023 + 14/03/2023 + 13/04/2023 + 15/05/2023 + 15/06/2023 + 17/07/2023 + 14/08/2023 + 14/09/2023 + 12/10/2023 + 13/11/2023 + 13/12/2023 + 12/01/2024 + 15/02/2024 + 11/04/2024 + 13/03/2024 + 13/05/2024 + 13/06/2024 + 12/07/2024 + 14/08/2024 + 13/09/2024 + 11/10/2024 + 13/11/2024 +13/02/2025+18/02/2025+11/03/2025 + 11/04/2025 + 13/05/2025 + 12/06/2025+15/07/2025+13/08/2025+12/09/2025+13/10/2025+13/11/2025+15/12/2025+15/01/2026"/>
    <n v="12887268"/>
    <x v="1"/>
    <n v="10506821.370000001"/>
    <n v="2380446.629999999"/>
    <n v="10506821.370000001"/>
  </r>
  <r>
    <s v="UC107"/>
    <m/>
    <s v="CLI"/>
    <m/>
    <s v="IQVIA"/>
    <s v="WO ZZA92074 - CO3"/>
    <m/>
    <s v="Q2 (Fees and PTCs)***"/>
    <m/>
    <s v="INV FRA-004003 + INV FRA-004128 + INV FRA-004255 + INV FRA-004329 + INV FRA-004415 + INV FRA-004489 + INV FRA-004569 + INV FRA-004644 + INV FRA-004763 + INV FRA-004836 + INV FRA-004905 + INV FRA-005015 + INV FRA-005148 + INV FRA-005076 + INV FRA-005235 + INV FRA-005305 + INV FRA-005382 + INV FRA-005443 + INV FRA-005514 + INV FRA-005585 + INV FRA-005548 + INV FRA-005760 + INV FRA- 5931+ INV FRA-005913+ INV FRA-006041 + INV FRA-006126 + INV FRA-006214 + INV FRA-006321 + INV FRA-006453+INV FRA6566+INV FRA-006654+INV FRA-006767 + INV FRA-006901 + INV FRA-007043 + INV FRA-007171"/>
    <s v="03/02/2023 + 14/03/2023 + 15/05/2023 + 15/06/2023 + 17/07/2023 + 14/08/2023 + 14/09/2023 + 12/10/2023 + 13/11/2023 + 13/12/2023 + 12/01/2024 + 15/02/2024 + 11/04/2024 + 13/03/2024 + 13/05/2024 + 13/06/2024 + 12/07/2024 + 14/08/2024 + 13/09/2024 + 11/10/2024 + 13/11/2024 + 12/12/2024+18/02/2025+13/02/2025 + 11/03/2025 + 11/04/2025 + 13/05/2025 + 12/06/2025 + 15/07/2025 + 13/08/2025 + 12/09/2025+13/10/2025+13/11/2025+11/12/2025+15/01/2026"/>
    <n v="11653219"/>
    <x v="1"/>
    <n v="9974238.9900000002"/>
    <n v="1678980.0099999998"/>
    <n v="9974238.9900000002"/>
  </r>
  <r>
    <s v="UC105"/>
    <m/>
    <s v="CLI"/>
    <m/>
    <s v="IQVIA"/>
    <s v="WOFZA86006"/>
    <m/>
    <s v="Signature of the ATP"/>
    <m/>
    <s v="INV FRA-002852"/>
    <d v="2021-11-09T00:00:00"/>
    <n v="1420869.3"/>
    <x v="1"/>
    <n v="1420869.3"/>
    <n v="0"/>
    <n v="1420869.3"/>
  </r>
  <r>
    <s v="UC105"/>
    <m/>
    <s v="CLI"/>
    <m/>
    <s v="IQVIA"/>
    <s v="WOFZA86006"/>
    <m/>
    <s v="Monthly Payment - 01 Nov 2021 (ATP)"/>
    <m/>
    <s v="INV FRA-002851"/>
    <d v="2021-11-09T00:00:00"/>
    <n v="304471.99"/>
    <x v="1"/>
    <n v="304471.99"/>
    <n v="0"/>
    <n v="304471.99"/>
  </r>
  <r>
    <s v="UC105"/>
    <m/>
    <s v="CLI"/>
    <m/>
    <s v="IQVIA"/>
    <s v="WOFZA86006"/>
    <m/>
    <s v="Monthly Payment - 01 Dec 2021 (ATP)"/>
    <m/>
    <s v="INV FRA-003189 - CN FRA-002916"/>
    <s v="29/03/2022 + 30/11/2021"/>
    <n v="304471.99"/>
    <x v="1"/>
    <n v="304471.99"/>
    <n v="0"/>
    <n v="304471.99"/>
  </r>
  <r>
    <s v="UC105"/>
    <m/>
    <s v="CLI"/>
    <m/>
    <s v="IQVIA"/>
    <s v="WOFZA86006"/>
    <m/>
    <s v="Monthly Payment - 01 Apr 2022 (ATP)"/>
    <m/>
    <s v="INV FRA-003283"/>
    <d v="2022-05-06T00:00:00"/>
    <n v="115615.94"/>
    <x v="1"/>
    <n v="115615.94"/>
    <n v="0"/>
    <n v="115615.94"/>
  </r>
  <r>
    <s v="UC105"/>
    <m/>
    <s v="CLI"/>
    <m/>
    <s v="IQVIA"/>
    <s v="WOFZA86006"/>
    <m/>
    <s v="Monthly Payment - 01 May 2022 (ATP)"/>
    <m/>
    <s v="INV FRA-003283"/>
    <d v="2022-05-06T00:00:00"/>
    <n v="115615.94"/>
    <x v="1"/>
    <n v="115615.94"/>
    <n v="0"/>
    <n v="115615.94"/>
  </r>
  <r>
    <s v="UC105"/>
    <m/>
    <s v="CLI"/>
    <m/>
    <s v="IQVIA"/>
    <s v="WOFZA86006"/>
    <m/>
    <s v="Monthly Payment - June - July 2022 (ATP)"/>
    <m/>
    <s v="INV FRA-003412"/>
    <d v="2022-07-05T00:00:00"/>
    <n v="399477"/>
    <x v="1"/>
    <n v="399477"/>
    <n v="0"/>
    <n v="399477"/>
  </r>
  <r>
    <s v="UC105"/>
    <m/>
    <s v="CLI"/>
    <m/>
    <s v="IQVIA"/>
    <s v="WOFZA86006"/>
    <m/>
    <s v="Upon execution of WO Part 1 [A]"/>
    <m/>
    <s v="INV FRA-003513"/>
    <d v="2022-08-09T00:00:00"/>
    <n v="1248581"/>
    <x v="1"/>
    <n v="1248581"/>
    <n v="0"/>
    <n v="1248581"/>
  </r>
  <r>
    <s v="UC105"/>
    <m/>
    <s v="CLI"/>
    <m/>
    <s v="IQVIA"/>
    <s v="WOFZA86006"/>
    <m/>
    <s v="Upon execution of WO Part 2 [A]"/>
    <m/>
    <s v="INV FRA-003623"/>
    <d v="2022-09-09T00:00:00"/>
    <n v="2111749"/>
    <x v="1"/>
    <n v="2111749"/>
    <n v="0"/>
    <n v="2111749"/>
  </r>
  <r>
    <s v="UC105"/>
    <m/>
    <s v="CLI"/>
    <m/>
    <s v="IQVIA"/>
    <s v="WOFZA86006"/>
    <m/>
    <s v="First site initiated"/>
    <m/>
    <s v="INV FRA-003668"/>
    <d v="2022-09-28T00:00:00"/>
    <n v="802946"/>
    <x v="1"/>
    <n v="802946"/>
    <n v="0"/>
    <n v="802946"/>
  </r>
  <r>
    <s v="UC105"/>
    <m/>
    <s v="CLI"/>
    <m/>
    <s v="IQVIA"/>
    <s v="WOFZA86006"/>
    <m/>
    <s v="5% of Site Initiation Visits &amp; Reports Completed"/>
    <m/>
    <s v="FRA-003914"/>
    <d v="2023-01-05T00:00:00"/>
    <n v="2007366"/>
    <x v="1"/>
    <n v="2007366"/>
    <n v="0"/>
    <n v="2007366"/>
  </r>
  <r>
    <s v="UC105"/>
    <m/>
    <s v="CLI"/>
    <m/>
    <s v="IQVIA"/>
    <s v="WOFZA86006"/>
    <m/>
    <s v="20% of Site Initiation Visits &amp; Reports Completed"/>
    <m/>
    <s v="INV FRA-004364"/>
    <d v="2023-06-26T00:00:00"/>
    <n v="2810312"/>
    <x v="1"/>
    <n v="2810312"/>
    <n v="0"/>
    <n v="2810312"/>
  </r>
  <r>
    <s v="UC105"/>
    <m/>
    <s v="CLI"/>
    <m/>
    <s v="IQVIA"/>
    <s v="WOFZA86006"/>
    <m/>
    <s v="PTC - Upfront payment - Pass-Through [A]"/>
    <m/>
    <s v="INV FRA-003514"/>
    <d v="2022-08-09T00:00:00"/>
    <n v="1502705"/>
    <x v="1"/>
    <n v="1502705"/>
    <n v="0"/>
    <n v="1502705"/>
  </r>
  <r>
    <s v="UC105"/>
    <m/>
    <s v="CLI"/>
    <m/>
    <s v="IQVIA"/>
    <s v="WOFZA86006"/>
    <m/>
    <s v="PTC - Upfront payment - Pass-Through Reimbursement"/>
    <m/>
    <m/>
    <m/>
    <n v="-1502705"/>
    <x v="1"/>
    <m/>
    <n v="-1502705"/>
    <n v="0"/>
  </r>
  <r>
    <s v="UC105"/>
    <m/>
    <s v="CLI"/>
    <m/>
    <s v="IQVIA"/>
    <s v="WOFZA86006"/>
    <m/>
    <s v="PTC - Pre-Payment Due Upon ATP Execution"/>
    <m/>
    <s v="INV FRA-002873"/>
    <d v="2021-11-10T00:00:00"/>
    <n v="546607.47"/>
    <x v="1"/>
    <n v="546607.47"/>
    <n v="0"/>
    <n v="546607.47"/>
  </r>
  <r>
    <s v="UC105"/>
    <m/>
    <s v="CLI"/>
    <m/>
    <s v="IQVIA"/>
    <s v="WOFZA86006"/>
    <m/>
    <s v="PTC - Monthly Payment - 01 Nov 2021"/>
    <m/>
    <s v="INV FRA-002873"/>
    <d v="2021-11-10T00:00:00"/>
    <n v="117130.17"/>
    <x v="1"/>
    <n v="117130.17"/>
    <n v="0"/>
    <n v="117130.17"/>
  </r>
  <r>
    <s v="UC105"/>
    <m/>
    <s v="CLI"/>
    <m/>
    <s v="IQVIA"/>
    <s v="WOFZA86006"/>
    <m/>
    <s v="PTC - Monthly Payment - 01 Dec 2021"/>
    <m/>
    <s v="INV FRA-003190"/>
    <d v="2022-03-29T00:00:00"/>
    <n v="117130.17"/>
    <x v="1"/>
    <n v="117130.17"/>
    <n v="0"/>
    <n v="117130.17"/>
  </r>
  <r>
    <s v="UC105"/>
    <m/>
    <s v="CLI"/>
    <m/>
    <s v="IQVIA"/>
    <s v="WOFZA86006"/>
    <m/>
    <s v="PTC - Other payments based on actual"/>
    <m/>
    <s v="INV FRA-003153 + INV FRA-003302 + INV FRA-003303 + INV FRA-003393 + INV FRA-003392 + INV FRA-003391 + INV FRA-003464"/>
    <s v="08/03/2022 + 11/05/2022 + 11/05/2022 + 16/06/2022 + 16/06/2022 + 16/06/2022 + 18/07/2022"/>
    <n v="463095.98"/>
    <x v="1"/>
    <n v="463095.98"/>
    <n v="0"/>
    <n v="463095.98"/>
  </r>
  <r>
    <s v="UC105"/>
    <m/>
    <s v="CLI"/>
    <m/>
    <s v="IQVIA"/>
    <s v="WOFZA86006"/>
    <m/>
    <s v="Investigator fees - Upfront payment - Investigator Fees [A]"/>
    <m/>
    <s v="INV FRA-003624"/>
    <d v="2022-09-09T00:00:00"/>
    <n v="811203"/>
    <x v="1"/>
    <n v="811203"/>
    <n v="0"/>
    <n v="811203"/>
  </r>
  <r>
    <s v="UC105"/>
    <m/>
    <s v="CLI"/>
    <m/>
    <s v="IQVIA"/>
    <s v="WOFZA86006"/>
    <m/>
    <s v="Investigator fees - Upfront payment - Investigator Fees Reimbursement"/>
    <m/>
    <m/>
    <m/>
    <n v="-811203"/>
    <x v="1"/>
    <m/>
    <n v="-811203"/>
    <n v="0"/>
  </r>
  <r>
    <s v="UC105"/>
    <m/>
    <s v="CLI"/>
    <m/>
    <s v="IQVIA"/>
    <s v="WOFZA86006"/>
    <m/>
    <s v="Upfront payment - Q2 [A]"/>
    <m/>
    <s v="INV FRA-004004"/>
    <d v="2023-02-03T00:00:00"/>
    <n v="499905"/>
    <x v="1"/>
    <n v="499905"/>
    <n v="0"/>
    <n v="499905"/>
  </r>
  <r>
    <s v="UC105"/>
    <m/>
    <s v="CLI"/>
    <m/>
    <s v="IQVIA"/>
    <s v="WOFZA86006"/>
    <m/>
    <s v="Upfront payment - Q2 Reimbursement"/>
    <m/>
    <m/>
    <m/>
    <n v="-499905"/>
    <x v="1"/>
    <m/>
    <n v="-499905"/>
    <n v="0"/>
  </r>
  <r>
    <s v="UC105"/>
    <m/>
    <s v="CLI"/>
    <m/>
    <s v="IQVIA"/>
    <s v="WOFZA86006 - CO1"/>
    <m/>
    <s v="Upon execution of CO1"/>
    <m/>
    <s v="INV FRA-004519"/>
    <d v="2023-08-24T00:00:00"/>
    <n v="2257510"/>
    <x v="1"/>
    <n v="2257510"/>
    <n v="0"/>
    <n v="2257510"/>
  </r>
  <r>
    <s v="UC105"/>
    <m/>
    <s v="CLI"/>
    <m/>
    <s v="IQVIA"/>
    <s v="WOFZA86006 - CO1"/>
    <m/>
    <s v="40% of Site Initiation Visits &amp; Reports Completed"/>
    <m/>
    <s v="INV FRA-004597"/>
    <d v="2023-09-25T00:00:00"/>
    <n v="3160514"/>
    <x v="1"/>
    <n v="3160514"/>
    <n v="0"/>
    <n v="3160514"/>
  </r>
  <r>
    <s v="UC105"/>
    <m/>
    <s v="CLI"/>
    <m/>
    <s v="IQVIA"/>
    <s v="WOFZA86006 - CO1"/>
    <m/>
    <s v="60% of Site Initiation Visits &amp; Reports Completed"/>
    <m/>
    <s v="INV FRA-004976"/>
    <d v="2024-02-09T00:00:00"/>
    <n v="3160514"/>
    <x v="1"/>
    <n v="3160514"/>
    <n v="0"/>
    <n v="3160514"/>
  </r>
  <r>
    <s v="UC105"/>
    <m/>
    <s v="CLI"/>
    <m/>
    <s v="IQVIA"/>
    <s v="WOFZA86006 - CO1"/>
    <m/>
    <s v="15% Patients randomised"/>
    <m/>
    <s v="INV FRA-005100"/>
    <d v="2024-03-26T00:00:00"/>
    <n v="1008988"/>
    <x v="1"/>
    <n v="1008988"/>
    <n v="0"/>
    <n v="1008988"/>
  </r>
  <r>
    <s v="UC105"/>
    <m/>
    <s v="CLI"/>
    <m/>
    <s v="IQVIA"/>
    <s v="WOFZA86006 - CO1"/>
    <m/>
    <s v="25% Patients randomised"/>
    <m/>
    <s v="INV FRA-005028"/>
    <d v="2024-02-23T00:00:00"/>
    <n v="4063518"/>
    <x v="1"/>
    <n v="4063518"/>
    <n v="0"/>
    <n v="4063518"/>
  </r>
  <r>
    <s v="UC105"/>
    <m/>
    <s v="CLI"/>
    <m/>
    <s v="IQVIA"/>
    <s v="WOFZA86006 - CO2"/>
    <m/>
    <s v="Upon execution CO2"/>
    <m/>
    <s v="INV FRA-005100"/>
    <d v="2024-03-26T00:00:00"/>
    <n v="4035953"/>
    <x v="1"/>
    <n v="4035953"/>
    <n v="0"/>
    <n v="4035953"/>
  </r>
  <r>
    <s v="UC105"/>
    <m/>
    <s v="CLI"/>
    <m/>
    <s v="IQVIA"/>
    <s v="WOFZA86006 - CO2"/>
    <m/>
    <s v="80% of Site Initiation Visits &amp; Reports Completed"/>
    <m/>
    <s v="INV FRA-005219"/>
    <d v="2024-05-08T00:00:00"/>
    <n v="1008988"/>
    <x v="1"/>
    <n v="1008988"/>
    <n v="0"/>
    <n v="1008988"/>
  </r>
  <r>
    <s v="UC105"/>
    <m/>
    <s v="CLI"/>
    <m/>
    <s v="IQVIA"/>
    <s v="WOFZA86006 - CO1"/>
    <m/>
    <s v="40% Patients randomised"/>
    <m/>
    <s v="INV FRA-005330"/>
    <d v="2024-06-20T00:00:00"/>
    <n v="2017976"/>
    <x v="1"/>
    <n v="2017976"/>
    <n v="0"/>
    <n v="2017976"/>
  </r>
  <r>
    <s v="UC105"/>
    <m/>
    <s v="CLI"/>
    <m/>
    <s v="IQVIA"/>
    <s v="WOFZA86006 - CO1"/>
    <m/>
    <s v="50% Patients randomised"/>
    <m/>
    <s v="INV FRA-005433"/>
    <d v="2024-08-09T00:00:00"/>
    <n v="2017976"/>
    <x v="1"/>
    <n v="2017976"/>
    <n v="0"/>
    <n v="2017976"/>
  </r>
  <r>
    <s v="UC105"/>
    <m/>
    <s v="CLI"/>
    <m/>
    <s v="IQVIA"/>
    <s v="WOFZA86006 - CO1"/>
    <m/>
    <s v="60% Patients randomised"/>
    <m/>
    <s v="INV FRA-005541"/>
    <d v="2024-09-27T00:00:00"/>
    <n v="2522471"/>
    <x v="1"/>
    <n v="2522471"/>
    <n v="0"/>
    <n v="2522471"/>
  </r>
  <r>
    <s v="UC105"/>
    <m/>
    <s v="CLI"/>
    <m/>
    <s v="IQVIA"/>
    <s v="WOFZA86006 - CO1"/>
    <m/>
    <s v="70% Patients randomised"/>
    <m/>
    <s v="INV FRA-005683"/>
    <d v="2024-11-29T00:00:00"/>
    <n v="2017976"/>
    <x v="1"/>
    <n v="2017976"/>
    <n v="0"/>
    <n v="2017976"/>
  </r>
  <r>
    <s v="UC105"/>
    <m/>
    <s v="CLI"/>
    <m/>
    <s v="IQVIA"/>
    <s v="WOFZA86006 - CO1"/>
    <m/>
    <s v="85% Patients randomised"/>
    <m/>
    <s v="INV FRA-005792"/>
    <d v="2024-12-31T00:00:00"/>
    <n v="2017976"/>
    <x v="1"/>
    <n v="2017976"/>
    <n v="0"/>
    <n v="2017976"/>
  </r>
  <r>
    <s v="UC105"/>
    <m/>
    <s v="CLI"/>
    <m/>
    <s v="IQVIA"/>
    <s v="WOFZA86006 - CO1"/>
    <m/>
    <s v="Last patient entered"/>
    <m/>
    <s v="INV FRA-006167"/>
    <d v="2025-05-01T00:00:00"/>
    <n v="3531459"/>
    <x v="1"/>
    <n v="3531459"/>
    <n v="0"/>
    <n v="3531459"/>
  </r>
  <r>
    <s v="UC105"/>
    <m/>
    <s v="CLI"/>
    <m/>
    <s v="IQVIA"/>
    <s v="WOFZA86006 - CO3"/>
    <m/>
    <s v="Upon signature CO3 - Last Patient Entered CO3 adjustment"/>
    <m/>
    <s v="INV FRA-006268"/>
    <d v="2025-05-29T00:00:00"/>
    <n v="932593"/>
    <x v="1"/>
    <n v="932593"/>
    <n v="0"/>
    <n v="932593"/>
  </r>
  <r>
    <s v="UC105"/>
    <m/>
    <s v="CLI"/>
    <m/>
    <s v="IQVIA"/>
    <s v="WOFZA86006 - CO3"/>
    <m/>
    <s v="Database Lock (DBL)"/>
    <d v="2025-05-01T00:00:00"/>
    <s v="INV FRA-006473"/>
    <d v="2025-07-23T00:00:00"/>
    <n v="4464052"/>
    <x v="1"/>
    <n v="4464052"/>
    <n v="0"/>
    <n v="4464052"/>
  </r>
  <r>
    <s v="UC105"/>
    <m/>
    <s v="CLI"/>
    <m/>
    <s v="IQVIA"/>
    <s v="WOFZA86006 - CO3"/>
    <m/>
    <s v="Final Clinical Study Report (CSR) Delivered to Sponsor"/>
    <d v="2025-09-01T00:00:00"/>
    <m/>
    <m/>
    <n v="2363322"/>
    <x v="1"/>
    <m/>
    <n v="2363322"/>
    <n v="0"/>
  </r>
  <r>
    <s v="UC105"/>
    <m/>
    <s v="CLI"/>
    <m/>
    <s v="IQVIA"/>
    <s v="WOFZA86006 - CO3"/>
    <m/>
    <s v="Transfer of Trial Master File (TMF) to Sponsor"/>
    <d v="2026-01-01T00:00:00"/>
    <m/>
    <m/>
    <n v="294999"/>
    <x v="1"/>
    <m/>
    <n v="294999"/>
    <n v="0"/>
  </r>
  <r>
    <s v="UC105"/>
    <m/>
    <s v="CLI"/>
    <m/>
    <s v="IQVIA"/>
    <s v="WOFZA86006 - CO3"/>
    <m/>
    <s v="PTC - Pass-Through Costs*"/>
    <m/>
    <s v="INV FRA-003544 + INV FRA-003636 + INV FRA-003687 + INV FRA-003701 + INV FRA-003771 + INV FRA-003790 + INV FRA-003860 + INV FRA-003838 + INV FRA-003970 + INV FRA-004047 + INV FRA-004132 + INV FRA-004193 + INV FRA-004256 + INV FRA-004331 + INV FRA-004421 + INV FRA-004491 + INV FRA-004587 + INV FRA-004645 + INV FRA-004645 + INV FRA-004761 + INV FRA-004830 + INV FRA-004908 + INV FRA-005007 + INV FRA-005142 + INV FRA-005070 + INV FRA-005233 + INV FRA-005310 + INV FRA-005380 + INV FRA-005440 + INV FRA-005518 + INV FRA-005581 + INV FRA-005658 + INV FRA-005763 + INV FRA005835 +INV FRA-005910 + INVFRA-006033 + INV FRA-006121 + INV FRA-006212 + INV FRA-006330 +INV FRA-006456 + INV FRA-006572 + INV FRA-006659 + INV FRA-006762 + INV FRA-006903+INV FRA-007050 +INV FRA-007166"/>
    <s v="16/08/2022 + 13/09/2022 + 06/10/2022 + 10/10/2022 + 04/11/2022 + 09/11/2022 + 09/12/2022 + 06/12/2022 + 16/01/2023 + 15/02/2023 + 14/03/2023 + 14/04/2023 + 15/05/2023 + 15/06/2023 + 17/07/2023 + 14/08/2023 + 18/09/2023 + 12/10/2023 + 12/10/2023 + 13/11/2023 + 13/12/2023 + 12/01/2024 + 15/02/2024 + 11/04/2024 + 13/03/2024 + 13/05/2024 + 13/06/2024 + 12/07/2024 + 14/08/2024 + 13/09/2024 + 11/10/2024 + 13/11/2024 + 13/12/2024 + 14/01/2025+13/02/2025+13/03/2025 + 11/04/2025+13/05/2025 + 12/06/2025 + 15/07/2025 + 13/08/2025+12/09/2025 + 13/10/2025 + 13/11/2025 +11/12/2025+15/01/2026"/>
    <n v="10429952.210000001"/>
    <x v="1"/>
    <n v="9811448.7899999991"/>
    <n v="618503.42000000179"/>
    <n v="9811448.7899999991"/>
  </r>
  <r>
    <s v="UC105"/>
    <m/>
    <s v="CLI"/>
    <m/>
    <s v="IQVIA"/>
    <s v="WOFZA86006 - CO3"/>
    <m/>
    <s v="Investigator fees"/>
    <m/>
    <s v="INV FRA-003791 + INV FRA-003851 + INV FRA-004046 + INV FRA-004133 + INV FRA-004192 + INV FRA-004254 + INV FRA-004325 + INV FRA-004419 + INV FRA-004495 + INV FRA-004586 + INV FRA-004647 + INV FRA-004757 + INV FRA-004828 + INV FRA-004912 + INV FRA-005014 + INV FRA-005143 + INV FRA-005069 + INV FRA-005239 + INV FRA-005313 + INV FRA-005385 + INV FRA-005447 + INV FRA-005519 + INV FRA-005576 + INV FRA-005659 + INV FRA-005761 + INV FRA-005836D+INV FRA-005912 + INV FRA-006034 + INV FRA-006122 + INV FRA- 006216 + INV FRA-006324+ INV FRA- 006450 + INV FRA- 006561+INV FRA- 006653 + INV FRA-006760 + INV FRA-006905+INV FRA-007049+ INV FRA-007167"/>
    <s v="09/11/2022 + 08/12/2022 + 15/02/2023 + 14/03/2023 + 14/04/2023 + 15/05/2023 + 15/06/2023 + 17/07/2023 + 14/08/2023 + 18/09/2023 + 12/10/2023 + 13/11/2023 + 13/12/2023 + 12/01/2024 + 15/02/2024 + 11/04/2024 + 13/03/2024 + 13/05/2024 + 13/06/2024 + 12/07/2024 + 14/08/2024 + 13/09/2024 + 11/10/2024 + 13/11/2024+12/12/2024+14/01/2025+13/02/2025+13/03/2025 + 11/04/2025+13/05/2025 + 12/06/2025 + 15/07/2025+13/08/2025+12/09/2025+13/10/2025+13/11/2025+11/12/2025+ 15/01/2026"/>
    <n v="7496027"/>
    <x v="1"/>
    <n v="9120600.5700000003"/>
    <n v="0"/>
    <n v="9120600.5700000003"/>
  </r>
  <r>
    <s v="UC105"/>
    <m/>
    <s v="CLI"/>
    <m/>
    <s v="IQVIA"/>
    <s v="WOFZA86006 - CO3"/>
    <m/>
    <s v="Q2 (Fees and PTCs)***"/>
    <m/>
    <s v="INV FRA-003771 + INV FRA-003920 + INV FRA-003996 + INV FRA-004127 + INV FRA-004252 + INV FRA-004423 + INV FRA-004487 + INV FRA-004588 + INV FRA-004648 + INV FRA-004756 + INV FRA-004831 + INV FRA-004911 + INV FRA-005010 + INV FRA-005068 + INV FRA-005146 + INV FRA-005068 + INV FRA-005312 + INV FRA-005379 + INV FRA-005448 + INV FRA-005520 + INV FRA-005579 + INV FRA-005556 + INV FRA-005765 + INV FRA-005837 + INV FRA-05911+ INV FRA-006032 + INV FRA-00119 +INV FRA-006215 + INV FRA-006323 + INV FRA-006452+ INV FRA-006569+INV FRA-006652+ INV FRA-006761 + INV FRA-006895+INV FRA-007051+ INV FRA-007165"/>
    <s v="04/11/2022 + 06/01/2023 + 03/02/2023 + 14/03/2023 + 15/05/2023 + 17/07/2023 + 14/08/2023 + 18/09/2023 + 13/10/2023 + 13/11/2023 + 13/12/2023 + 12/01/2024 + 15/02/2024 + 13/04/2024 + 11/04/2024 + 13/03/2024 + 13/06/2024 + 12/07/2024 + 14/08/2024 + 13/09/2024 + 11/10/2024 + 13/11/2024+12/12/2024+14/01/2025+13/02/2025+13/03/2025 + 11/04/2025 +13/05/2025 + 12/06/2025+15/07/2025 + 12/082025+12/09/2025+13/10/2025+13/11/2025+11/12/2025+15/01/2026"/>
    <n v="7162215"/>
    <x v="1"/>
    <n v="8794015.6199999992"/>
    <n v="0"/>
    <n v="8794015.6199999992"/>
  </r>
  <r>
    <s v="CD201"/>
    <m/>
    <s v="CLI"/>
    <m/>
    <s v="IQVIA"/>
    <s v="Work Order ZZA12851/00160070 - P00791_2020"/>
    <s v="P00791_2020"/>
    <s v="Rédaction du protocol CD201"/>
    <d v="2021-04-01T00:00:00"/>
    <s v="INV NUK-003267 + INV NUK-003405"/>
    <s v="11/12/2020 + 08/03/2021"/>
    <n v="38307"/>
    <x v="1"/>
    <n v="33021.25"/>
    <n v="5285.75"/>
    <n v="33021.25"/>
  </r>
  <r>
    <s v="CD202"/>
    <m/>
    <s v="CLI"/>
    <s v="Pascaline"/>
    <s v="IQVIA"/>
    <s v="SRV_23176_W1"/>
    <m/>
    <s v="CD202 - Upon execution of WO part 1"/>
    <m/>
    <s v="INV FRA-005454"/>
    <d v="2024-08-14T00:00:00"/>
    <n v="1727064.17"/>
    <x v="1"/>
    <n v="1727064.17"/>
    <n v="0"/>
    <n v="1727064.17"/>
  </r>
  <r>
    <s v="CD202"/>
    <m/>
    <s v="CLI"/>
    <s v="Pascaline"/>
    <s v="IQVIA"/>
    <s v="SRV_23176_W1"/>
    <m/>
    <s v="CD202 - First site initiated"/>
    <m/>
    <s v="INV FRA-005454"/>
    <d v="2024-08-14T00:00:00"/>
    <n v="1727064.17"/>
    <x v="1"/>
    <n v="1727064.17"/>
    <n v="0"/>
    <n v="1727064.17"/>
  </r>
  <r>
    <s v="CD202"/>
    <m/>
    <s v="CLI"/>
    <s v="Pascaline"/>
    <s v="IQVIA"/>
    <s v="SRV_23176_W1"/>
    <m/>
    <s v="CD202 - 25% of Site Initiation Visits &amp; Reports Completed"/>
    <m/>
    <s v="INV FRA-005964"/>
    <d v="2025-02-27T00:00:00"/>
    <n v="1831734.73"/>
    <x v="1"/>
    <n v="1831734.73"/>
    <n v="0"/>
    <n v="1831734.73"/>
  </r>
  <r>
    <s v="CD202"/>
    <m/>
    <s v="CLI"/>
    <s v="Pascaline"/>
    <s v="IQVIA"/>
    <s v="SRV_23176_W1"/>
    <m/>
    <s v="CD202 - 50% of Site Initiation Visits &amp; Reports_x000a_Completed"/>
    <m/>
    <s v="INV FRA-006066"/>
    <d v="2025-03-31T00:00:00"/>
    <n v="1308381.95"/>
    <x v="1"/>
    <n v="1308381.95"/>
    <n v="0"/>
    <n v="1308381.95"/>
  </r>
  <r>
    <s v="CD202"/>
    <m/>
    <s v="CLI"/>
    <s v="Pascaline"/>
    <s v="IQVIA"/>
    <s v="SRV_23176_W1"/>
    <m/>
    <s v="CD202 - 75% of Site Initiation Visits &amp; Reports Completed"/>
    <m/>
    <s v="INV FRA-006301"/>
    <d v="2025-06-09T00:00:00"/>
    <n v="1308381.95"/>
    <x v="1"/>
    <n v="1308381.95"/>
    <n v="0"/>
    <n v="1308381.95"/>
  </r>
  <r>
    <s v="CD202"/>
    <m/>
    <s v="CLI"/>
    <s v="Pascaline"/>
    <s v="IQVIA"/>
    <s v="SRV_23176_W1"/>
    <m/>
    <s v="CD202 - 15% Patients randomised"/>
    <s v="Mar-25"/>
    <s v="INV FRA- 006593"/>
    <d v="2025-08-29T00:00:00"/>
    <n v="1308381.95"/>
    <x v="1"/>
    <n v="1308381.95"/>
    <n v="0"/>
    <n v="1308381.95"/>
  </r>
  <r>
    <s v="CD202"/>
    <m/>
    <s v="CLI"/>
    <s v="Pascaline"/>
    <s v="IQVIA"/>
    <s v="SRV_23176_W1"/>
    <m/>
    <s v="CD202 - 95% of Site Initiation Visits &amp; Reports_x000a_Completed"/>
    <s v="Apr-25"/>
    <m/>
    <m/>
    <n v="1308381.95"/>
    <x v="1"/>
    <m/>
    <n v="1308381.95"/>
    <n v="0"/>
  </r>
  <r>
    <s v="CD202"/>
    <m/>
    <s v="CLI"/>
    <s v="Pascaline"/>
    <s v="IQVIA"/>
    <s v="SRV_23176_W1"/>
    <m/>
    <s v="CD202 - 25% Patients randomised"/>
    <s v="May-25"/>
    <s v="INV FR-006951"/>
    <d v="2025-11-28T00:00:00"/>
    <n v="1308381.95"/>
    <x v="1"/>
    <n v="1308381.95"/>
    <n v="0"/>
    <n v="1308381.95"/>
  </r>
  <r>
    <s v="CD202"/>
    <m/>
    <s v="CLI"/>
    <s v="Pascaline"/>
    <s v="IQVIA"/>
    <s v="SRV_23176_W1"/>
    <m/>
    <s v="CD202 - 40% Patients randomised"/>
    <s v="Jul-25"/>
    <m/>
    <m/>
    <n v="1308381.95"/>
    <x v="1"/>
    <m/>
    <n v="1308381.95"/>
    <n v="0"/>
  </r>
  <r>
    <s v="CD202"/>
    <m/>
    <s v="CLI"/>
    <s v="Pascaline"/>
    <s v="IQVIA"/>
    <s v="SRV_23176_W1"/>
    <m/>
    <s v="CD202 - 10% of Monitoring Visits Completed"/>
    <s v="Sep-25"/>
    <s v="INV FR-007160"/>
    <d v="2026-01-14T00:00:00"/>
    <n v="1308381.95"/>
    <x v="1"/>
    <n v="1308381.95"/>
    <n v="0"/>
    <n v="1308381.95"/>
  </r>
  <r>
    <s v="CD202"/>
    <m/>
    <s v="CLI"/>
    <s v="Pascaline"/>
    <s v="IQVIA"/>
    <s v="SRV_23176_W1"/>
    <m/>
    <s v="CD202 - 60% Patients randomised"/>
    <s v="Oct-25"/>
    <m/>
    <m/>
    <n v="1308381.95"/>
    <x v="1"/>
    <m/>
    <n v="1308381.95"/>
    <n v="0"/>
  </r>
  <r>
    <s v="CD202"/>
    <m/>
    <s v="CLI"/>
    <s v="Pascaline"/>
    <s v="IQVIA"/>
    <s v="SRV_23176_W1"/>
    <m/>
    <s v="CD202 - 70% Patients randomised"/>
    <s v="Nov-25"/>
    <m/>
    <m/>
    <n v="1046705.56"/>
    <x v="1"/>
    <m/>
    <n v="1046705.56"/>
    <n v="0"/>
  </r>
  <r>
    <s v="CD202"/>
    <m/>
    <s v="CLI"/>
    <s v="Pascaline"/>
    <s v="IQVIA"/>
    <s v="SRV_23176_W1"/>
    <m/>
    <s v="CD202 - 85% Patients randomised"/>
    <s v="Jan-26"/>
    <m/>
    <m/>
    <n v="523352.78"/>
    <x v="1"/>
    <m/>
    <n v="523352.78"/>
    <n v="0"/>
  </r>
  <r>
    <s v="CD202"/>
    <m/>
    <s v="CLI"/>
    <s v="Pascaline"/>
    <s v="IQVIA"/>
    <s v="SRV_23176_W1"/>
    <m/>
    <s v="CD202 - 25% of Monitoring Visits Completed"/>
    <s v="Jan-26"/>
    <m/>
    <m/>
    <n v="523352.78"/>
    <x v="1"/>
    <m/>
    <n v="523352.78"/>
    <n v="0"/>
  </r>
  <r>
    <s v="CD202"/>
    <m/>
    <s v="CLI"/>
    <s v="Pascaline"/>
    <s v="IQVIA"/>
    <s v="SRV_23176_W1"/>
    <m/>
    <s v="CD202 - 30% of Monitoring Visits Completed"/>
    <s v="Feb-26"/>
    <m/>
    <m/>
    <n v="1046705.56"/>
    <x v="1"/>
    <m/>
    <n v="1046705.56"/>
    <n v="0"/>
  </r>
  <r>
    <s v="CD202"/>
    <m/>
    <s v="CLI"/>
    <s v="Pascaline"/>
    <s v="IQVIA"/>
    <s v="SRV_23176_W1"/>
    <m/>
    <s v="CD202 - 35% of Monitoring Visits Completed"/>
    <s v="May-26"/>
    <m/>
    <m/>
    <n v="1046705.56"/>
    <x v="1"/>
    <m/>
    <n v="1046705.56"/>
    <n v="0"/>
  </r>
  <r>
    <s v="CD202"/>
    <m/>
    <s v="CLI"/>
    <s v="Pascaline"/>
    <s v="IQVIA"/>
    <s v="SRV_23176_W1"/>
    <m/>
    <s v="CD202 - 40% of Monitoring Visits Completed"/>
    <s v="Sep-26"/>
    <m/>
    <m/>
    <n v="1046705.56"/>
    <x v="1"/>
    <m/>
    <n v="1046705.56"/>
    <n v="0"/>
  </r>
  <r>
    <s v="CD202"/>
    <m/>
    <s v="CLI"/>
    <s v="Pascaline"/>
    <s v="IQVIA"/>
    <s v="SRV_23176_W1"/>
    <m/>
    <s v="CD202 - 50% of Monitoring Visits Completed"/>
    <s v="Dec-26"/>
    <m/>
    <m/>
    <n v="1046705.56"/>
    <x v="1"/>
    <m/>
    <n v="1046705.56"/>
    <n v="0"/>
  </r>
  <r>
    <s v="CD202"/>
    <m/>
    <s v="CLI"/>
    <s v="Pascaline"/>
    <s v="IQVIA"/>
    <s v="SRV_23176_W1"/>
    <m/>
    <s v="CD202 - 60% of Monitoring Visits Completed"/>
    <s v="Apr-27"/>
    <m/>
    <m/>
    <n v="1046705.56"/>
    <x v="1"/>
    <m/>
    <n v="1046705.56"/>
    <n v="0"/>
  </r>
  <r>
    <s v="CD202"/>
    <m/>
    <s v="CLI"/>
    <s v="Pascaline"/>
    <s v="IQVIA"/>
    <s v="SRV_23176_W1"/>
    <m/>
    <s v="CD202 - 70% of Monitoring Visits Completed"/>
    <s v="Aug-27"/>
    <m/>
    <m/>
    <n v="785029.17"/>
    <x v="1"/>
    <m/>
    <n v="785029.17"/>
    <n v="0"/>
  </r>
  <r>
    <s v="CD202"/>
    <m/>
    <s v="CLI"/>
    <s v="Pascaline"/>
    <s v="IQVIA"/>
    <s v="SRV_23176_W1"/>
    <m/>
    <s v="CD202 - 75% of Monitoring Visits Completed"/>
    <s v="Nov-27"/>
    <m/>
    <m/>
    <n v="130838.2"/>
    <x v="1"/>
    <m/>
    <n v="130838.2"/>
    <n v="0"/>
  </r>
  <r>
    <s v="CD202"/>
    <m/>
    <s v="CLI"/>
    <s v="Pascaline"/>
    <s v="IQVIA"/>
    <s v="SRV_23176_W1"/>
    <m/>
    <s v="CD202 - Last patient entered (in eCRF)"/>
    <s v="Mar-28"/>
    <m/>
    <m/>
    <n v="130838.2"/>
    <x v="1"/>
    <m/>
    <n v="130838.2"/>
    <n v="0"/>
  </r>
  <r>
    <s v="CD202"/>
    <m/>
    <s v="CLI"/>
    <s v="Pascaline"/>
    <s v="IQVIA"/>
    <s v="SRV_23176_W1"/>
    <m/>
    <s v="CD202 - Database Lock (DBL)"/>
    <s v="Apr-28"/>
    <m/>
    <m/>
    <n v="65419.1"/>
    <x v="1"/>
    <m/>
    <n v="65419.1"/>
    <n v="0"/>
  </r>
  <r>
    <s v="CD202"/>
    <m/>
    <s v="CLI"/>
    <s v="Pascaline"/>
    <s v="IQVIA"/>
    <s v="SRV_23176_W1"/>
    <m/>
    <s v="CD202 - 100% of Monitoring Visits Completed"/>
    <s v="Apr-28"/>
    <m/>
    <m/>
    <n v="65419.1"/>
    <x v="1"/>
    <m/>
    <n v="65419.1"/>
    <n v="0"/>
  </r>
  <r>
    <s v="CD202"/>
    <m/>
    <s v="CLI"/>
    <s v="Pascaline"/>
    <s v="IQVIA"/>
    <s v="SRV_23176_W1"/>
    <m/>
    <s v="CD202 - Final Clinical Study Report (CSR) Delivered to Sponsor"/>
    <s v="Jul-28"/>
    <m/>
    <m/>
    <n v="130838.2"/>
    <x v="1"/>
    <m/>
    <n v="130838.2"/>
    <n v="0"/>
  </r>
  <r>
    <s v="CD202"/>
    <m/>
    <s v="CLI"/>
    <s v="Pascaline"/>
    <s v="IQVIA"/>
    <s v="SRV_23176_W1"/>
    <m/>
    <s v="CD202 - Transfer of Trial Master File (TMF) to Sponsor"/>
    <s v="Oct-28"/>
    <m/>
    <m/>
    <n v="52801.95"/>
    <x v="1"/>
    <m/>
    <n v="52801.95"/>
    <n v="0"/>
  </r>
  <r>
    <s v="CD202"/>
    <m/>
    <s v="CLI"/>
    <s v="Pascaline"/>
    <s v="IQVIA"/>
    <s v="SRV_23176_W1"/>
    <m/>
    <s v="CD202 - Other payments based on actual"/>
    <s v="Jan-April 2024-Juillet2024"/>
    <s v="INV FRA-004888 + INV FRA-004974 + INV FRA-005053 + INV FRA-005130 + INV FRA-005209 + INV FRA-005284 + INV FRA-005370"/>
    <s v="09/01/2024 + 08/02/2024 + 08/03/2024 + 09/04/2024 + 07/05/2024 + 10/06/2024 + 10/07/2024"/>
    <n v="224380.12"/>
    <x v="1"/>
    <n v="359420.12"/>
    <n v="0"/>
    <n v="359420.12"/>
  </r>
  <r>
    <s v="CD202"/>
    <m/>
    <s v="CLI"/>
    <s v="Pascaline"/>
    <s v="IQVIA"/>
    <s v="SRV_23176_W1"/>
    <m/>
    <s v="CD202 - Pass-Through Costs"/>
    <m/>
    <s v="INV FRA-005432 + INV FRA-005510 + INV FRA-005647 + INV FRA-005729 + INV FRA-005809+ INV FRA-005909 + INV FRA-006018 + INV FRA-006103 + INV FRA-006329 + INV FRA-006436 + INV FRA- 006546 + INV FRA - 006645 + INV FRA-006754 + INV FRA-006898 + INV FRA-007019 + INV FRA-007132"/>
    <s v="09/08/2024 + 11/09/2024 + 13/11/2024 + 06/12/2024 + 08/01/2025+13/02/2025+11/03/2025 + 08/04/2025 + 12/06/2025+10/07/2025 + 08/08/2025+11/09/2025+10/10/2025 + 13/11/2025+10/12/2025+14/01/2026"/>
    <n v="5114916.3"/>
    <x v="1"/>
    <n v="1464739.07"/>
    <n v="3650177.2299999995"/>
    <n v="1464739.07"/>
  </r>
  <r>
    <s v="CD202"/>
    <m/>
    <s v="CLI"/>
    <s v="Pascaline"/>
    <s v="IQVIA"/>
    <s v="SRV_23176_W1"/>
    <m/>
    <s v="CD202 - Upfront payment - Pass-Through Reimbursement"/>
    <m/>
    <m/>
    <m/>
    <n v="-373966.9"/>
    <x v="1"/>
    <m/>
    <n v="-373966.9"/>
    <n v="0"/>
  </r>
  <r>
    <s v="CD202"/>
    <m/>
    <s v="CLI"/>
    <s v="Pascaline"/>
    <s v="IQVIA"/>
    <s v="SRV_23176_W1"/>
    <m/>
    <s v="CD202 - Investigator Fees"/>
    <m/>
    <s v="INV FRA-005374 + FRA-005568 + INV FRA-005644 + INV FRA-005731 + INV FRA-005810 + INV FRA-005908 + INV FRA-006017 + INV FRA-006099 + INV FRA-006210 + INV FRA-006333 + INV FRA-006438 + INV FRA- 006545 + INV FRA-006641+INV FRA-006755+ INV FRA-006896+INV FRA-007035 +INV FRA-007131"/>
    <s v="11/07/2024 + 09/10/2024 + 12/11/2024 + 06/12/2024 + 08/01/2025+13/02/2025+11/03/2025+07/04/2025+13/05/2025 + 12/06/2025+10/07/2025+08/05/2025+11/09/2025+10/10/2025+13/11/2025+10/12/2025+14/01/2026"/>
    <n v="6003083"/>
    <x v="1"/>
    <n v="1454230.7299999997"/>
    <n v="4548852.2700000005"/>
    <n v="1454230.7299999997"/>
  </r>
  <r>
    <s v="CD202"/>
    <m/>
    <s v="CLI"/>
    <s v="Pascaline"/>
    <s v="IQVIA"/>
    <s v="SRV_23176_W1"/>
    <m/>
    <s v="CD202 - Upfront payment - Investigator Fees"/>
    <m/>
    <s v="INV FRA-005466"/>
    <d v="2024-08-26T00:00:00"/>
    <n v="70000"/>
    <x v="1"/>
    <n v="70000"/>
    <n v="0"/>
    <n v="70000"/>
  </r>
  <r>
    <s v="CD202"/>
    <m/>
    <s v="CLI"/>
    <s v="Pascaline"/>
    <s v="IQVIA"/>
    <s v="SRV_23176_W1"/>
    <m/>
    <s v="CD202 - Upfront payment - Investigator Fees Reimbursement"/>
    <m/>
    <m/>
    <m/>
    <n v="-70000"/>
    <x v="1"/>
    <m/>
    <n v="-70000"/>
    <n v="0"/>
  </r>
  <r>
    <s v="UC107"/>
    <m/>
    <s v="BDE"/>
    <m/>
    <s v="IQVIA UK"/>
    <s v="devis 2791378"/>
    <m/>
    <s v="Market Access - Step 1 : HTA review and amendment of the clinical trial protocol"/>
    <m/>
    <s v="INV 4124628151"/>
    <d v="2022-01-19T00:00:00"/>
    <n v="27500"/>
    <x v="1"/>
    <n v="25000"/>
    <n v="2500"/>
    <n v="25000"/>
  </r>
  <r>
    <s v="UC107"/>
    <m/>
    <s v="BDE"/>
    <m/>
    <s v="IQVIA UK"/>
    <s v="devis 2791378"/>
    <m/>
    <s v="Market Access - Step 2 : Review and adaptation of the electronic CRF"/>
    <m/>
    <m/>
    <m/>
    <n v="16500"/>
    <x v="1"/>
    <m/>
    <n v="16500"/>
    <n v="0"/>
  </r>
  <r>
    <s v="UC107"/>
    <m/>
    <s v="BDE"/>
    <m/>
    <s v="IQVIA UK"/>
    <s v="devis 2791378"/>
    <m/>
    <s v="Market Access - Step 3 : Review and adaptation/amendment of statistical analysis"/>
    <m/>
    <m/>
    <m/>
    <n v="11000"/>
    <x v="1"/>
    <m/>
    <n v="11000"/>
    <n v="0"/>
  </r>
  <r>
    <s v="UC107"/>
    <m/>
    <s v="BDE"/>
    <s v="Nakesha"/>
    <s v="IQVIA UK"/>
    <s v="devis 2791378"/>
    <m/>
    <s v="Market Access - PTC HTA accelerator access fee"/>
    <m/>
    <s v="INV 4124628151"/>
    <d v="2022-01-19T00:00:00"/>
    <n v="5000"/>
    <x v="1"/>
    <n v="5000"/>
    <n v="0"/>
    <n v="5000"/>
  </r>
  <r>
    <s v="ABX464"/>
    <m/>
    <s v="PV"/>
    <s v="Nakesha"/>
    <s v="IQVIA UK"/>
    <s v="SRV_18231_A7+CO1 - KAB51990 - P00054_2024"/>
    <s v="P00054_2024 + PO a venir 2025"/>
    <s v="ABTECT PROGRAM 105 106 107 202 Safety surveillance and signal management - durée 13,5 mois + CO1"/>
    <m/>
    <s v="(INV THV-286815 + INV THV-286590 + INV THV-289401 + INV THV-290903 + INV THV-290921 + INV THV-292910 + INV THV-292698 + INV THV-292710 + INV THV-294565 + INV  THV-296264 + INV THV-296280 + INV THV-287492 + INV THV-287506 + INV THV-298009 + INV THV-298035 + INV THV-299679 + INV THV-299657 + INV THV-301527 + INV THV-301488 + INV THV-303324 + INV THV-303381) + (INV THV-305183+ INV THV-305296+ INV THV-313703 + INV THV-313702 + INV THV-315032 + INV THV-315637 + INV THV-316862 + INV THV-317220 + INV THV-318860 + INV THV-319503 + INV THV-321156 +INV THV-320781 + INV THV-322529 + INV THV-322917 + INV THV-324583 + INV THV-326118)+ INV THV-326616  +INV THV-327861 + INV THV-328615 + INV THV-328497"/>
    <s v="15/02/2024 + 13/02/2024 + 05/04/2024 + 03/05/2024 + 06/05/2024 + 07/06/2024 + 05/06/2024 + 06/06/2024 + 04/07/2024 + 05/08/2024 + 06/08/2024 + 05/03/2024 + 05/09/2024 + 06/09/2024 + 03/10/2024 + 03/10/2024 + 06/11/2024 + 05/11/2024 + 04/12/2024 + 05/12/2024 + 03/01/2024+07/01/2025 + 12/05/2025 +12/05/2025 + 04/06/2025 + 10/06/2025 + 03/07/2025 + 08/07/2025 + 05/08/2025 + 12/08/2025 +09/09/2025+05/09/2025 + 08/10/20025 + 06/10/2025 + 06/11/2025 + 25/11/2025+04/12/2025 + 15/12/2025 + 07/01/2026 + 07/01/2026"/>
    <n v="1232447.22"/>
    <x v="1"/>
    <n v="764091.30999999947"/>
    <n v="468355.9100000005"/>
    <n v="764091.30999999947"/>
  </r>
  <r>
    <s v="ABX464"/>
    <m/>
    <s v="PV"/>
    <s v="Nakesha"/>
    <s v="IQVIA UK"/>
    <s v="LAB59781"/>
    <m/>
    <s v="DRUG SAFETY AND PHARMACOVIGILANCE PARTNERSHIP - Professional fees upon execution ATP"/>
    <m/>
    <s v=" "/>
    <s v="14/08/2024 + 18/09/2024"/>
    <n v="124853.07"/>
    <x v="3"/>
    <n v="124853.07"/>
    <n v="0"/>
    <n v="124853.07"/>
  </r>
  <r>
    <s v="ABX464"/>
    <m/>
    <s v="PV"/>
    <s v="Nakesha"/>
    <s v="IQVIA UK"/>
    <s v="LAB59781_WO1"/>
    <m/>
    <s v="DRUG SAFETY AND PHARMACOVIGILANCE - Professional fees upon execution WO1"/>
    <m/>
    <s v="INV THV-304762"/>
    <d v="2024-12-17T00:00:00"/>
    <n v="21473.39"/>
    <x v="3"/>
    <n v="21473.39"/>
    <n v="0"/>
    <n v="21473.39"/>
  </r>
  <r>
    <s v="ABX464"/>
    <m/>
    <s v="PV"/>
    <s v="Nakesha"/>
    <s v="IQVIA UK"/>
    <s v="LAB59781_WO1"/>
    <m/>
    <s v="DRUG SAFETY AND PHARMACOVIGILANCE - PTC upon execution WO"/>
    <m/>
    <s v="INV THV - 305471"/>
    <d v="2025-01-08T00:00:00"/>
    <n v="5600.81"/>
    <x v="3"/>
    <n v="5600.81"/>
    <n v="0"/>
    <n v="5600.81"/>
  </r>
  <r>
    <s v="ABX464"/>
    <m/>
    <s v="PV"/>
    <s v="Nakesha"/>
    <s v="IQVIA UK"/>
    <s v="LAB59781_WO1"/>
    <m/>
    <s v="DRUG SAFETY AND PHARMACOVIGILANCE - Professional fees "/>
    <m/>
    <s v="INV THV-305538 + INV THV-307570 + INV THV-309829 + INV THV-311847 + INV THV-313936 + INV THV-315952 + INV THV-317366 + INV THV-319827 + INV THV-321161 + INV THV-322929 + INV THV-326161 + INV THV-328618"/>
    <s v="08/01/2025 + 10/02/2025 + 12/03/2025 + 10/04/2025 + 13/05/2025 + 12/06/2025 + 09/07/2025 + 14/08/2025 + 09/09/2025 + 08/10/2025 + 25/11/2025 + 07/01/2026"/>
    <n v="829183.25"/>
    <x v="3"/>
    <n v="454697.93"/>
    <n v="374485.32"/>
    <n v="454697.93"/>
  </r>
  <r>
    <s v="ABX464"/>
    <m/>
    <s v="PV"/>
    <s v="Nakesha"/>
    <s v="IQVIA UK"/>
    <s v="LAB59781_WO1"/>
    <m/>
    <s v="DRUG SAFETY AND PHARMACOVIGILANCE - PTC"/>
    <m/>
    <s v="INV THV-305465 + INV THV-305539 + INV THV-307250 + INV THV-309407 + INV THV-311252 + INV THV-31333 + INV THV-316966 + INV THV-318990 + INV THV-320850 + INV THV-322866 + INV THV-324624 + INV THV -327271 + INV THV-327992 + INV THV-328595"/>
    <s v="08/01/2025 + 08/01/2025 + 06/02/2025 + 10/03/2025 + 07/04/2025 + 08/05/2025 + 07/07/2025 + 07/08/2025 + 05/09/2025 + 08/10/2025 + 06/11/2025 + 09/12/2025 + 17/12/2025 + 07/01/2026"/>
    <n v="96678.75"/>
    <x v="3"/>
    <n v="111170.7"/>
    <n v="0"/>
    <n v="111170.7"/>
  </r>
  <r>
    <s v="ABX464"/>
    <m/>
    <s v="PV"/>
    <s v="Nakesha"/>
    <s v="IQVIA UK"/>
    <s v="LAB59781_WO1"/>
    <m/>
    <s v="DRUG SAFETY AND PHARMACOVIGILANCE - PTC to be refund"/>
    <m/>
    <s v=" INV THV-305471 - to be refund"/>
    <d v="2025-01-08T00:00:00"/>
    <n v="-5600.81"/>
    <x v="3"/>
    <m/>
    <n v="0"/>
    <n v="0"/>
  </r>
  <r>
    <s v="UC108"/>
    <m/>
    <s v="CMC"/>
    <m/>
    <s v="IQVIA US"/>
    <s v="Change Order n°1.1 - P00335_2022"/>
    <s v="P00335_2022"/>
    <s v="IRT reconcilliation for ABX464-108 trial"/>
    <m/>
    <s v="INV INC-310961"/>
    <d v="2023-02-17T00:00:00"/>
    <n v="25900"/>
    <x v="3"/>
    <n v="10900"/>
    <n v="15000"/>
    <n v="10900"/>
  </r>
  <r>
    <s v="UC108"/>
    <m/>
    <s v="CMC"/>
    <m/>
    <s v="IQVIA US"/>
    <s v="WO ABX464-108 - P00209_2022"/>
    <s v="P00209_2022"/>
    <s v="Sytem set up"/>
    <m/>
    <s v="INV INC-296841"/>
    <d v="2022-09-30T00:00:00"/>
    <n v="124875"/>
    <x v="3"/>
    <n v="124875"/>
    <n v="0"/>
    <n v="124875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296841"/>
    <d v="2022-09-30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299382"/>
    <s v="20/10/2022 (recu 12/2022)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02336"/>
    <s v="30/11/2022 (recu 12/2022)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04858"/>
    <d v="2022-12-14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08075"/>
    <d v="2023-01-23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10961"/>
    <d v="2023-02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13701"/>
    <d v="2023-03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16531"/>
    <d v="2023-04-18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x v="3"/>
    <n v="4605.29"/>
    <n v="1.6666666670062114E-3"/>
    <n v="4605.29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x v="3"/>
    <n v="4605.29"/>
    <n v="1.6666666670062114E-3"/>
    <n v="4605.29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4889"/>
    <d v="2023-07-18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7277"/>
    <d v="2023-08-14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9648"/>
    <d v="2023-09-13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32966"/>
    <d v="2023-10-12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37088"/>
    <d v="2023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39927"/>
    <d v="2024-01-01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407008"/>
    <d v="2025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1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1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3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4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5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6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7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8-01T00:00:00"/>
    <m/>
    <m/>
    <n v="4605.291666666667"/>
    <x v="3"/>
    <m/>
    <n v="4605.291666666667"/>
    <n v="0"/>
  </r>
  <r>
    <s v="ABX464"/>
    <m/>
    <s v="LAB"/>
    <m/>
    <s v="JACKSON LAB"/>
    <s v="Q144613 - P00131_2022"/>
    <s v="P00131_2022"/>
    <s v="Generation of mir124 KO mice"/>
    <m/>
    <s v="INV PIN157346 + INV PIN160123 + INV PIN164249 + INV PIN166237 + INV PIN168319 + INV PIN171003 + INV PIN173358 + INV PIN175153"/>
    <s v="25/11/2022 + 30/12/2022 + 10/02/2023 + 24/02/2028 + 31/03/2023 + 28/04/2023 + 26/05/2023 + 30/06/2023 (recu 07/2023)"/>
    <n v="23033.7"/>
    <x v="3"/>
    <n v="16668.399999999998"/>
    <n v="6365.3000000000029"/>
    <n v="16668.399999999998"/>
  </r>
  <r>
    <s v="ABX464"/>
    <m/>
    <s v="LAB"/>
    <m/>
    <s v="JACKSON LAB"/>
    <s v="Q144613 - P00204_2022"/>
    <s v="P00204_2022"/>
    <s v="Cryorecovery and intercrossing"/>
    <m/>
    <s v="INV PIN141449 + INV PIN143540 + INV PIN146540 + INV PIN148722 + INV PIN150764 + INV PIN152812 + INV PIN155104 + INV PIN157346"/>
    <s v="29/04/2022 + 27/05/2022 + 01/07/2022 + 29/07/2022 + 26/08/2022 + 30/09/2022 + 28/10/2022 + 25/11/2022"/>
    <n v="14960"/>
    <x v="3"/>
    <n v="14960"/>
    <n v="0"/>
    <n v="14960"/>
  </r>
  <r>
    <s v="ABX464"/>
    <m/>
    <s v="LAB"/>
    <m/>
    <s v="JACKSON LAB"/>
    <s v="Q170237 - P00354_2023"/>
    <s v="P00354_2023"/>
    <s v="mir124 KO mice - Production of 24 HOM miR124"/>
    <m/>
    <m/>
    <m/>
    <n v="34820.81"/>
    <x v="3"/>
    <m/>
    <n v="34820.81"/>
    <n v="0"/>
  </r>
  <r>
    <s v="ABX464"/>
    <m/>
    <s v="LAB"/>
    <m/>
    <s v="JACKSON LAB"/>
    <s v="SQ008139 - P00259_2023"/>
    <s v="P00259_2023"/>
    <s v="KO mir124"/>
    <m/>
    <m/>
    <m/>
    <n v="574.70000000000005"/>
    <x v="3"/>
    <m/>
    <n v="574.70000000000005"/>
    <n v="0"/>
  </r>
  <r>
    <s v="ABX464"/>
    <m/>
    <s v="LAB"/>
    <s v="Aude G"/>
    <s v="JACKSON LAB"/>
    <s v="Q182474 - P00585_2024"/>
    <s v="P00585_2024"/>
    <s v="KO mice - breeding, production &amp; shipment"/>
    <m/>
    <s v="INV PIN211891 +INV PCM9528+ INV PCM009583 + INV PIN217186 + INV PIN216900"/>
    <s v="31/12/2024 +10/01/2025 + 17/01/2025 + 28/02/2025 + 28/02/2025"/>
    <n v="42464.92"/>
    <x v="3"/>
    <n v="34263.129999999997"/>
    <n v="8201.7900000000009"/>
    <n v="34263.129999999997"/>
  </r>
  <r>
    <s v="ABX464"/>
    <m/>
    <s v="LAB"/>
    <s v="Aude G"/>
    <s v="JANVIER LABS"/>
    <s v="JLCO250102470 - P00044_2025"/>
    <s v="P00044_2025"/>
    <s v="Consommable Labo"/>
    <m/>
    <s v="INV JLFC250103315"/>
    <d v="2025-01-30T00:00:00"/>
    <n v="1139.76"/>
    <x v="1"/>
    <n v="1139.76"/>
    <n v="0"/>
    <n v="1139.76"/>
  </r>
  <r>
    <s v="ABX464"/>
    <m/>
    <s v="LAB"/>
    <s v="Aude G"/>
    <s v="JANVIER LABS"/>
    <s v="LJCO250200271 - P00072_2025"/>
    <s v="P00072_2025"/>
    <s v="Consommable Labo"/>
    <m/>
    <s v="INV JLFC25021447"/>
    <d v="2025-02-13T00:00:00"/>
    <n v="1139.76"/>
    <x v="1"/>
    <n v="1139.76"/>
    <n v="0"/>
    <n v="1139.76"/>
  </r>
  <r>
    <s v="ABX464"/>
    <m/>
    <s v="CMC"/>
    <s v="Saadia"/>
    <s v="JETPHARMA"/>
    <s v="24100154 SQ - P00237_2024"/>
    <s v="P00237_2024"/>
    <s v="Storage fees 04/2024"/>
    <m/>
    <m/>
    <m/>
    <n v="600"/>
    <x v="4"/>
    <m/>
    <n v="600"/>
    <n v="0"/>
  </r>
  <r>
    <s v="ABX464"/>
    <m/>
    <s v="CMC"/>
    <s v="Jerome D"/>
    <s v="JETPHARMA"/>
    <s v="24100205 SQ - P00287_2024"/>
    <s v="P00287_2024"/>
    <s v="Milling operation trials"/>
    <m/>
    <m/>
    <m/>
    <n v="16000"/>
    <x v="4"/>
    <m/>
    <n v="16000"/>
    <n v="0"/>
  </r>
  <r>
    <s v="ABX464"/>
    <m/>
    <s v="CMC"/>
    <m/>
    <s v="JETPHARMA"/>
    <s v="54 SA - P00520_2024"/>
    <s v="P00520_2024"/>
    <s v="PSD Additionnal testing"/>
    <m/>
    <s v="INV 25100020 + INV 25100040 + INV 25100114 + INV 25100287 + INV 25100350"/>
    <s v="31/01/2025 + 10/02/2025 + 28/03/2025+15/07/2025+20/08/2025"/>
    <n v="5250"/>
    <x v="4"/>
    <n v="4550"/>
    <n v="700"/>
    <n v="4550"/>
  </r>
  <r>
    <s v="NOTAPP"/>
    <m/>
    <s v="CMC"/>
    <s v="Saadia"/>
    <s v="JETPHARMA"/>
    <s v="25100020 SQ - P00059_2025"/>
    <s v="P00059_2025"/>
    <s v="Pediatric Program - API shipment to Quotient"/>
    <m/>
    <s v="INV 25100021"/>
    <d v="2025-01-31T00:00:00"/>
    <n v="2600"/>
    <x v="4"/>
    <n v="2600"/>
    <n v="0"/>
    <n v="2600"/>
  </r>
  <r>
    <s v="ABX464"/>
    <m/>
    <s v="CMC"/>
    <s v="Saadia"/>
    <s v="JETPHARMA"/>
    <s v="24100154 SQ - P00066_2025"/>
    <s v="P00066_2025"/>
    <s v="Storage fee 3 mois"/>
    <m/>
    <s v="INV 25100023 + INV 25100060 + INV 25100103"/>
    <s v="31/01/2025 + 27/02/2025+24/03/2025"/>
    <n v="1800"/>
    <x v="1"/>
    <n v="1800"/>
    <n v="0"/>
    <n v="1800"/>
  </r>
  <r>
    <s v="NOTAPP"/>
    <m/>
    <s v="CMC"/>
    <s v="Saadia"/>
    <s v="JETPHARMA"/>
    <s v="email - P00074_2025 (lié P00059_2025)"/>
    <s v="P00074_2025 (lié P00059_2025)"/>
    <s v="Pediatric Program - API shipment to Quotient - Import taxes"/>
    <m/>
    <s v="INV 25100034"/>
    <d v="2025-02-07T00:00:00"/>
    <n v="1928.66"/>
    <x v="1"/>
    <n v="1928.66"/>
    <n v="0"/>
    <n v="1928.66"/>
  </r>
  <r>
    <s v="UC103"/>
    <m/>
    <s v="CLI"/>
    <m/>
    <s v="KAYENTIS"/>
    <s v="SRV_18232_W1"/>
    <m/>
    <s v="Setup fees - Kick Off meting 40%"/>
    <m/>
    <m/>
    <s v="INV 1904060 du 15/04/2019 + AV 1904058 du 15/04/2019"/>
    <n v="27387"/>
    <x v="1"/>
    <s v="OK"/>
    <n v="0"/>
    <n v="27387"/>
  </r>
  <r>
    <s v="UC103"/>
    <m/>
    <s v="CLI"/>
    <m/>
    <s v="KAYENTIS"/>
    <s v="SRV_18232_W1"/>
    <m/>
    <s v="Setup fees - Upon approval of the project plan 30%"/>
    <m/>
    <m/>
    <s v="INV 1905063 du 30/05/2019"/>
    <n v="67419"/>
    <x v="1"/>
    <s v="OK"/>
    <n v="0"/>
    <n v="67419"/>
  </r>
  <r>
    <s v="UC103"/>
    <m/>
    <s v="CLI"/>
    <m/>
    <s v="KAYENTIS"/>
    <s v="SRV_18232_W1"/>
    <m/>
    <s v="Setup fees - Upon user acceptance test 30%"/>
    <m/>
    <m/>
    <s v="INV 1906039 du 15/06/2019"/>
    <n v="67419"/>
    <x v="1"/>
    <s v="OK"/>
    <n v="0"/>
    <n v="67419"/>
  </r>
  <r>
    <s v="UC103"/>
    <m/>
    <s v="CLI"/>
    <m/>
    <s v="KAYENTIS"/>
    <s v="SRV_18232_W1"/>
    <m/>
    <s v="Monthly fee - 25 410 € / mois (17 mois : 1 an et 5 mois : Total :431 964 €) Juin 2019"/>
    <m/>
    <s v="INV 1906089"/>
    <d v="2019-06-30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Juillet 2019"/>
    <m/>
    <s v="INV 1907001"/>
    <d v="2019-07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Aout 2019"/>
    <m/>
    <s v="INV 1908001"/>
    <d v="2019-08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Septembre 2019"/>
    <m/>
    <s v="INV 1909001"/>
    <d v="2019-09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Octobre 2019"/>
    <m/>
    <s v="INV 1910001"/>
    <d v="2019-10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Novembre 2019"/>
    <m/>
    <s v="INV 1911002"/>
    <d v="2019-11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Décembre 2019"/>
    <m/>
    <s v="INV 1912001"/>
    <d v="2019-12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1001"/>
    <d v="2020-01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2001"/>
    <d v="2020-02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3001"/>
    <d v="2020-03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4001"/>
    <d v="2020-04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5001"/>
    <d v="2020-05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6001"/>
    <d v="2020-06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7001"/>
    <d v="2020-07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8001"/>
    <d v="2020-08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9001"/>
    <d v="2020-09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10001"/>
    <d v="2020-10-15T00:00:00"/>
    <n v="25410"/>
    <x v="1"/>
    <s v="OK"/>
    <n v="0"/>
    <n v="25410"/>
  </r>
  <r>
    <s v="UC103"/>
    <m/>
    <s v="CLI"/>
    <m/>
    <s v="KAYENTIS"/>
    <s v="SRV_18232_W1"/>
    <m/>
    <s v="Closeout and archiving - Upon freeze of DB"/>
    <m/>
    <s v="INV 2305092"/>
    <d v="2023-05-30T00:00:00"/>
    <n v="25740"/>
    <x v="1"/>
    <n v="22878"/>
    <n v="0"/>
    <n v="22878"/>
  </r>
  <r>
    <s v="UC103"/>
    <m/>
    <s v="CLI"/>
    <m/>
    <s v="KAYENTIS"/>
    <s v="SRV_18232_W1"/>
    <m/>
    <s v="RWS Language services fee - 40% at KickOff meeting"/>
    <m/>
    <m/>
    <s v="INV 1904061 du 15/04/2019 + AV 1904059 du 15/04/2019"/>
    <n v="6504.7999999999993"/>
    <x v="1"/>
    <s v="OK"/>
    <n v="0"/>
    <n v="6504.7999999999993"/>
  </r>
  <r>
    <s v="UC103"/>
    <m/>
    <s v="CLI"/>
    <m/>
    <s v="KAYENTIS"/>
    <s v="SRV_18232_W1"/>
    <m/>
    <s v="RWS Language services fee - 30% at project plan"/>
    <m/>
    <m/>
    <s v="INV 1905064 du 30/05/2019"/>
    <n v="11698.5"/>
    <x v="1"/>
    <s v="OK"/>
    <n v="0"/>
    <n v="11698.5"/>
  </r>
  <r>
    <s v="UC103"/>
    <m/>
    <s v="CLI"/>
    <m/>
    <s v="KAYENTIS"/>
    <s v="SRV_18232_W1"/>
    <m/>
    <s v="RWS Language services fee - 30% Acceptance test"/>
    <m/>
    <m/>
    <s v="INV 1906034 du 15/06/2019"/>
    <n v="11698.5"/>
    <x v="1"/>
    <s v="OK"/>
    <n v="0"/>
    <n v="11698.5"/>
  </r>
  <r>
    <s v="UC103"/>
    <m/>
    <s v="CLI"/>
    <m/>
    <s v="KAYENTIS"/>
    <s v="SRV_18232_W1 + SRV_18232_W3 CO2"/>
    <m/>
    <s v="PTC"/>
    <m/>
    <s v="INV 1907001 + INV 1908001 + INV 1909001 + INV 1910001 + INV 1911002 + INV 1912001 + INV 2001001 + INV 2002001 + INV 2003001 + INV 2004001 + INV 2005001 + INV 2006001 + INV 2008001 +  INV 2009001 + INV 2010001 + INV 2102001 + INV 2103001"/>
    <s v="15/07/2019 + 15/08/2019 + 15/09/2019 + 15/10/2019 + 15/11/2019 + 15/12/2019 + 15/01/2020 + 15/02/2020 + 15/03/2020 + 15/04/2020 + 15/05/2020 + 15/06/2020 + 15/08/2020 + 15/09/2020 + 15/10/2020 + 15/02/2021 + 15/03/2021"/>
    <n v="63600"/>
    <x v="1"/>
    <n v="63883.419999999991"/>
    <n v="0"/>
    <n v="63883.419999999991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RWS + 1 pays Espagne (Novembre 2019)"/>
    <m/>
    <s v="INV 1911090"/>
    <d v="2019-11-15T00:00:00"/>
    <n v="2106"/>
    <x v="1"/>
    <s v="OK"/>
    <n v="0"/>
    <n v="2106"/>
  </r>
  <r>
    <s v="UC103"/>
    <m/>
    <s v="CLI"/>
    <m/>
    <s v="KAYENTIS"/>
    <s v="SRV_18232_W3 - CO2"/>
    <m/>
    <s v="Set-up + monthly fee"/>
    <m/>
    <s v="INV 2002083 + INV 2003080"/>
    <s v="15/02/2020 + 15/03/2020"/>
    <n v="9675"/>
    <x v="1"/>
    <n v="9675"/>
    <n v="0"/>
    <n v="9675"/>
  </r>
  <r>
    <s v="UC103"/>
    <m/>
    <s v="CLI"/>
    <m/>
    <s v="KAYENTIS"/>
    <s v="SRV_18232_W3 - CO2"/>
    <m/>
    <s v="Monthly fee - 5 175 € sur 9 mois (Mars To Nov. 2020)"/>
    <m/>
    <s v="INV 2004002"/>
    <d v="2020-04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5002"/>
    <d v="2020-05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6002"/>
    <d v="2020-06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27002"/>
    <d v="2020-07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8002"/>
    <d v="2020-08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9002"/>
    <d v="2020-09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10002"/>
    <d v="2020-10-15T00:00:00"/>
    <n v="5175"/>
    <x v="1"/>
    <s v="OK"/>
    <n v="0"/>
    <n v="5175"/>
  </r>
  <r>
    <s v="UC103"/>
    <m/>
    <s v="CLI"/>
    <m/>
    <s v="KAYENTIS"/>
    <s v="SRV_18232_W4 - CO3"/>
    <m/>
    <s v="Ajout des USA (English-Spanish) RSW  traduction"/>
    <m/>
    <s v="INV 2007089"/>
    <d v="2020-07-30T00:00:00"/>
    <n v="2188"/>
    <x v="1"/>
    <s v="OK"/>
    <n v="0"/>
    <n v="2188"/>
  </r>
  <r>
    <s v="UC103"/>
    <m/>
    <s v="CLI"/>
    <m/>
    <s v="KAYENTIS"/>
    <s v="SRV_18232_W4 - CO3"/>
    <m/>
    <s v="Ajout des USA (English-Spanish) service"/>
    <m/>
    <s v="INV 2007089"/>
    <d v="2020-07-30T00:00:00"/>
    <n v="5580"/>
    <x v="1"/>
    <s v="OK"/>
    <n v="0"/>
    <n v="5580"/>
  </r>
  <r>
    <s v="UC103"/>
    <m/>
    <s v="CLI"/>
    <m/>
    <s v="KAYENTIS"/>
    <s v="SRV_18232_W5 - CO4"/>
    <m/>
    <s v="100 Devices Added"/>
    <d v="2020-12-01T00:00:00"/>
    <s v="INV 2007090 + INV 2007091 + INV 2008081 + INV 2009085 + INV 2010084"/>
    <s v="30/07/2020 + 30/07/2020 + 30/08/2020 + 30/09/2020 + 30/10/2020"/>
    <n v="45300"/>
    <x v="1"/>
    <n v="38700"/>
    <n v="6600"/>
    <n v="38700"/>
  </r>
  <r>
    <s v="UC103"/>
    <m/>
    <s v="CLI"/>
    <m/>
    <s v="KAYENTIS"/>
    <s v="SRV_18232_W6 - CO5"/>
    <m/>
    <s v="6 month extension (end October 2020) + change in the number of patients 244"/>
    <m/>
    <s v="INV 2011034"/>
    <d v="2020-11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012001"/>
    <d v="2020-12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1001"/>
    <d v="2021-01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2001"/>
    <d v="2021-02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3001"/>
    <d v="2021-03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4001"/>
    <d v="2021-04-15T00:00:00"/>
    <n v="16479"/>
    <x v="1"/>
    <s v="OK"/>
    <n v="0"/>
    <n v="16479"/>
  </r>
  <r>
    <s v="CD202"/>
    <m/>
    <s v="CLI"/>
    <s v="Julien S"/>
    <s v="KCAS BIO - ACTIVE BIOMARKERS"/>
    <s v="D_098_240423_KC_1172_V4 - P00372_2024"/>
    <s v="P00372_2024"/>
    <s v="CD202 - Evaluation Cytokines in plasma or serum"/>
    <m/>
    <s v="INV 20240702903 + INV 20240802941 +INV 20250203146 + INV 20250303180"/>
    <s v="31/07/2024 + 30/08/2024+28/02/2025+31/03/2025"/>
    <n v="48151"/>
    <x v="1"/>
    <n v="46135"/>
    <n v="2016"/>
    <n v="46135"/>
  </r>
  <r>
    <s v="ABX464"/>
    <m/>
    <s v="LAB"/>
    <m/>
    <s v="LABCORP"/>
    <s v="Quote 665708 - P00277_2023"/>
    <s v="P00277_2023"/>
    <s v="Test Compound ABX464-Nglu"/>
    <m/>
    <m/>
    <m/>
    <n v="62900"/>
    <x v="2"/>
    <m/>
    <n v="62900"/>
    <n v="0"/>
  </r>
  <r>
    <s v="ABX464"/>
    <s v="TOX"/>
    <s v="LAB"/>
    <s v="Didier S"/>
    <s v="LABCORP"/>
    <s v="11300193664 - P00010_2025"/>
    <s v="P00010_2025"/>
    <s v="Archived Material Studies 01/01/2025 au 31/12/2025"/>
    <m/>
    <s v="INV 1300193664"/>
    <s v="30/12/2024 (recu 2025)"/>
    <n v="500"/>
    <x v="1"/>
    <n v="500"/>
    <n v="0"/>
    <n v="500"/>
  </r>
  <r>
    <s v="ABX464"/>
    <m/>
    <s v="LAB"/>
    <m/>
    <s v="LIFE TECHNOLOGIES"/>
    <s v="D5355598 - P000101_2024"/>
    <s v="P000101_2024"/>
    <s v="Consommable Labo"/>
    <m/>
    <m/>
    <m/>
    <n v="7253.4"/>
    <x v="1"/>
    <m/>
    <n v="7253.4"/>
    <n v="0"/>
  </r>
  <r>
    <s v="ABX464"/>
    <m/>
    <s v="LAB"/>
    <s v="Aude G"/>
    <s v="LIFE TECHNOLOGIES"/>
    <s v="D5514300 - P00349_2024 n°1"/>
    <s v="P00349_2024 n°1"/>
    <s v="Consommable Labo"/>
    <m/>
    <s v="INV 1978842 RI"/>
    <d v="2024-08-20T00:00:00"/>
    <n v="3129.6"/>
    <x v="1"/>
    <n v="3081.6"/>
    <n v="48"/>
    <n v="3081.6"/>
  </r>
  <r>
    <s v="NOTAPP"/>
    <m/>
    <s v="LAB"/>
    <s v="Aude G"/>
    <s v="LIFE TECHNOLOGIES"/>
    <s v="D5728084 - P00062_2025"/>
    <s v="P00062_2025"/>
    <s v="Consommable Labo"/>
    <m/>
    <s v="INV 2006153 RI"/>
    <d v="2025-01-30T00:00:00"/>
    <n v="6344"/>
    <x v="1"/>
    <n v="6344"/>
    <n v="0"/>
    <n v="6344"/>
  </r>
  <r>
    <s v="CD202"/>
    <m/>
    <s v="CLI"/>
    <m/>
    <s v="LKF"/>
    <s v="MSA_23187_WO1"/>
    <m/>
    <s v="Central lab CD202"/>
    <m/>
    <s v="INV 027282"/>
    <d v="2024-02-29T00:00:00"/>
    <n v="41295"/>
    <x v="1"/>
    <n v="41295"/>
    <n v="0"/>
    <n v="41295"/>
  </r>
  <r>
    <s v="CD202"/>
    <m/>
    <s v="CLI"/>
    <s v="Julien"/>
    <s v="LKF"/>
    <s v="MSA_23187_WO2"/>
    <m/>
    <s v="CD202 Central Lab"/>
    <m/>
    <s v="INV 027842"/>
    <d v="2024-08-07T00:00:00"/>
    <n v="170000"/>
    <x v="1"/>
    <n v="170000"/>
    <n v="0"/>
    <n v="170000"/>
  </r>
  <r>
    <s v="CD202"/>
    <m/>
    <s v="CLI"/>
    <s v="Julien"/>
    <s v="GBA CENTRAL LAB SERVICES (ex LKF)"/>
    <s v="MSA_23187_WO2"/>
    <m/>
    <s v="CD202 Central Lab"/>
    <m/>
    <s v="INV 027843 + INV 727894 + INV 028075 + INV 028097 + INV 028260 + INV 028185 + INV A24-217 INV 028454 + INV 028454 + INV 028635 + INV 028729 + INV 028830 + INV 028964 + INV 028982 + INV 029097 + INV 029204 + INV 029295 + INV 029396 + INV 029511 + INV 029614"/>
    <s v="07/08/2024 + 08/10/2024 + 08/10/2024 + 11/10/2024 + 06/12/2024 + 31/10/2024 + 31/12/2024 + 10/02/2025 + 31/03/2025 + 30/04/2025 + 31/05/2025 + 31/05/2025 + 07/07/2025 + 31/07/2025 + 31/08/2025 + 30/09/2025 + 06/11/2025 + 05/12/2025 + 08/01/2026"/>
    <n v="5762674.5499999998"/>
    <x v="1"/>
    <n v="1158196.05"/>
    <n v="4604478.5"/>
    <n v="1158196.05"/>
  </r>
  <r>
    <s v="ABX464"/>
    <m/>
    <s v="LAB"/>
    <m/>
    <s v="LOGOS BIOSYTEMS"/>
    <s v="QLB183974 - P00023_2023"/>
    <s v="P00023_2023"/>
    <s v="Cell counter"/>
    <m/>
    <m/>
    <m/>
    <n v="7560"/>
    <x v="1"/>
    <m/>
    <n v="7560"/>
    <n v="0"/>
  </r>
  <r>
    <s v="CD202"/>
    <m/>
    <s v="CLI"/>
    <m/>
    <s v="MCMASTER UNIVERSITY"/>
    <s v="IBDQ24-057 - P00391_2023 - P00413_2023"/>
    <s v="P00413_2023"/>
    <s v="IBDQ questionnaire License"/>
    <m/>
    <m/>
    <m/>
    <n v="138050"/>
    <x v="3"/>
    <m/>
    <n v="138050"/>
    <n v="0"/>
  </r>
  <r>
    <s v="UC105"/>
    <m/>
    <s v="CLI"/>
    <m/>
    <s v="MCMASTER UNIVERSITY"/>
    <s v="IBDQ22-088 A1 - P00011_2024"/>
    <s v="P00011_2024"/>
    <s v="IBDQ questionnaire License"/>
    <m/>
    <m/>
    <m/>
    <n v="247350"/>
    <x v="3"/>
    <m/>
    <n v="247350"/>
    <n v="0"/>
  </r>
  <r>
    <s v="UC106"/>
    <m/>
    <s v="CLI"/>
    <m/>
    <s v="MCMASTER UNIVERSITY"/>
    <s v="IBDQ22-089 A1 - P00011_2024"/>
    <s v="P00011_2024"/>
    <s v="IBDQ questionnaire License"/>
    <m/>
    <m/>
    <m/>
    <n v="238550"/>
    <x v="3"/>
    <m/>
    <n v="238550"/>
    <n v="0"/>
  </r>
  <r>
    <s v="UC107"/>
    <m/>
    <s v="CLI"/>
    <m/>
    <s v="MCMASTER UNIVERSITY"/>
    <s v="IBDQ22-090 A1 A2 A3 A4-  P00011_2024"/>
    <s v="P00011_2024"/>
    <s v="IBDQ questionnaire License"/>
    <m/>
    <m/>
    <m/>
    <n v="449140"/>
    <x v="3"/>
    <m/>
    <n v="449140"/>
    <n v="0"/>
  </r>
  <r>
    <s v="196-1"/>
    <m/>
    <s v="CLI"/>
    <m/>
    <s v="MD ANDERSON"/>
    <s v="Amrk 190731 "/>
    <m/>
    <s v="Hospital fee"/>
    <m/>
    <s v="INV GNR0360611"/>
    <d v="2019-12-17T00:00:00"/>
    <n v="57531.25"/>
    <x v="1"/>
    <s v="OK"/>
    <n v="0"/>
    <n v="57531.25"/>
  </r>
  <r>
    <s v="196-1"/>
    <m/>
    <s v="CLI"/>
    <m/>
    <s v="MD ANDERSON"/>
    <s v="Amrk 190731 "/>
    <m/>
    <s v="Patient fee 2021"/>
    <m/>
    <s v="GRN0472308 + GRN0452203 + GRN0476029 + GRN0457511 + GRN0457564 + GRN0472309  + GRN0472307"/>
    <s v="28/12/2021 (recu 01/2022) + 28/12/2021 (recu 01/2022) + 28/12/2021 (recu 01/2022) + 44501 + 44501 + 28/12/2021 (recu 01/2022) + 28/12/2021 (recu 01/2022)"/>
    <n v="132529.4"/>
    <x v="1"/>
    <n v="132529.4"/>
    <n v="0"/>
    <n v="132529.4"/>
  </r>
  <r>
    <s v="196-1"/>
    <m/>
    <s v="CLI"/>
    <m/>
    <s v="MD ANDERSON"/>
    <s v="Amrk 190731 "/>
    <m/>
    <s v="Reliquat - 2020 FNP + 2022 et après"/>
    <m/>
    <s v="INV GRN0473641 + INV GRN0495829 + INV GRN0524185"/>
    <s v="07/01/2022 + 17/06/2022 + 26/01/2023 (recu 03/2023)"/>
    <n v="674869.1"/>
    <x v="1"/>
    <n v="18562.129999999997"/>
    <n v="656306.97"/>
    <n v="18562.129999999997"/>
  </r>
  <r>
    <s v="ABX464"/>
    <m/>
    <s v="LAB"/>
    <s v="Aude G"/>
    <s v="MERCK - SIGMA"/>
    <s v="P00395_2024"/>
    <s v="P00395_2024"/>
    <s v="Consommable Labo"/>
    <m/>
    <m/>
    <m/>
    <n v="731"/>
    <x v="1"/>
    <m/>
    <n v="731"/>
    <n v="0"/>
  </r>
  <r>
    <s v="ABX464"/>
    <m/>
    <s v="LAB"/>
    <s v="Aude G"/>
    <s v="MERCK SIGMA"/>
    <s v="P00025_2025"/>
    <s v="P00025_2025"/>
    <s v="Consommable Labo"/>
    <m/>
    <s v="INV 8053409766"/>
    <d v="2025-01-16T00:00:00"/>
    <n v="495"/>
    <x v="1"/>
    <n v="495"/>
    <n v="0"/>
    <n v="495"/>
  </r>
  <r>
    <s v="NOTAPP"/>
    <m/>
    <s v="LAB"/>
    <s v="Aude G"/>
    <s v="MERCK SIGMA"/>
    <s v="web - P00070_2025"/>
    <s v="P00070_2025"/>
    <s v="Consommable Labo"/>
    <m/>
    <s v="INV 8053418658"/>
    <d v="2025-02-04T00:00:00"/>
    <n v="242"/>
    <x v="1"/>
    <n v="242"/>
    <n v="0"/>
    <n v="242"/>
  </r>
  <r>
    <s v="ABX464"/>
    <m/>
    <s v="CMC"/>
    <m/>
    <s v="MICROMERITICS"/>
    <s v="Abivax 10-10-2023 - P00370_2023"/>
    <s v="P00370_2023"/>
    <s v="Multi-point BET surface area using krypton"/>
    <m/>
    <s v="INV PSI015929"/>
    <d v="2024-01-01T00:00:00"/>
    <n v="6225"/>
    <x v="3"/>
    <n v="4661"/>
    <n v="1564"/>
    <n v="4661"/>
  </r>
  <r>
    <s v="ABX464"/>
    <m/>
    <s v="CMC"/>
    <m/>
    <s v="MICROMERITICS"/>
    <s v="Abivax 9-19-2023 - P00332_2023 - remplace le PO00298"/>
    <s v="P00332_2023"/>
    <s v="Multi-point BET surface area"/>
    <m/>
    <s v="INV PSI014684"/>
    <d v="2023-10-12T00:00:00"/>
    <n v="7007"/>
    <x v="3"/>
    <n v="7007"/>
    <n v="0"/>
    <n v="7007"/>
  </r>
  <r>
    <s v="ABX464"/>
    <m/>
    <s v="LAB"/>
    <m/>
    <s v="MILTENYI"/>
    <s v="7018835-00 - P00090_2024"/>
    <s v="P00090_2024"/>
    <s v="Consommable Labo"/>
    <m/>
    <s v="INV 1032401342"/>
    <d v="2024-04-21T00:00:00"/>
    <n v="1651.2"/>
    <x v="1"/>
    <n v="1651.2"/>
    <n v="0"/>
    <n v="1651.2"/>
  </r>
  <r>
    <s v="ABX464"/>
    <m/>
    <s v="LAB"/>
    <m/>
    <s v="MILTENYI"/>
    <s v="7025692-00 - P00157_2024"/>
    <s v="P00157_2024"/>
    <s v="Consommable Labo"/>
    <m/>
    <s v="INV 1032403129"/>
    <d v="2024-03-25T00:00:00"/>
    <n v="2793.1"/>
    <x v="1"/>
    <n v="2793.1"/>
    <n v="0"/>
    <n v="2793.1"/>
  </r>
  <r>
    <s v="ABX464"/>
    <m/>
    <s v="LAB"/>
    <m/>
    <s v="MILTENYI"/>
    <s v="7027893-00 - P00184_2024"/>
    <s v="P00184_2024"/>
    <s v="Consommable Labo"/>
    <m/>
    <s v="INV 1032403678"/>
    <d v="2024-04-08T00:00:00"/>
    <n v="3552.15"/>
    <x v="1"/>
    <n v="3550.55"/>
    <n v="1.5999999999999091"/>
    <n v="3550.55"/>
  </r>
  <r>
    <s v="ABX464"/>
    <m/>
    <s v="LAB"/>
    <s v="Aude G"/>
    <s v="MILTENYI"/>
    <s v="7016355-00 - P00261_2024"/>
    <s v="P00261_2024"/>
    <s v="Consommable Labo"/>
    <m/>
    <s v="INV 1032405018"/>
    <d v="2024-05-21T00:00:00"/>
    <n v="5177.3500000000004"/>
    <x v="1"/>
    <n v="5177.3500000000004"/>
    <n v="0"/>
    <n v="5177.3500000000004"/>
  </r>
  <r>
    <s v="ABX464"/>
    <m/>
    <s v="LAB"/>
    <s v="Aude G"/>
    <s v="MILTENYI"/>
    <s v="7070154-00 - P00031_2025"/>
    <s v="P00031_2025"/>
    <s v="Consommable Labo"/>
    <m/>
    <s v="INV 1032500495"/>
    <d v="2025-01-23T00:00:00"/>
    <n v="4159.05"/>
    <x v="1"/>
    <n v="4159.05"/>
    <n v="0"/>
    <n v="4159.05"/>
  </r>
  <r>
    <s v="ABX464"/>
    <m/>
    <s v="LAB"/>
    <s v="Aude G"/>
    <s v="MILTENYI"/>
    <s v="7070510-00 - P00045_2025"/>
    <s v="P00045_2025"/>
    <s v="Consommable Labo"/>
    <m/>
    <s v="INV 1032500604"/>
    <d v="2025-01-28T00:00:00"/>
    <n v="1654.1"/>
    <x v="1"/>
    <n v="1654.1"/>
    <n v="0"/>
    <n v="1654.1"/>
  </r>
  <r>
    <s v="NOTAPP"/>
    <m/>
    <s v="ANA (SAM)"/>
    <m/>
    <s v="MITSUBAICHO"/>
    <s v="Quote du 10/02/2024 v1 - P00097_2024"/>
    <s v="P00097_2024"/>
    <s v="ABIVAX Obefazimod Tablet &amp; Capsule Colors"/>
    <m/>
    <m/>
    <m/>
    <n v="5500"/>
    <x v="1"/>
    <m/>
    <n v="5500"/>
    <n v="0"/>
  </r>
  <r>
    <s v="CD202"/>
    <m/>
    <s v="CLI"/>
    <m/>
    <s v="NORDIC BIOSCIENCE"/>
    <s v="NB2023-067 - P00467_2023"/>
    <s v="P00467_2023"/>
    <s v="Biomarker Analysis - Study induction a OLE - 25% upon execution of this WO"/>
    <m/>
    <s v="INV 005471"/>
    <d v="2024-01-01T00:00:00"/>
    <n v="114472.5"/>
    <x v="1"/>
    <n v="114472.5"/>
    <n v="0"/>
    <n v="114472.5"/>
  </r>
  <r>
    <s v="CD202"/>
    <m/>
    <s v="CLI"/>
    <m/>
    <s v="NORDIC BIOSCIENCE"/>
    <s v="NB2023-067-1 - P00342_2024"/>
    <s v="P00342_2024"/>
    <s v="Biomarker Analysis - 10% Part A - Upon execution A1"/>
    <m/>
    <s v="INV 005765"/>
    <d v="2024-08-22T00:00:00"/>
    <n v="64499.5"/>
    <x v="1"/>
    <n v="64499.75"/>
    <n v="0"/>
    <n v="64499.75"/>
  </r>
  <r>
    <s v="CD202"/>
    <m/>
    <s v="CLI"/>
    <m/>
    <s v="NORDIC BIOSCIENCE"/>
    <s v="NB2023-067-1 - P00342_2024"/>
    <s v="P00342_2024"/>
    <s v="Biomarker Analysis - 30% Part A - Upon firts sample"/>
    <m/>
    <m/>
    <m/>
    <n v="193449"/>
    <x v="1"/>
    <m/>
    <n v="193449"/>
    <n v="0"/>
  </r>
  <r>
    <s v="CD202"/>
    <m/>
    <s v="CLI"/>
    <m/>
    <s v="NORDIC BIOSCIENCE"/>
    <s v="NB2023-067-1 - P00342_2024"/>
    <s v="P00342_2024"/>
    <s v="Biomarker Analysis - 30% Part A - Upon initiation sample meusurement"/>
    <m/>
    <m/>
    <m/>
    <n v="193449"/>
    <x v="1"/>
    <m/>
    <n v="193449"/>
    <n v="0"/>
  </r>
  <r>
    <s v="CD202"/>
    <m/>
    <s v="CLI"/>
    <m/>
    <s v="NORDIC BIOSCIENCE"/>
    <s v="NB2023-067-1 - P00342_2024"/>
    <s v="P00342_2024"/>
    <s v="Biomarker Analysis - 30% Part A - Upon delivery Part A result"/>
    <m/>
    <m/>
    <m/>
    <n v="193449"/>
    <x v="1"/>
    <m/>
    <n v="193449"/>
    <n v="0"/>
  </r>
  <r>
    <s v="CD202"/>
    <m/>
    <s v="CLI"/>
    <m/>
    <s v="NORDIC BIOSCIENCE"/>
    <s v="NB2023-067-1 - P00342_2024"/>
    <s v="P00342_2024"/>
    <s v="Biomarker Analysis - GO/NOGO - 30% Part B - Upon finalization biomarker panel"/>
    <m/>
    <m/>
    <m/>
    <n v="182958"/>
    <x v="1"/>
    <m/>
    <n v="182958"/>
    <n v="0"/>
  </r>
  <r>
    <s v="CD202"/>
    <m/>
    <s v="CLI"/>
    <m/>
    <s v="NORDIC BIOSCIENCE"/>
    <s v="NB2023-067-1 - P00342_2024"/>
    <s v="P00342_2024"/>
    <s v="Biomarker Analysis - GO/NOGO - 30% Part B - Upon receipt firts sample"/>
    <m/>
    <m/>
    <m/>
    <n v="182958"/>
    <x v="1"/>
    <m/>
    <n v="182958"/>
    <n v="0"/>
  </r>
  <r>
    <s v="CD202"/>
    <m/>
    <s v="CLI"/>
    <m/>
    <s v="NORDIC BIOSCIENCE"/>
    <s v="NB2023-067-1 - P00342_2024"/>
    <s v="P00342_2024"/>
    <s v="Biomarker Analysis - GO/NOGO - 40% Part B - Upon Delivery of data"/>
    <m/>
    <m/>
    <m/>
    <n v="243944"/>
    <x v="1"/>
    <m/>
    <n v="243944"/>
    <n v="0"/>
  </r>
  <r>
    <s v="CD202"/>
    <m/>
    <s v="CLI"/>
    <m/>
    <s v="NORDIC BIOSCIENCE"/>
    <s v="NB2023-067-1 - P00342_2024"/>
    <s v="P00342_2024"/>
    <s v="Biomarker Analysis - GO/NOGO - 30% Part C - Upon finalization biomarker panel"/>
    <m/>
    <m/>
    <m/>
    <n v="156719"/>
    <x v="1"/>
    <m/>
    <n v="156719"/>
    <n v="0"/>
  </r>
  <r>
    <s v="CD202"/>
    <m/>
    <s v="CLI"/>
    <m/>
    <s v="NORDIC BIOSCIENCE"/>
    <s v="NB2023-067-1 - P00342_2024"/>
    <s v="P00342_2024"/>
    <s v="Biomarker Analysis - GO/NOGO - 30% Part C - Upon receipt firts sample"/>
    <m/>
    <m/>
    <m/>
    <n v="156719"/>
    <x v="1"/>
    <m/>
    <n v="156719"/>
    <n v="0"/>
  </r>
  <r>
    <s v="CD202"/>
    <m/>
    <s v="CLI"/>
    <m/>
    <s v="NORDIC BIOSCIENCE"/>
    <s v="NB2023-067-1 - P00342_2024"/>
    <s v="P00342_2024"/>
    <s v="Biomarker Analysis - GO/NOGO - 40% Part C - Upon Delivery of data"/>
    <m/>
    <m/>
    <m/>
    <n v="208958"/>
    <x v="1"/>
    <m/>
    <n v="208958"/>
    <n v="0"/>
  </r>
  <r>
    <s v="ABX464"/>
    <m/>
    <s v="LAB"/>
    <m/>
    <s v="NOVAXIA"/>
    <s v="DEV000093 - P00381_2019"/>
    <s v="P00381_2019"/>
    <s v="Histology 4 month marmosets - Achats de materiel"/>
    <m/>
    <s v="INV FAC000130 + INV FAC000240"/>
    <s v="18/12/2019 + 07/09/2020"/>
    <n v="15551.62"/>
    <x v="1"/>
    <n v="12154.28"/>
    <n v="3397.34"/>
    <n v="12154.28"/>
  </r>
  <r>
    <s v="ABX711"/>
    <m/>
    <s v="CMC"/>
    <m/>
    <s v="ORGAPHARM"/>
    <s v="Devis 10/01/2023 - P00021_2023"/>
    <s v="P00021_2023"/>
    <s v="Etude de stab accélérée lot 106508P004"/>
    <m/>
    <m/>
    <m/>
    <n v="7550"/>
    <x v="1"/>
    <m/>
    <n v="7550"/>
    <n v="0"/>
  </r>
  <r>
    <s v="ABX711"/>
    <m/>
    <s v="CMC"/>
    <m/>
    <s v="ORGAPHARM"/>
    <s v="Devis du 03/03/2023 - P00124_2023"/>
    <s v="P00124_2023"/>
    <s v="ABX711 GMP manufacture"/>
    <m/>
    <s v="INV 20230177"/>
    <d v="2023-04-28T00:00:00"/>
    <n v="78857.5"/>
    <x v="1"/>
    <n v="74857.5"/>
    <n v="4000"/>
    <n v="74857.5"/>
  </r>
  <r>
    <s v="ABX711"/>
    <m/>
    <s v="CMC"/>
    <m/>
    <s v="ORGAPHARM"/>
    <s v="P00150_2023"/>
    <s v="P00150_2023"/>
    <s v="Stability study of lyophilized samples of ABX711 - FTE (700/FTE)"/>
    <m/>
    <s v="OGPVTE230324"/>
    <d v="2023-09-25T00:00:00"/>
    <n v="1400"/>
    <x v="1"/>
    <n v="1400"/>
    <n v="0"/>
    <n v="1400"/>
  </r>
  <r>
    <s v="ABX711"/>
    <m/>
    <s v="CMC"/>
    <m/>
    <s v="ORGAPHARM"/>
    <s v="P00150_2023"/>
    <s v="P00150_2023"/>
    <s v="Stability study of lyophilized samples of ABX711 - T0 analyse 1FTE"/>
    <m/>
    <s v="OGPVTE230324"/>
    <d v="2023-09-25T00:00:00"/>
    <n v="700"/>
    <x v="1"/>
    <n v="700"/>
    <n v="0"/>
    <n v="700"/>
  </r>
  <r>
    <s v="ABX711"/>
    <m/>
    <s v="CMC"/>
    <m/>
    <s v="ORGAPHARM"/>
    <s v="P00150_2023"/>
    <s v="P00150_2023"/>
    <s v="Stability study of lyophilized samples of ABX711 - T30 days"/>
    <m/>
    <s v="OGPVTE230324"/>
    <d v="2023-09-25T00:00:00"/>
    <n v="1750"/>
    <x v="1"/>
    <n v="1750"/>
    <n v="0"/>
    <n v="1750"/>
  </r>
  <r>
    <s v="ABX711"/>
    <m/>
    <s v="CMC"/>
    <m/>
    <s v="ORGAPHARM"/>
    <s v="P00150_2023"/>
    <s v="P00150_2023"/>
    <s v="Stability study of lyophilized samples of ABX711 - T60 days"/>
    <m/>
    <m/>
    <m/>
    <n v="1750"/>
    <x v="1"/>
    <m/>
    <n v="1750"/>
    <n v="0"/>
  </r>
  <r>
    <s v="ABX711"/>
    <m/>
    <s v="CMC"/>
    <m/>
    <s v="ORGAPHARM"/>
    <s v="P00150_2023"/>
    <s v="P00150_2023"/>
    <s v="Stability study of lyophilized samples of ABX711 - T90 days"/>
    <m/>
    <m/>
    <m/>
    <n v="1750"/>
    <x v="1"/>
    <m/>
    <n v="1750"/>
    <n v="0"/>
  </r>
  <r>
    <s v="ABX711"/>
    <m/>
    <s v="CMC"/>
    <m/>
    <s v="ORGAPHARM"/>
    <s v="P00150_2023"/>
    <s v="P00150_2023"/>
    <s v="Stability study of lyophilized samples of ABX711 - T120 days"/>
    <m/>
    <m/>
    <m/>
    <n v="1400"/>
    <x v="1"/>
    <m/>
    <n v="1400"/>
    <n v="0"/>
  </r>
  <r>
    <s v="ABX711"/>
    <m/>
    <s v="CMC"/>
    <m/>
    <s v="ORGAPHARM"/>
    <s v="P00150_2023"/>
    <s v="P00150_2023"/>
    <s v="Stability study of lyophilized samples of ABX711 - T300 days"/>
    <m/>
    <m/>
    <m/>
    <n v="1400"/>
    <x v="1"/>
    <m/>
    <n v="1400"/>
    <n v="0"/>
  </r>
  <r>
    <s v="ABX464"/>
    <m/>
    <s v="CMC"/>
    <m/>
    <s v="ORGAPHARM"/>
    <s v="P00295_2021"/>
    <s v="P00295_2021"/>
    <s v="ABX464-N-Glu Analyses"/>
    <m/>
    <s v="INV 20210371 + INV 20220006"/>
    <s v="15/11/2021 + 14/01/2022"/>
    <n v="5400"/>
    <x v="1"/>
    <n v="3600"/>
    <n v="1800"/>
    <n v="3600"/>
  </r>
  <r>
    <s v="ABX711"/>
    <m/>
    <s v="CMC"/>
    <m/>
    <s v="ORGAPHARM"/>
    <s v="V2 16112022 - P00367_2022"/>
    <s v="P00367_2022"/>
    <s v="Partie 1 : dev et validation analytique"/>
    <m/>
    <s v="INV 20220339 + INV 20230176"/>
    <s v="17/11/2022 + 28/04/2023"/>
    <n v="97500"/>
    <x v="1"/>
    <n v="82875"/>
    <n v="14625"/>
    <n v="82875"/>
  </r>
  <r>
    <s v="ABX711"/>
    <m/>
    <s v="CMC"/>
    <m/>
    <s v="ORGAPHARM"/>
    <s v="V2 16112022 - P00367_2022"/>
    <s v="P00367_2022"/>
    <s v="Partie 2 : CAPEX Achat materiel industriel"/>
    <m/>
    <s v="INV 20220339"/>
    <d v="2022-11-17T00:00:00"/>
    <n v="150000"/>
    <x v="1"/>
    <n v="150000"/>
    <n v="0"/>
    <n v="150000"/>
  </r>
  <r>
    <s v="ABX711"/>
    <m/>
    <s v="CMC"/>
    <m/>
    <s v="ORGAPHARM"/>
    <s v="V2 16112022 - P00367_2022"/>
    <s v="P00367_2022"/>
    <s v="Partie 3 : Production 48kg ABX464"/>
    <m/>
    <s v="INV 20220339"/>
    <d v="2022-11-17T00:00:00"/>
    <n v="342880"/>
    <x v="1"/>
    <n v="171440"/>
    <n v="171440"/>
    <n v="171440"/>
  </r>
  <r>
    <s v="ABX464"/>
    <m/>
    <s v="CMC"/>
    <s v="Adrien K"/>
    <s v="ORGAPHARM - AXYNTIS"/>
    <s v="ABIVAX_04022025 - P00073_2025"/>
    <s v="P00073_2025"/>
    <s v="Réanalyse de lot 103508P004"/>
    <m/>
    <s v="INV OGPVTE250142 + INV OGPVTE260006"/>
    <s v="20/06/2025 + 21/01/2026"/>
    <n v="5300"/>
    <x v="1"/>
    <n v="5300"/>
    <n v="0"/>
    <n v="5300"/>
  </r>
  <r>
    <s v="RA301"/>
    <m/>
    <s v="CLI"/>
    <m/>
    <s v="ORION"/>
    <s v="Amdt 2 WOO2"/>
    <m/>
    <s v="RA301 - PTC MONTHLY INVESTIGATOR FEES"/>
    <m/>
    <s v="INV 109189"/>
    <d v="2021-03-09T00:00:00"/>
    <n v="0"/>
    <x v="1"/>
    <n v="0"/>
    <n v="0"/>
    <n v="0"/>
  </r>
  <r>
    <s v="RA301"/>
    <m/>
    <s v="CLI"/>
    <m/>
    <s v="ORION"/>
    <s v="Amdt 2 WOO2"/>
    <m/>
    <s v="RA301 - PTC MONTHLY INVESTIGATOR FEES"/>
    <m/>
    <s v="INV 109288"/>
    <d v="2021-06-16T00:00:00"/>
    <n v="0"/>
    <x v="1"/>
    <n v="0"/>
    <n v="0"/>
    <n v="0"/>
  </r>
  <r>
    <s v="RA301"/>
    <m/>
    <s v="CLI"/>
    <m/>
    <s v="ORION"/>
    <s v="Amdt 2 WOO2"/>
    <m/>
    <s v="RA301 - PTC MONTHLY INVESTIGATOR FEES"/>
    <m/>
    <m/>
    <m/>
    <n v="0"/>
    <x v="1"/>
    <n v="0"/>
    <n v="0"/>
    <n v="0"/>
  </r>
  <r>
    <s v="RA301"/>
    <m/>
    <s v="CLI"/>
    <m/>
    <s v="ORION"/>
    <s v="Amdt 2 WOO2"/>
    <m/>
    <s v="RA301 - PTC MONTHLY INVESTIGATOR FEES"/>
    <m/>
    <m/>
    <m/>
    <n v="0"/>
    <x v="1"/>
    <n v="0"/>
    <n v="0"/>
    <n v="0"/>
  </r>
  <r>
    <s v="RA301"/>
    <m/>
    <s v="CLI"/>
    <m/>
    <s v="ORION"/>
    <s v="Amdt 2 WOO2"/>
    <m/>
    <s v="RA301 - PTC MONTHLY INVESTIGATOR FEES"/>
    <m/>
    <m/>
    <m/>
    <n v="0"/>
    <x v="1"/>
    <n v="0"/>
    <n v="0"/>
    <n v="0"/>
  </r>
  <r>
    <s v="RA301"/>
    <m/>
    <s v="CLI"/>
    <m/>
    <s v="ORION"/>
    <s v="Amdt 2 WOO2"/>
    <m/>
    <s v="RA301 - PTC - Other - ORACLE (InForm fee) - "/>
    <m/>
    <s v="INV 109249"/>
    <d v="2021-05-11T00:00:00"/>
    <n v="0"/>
    <x v="1"/>
    <n v="0"/>
    <n v="0"/>
    <n v="0"/>
  </r>
  <r>
    <s v="RA301"/>
    <m/>
    <s v="CLI"/>
    <m/>
    <s v="ORION"/>
    <s v="Amendement 1 WO004"/>
    <m/>
    <s v="RA301 - Monthly Management Fee (Avril 2020 à Dec 2020 Juin 2020) - durée 23 mois"/>
    <m/>
    <s v="INV 108893 + CR 204610"/>
    <s v="01/04/2020 + 06/05/2020"/>
    <n v="24603"/>
    <x v="1"/>
    <n v="24602.3"/>
    <n v="0.7000000000007276"/>
    <n v="24602.3"/>
  </r>
  <r>
    <s v="RA301"/>
    <m/>
    <s v="CLI"/>
    <m/>
    <s v="ORION"/>
    <s v="Amendement 1 WO004"/>
    <m/>
    <s v="RA301 - Monthly Management Fee (Avril 2020 à Dec 2020 Juin 2020) - durée 23 mois"/>
    <m/>
    <s v="INV 108921"/>
    <d v="2020-05-01T00:00:00"/>
    <n v="24603"/>
    <x v="1"/>
    <s v="OK"/>
    <n v="0"/>
    <n v="24603"/>
  </r>
  <r>
    <s v="RA301"/>
    <m/>
    <s v="CLI"/>
    <m/>
    <s v="ORION"/>
    <s v="Amendement 1 WO004"/>
    <m/>
    <s v="RA301 - Monthly Management Fee (Avril 2020 à Dec 2020 Juin 2020) - durée 23 mois"/>
    <m/>
    <s v="INV 108949"/>
    <d v="2020-06-01T00:00:00"/>
    <n v="24603"/>
    <x v="1"/>
    <s v="OK"/>
    <n v="0"/>
    <n v="24603"/>
  </r>
  <r>
    <s v="RA301"/>
    <m/>
    <s v="CLI"/>
    <m/>
    <s v="ORION"/>
    <s v="Amendement 1 WO004"/>
    <m/>
    <s v="RA301 - PTC - Other - Investigator meeting planning"/>
    <m/>
    <s v="INV 109057 + INV 109249"/>
    <s v="13/10/2020 + 11/05/2021"/>
    <n v="0"/>
    <x v="1"/>
    <n v="0"/>
    <n v="0"/>
    <n v="0"/>
  </r>
  <r>
    <s v="RA301"/>
    <m/>
    <s v="CLI"/>
    <m/>
    <s v="ORION"/>
    <s v="Amendement 1 WO004 + Amendement 2 WO004"/>
    <m/>
    <s v="RA301 - PTC - Regulatory &amp; Ethics Submissions SUBMISSIONS"/>
    <m/>
    <m/>
    <m/>
    <n v="0"/>
    <x v="1"/>
    <n v="0"/>
    <n v="0"/>
    <n v="0"/>
  </r>
  <r>
    <s v="RA301"/>
    <m/>
    <s v="CLI"/>
    <m/>
    <s v="ORION"/>
    <s v="Amendement 2 WO004"/>
    <m/>
    <s v="Signature of Amendment #2"/>
    <m/>
    <s v="INV 108993"/>
    <d v="2020-07-15T00:00:00"/>
    <n v="72836"/>
    <x v="1"/>
    <s v="OK"/>
    <n v="0"/>
    <n v="72836"/>
  </r>
  <r>
    <s v="RA301"/>
    <m/>
    <s v="CLI"/>
    <m/>
    <s v="ORION"/>
    <s v="Amendement 2 WO004"/>
    <m/>
    <s v="COVID-19 tasks"/>
    <m/>
    <s v="INV 108969"/>
    <d v="2020-06-17T00:00:00"/>
    <n v="32314"/>
    <x v="1"/>
    <s v="OK"/>
    <n v="0"/>
    <n v="32314"/>
  </r>
  <r>
    <s v="RA301"/>
    <m/>
    <s v="CLI"/>
    <m/>
    <s v="ORION"/>
    <s v="Amendement 2 WO004"/>
    <m/>
    <s v="First Visit Last Patient"/>
    <m/>
    <s v="INV 109152"/>
    <d v="2021-02-09T00:00:00"/>
    <n v="156078"/>
    <x v="1"/>
    <n v="156078"/>
    <n v="0"/>
    <n v="156078"/>
  </r>
  <r>
    <s v="RA301"/>
    <m/>
    <s v="CLI"/>
    <m/>
    <s v="ORION"/>
    <s v="Amendement 2 WO004"/>
    <m/>
    <s v="Last Visit Last Patient"/>
    <m/>
    <s v="INV 109232"/>
    <d v="2021-04-29T00:00:00"/>
    <n v="104052"/>
    <x v="1"/>
    <n v="106361.95"/>
    <n v="0"/>
    <n v="106361.95"/>
  </r>
  <r>
    <s v="RA301"/>
    <m/>
    <s v="CLI"/>
    <m/>
    <s v="ORION"/>
    <s v="Amendement 2 WO004"/>
    <m/>
    <s v="Data Base Lock"/>
    <m/>
    <s v="INV 109278"/>
    <d v="2021-06-11T00:00:00"/>
    <n v="52026"/>
    <x v="1"/>
    <n v="52026"/>
    <n v="0"/>
    <n v="52026"/>
  </r>
  <r>
    <s v="RA301"/>
    <m/>
    <s v="CLI"/>
    <m/>
    <s v="ORION"/>
    <s v="Amendement 2 WO004"/>
    <m/>
    <s v="RA301 - Monthly Management Fee (Juillet 2020 à Mai 2021) - durée 23 mois"/>
    <m/>
    <s v="INV 108976 + AV 204618"/>
    <s v="01/07/2020 + 03/08/2020"/>
    <n v="16685"/>
    <x v="1"/>
    <n v="16685"/>
    <n v="0"/>
    <n v="16685"/>
  </r>
  <r>
    <s v="RA301"/>
    <m/>
    <s v="CLI"/>
    <m/>
    <s v="ORION"/>
    <s v="Amendement 2 WO004"/>
    <m/>
    <s v="RA301 - Monthly Management Fee (Juillet 2020 à Mai 2021) - durée 23 mois"/>
    <m/>
    <s v="INV 109006"/>
    <d v="2020-08-03T00:00:00"/>
    <n v="16685"/>
    <x v="1"/>
    <s v="OK"/>
    <n v="0"/>
    <n v="16685"/>
  </r>
  <r>
    <s v="RA301"/>
    <m/>
    <s v="CLI"/>
    <m/>
    <s v="ORION"/>
    <s v="Amendement 2 WO004"/>
    <m/>
    <s v="RA301 - Monthly Management Fee (Juillet 2020 à Mai 2021) - durée 23 mois"/>
    <m/>
    <s v="INV 109026"/>
    <d v="2020-09-02T00:00:00"/>
    <n v="16685"/>
    <x v="1"/>
    <n v="17059.14"/>
    <n v="0"/>
    <n v="17059.14"/>
  </r>
  <r>
    <s v="RA301"/>
    <m/>
    <s v="CLI"/>
    <m/>
    <s v="ORION"/>
    <s v="Amendement 2 WO004"/>
    <m/>
    <s v="RA301 - Monthly Management Fee (Juillet 2020 à Mai 2021) - durée 23 mois"/>
    <m/>
    <s v="INV 109042"/>
    <d v="2020-10-01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071"/>
    <d v="2020-11-03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089"/>
    <d v="2020-12-02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121"/>
    <d v="2021-01-06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147"/>
    <d v="2021-02-03T00:00:00"/>
    <n v="16685"/>
    <x v="1"/>
    <n v="16930"/>
    <n v="0"/>
    <n v="16930"/>
  </r>
  <r>
    <s v="RA301"/>
    <m/>
    <s v="CLI"/>
    <m/>
    <s v="ORION"/>
    <s v="Amendement 2 WO004"/>
    <m/>
    <s v="RA301 - Monthly Management Fee (Juillet 2020 à Mai 2021) - durée 23 mois"/>
    <m/>
    <s v="INV 109174"/>
    <d v="2021-03-02T00:00:00"/>
    <n v="16685"/>
    <x v="1"/>
    <n v="17305.669999999998"/>
    <n v="0"/>
    <n v="17305.669999999998"/>
  </r>
  <r>
    <s v="RA301"/>
    <m/>
    <s v="CLI"/>
    <m/>
    <s v="ORION"/>
    <s v="Amendement 2 WO004"/>
    <m/>
    <s v="RA301 - Monthly Management Fee (Juillet 2020 à Mai 2021) - durée 23 mois"/>
    <m/>
    <s v="INV 109206"/>
    <d v="2021-04-01T00:00:00"/>
    <n v="16685"/>
    <x v="1"/>
    <n v="17055.41"/>
    <n v="0"/>
    <n v="17055.41"/>
  </r>
  <r>
    <s v="RA301"/>
    <m/>
    <s v="CLI"/>
    <m/>
    <s v="ORION"/>
    <s v="Amendement 2 WO004"/>
    <m/>
    <s v="RA301 - Monthly Management Fee (Juillet 2020 à Mai 2021) - durée 23 mois"/>
    <m/>
    <s v="INV 109236"/>
    <d v="2021-05-05T00:00:00"/>
    <n v="16685"/>
    <x v="1"/>
    <n v="17055.41"/>
    <n v="0"/>
    <n v="17055.41"/>
  </r>
  <r>
    <s v="RA301"/>
    <m/>
    <s v="CLI"/>
    <m/>
    <s v="ORION"/>
    <s v="Amendement 3 WO004"/>
    <m/>
    <s v="TLF - Final Table Listing and Figures"/>
    <m/>
    <s v="INV 109386"/>
    <d v="2021-09-15T00:00:00"/>
    <n v="52026"/>
    <x v="1"/>
    <n v="52026"/>
    <n v="0"/>
    <n v="52026"/>
  </r>
  <r>
    <s v="RA301"/>
    <m/>
    <s v="CLI"/>
    <m/>
    <s v="ORION"/>
    <s v="Amendement 3 WO004"/>
    <m/>
    <s v="Final CSR"/>
    <m/>
    <s v="INV 109473"/>
    <d v="2021-12-21T00:00:00"/>
    <n v="38652"/>
    <x v="1"/>
    <n v="38652"/>
    <n v="0"/>
    <n v="38652"/>
  </r>
  <r>
    <s v="RA301"/>
    <m/>
    <s v="CLI"/>
    <m/>
    <s v="ORION"/>
    <s v="Amendement 3 WO004"/>
    <m/>
    <s v="Signature of Amendment #3"/>
    <m/>
    <s v="INV 109298"/>
    <d v="2021-07-02T00:00:00"/>
    <n v="36700"/>
    <x v="1"/>
    <n v="37514.74"/>
    <n v="0"/>
    <n v="37514.74"/>
  </r>
  <r>
    <s v="RA301"/>
    <m/>
    <s v="CLI"/>
    <m/>
    <s v="ORION"/>
    <s v="Amendement 3 WO004"/>
    <m/>
    <s v="RA301 - Monthly Management Fee (Juin 2021 à Aout 2021) - durée 3 mois"/>
    <m/>
    <s v="INV 109300"/>
    <d v="2021-07-02T00:00:00"/>
    <n v="10312"/>
    <x v="1"/>
    <n v="10540.93"/>
    <n v="0"/>
    <n v="10540.93"/>
  </r>
  <r>
    <s v="RA301"/>
    <m/>
    <s v="CLI"/>
    <m/>
    <s v="ORION"/>
    <s v="Amendement 3 WO004"/>
    <m/>
    <s v="RA301 - Monthly Management Fee (Juin 2021 à Aout 2021) - durée 3 mois"/>
    <m/>
    <s v="INV 109301"/>
    <d v="2021-07-02T00:00:00"/>
    <n v="10312"/>
    <x v="1"/>
    <n v="10540.93"/>
    <n v="0"/>
    <n v="10540.93"/>
  </r>
  <r>
    <s v="RA301"/>
    <m/>
    <s v="CLI"/>
    <m/>
    <s v="ORION"/>
    <s v="Amendement 3 WO004"/>
    <m/>
    <s v="RA301 - Monthly Management Fee (Juin 2021 à Aout 2021) - durée 3 mois"/>
    <m/>
    <s v="INV 109334"/>
    <d v="2021-08-03T00:00:00"/>
    <n v="10312"/>
    <x v="1"/>
    <n v="10540.93"/>
    <n v="0"/>
    <n v="10540.93"/>
  </r>
  <r>
    <s v="RA301"/>
    <m/>
    <s v="CLI"/>
    <m/>
    <s v="ORION"/>
    <s v="Amendement 3 WO004"/>
    <m/>
    <s v="T&amp;M Activities"/>
    <m/>
    <s v="INV Prise dans Investigator fee"/>
    <m/>
    <n v="20125"/>
    <x v="1"/>
    <n v="20125"/>
    <n v="0"/>
    <n v="20125"/>
  </r>
  <r>
    <s v="RA301"/>
    <m/>
    <s v="CLI"/>
    <m/>
    <s v="ORION"/>
    <s v="Amendement 3 WO004"/>
    <m/>
    <s v="T&amp;M Activities to be invoice with Signature of Amendment #3"/>
    <m/>
    <s v="INV 109299 + INV 109364"/>
    <s v="02/07/2021 + 26/08/2021"/>
    <n v="18096"/>
    <x v="1"/>
    <n v="22529.18"/>
    <n v="0"/>
    <n v="22529.18"/>
  </r>
  <r>
    <s v="RA301"/>
    <m/>
    <s v="CLI"/>
    <m/>
    <s v="ORION"/>
    <s v="Amendement 4 WO004"/>
    <m/>
    <s v="Signature of Amendment #4"/>
    <m/>
    <s v="INV 109478"/>
    <d v="2021-12-29T00:00:00"/>
    <n v="57612"/>
    <x v="1"/>
    <n v="57612"/>
    <n v="0"/>
    <n v="57612"/>
  </r>
  <r>
    <s v="RA302"/>
    <m/>
    <s v="CLI"/>
    <m/>
    <s v="ORION"/>
    <s v="RA ABX464-302 Amdt 1 WO006 - Mail du 06/020 entre Lucy et PG"/>
    <m/>
    <s v="RA302 - WO006 - PTC - Advance payement investigators fees S2 2020"/>
    <m/>
    <s v="INV 108982"/>
    <d v="2020-07-02T00:00:00"/>
    <n v="100000"/>
    <x v="1"/>
    <n v="100000"/>
    <n v="0"/>
    <n v="100000"/>
  </r>
  <r>
    <s v="RA302"/>
    <m/>
    <s v="CLI"/>
    <m/>
    <s v="ORION"/>
    <s v="RA ABX464-302 LOA - P00334_2019"/>
    <s v="P00334_2019"/>
    <s v="RA302 - LOA - Signature of LOA"/>
    <m/>
    <s v="INV 108585"/>
    <d v="2019-06-05T00:00:00"/>
    <n v="152667"/>
    <x v="1"/>
    <s v="OK"/>
    <n v="0"/>
    <n v="152667"/>
  </r>
  <r>
    <s v="RA302"/>
    <m/>
    <s v="CLI"/>
    <m/>
    <s v="ORION"/>
    <s v="RA ABX464-302 LOA - P00334_2019"/>
    <s v="P00334_2019"/>
    <s v="RA302 - LOA - All submission performed - ANNULE VIA WO006"/>
    <m/>
    <m/>
    <m/>
    <n v="0"/>
    <x v="1"/>
    <s v="OK"/>
    <n v="0"/>
    <n v="0"/>
  </r>
  <r>
    <s v="RA302"/>
    <m/>
    <s v="CLI"/>
    <m/>
    <s v="ORION"/>
    <s v="RA ABX464-302 LOA - P00334_2019"/>
    <s v="P00334_2019"/>
    <s v="RA302 - LOA - Monthly Management Fees (Juin-Aout 2019)"/>
    <d v="2020-01-01T00:00:00"/>
    <s v="INV 108587"/>
    <d v="2019-06-05T00:00:00"/>
    <n v="30533"/>
    <x v="1"/>
    <s v="OK"/>
    <n v="0"/>
    <n v="30533"/>
  </r>
  <r>
    <s v="RA302"/>
    <m/>
    <s v="CLI"/>
    <m/>
    <s v="ORION"/>
    <s v="RA ABX464-302 LOA - P00334_2019"/>
    <s v="P00334_2019"/>
    <s v="RA302 - LOA - Monthly Management Fees (Juin-Aout 2019)"/>
    <d v="2020-01-01T00:00:00"/>
    <s v="INV 108617"/>
    <d v="2019-07-01T00:00:00"/>
    <n v="30533"/>
    <x v="1"/>
    <s v="OK"/>
    <n v="0"/>
    <n v="30533"/>
  </r>
  <r>
    <s v="RA302"/>
    <m/>
    <s v="CLI"/>
    <m/>
    <s v="ORION"/>
    <s v="RA ABX464-302 LOA - P00334_2019"/>
    <s v="P00334_2019"/>
    <s v="RA302 - LOA - Monthly Management Fees (Juin-Aout 2019)"/>
    <d v="2020-01-01T00:00:00"/>
    <s v="INV 108664"/>
    <d v="2019-08-01T00:00:00"/>
    <n v="30533"/>
    <x v="1"/>
    <s v="OK"/>
    <n v="0"/>
    <n v="30533"/>
  </r>
  <r>
    <s v="RA302"/>
    <m/>
    <s v="CLI"/>
    <m/>
    <s v="ORION"/>
    <s v="RA ABX464-302 LOA - P00334_2019"/>
    <s v="P00334_2019"/>
    <s v="RA302 - LOA - PTC - ORACLE Set Up"/>
    <m/>
    <s v="INV 108586 "/>
    <d v="2019-06-05T00:00:00"/>
    <n v="25381"/>
    <x v="1"/>
    <s v="OK"/>
    <n v="0"/>
    <n v="25381"/>
  </r>
  <r>
    <s v="RA302"/>
    <m/>
    <s v="CLI"/>
    <m/>
    <s v="ORION"/>
    <s v="RA ABX464-302 WO006"/>
    <m/>
    <s v="A RA302 - WO006 - Signature of the Work order"/>
    <m/>
    <s v="INV 108690"/>
    <d v="2019-08-21T00:00:00"/>
    <n v="61067"/>
    <x v="1"/>
    <s v="OK"/>
    <n v="0"/>
    <n v="61067"/>
  </r>
  <r>
    <s v="RA302"/>
    <m/>
    <s v="CLI"/>
    <m/>
    <s v="ORION"/>
    <s v="RA ABX464-302 WO006"/>
    <m/>
    <s v="B RA302 - WO006 - All submissions performed including compliance checked"/>
    <m/>
    <s v="INV 108789"/>
    <d v="2019-11-20T00:00:00"/>
    <n v="94464"/>
    <x v="1"/>
    <s v="OK"/>
    <n v="0"/>
    <n v="94464"/>
  </r>
  <r>
    <s v="RA302"/>
    <m/>
    <s v="CLI"/>
    <m/>
    <s v="ORION"/>
    <s v="RA ABX464-302 WO006"/>
    <m/>
    <s v="C RA302 - WO006 - Payment (go live eCRF and FPI)"/>
    <m/>
    <s v="INV 108821"/>
    <d v="2020-01-02T00:00:00"/>
    <n v="236160"/>
    <x v="1"/>
    <s v="OK"/>
    <n v="0"/>
    <n v="236160"/>
  </r>
  <r>
    <s v="RA302"/>
    <m/>
    <s v="CLI"/>
    <m/>
    <s v="ORION"/>
    <s v="RA ABX464-302 WO006"/>
    <m/>
    <s v="RA302 - WO006 - MONTHLY MANAGMENT FEES"/>
    <m/>
    <s v="INV 108712"/>
    <d v="2019-09-02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743"/>
    <d v="2019-10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777"/>
    <d v="2019-11-04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07"/>
    <d v="2019-12-02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50"/>
    <d v="2020-02-03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78"/>
    <d v="2020-03-02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94"/>
    <d v="2020-04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922"/>
    <d v="2020-05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950"/>
    <d v="2020-06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977 + INV 204619"/>
    <s v="01/07/2020 + 03/08/2020"/>
    <n v="15071"/>
    <x v="1"/>
    <n v="15071.279999999999"/>
    <n v="0"/>
    <n v="15071.279999999999"/>
  </r>
  <r>
    <s v="RA302"/>
    <m/>
    <s v="CLI"/>
    <m/>
    <s v="ORION"/>
    <s v="RA ABX464-302 WO006"/>
    <m/>
    <s v="RA302 - WO006 - MONTHLY MANAGMENT FEES - Août 2019"/>
    <m/>
    <s v="INV 108690"/>
    <d v="2019-08-21T00:00:00"/>
    <n v="19544.28"/>
    <x v="1"/>
    <n v="19544.28"/>
    <n v="0"/>
    <n v="19544.28"/>
  </r>
  <r>
    <s v="RA302"/>
    <m/>
    <s v="CLI"/>
    <m/>
    <s v="ORION"/>
    <s v="RA ABX464-302 WO006"/>
    <m/>
    <s v="RA302 - WO006 - MONTHLY MANAGMENT FEES - Janvier 2020"/>
    <m/>
    <s v="INV 108820"/>
    <d v="2020-01-02T00:00:00"/>
    <n v="19544.28"/>
    <x v="1"/>
    <n v="19544.28"/>
    <n v="0"/>
    <n v="19544.28"/>
  </r>
  <r>
    <s v="RA302"/>
    <m/>
    <s v="CLI"/>
    <m/>
    <s v="ORION"/>
    <s v="RA ABX464-302 WO006"/>
    <m/>
    <s v="RA302 - WO006 - PTC - Inform fee ORACLE Avr/Mai/Jun 2020"/>
    <m/>
    <s v="INV 10854"/>
    <d v="2020-06-04T00:00:00"/>
    <n v="9079.14"/>
    <x v="1"/>
    <s v="OK"/>
    <n v="0"/>
    <n v="9079.14"/>
  </r>
  <r>
    <s v="RA302"/>
    <m/>
    <s v="CLI"/>
    <m/>
    <s v="ORION"/>
    <s v="RA ABX464-302 WO006"/>
    <m/>
    <s v="RA302 - WO006 - PTC - Inform fee ORACLE Avr/MAi/Jun 2021"/>
    <m/>
    <s v="INV 109248"/>
    <d v="2021-05-11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an/Fev/Mar 2020"/>
    <m/>
    <s v="INV 108908"/>
    <d v="2020-04-23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an/Fev/Mar 2021"/>
    <m/>
    <s v="INV 109158"/>
    <d v="2021-02-10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anv 2021 + Reliquat"/>
    <m/>
    <s v="INV 109533"/>
    <d v="2022-02-21T00:00:00"/>
    <n v="3026.7399999999907"/>
    <x v="1"/>
    <n v="3026.38"/>
    <n v="0.35999999999057763"/>
    <n v="3026.38"/>
  </r>
  <r>
    <s v="RA302"/>
    <m/>
    <s v="CLI"/>
    <m/>
    <s v="ORION"/>
    <s v="RA ABX464-302 WO006"/>
    <m/>
    <s v="RA302 - WO006 - PTC - Inform fee ORACLE Juil/Aout/Sept 2020"/>
    <m/>
    <s v="INV 109014"/>
    <d v="2020-08-17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uil/Aout/Sept 2021"/>
    <m/>
    <s v="INV 109438"/>
    <d v="2021-11-08T00:00:00"/>
    <n v="9079.14"/>
    <x v="1"/>
    <s v="OK"/>
    <n v="0"/>
    <n v="9079.14"/>
  </r>
  <r>
    <s v="RA302"/>
    <m/>
    <s v="CLI"/>
    <m/>
    <s v="ORION"/>
    <s v="RA ABX464-302 WO006"/>
    <m/>
    <s v="RA302 - WO006 - PTC - Inform fee ORACLE Oct/Nov/Dec 2019"/>
    <m/>
    <s v="INV 108792"/>
    <d v="2019-11-20T00:00:00"/>
    <n v="9079.14"/>
    <x v="1"/>
    <s v="OK"/>
    <n v="0"/>
    <n v="9079.14"/>
  </r>
  <r>
    <s v="RA302"/>
    <m/>
    <s v="CLI"/>
    <m/>
    <s v="ORION"/>
    <s v="RA ABX464-302 WO006"/>
    <m/>
    <s v="RA302 - WO006 - PTC - Inform fee ORACLE Oct/Nov/Dec 2020"/>
    <m/>
    <s v="INV 109073"/>
    <d v="2020-11-05T00:00:00"/>
    <n v="9079.14"/>
    <x v="1"/>
    <s v="OK"/>
    <n v="0"/>
    <n v="9079.14"/>
  </r>
  <r>
    <s v="RA302"/>
    <m/>
    <s v="CLI"/>
    <m/>
    <s v="ORION"/>
    <s v="RA ABX464-302 WO006"/>
    <m/>
    <s v="RA302 - WO006 - PTC - investigators fees S1 2020"/>
    <m/>
    <s v="INV 108866 + INV 108871"/>
    <s v="24/02/2020 + 26/02/2020"/>
    <n v="2147.5700000000002"/>
    <x v="1"/>
    <n v="2147.5700000000002"/>
    <n v="0"/>
    <n v="2147.5700000000002"/>
  </r>
  <r>
    <s v="RA302"/>
    <m/>
    <s v="CLI"/>
    <m/>
    <s v="ORION"/>
    <s v="RA ABX464-302 WO006"/>
    <m/>
    <s v="RA302 - WO006 - PTC - investigators fees S1 2020"/>
    <m/>
    <s v="INV 108888"/>
    <d v="2020-03-23T00:00:00"/>
    <n v="2170"/>
    <x v="1"/>
    <n v="2170"/>
    <n v="0"/>
    <n v="2170"/>
  </r>
  <r>
    <s v="RA302"/>
    <m/>
    <s v="CLI"/>
    <m/>
    <s v="ORION"/>
    <s v="RA ABX464-302 WO006"/>
    <m/>
    <s v="RA302 - WO006 - PTC - investigators fees S1 2020"/>
    <m/>
    <s v="INV 108903"/>
    <d v="2020-04-13T00:00:00"/>
    <n v="1960"/>
    <x v="1"/>
    <n v="1960"/>
    <n v="0"/>
    <n v="1960"/>
  </r>
  <r>
    <s v="RA302"/>
    <m/>
    <s v="CLI"/>
    <m/>
    <s v="ORION"/>
    <s v="RA ABX464-302 WO006"/>
    <m/>
    <s v="RA302 - WO006 - PTC - investigators fees S1 2020"/>
    <m/>
    <s v="INV 108911 + INV 108916 + INV 108926 + INV 108947"/>
    <s v="24/04/2020 + 29/04/2020 + 05/05/2020 + 29/05/2020"/>
    <n v="25000"/>
    <x v="1"/>
    <n v="24250.23"/>
    <n v="0"/>
    <n v="24250.23"/>
  </r>
  <r>
    <s v="RA302"/>
    <m/>
    <s v="CLI"/>
    <m/>
    <s v="ORION"/>
    <s v="RA ABX464-302 WO006"/>
    <m/>
    <s v="RA302 - WO006 - PTC - investigators fees S1 2020"/>
    <m/>
    <s v="INV 108966 + INV 109255 + INV 109358"/>
    <s v="11/06/2020 + 14/05/2021 + 18/08/2021"/>
    <n v="12500"/>
    <x v="1"/>
    <n v="12500"/>
    <n v="0"/>
    <n v="12500"/>
  </r>
  <r>
    <s v="RA302"/>
    <m/>
    <s v="CLI"/>
    <m/>
    <s v="ORION"/>
    <s v="RA ABX464-302 WO006"/>
    <m/>
    <s v="RA302 - WO006 - PTC - investigators fees S1 2020"/>
    <m/>
    <s v="INV 109358"/>
    <d v="2021-08-18T00:00:00"/>
    <n v="12500"/>
    <x v="1"/>
    <n v="12500"/>
    <n v="0"/>
    <n v="12500"/>
  </r>
  <r>
    <s v="RA302"/>
    <m/>
    <s v="CLI"/>
    <m/>
    <s v="ORION"/>
    <s v="RA ABX464-302 WO006"/>
    <m/>
    <s v="RA302 - WO006 - PTC - investigators fees S1 2021"/>
    <m/>
    <s v="INV 109190"/>
    <d v="2021-03-09T00:00:00"/>
    <n v="50000"/>
    <x v="1"/>
    <n v="50000"/>
    <n v="0"/>
    <n v="50000"/>
  </r>
  <r>
    <s v="RA302"/>
    <m/>
    <s v="CLI"/>
    <m/>
    <s v="ORION"/>
    <s v="RA ABX464-302 WO006"/>
    <m/>
    <s v="RA302 - WO006 - PTC - reg submissions"/>
    <m/>
    <s v="INV 108701"/>
    <d v="2019-08-27T00:00:00"/>
    <n v="3816.09"/>
    <x v="1"/>
    <n v="3816.09"/>
    <n v="0"/>
    <n v="3816.09"/>
  </r>
  <r>
    <s v="RA302"/>
    <m/>
    <s v="CLI"/>
    <m/>
    <s v="ORION"/>
    <s v="RA ABX464-302 WO006"/>
    <m/>
    <s v="RA302 - WO006 - PTC -Miscellaneous study materials (Traduction)"/>
    <m/>
    <s v="INV 108688"/>
    <d v="2019-08-20T00:00:00"/>
    <n v="644.62"/>
    <x v="1"/>
    <n v="644.62"/>
    <n v="0"/>
    <n v="644.62"/>
  </r>
  <r>
    <s v="RA302"/>
    <m/>
    <s v="CLI"/>
    <m/>
    <s v="ORION"/>
    <s v="RA ABX464-302 WO006  Amdt 2 + Amdt 006"/>
    <m/>
    <s v="RA302 - WO006 - PTC - Inform fee ORACLE amdt 002"/>
    <s v="Janv 2022 à Mai 2023"/>
    <s v="INV 109838 + INV 109882 + INV 109924 + INV 109984"/>
    <s v="09/01/2023 + 07/03/2023 + 12/04/2023 + 06/05/2023"/>
    <n v="34198"/>
    <x v="1"/>
    <n v="22228.660000000003"/>
    <n v="11969.339999999997"/>
    <n v="22228.660000000003"/>
  </r>
  <r>
    <s v="RA302"/>
    <m/>
    <s v="CLI"/>
    <m/>
    <s v="ORION"/>
    <s v="RA ABX464-302 WO006 + Amdt 001"/>
    <m/>
    <s v="D RA302 - WO006 - First visit 50% subjects"/>
    <m/>
    <s v="INV 109040"/>
    <d v="2020-09-25T00:00:00"/>
    <n v="140403"/>
    <x v="1"/>
    <s v="OK"/>
    <n v="0"/>
    <n v="140403"/>
  </r>
  <r>
    <s v="RA302"/>
    <m/>
    <s v="CLI"/>
    <m/>
    <s v="ORION"/>
    <s v="RA ABX464-302 WO006 + Amdt 001"/>
    <m/>
    <s v="RA302 - WO006 - MONTHLY MANAGMENT FEES"/>
    <m/>
    <s v="INV 109007"/>
    <d v="2020-08-03T00:00:00"/>
    <n v="15071"/>
    <x v="1"/>
    <n v="15071"/>
    <n v="0"/>
    <n v="15071"/>
  </r>
  <r>
    <s v="RA302"/>
    <m/>
    <s v="CLI"/>
    <m/>
    <s v="ORION"/>
    <s v="RA ABX464-302 WO006 + Amdt 001"/>
    <m/>
    <s v="RA302 - WO006 - MONTHLY MANAGMENT FEES"/>
    <m/>
    <s v="INV 109043"/>
    <d v="2020-10-01T00:00:00"/>
    <n v="15071"/>
    <x v="1"/>
    <n v="15292.54"/>
    <n v="0"/>
    <n v="15292.54"/>
  </r>
  <r>
    <s v="RA302"/>
    <m/>
    <s v="CLI"/>
    <m/>
    <s v="ORION"/>
    <s v="RA ABX464-302 WO006 + Amdt 001"/>
    <m/>
    <s v="RA302 - WO006 - MONTHLY MANAGMENT FEES"/>
    <m/>
    <s v="INV 109069"/>
    <d v="2020-11-03T00:00:00"/>
    <n v="15071"/>
    <x v="1"/>
    <n v="15292.54"/>
    <n v="0"/>
    <n v="15292.54"/>
  </r>
  <r>
    <s v="RA302"/>
    <m/>
    <s v="CLI"/>
    <m/>
    <s v="ORION"/>
    <s v="RA ABX464-302 WO006 + Amdt 001"/>
    <m/>
    <s v="RA302 - WO006 - MONTHLY MANAGMENT FEES - Août 2020"/>
    <m/>
    <s v="INV 109025"/>
    <d v="2020-09-02T00:00:00"/>
    <n v="15071"/>
    <x v="1"/>
    <n v="15448.34"/>
    <n v="0"/>
    <n v="15448.34"/>
  </r>
  <r>
    <s v="RA302"/>
    <m/>
    <s v="CLI"/>
    <m/>
    <s v="ORION"/>
    <s v="RA ABX464-302 WO006 + Amdt 001"/>
    <m/>
    <s v="RA302 - WO006 - PTC - eTMF"/>
    <m/>
    <s v="INV 108934 + INV 108960 + INV 108989 + INV 109011 + INV 109014 + INV 109024"/>
    <s v="12/05/2020 + 05/06/2020 + 08/07/2020 + 10/08/2020 + 17/08/2020 + 02/09/2020"/>
    <n v="6766.6666666666661"/>
    <x v="1"/>
    <n v="6766.67"/>
    <n v="0"/>
    <n v="6766.67"/>
  </r>
  <r>
    <s v="RA302"/>
    <m/>
    <s v="CLI"/>
    <m/>
    <s v="ORION"/>
    <s v="RA ABX464-302 WO006 + Amdt 001"/>
    <m/>
    <s v="RA302 - WO006 - PTC - eTMF"/>
    <m/>
    <s v="INV 109024 + INV 109044 + INV 109079 + INV 109098 + INV 109130 + INV 109169 + INV 109182 + INV 109220 + INV 109252 + INV 109279 + INV 109346 + INV 109309 + INV 109385 + INV 109413 + INV 109433 + INV 109455 + INV 109483 + INV 109544 + INV 109510 + INV 109572 + INV 109559"/>
    <s v="02/09/2020 + 01/10/2020 + 09/11/2020 + 04/12/2020 + 12/01/2021 + 22/02/2021 + 05/03/2021 + 15/04/2021 + 11/05/2021 + 11/06/2021 + 11/08/2021 + 09/07/2021 + 15/09/2021 + 13/10/2021 + 05/11/2021 + 02/12/2021 + 05/01/2022 + 02/03/2022 + 02/02/2022 + 05/04/2022 + 05/05/2022"/>
    <n v="31900"/>
    <x v="1"/>
    <n v="31900"/>
    <n v="0"/>
    <n v="31900"/>
  </r>
  <r>
    <s v="RA302"/>
    <m/>
    <s v="CLI"/>
    <m/>
    <s v="ORION"/>
    <s v="RA ABX464-302 WO006 + Amdt 001"/>
    <m/>
    <s v="RA302 - WO006 - PTC - Inform fee ORACLE amdt 001"/>
    <m/>
    <s v="INV 109644 + INV 109750"/>
    <s v="20/06/2022 + 03/10/2022"/>
    <n v="14090"/>
    <x v="1"/>
    <n v="18158.28"/>
    <n v="0"/>
    <n v="18158.28"/>
  </r>
  <r>
    <s v="RA302"/>
    <m/>
    <s v="CLI"/>
    <m/>
    <s v="ORION"/>
    <s v="RA ABX464-302 WO006 + Amdt 001"/>
    <m/>
    <s v="RA302 - WO006 - PTC - investigators fees S2 2020"/>
    <m/>
    <s v="INV 109358"/>
    <d v="2021-08-18T00:00:00"/>
    <n v="14166.666666666666"/>
    <x v="1"/>
    <n v="14166.67"/>
    <n v="0"/>
    <n v="14166.67"/>
  </r>
  <r>
    <s v="RA302"/>
    <m/>
    <s v="CLI"/>
    <m/>
    <s v="ORION"/>
    <s v="RA ABX464-302 WO006 + Amdt 001"/>
    <m/>
    <s v="RA302 - WO006 - PTC - investigators fees S2 2020"/>
    <m/>
    <s v="INV 109358"/>
    <d v="2021-08-18T00:00:00"/>
    <n v="12500"/>
    <x v="1"/>
    <n v="12583.330000000002"/>
    <n v="0"/>
    <n v="12583.330000000002"/>
  </r>
  <r>
    <s v="RA302"/>
    <m/>
    <s v="CLI"/>
    <m/>
    <s v="ORION"/>
    <s v="RA ABX464-302 WO006 + Amdt 001"/>
    <m/>
    <s v="RA302 - WO006 - PTC - investigators fees S2 2020"/>
    <m/>
    <s v="INV 109384 + INV 109443"/>
    <s v="15/09/2021 + 15/11/2021"/>
    <n v="50000"/>
    <x v="1"/>
    <n v="50000"/>
    <n v="0"/>
    <n v="50000"/>
  </r>
  <r>
    <s v="RA302"/>
    <m/>
    <s v="CLI"/>
    <m/>
    <s v="ORION"/>
    <s v="RA ABX464-302 WO006 + Amdt 001"/>
    <m/>
    <s v="RA302 - WO006 - PTC - investigators fees S2 2020"/>
    <m/>
    <s v="INV 109443 + INV 109463"/>
    <s v="15/11/2021 + 07/12/2021"/>
    <n v="2250"/>
    <x v="1"/>
    <n v="2250"/>
    <n v="0"/>
    <n v="2250"/>
  </r>
  <r>
    <s v="RA302"/>
    <m/>
    <s v="CLI"/>
    <m/>
    <s v="ORION"/>
    <s v="RA ABX464-302 WO006 + Amdt 001"/>
    <m/>
    <s v="RA302 - WO006 - PTC - investigators fees S2 2020"/>
    <m/>
    <s v="INV 109491"/>
    <d v="2022-01-11T00:00:00"/>
    <n v="50000"/>
    <x v="1"/>
    <n v="50000"/>
    <n v="0"/>
    <n v="50000"/>
  </r>
  <r>
    <s v="RA302"/>
    <m/>
    <s v="CLI"/>
    <m/>
    <s v="ORION"/>
    <s v="RA ABX464-302 WO006 + Amdt 001"/>
    <m/>
    <s v="RA302 - WO006 - PTC - investigators fees S2 2020"/>
    <m/>
    <s v="INV 109521"/>
    <d v="2022-02-09T00:00:00"/>
    <n v="2125"/>
    <x v="1"/>
    <n v="2125"/>
    <n v="0"/>
    <n v="2125"/>
  </r>
  <r>
    <s v="RA302"/>
    <m/>
    <s v="CLI"/>
    <m/>
    <s v="ORION"/>
    <s v="RA ABX464-302 WO006 + Amdt 001"/>
    <m/>
    <s v="RA302 - WO006 - PTC - sites set-up fees"/>
    <m/>
    <s v="INV 108908 + INV 108889"/>
    <s v="23/04/2020 + 25/03/2020"/>
    <n v="6565.88"/>
    <x v="1"/>
    <n v="6565.88"/>
    <n v="0"/>
    <n v="6565.88"/>
  </r>
  <r>
    <s v="RA302"/>
    <m/>
    <s v="CLI"/>
    <m/>
    <s v="ORION"/>
    <s v="RA ABX464-302 WO006 + Amdt 001 + Amdt 002"/>
    <m/>
    <s v="F RA302 - WO006 - First visit last subject"/>
    <m/>
    <s v="INV 109233"/>
    <d v="2021-04-29T00:00:00"/>
    <n v="125830"/>
    <x v="1"/>
    <n v="125830"/>
    <n v="0"/>
    <n v="125830"/>
  </r>
  <r>
    <s v="RA302"/>
    <m/>
    <s v="CLI"/>
    <m/>
    <s v="ORION"/>
    <s v="RA ABX464-302 WO006 + Amdt 001 + Amdt 002 (+inflation)"/>
    <m/>
    <s v="RA302 - WO006 - MONTHLY MANAGMENT FEES"/>
    <m/>
    <s v="INV 109091 + AV 204626"/>
    <s v="02/12/2020 + 20/01/2021"/>
    <n v="11200"/>
    <x v="1"/>
    <n v="11365"/>
    <n v="0"/>
    <n v="11365"/>
  </r>
  <r>
    <s v="RA302"/>
    <m/>
    <s v="CLI"/>
    <m/>
    <s v="ORION"/>
    <s v="RA ABX464-302 WO006 + Amdt 001 + Amdt 002 (+inflation)"/>
    <m/>
    <s v="RA302 - WO006 - MONTHLY MANAGMENT FEES"/>
    <m/>
    <s v="INV 109122"/>
    <d v="2021-01-06T00:00:00"/>
    <n v="11200"/>
    <x v="1"/>
    <n v="11365"/>
    <n v="0"/>
    <n v="11365"/>
  </r>
  <r>
    <s v="RA302"/>
    <m/>
    <s v="CLI"/>
    <m/>
    <s v="ORION"/>
    <s v="RA ABX464-302 WO006 + Amdt 001 + Amdt 002 (+inflation)"/>
    <m/>
    <s v="RA302 - WO006 - MONTHLY MANAGMENT FEES"/>
    <m/>
    <s v="INV 109175"/>
    <d v="2021-03-02T00:00:00"/>
    <n v="11200"/>
    <x v="1"/>
    <n v="11615.92"/>
    <n v="0"/>
    <n v="11615.92"/>
  </r>
  <r>
    <s v="RA302"/>
    <m/>
    <s v="CLI"/>
    <m/>
    <s v="ORION"/>
    <s v="RA ABX464-302 WO006 + Amdt 001 + Amdt 002 (+inflation)"/>
    <m/>
    <s v="RA302 - WO006 - MONTHLY MANAGMENT FEES"/>
    <m/>
    <s v="INV 109207"/>
    <d v="2021-04-01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237"/>
    <d v="2021-05-05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268"/>
    <d v="2021-06-02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297"/>
    <d v="2021-07-02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335"/>
    <d v="2021-08-03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 - Janvier 2021"/>
    <m/>
    <s v="INV 109148"/>
    <d v="2021-02-03T00:00:00"/>
    <n v="11200"/>
    <x v="1"/>
    <n v="11365"/>
    <n v="0"/>
    <n v="11365"/>
  </r>
  <r>
    <s v="RA302"/>
    <m/>
    <s v="CLI"/>
    <m/>
    <s v="ORION"/>
    <s v="RA ABX464-302 WO006 + Amdt 001 + Amdt 002 + Amdt 003"/>
    <m/>
    <s v="G RA302 - WO006 - Last subject completes 6 months"/>
    <m/>
    <s v="INV 109393"/>
    <d v="2021-09-29T00:00:00"/>
    <n v="118244"/>
    <x v="1"/>
    <n v="118244"/>
    <n v="0"/>
    <n v="118244"/>
  </r>
  <r>
    <s v="RA302"/>
    <m/>
    <s v="CLI"/>
    <m/>
    <s v="ORION"/>
    <s v="RA ABX464-302 WO006 + Amdt 001 + Amdt 002 + Amdt 003"/>
    <m/>
    <s v="RA302 - WO006 - MONTHLY MANAGMENT FEES - Août 2021"/>
    <m/>
    <s v="INV 109370"/>
    <d v="2021-09-03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00"/>
    <d v="2021-10-04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28"/>
    <d v="2021-11-02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56"/>
    <d v="2021-12-02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92"/>
    <d v="2022-01-05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PTC - eTMF"/>
    <m/>
    <s v="INV 109559 + INV 109627 + INV 109658 + INV 109701 + INV 109731 + INV 109753 + INV 109781 + INV 109927 + INV 109947 + INV 109988 + INV 110038 + INV 110058"/>
    <s v="05/05/2022 + 01/06/2022 + 01/07/2022 + 02/08/2022 + 05/09/2022 + 04/10/2022 + 03/11/2022 + 17/04/2023 + 04/05/2023 + 07/06/2023 + 17/07/2023 + 02/08/2023"/>
    <n v="25733.333333333328"/>
    <x v="1"/>
    <n v="24627.07"/>
    <n v="1106.2633333333288"/>
    <n v="24627.07"/>
  </r>
  <r>
    <s v="RA302"/>
    <m/>
    <s v="CLI"/>
    <m/>
    <s v="ORION"/>
    <s v="RA ABX464-302 WO006 + Amdt 001 + Amdt 002 + Amdt 003"/>
    <m/>
    <s v="RA302 - WO006 - PTC - monitoring visits - MV"/>
    <m/>
    <s v="INV 109035 + INV 109059 + INV 109073 + 109107 + 109141 + INV 109158 + INV 109195 + INV 109214 + INV 109283 + INV 109315 + INV 109354 + INV 109382 + INV 109423 + INV 1109438 + INV 109476 + INV 109500 + INV 109561 + INV 109589 + INV 109613 + INV 109750 + INV 109769 + INV 109798 + INV 109847 + INV 109863 + INV 109882 + INV 109924 + INV 109984 + INV 110040 + INV 109958 + INV 110072"/>
    <s v="15/09/2020 + 13/10/2020 + 05/11/2020 + 10/12/2020 + 25/01/2021 + 10/02/2021 + 11/03/2021 + 09/04/2021 + 14/06/2021 + 13/07/2021 + 16/08/2021 + 10/09/2021 + 21/10/2021 + 08/11/2021 + 23/12/2021 + 19/01/2022 + 18/03/2022 + 19/04/2022 + 11/05/2022 + 03/10/2022 + 19/10/2022 + 15/11/2022 + 24/01/2023 + 16/02/2023 + 07/03/2023 + 12/04/2023 + 06/06/2023 + 17/07/2023 + 09/05/2023 (recu en 07/2023) + 07/08/2023"/>
    <n v="27300"/>
    <x v="1"/>
    <n v="14950.819999999996"/>
    <n v="12349.180000000004"/>
    <n v="14950.819999999996"/>
  </r>
  <r>
    <s v="RA302"/>
    <m/>
    <s v="CLI"/>
    <m/>
    <s v="ORION"/>
    <s v="RA ABX464-302 WO006 + Amdt 001 + Amdt 002 + Amdt 003"/>
    <m/>
    <s v="RA302 - WO006 - PTC - sites set-up fees"/>
    <m/>
    <m/>
    <m/>
    <n v="30934.120000000003"/>
    <x v="1"/>
    <m/>
    <n v="30934.120000000003"/>
    <n v="0"/>
  </r>
  <r>
    <s v="RA302"/>
    <m/>
    <s v="CLI"/>
    <m/>
    <s v="ORION"/>
    <s v="RA ABX464-302 WO006 + Amdt 001 + Amdt 002 + Amdt 003 + Amdt 004"/>
    <m/>
    <s v="H RA302 - WO006 - Last subject completes 1 year"/>
    <m/>
    <s v="INV 109564"/>
    <d v="2022-03-21T00:00:00"/>
    <n v="84092"/>
    <x v="1"/>
    <n v="84092"/>
    <n v="0"/>
    <n v="84092"/>
  </r>
  <r>
    <s v="RA302"/>
    <m/>
    <s v="CLI"/>
    <m/>
    <s v="ORION"/>
    <s v="RA ABX464-302 WO006 + Amdt 001 + Amdt 002 + Amdt 003 + Amdt 004"/>
    <m/>
    <s v="I RA302 - WO006 - Last visit 50% subjects"/>
    <m/>
    <s v="INV 109779"/>
    <d v="2022-10-31T00:00:00"/>
    <n v="84092"/>
    <x v="1"/>
    <n v="84092"/>
    <n v="0"/>
    <n v="84092"/>
  </r>
  <r>
    <s v="RA302"/>
    <m/>
    <s v="CLI"/>
    <m/>
    <s v="ORION"/>
    <s v="RA ABX464-302 WO006 + Amdt 001 + Amdt 002 + Amdt 003 + Amdt 004"/>
    <m/>
    <s v="j RA302 - WO006 - Last visit Last subject"/>
    <m/>
    <s v="INV 109848"/>
    <d v="2023-01-25T00:00:00"/>
    <n v="52788"/>
    <x v="1"/>
    <n v="52788"/>
    <n v="0"/>
    <n v="52788"/>
  </r>
  <r>
    <s v="RA302"/>
    <m/>
    <s v="CLI"/>
    <m/>
    <s v="ORION"/>
    <s v="RA ABX464-302 WO006 + Amdt 001 + Amdt 002 + Amdt 003 + Amdt 004"/>
    <m/>
    <s v="k RA302 - WO006 - Data base lock"/>
    <m/>
    <s v="INV 109908"/>
    <d v="2023-04-04T00:00:00"/>
    <n v="52788"/>
    <x v="1"/>
    <n v="52788"/>
    <n v="0"/>
    <n v="52788"/>
  </r>
  <r>
    <s v="RA302"/>
    <m/>
    <s v="CLI"/>
    <m/>
    <s v="ORION"/>
    <s v="RA ABX464-302 WO006 + Amdt 001 + Amdt 002 + Amdt 003 + Amdt 004"/>
    <m/>
    <s v="l RA302 - WO006 - TLF (Final Table Listing and Figures)"/>
    <m/>
    <s v="INV 109965"/>
    <d v="2023-05-15T00:00:00"/>
    <n v="52788"/>
    <x v="1"/>
    <n v="52788"/>
    <n v="0"/>
    <n v="52788"/>
  </r>
  <r>
    <s v="RA302"/>
    <m/>
    <s v="CLI"/>
    <m/>
    <s v="ORION"/>
    <s v="RA ABX464-302 WO006 + Amdt 001 + Amdt 002 + Amdt 003 + Amdt 004"/>
    <m/>
    <s v="RA302 - WO006 - MONTHLY MANAGMENT FEES - Janvier 2022"/>
    <m/>
    <s v="INV 109522"/>
    <d v="2022-02-09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543"/>
    <d v="2022-03-02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573"/>
    <d v="2022-04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600"/>
    <d v="2022-05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628"/>
    <d v="2022-06-01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659"/>
    <d v="2022-07-01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702"/>
    <d v="2022-08-02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 - Août 2022"/>
    <m/>
    <s v="INV 109731"/>
    <d v="2022-09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754"/>
    <d v="2022-10-04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782"/>
    <d v="2022-11-03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809"/>
    <d v="2022-12-07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829"/>
    <d v="2023-01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 - Janvier 2023"/>
    <m/>
    <s v="INV 109852"/>
    <d v="2023-02-06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873"/>
    <d v="2023-03-06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910"/>
    <d v="2023-04-06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948"/>
    <d v="2023-05-04T00:00:00"/>
    <n v="11360"/>
    <x v="1"/>
    <n v="11360"/>
    <n v="0"/>
    <n v="11360"/>
  </r>
  <r>
    <s v="RA302"/>
    <m/>
    <s v="CLI"/>
    <m/>
    <s v="ORION"/>
    <s v="RA ABX464-302 WO006 + Amdt 001 + Amdt 002 + Amdt 003 + Amdt 004 + Amdt 006"/>
    <m/>
    <s v="m RA302 - WO006 - Final CSR"/>
    <m/>
    <s v="INV 204721 + INV 204724"/>
    <s v="24/08/2023 + 14/09/2023"/>
    <n v="-46364"/>
    <x v="1"/>
    <n v="-46364"/>
    <n v="0"/>
    <n v="-46364"/>
  </r>
  <r>
    <s v="RA302"/>
    <m/>
    <s v="CLI"/>
    <m/>
    <s v="ORION"/>
    <s v="RA ABX464-302 WO006 + Amdt 001 + Amdt 002 + Amdt 003 + Amdt 006"/>
    <m/>
    <s v="RA302 - WO006 - PTC - investigators fees S2 2020 + RELIQUAT"/>
    <m/>
    <s v="INV 109687 + INV 109985 + INV 11071"/>
    <s v="20/07/2022 + 06/06/2023 + 07/08/2023"/>
    <n v="127877.76000000001"/>
    <x v="1"/>
    <n v="71025.399999999994"/>
    <n v="0"/>
    <n v="71025.399999999994"/>
  </r>
  <r>
    <s v="RA302"/>
    <m/>
    <s v="CLI"/>
    <m/>
    <s v="ORION"/>
    <s v="RA ABX464-302 WO006 + Amdt 001 + Amdt 002 + Amdt 004"/>
    <m/>
    <s v="RA302 - WO006 - PTC - Project management costs Admt 002"/>
    <m/>
    <s v="INV 108764 + INV 108785 + 108826 + INV 108871 + INV 108908 + INV 108954 +9 INV 108986 + INV 109059 + INV 109073 + INV 109107 + INV 109141 + INV 109158 + INV 109195 + INV 109248 + INV 109283 + INV 109315 + INV 109382 + INV 109423 + INV 109438 + INV 109476 + INV 109500 + INV 108701 + INV 109225 + INV 109315"/>
    <s v="24/10/2019 + 11/11/2019 + 31/12/2019 + 26/02/2020 + 23/04/2020 + 04/06/2020 + 07/07/2020 + 13/10/2020 + 05/11/2020 + 10/12/2020 + 25/01/2021 + 10/02/2021 + 11/03/2021 + 11/05/2021 + 14/06/2021 + 13/07/2021 + 10/09/2021 + 21/10/2021 + 08/11/2021 + 23/12/2021 + 19/01/2022 + 27/08/2019 + 19/04/2021 + 13/07/2021"/>
    <n v="15000"/>
    <x v="1"/>
    <n v="11752.599999999999"/>
    <n v="3247.4000000000015"/>
    <n v="11752.599999999999"/>
  </r>
  <r>
    <s v="RA302"/>
    <m/>
    <s v="CLI"/>
    <m/>
    <s v="ORION"/>
    <s v="RA ABX464-302 WO006 + Amdt 001 + Amdt 002 + Amdt 004"/>
    <m/>
    <s v="RA302 - WO006 - PTC -Miscellaneous study materials (Traduction)"/>
    <m/>
    <s v="INV 108730 + INV 108764 + INV 108908 + INV 109059 + INV 109141 + INV 109195 + INV 109248 + INV 109382 + INV 109438 + INV 109533"/>
    <s v="23/09/2019 + 24/10/2019 + 23/04/2020 + 13/10/2020 + 25/01/2021 + 11/03/2021 + 11/05/2021 + 10/09/2021 + 08/11/2021 + 21/02/2022"/>
    <n v="3905.38"/>
    <x v="1"/>
    <n v="4943.46"/>
    <n v="0"/>
    <n v="4943.46"/>
  </r>
  <r>
    <s v="RA302"/>
    <m/>
    <s v="CLI"/>
    <m/>
    <s v="ORION"/>
    <s v="RA ABX464-302 WO006 + Amdt 001 + Amdt 002 + Amdt 006"/>
    <m/>
    <s v="RA302 - WO006 - PTC - divers"/>
    <m/>
    <s v="INV 108730 + INV 108764 + INV 108785 + INV 108826 + INV 108889 + INV 109059 + INV 109073 + INV 109315 + INV 109382 + INV 109533 + INV 109561 + INV 109589 + INV 109613 + INV 109644 + INV109690 + INV 109724 + INV 109750 + INV 109769 + INV 109798 + INV 109984 + INV 110040 + INV 109958 + INV 110072 + INV 110119 + INV PIN-000025"/>
    <s v="23/09/2019 + 24/10/2019 + 11/11/2019 + 31/12/2019 + 25/01/2020 +  + 27/09/202313/10/2020 + 05/11/2020 + 13/07/2021 + 10/09/2021 + 21/02/2022 + 18/03/2022 + 19/04/2022 + 11/05/2022 + 20/06/2022 + 25/07/2022 + 17/08/2022 + 03/10/2022 + 19/10/2022 + 15/11/2022 + 06/06/2023 +19/07/2023 + 09/05/2023 (recu en 07/2023) + 07/08/2023 + 29/11/2023"/>
    <n v="23956.91"/>
    <x v="1"/>
    <n v="21185.400000000009"/>
    <n v="2771.5099999999911"/>
    <n v="21185.400000000009"/>
  </r>
  <r>
    <s v="RA302"/>
    <m/>
    <s v="CLI"/>
    <m/>
    <s v="ORION"/>
    <s v="RA ABX464-302 WO006 + Amdt 002"/>
    <m/>
    <s v="RA302 - WO006 - PTC - EU Close out visits COMV"/>
    <m/>
    <s v="INV 110040"/>
    <d v="2023-07-17T00:00:00"/>
    <n v="3300"/>
    <x v="1"/>
    <n v="898.82"/>
    <n v="2401.1799999999998"/>
    <n v="898.82"/>
  </r>
  <r>
    <s v="RA302"/>
    <m/>
    <s v="CLI"/>
    <m/>
    <s v="ORION"/>
    <s v="RA ABX464-302 WO006 + Amdt 002"/>
    <m/>
    <s v="RA302 - WO006 - PTC - SIVs"/>
    <s v="Q3/Q4 2019"/>
    <s v="INV 108883 + INV 108908 + INV 108954 + INV 109059 + INV 109158"/>
    <s v="11/03/2020 + 23/04/2020 + 04/06/2020 + 13/10/2020 + 10/02/2022"/>
    <n v="2700"/>
    <x v="1"/>
    <n v="2247.6999999999998"/>
    <n v="452.30000000000018"/>
    <n v="2247.6999999999998"/>
  </r>
  <r>
    <s v="RA302"/>
    <m/>
    <s v="CLI"/>
    <m/>
    <s v="ORION"/>
    <s v="RA ABX464-302 WO006 + Amdt 003"/>
    <m/>
    <s v="RA302 - WO006 - PTC - Inform fee ORACLE Oct/Nov/Dec 2021"/>
    <m/>
    <s v="INV 109561"/>
    <d v="2022-03-18T00:00:00"/>
    <n v="12554.14"/>
    <x v="1"/>
    <n v="11584.74"/>
    <n v="0"/>
    <n v="11584.74"/>
  </r>
  <r>
    <s v="RA302"/>
    <m/>
    <s v="CLI"/>
    <m/>
    <s v="ORION"/>
    <s v="RA ABX464-302 WO006 + Amdt 005 - P00195_2022"/>
    <s v="P00195_2022"/>
    <s v="RA302 - WO006 - PTC - reg submissions"/>
    <m/>
    <s v="INV 109750"/>
    <d v="2022-10-03T00:00:00"/>
    <n v="2700"/>
    <x v="1"/>
    <n v="1628.8400000000001"/>
    <n v="1071.1599999999999"/>
    <n v="1628.8400000000001"/>
  </r>
  <r>
    <s v="RA302"/>
    <m/>
    <s v="CLI"/>
    <m/>
    <s v="ORION"/>
    <s v="RA ABX464-302 WO006 Amdt 002"/>
    <m/>
    <s v="E RA302 - WO006 - Signature of Admt 2"/>
    <m/>
    <s v="INV 109115"/>
    <d v="2020-12-21T00:00:00"/>
    <n v="41493"/>
    <x v="1"/>
    <s v="OK"/>
    <n v="0"/>
    <n v="41493"/>
  </r>
  <r>
    <s v="RA302"/>
    <m/>
    <s v="CLI"/>
    <m/>
    <s v="ORION"/>
    <s v="RA ABX464-302 WO006 Amdt 003"/>
    <m/>
    <s v="RA302 - WO006 - MONTHLY MANAGMENT FEES"/>
    <m/>
    <s v="INV 109989"/>
    <d v="2023-06-07T00:00:00"/>
    <n v="11360"/>
    <x v="1"/>
    <n v="11360"/>
    <n v="0"/>
    <n v="11360"/>
  </r>
  <r>
    <s v="RA302"/>
    <m/>
    <s v="CLI"/>
    <m/>
    <s v="ORION"/>
    <s v="RA ABX464-302 WO006 Amdt 005 - P00195_2022"/>
    <s v="P00195_2022"/>
    <s v="signature Amdt 5"/>
    <m/>
    <s v="INV 109642"/>
    <d v="2022-06-15T00:00:00"/>
    <n v="25505"/>
    <x v="1"/>
    <n v="25505"/>
    <n v="0"/>
    <n v="25505"/>
  </r>
  <r>
    <s v="RA302"/>
    <m/>
    <s v="CLI"/>
    <m/>
    <s v="ORION"/>
    <s v="RA ABX464-302 WO006 Amdt 4"/>
    <m/>
    <s v="signature Amdt 4"/>
    <m/>
    <s v="INV 109517"/>
    <d v="2022-02-07T00:00:00"/>
    <n v="59272"/>
    <x v="1"/>
    <n v="59272"/>
    <n v="0"/>
    <n v="59272"/>
  </r>
  <r>
    <s v="RA301"/>
    <m/>
    <s v="CLI"/>
    <m/>
    <s v="ORION"/>
    <s v="RA-ABX464-301 - LOA - P00192_2019"/>
    <s v="P00192_2019"/>
    <s v="Upon signature : 50% professional fees"/>
    <m/>
    <m/>
    <s v="INV 108448 du 31/01/2019"/>
    <n v="0"/>
    <x v="1"/>
    <s v="OK"/>
    <n v="0"/>
    <n v="0"/>
  </r>
  <r>
    <s v="RA301"/>
    <m/>
    <s v="CLI"/>
    <m/>
    <s v="ORION"/>
    <s v="RA-ABX464-301 - LOA - P00192_2019"/>
    <s v="P00192_2019"/>
    <s v="All PSVs completed 15%"/>
    <m/>
    <m/>
    <s v="ECRASEE PAR LE WO004"/>
    <n v="0"/>
    <x v="1"/>
    <s v="OK"/>
    <n v="0"/>
    <n v="0"/>
  </r>
  <r>
    <s v="RA301"/>
    <m/>
    <s v="CLI"/>
    <m/>
    <s v="ORION"/>
    <s v="RA-ABX464-301 - LOA - P00192_2019"/>
    <s v="P00192_2019"/>
    <s v="All submissions performed 15%"/>
    <m/>
    <m/>
    <s v="ECRASEE PAR LE WO004"/>
    <n v="0"/>
    <x v="1"/>
    <s v="OK"/>
    <n v="0"/>
    <n v="0"/>
  </r>
  <r>
    <s v="RA301"/>
    <m/>
    <s v="CLI"/>
    <m/>
    <s v="ORION"/>
    <s v="RA-ABX464-301 - LOA - P00192_2019"/>
    <s v="P00192_2019"/>
    <s v="Monthly management fees (Frevrier - Avirl 2019) + 1 mois Extention de la LOA"/>
    <m/>
    <m/>
    <s v="Fervier INV108451 du 01/02/2019 (29111 euros) + Mars INV 108489 du 01/03/2019 (29111 euros) + Avril INV 108515 du 01/04/2019 (29111 euros) + Mai INV 108546 01/05/2019 (29111 euros)"/>
    <n v="0"/>
    <x v="1"/>
    <s v="OK"/>
    <n v="0"/>
    <n v="0"/>
  </r>
  <r>
    <s v="RA301"/>
    <m/>
    <s v="CLI"/>
    <m/>
    <s v="ORION"/>
    <s v="RA-ABX464-301 - MSA - LOA"/>
    <m/>
    <s v="- LOA"/>
    <m/>
    <m/>
    <s v="ECRASEE PAR LE WO004"/>
    <n v="0"/>
    <x v="1"/>
    <s v="OK"/>
    <n v="0"/>
    <n v="0"/>
  </r>
  <r>
    <s v="RA301"/>
    <m/>
    <s v="CLI"/>
    <m/>
    <s v="ORION"/>
    <s v="RA-ABX464-301 - MSA a venir "/>
    <m/>
    <s v="Feasibility"/>
    <m/>
    <m/>
    <s v="ECRASEE PAR LE WO004"/>
    <n v="0"/>
    <x v="1"/>
    <s v="OK"/>
    <n v="0"/>
    <n v="0"/>
  </r>
  <r>
    <s v="RA301"/>
    <m/>
    <s v="CLI"/>
    <m/>
    <s v="ORION"/>
    <s v="RA-ABX464-301 - MSA a venir "/>
    <m/>
    <s v="Regulatory and Ethics Submissions"/>
    <m/>
    <m/>
    <s v="ECRASEE PAR LE WO004"/>
    <n v="0"/>
    <x v="1"/>
    <s v="OK"/>
    <n v="0"/>
    <n v="0"/>
  </r>
  <r>
    <s v="RA301"/>
    <m/>
    <s v="CLI"/>
    <m/>
    <s v="ORION"/>
    <s v="RA-ABX464-301 - MSA a venir "/>
    <m/>
    <s v="Investigator Meeting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udy Set-Up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udy Conduct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udy Closure"/>
    <m/>
    <m/>
    <s v="ECRASEE PAR LE WO004"/>
    <n v="0"/>
    <x v="1"/>
    <s v="OK"/>
    <n v="0"/>
    <n v="0"/>
  </r>
  <r>
    <s v="RA301"/>
    <m/>
    <s v="CLI"/>
    <m/>
    <s v="ORION"/>
    <s v="RA-ABX464-301 - MSA a venir "/>
    <m/>
    <s v="Medical Monitoring"/>
    <m/>
    <m/>
    <s v="ECRASEE PAR LE WO004"/>
    <n v="0"/>
    <x v="1"/>
    <s v="OK"/>
    <n v="0"/>
    <n v="0"/>
  </r>
  <r>
    <s v="RA301"/>
    <m/>
    <s v="CLI"/>
    <m/>
    <s v="ORION"/>
    <s v="RA-ABX464-301 - MSA a venir "/>
    <m/>
    <s v="DSMB Meeting Costs"/>
    <m/>
    <m/>
    <s v="ECRASEE PAR LE WO004"/>
    <n v="0"/>
    <x v="1"/>
    <s v="OK"/>
    <n v="0"/>
    <n v="0"/>
  </r>
  <r>
    <s v="RA301"/>
    <m/>
    <s v="CLI"/>
    <m/>
    <s v="ORION"/>
    <s v="RA-ABX464-301 - MSA a venir "/>
    <m/>
    <s v="Data Management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atistics"/>
    <m/>
    <m/>
    <s v="ECRASEE PAR LE WO004"/>
    <n v="0"/>
    <x v="1"/>
    <s v="OK"/>
    <n v="0"/>
    <n v="0"/>
  </r>
  <r>
    <s v="RA301"/>
    <m/>
    <s v="CLI"/>
    <m/>
    <s v="ORION"/>
    <s v="RA-ABX464-301 - MSA a venir "/>
    <m/>
    <s v="Medical Writing"/>
    <m/>
    <m/>
    <s v="ECRASEE PAR LE WO004"/>
    <n v="0"/>
    <x v="1"/>
    <s v="OK"/>
    <n v="0"/>
    <n v="0"/>
  </r>
  <r>
    <s v="RA301"/>
    <m/>
    <s v="CLI"/>
    <m/>
    <s v="ORION"/>
    <s v="RA-ABX464-301 - MSA a venir "/>
    <m/>
    <s v="PTC"/>
    <m/>
    <m/>
    <s v="ECRASEE PAR LE WO004"/>
    <n v="0"/>
    <x v="1"/>
    <s v="OK"/>
    <n v="0"/>
    <n v="0"/>
  </r>
  <r>
    <s v="UC101"/>
    <m/>
    <s v="CLI"/>
    <m/>
    <s v="ORION"/>
    <s v="UC-101 "/>
    <m/>
    <s v="Contract Signature_x000a_105209 € Déjà payée via LOA : régulé sur Budget en 2018 cf Payment schedul"/>
    <m/>
    <m/>
    <d v="2017-05-11T00:00:00"/>
    <n v="0"/>
    <x v="1"/>
    <s v="OK"/>
    <n v="0"/>
    <n v="0"/>
  </r>
  <r>
    <s v="UC101"/>
    <m/>
    <s v="CLI"/>
    <m/>
    <s v="ORION"/>
    <s v="UC-101 "/>
    <m/>
    <s v="All submissions complete"/>
    <m/>
    <m/>
    <d v="2017-09-01T00:00:00"/>
    <n v="31563"/>
    <x v="1"/>
    <s v="OK"/>
    <n v="0"/>
    <n v="31563"/>
  </r>
  <r>
    <s v="UC101"/>
    <m/>
    <s v="CLI"/>
    <m/>
    <s v="ORION"/>
    <s v="UC-101 "/>
    <m/>
    <s v="FSI"/>
    <m/>
    <m/>
    <d v="2017-10-01T00:00:00"/>
    <n v="31563"/>
    <x v="1"/>
    <s v="OK"/>
    <n v="0"/>
    <n v="31563"/>
  </r>
  <r>
    <s v="UC101"/>
    <m/>
    <s v="CLI"/>
    <m/>
    <s v="ORION"/>
    <s v="UC-101 "/>
    <m/>
    <s v="FPFV Screened"/>
    <m/>
    <m/>
    <d v="2017-11-01T00:00:00"/>
    <n v="52604"/>
    <x v="1"/>
    <s v="OK"/>
    <n v="0"/>
    <n v="52604"/>
  </r>
  <r>
    <s v="UC101"/>
    <m/>
    <s v="CLI"/>
    <m/>
    <s v="ORION"/>
    <s v="UC-101 "/>
    <m/>
    <s v="25 SIVs completed"/>
    <m/>
    <m/>
    <d v="2017-12-31T00:00:00"/>
    <n v="31563"/>
    <x v="1"/>
    <s v="OK"/>
    <n v="0"/>
    <n v="31563"/>
  </r>
  <r>
    <s v="UC101"/>
    <m/>
    <s v="CLI"/>
    <m/>
    <s v="ORION"/>
    <s v="UC-101 "/>
    <m/>
    <s v="Monthly Fees sept"/>
    <m/>
    <m/>
    <d v="2017-09-30T00:00:00"/>
    <n v="19726.625"/>
    <x v="1"/>
    <s v="OK"/>
    <n v="0"/>
    <n v="19726.625"/>
  </r>
  <r>
    <s v="UC101"/>
    <m/>
    <s v="CLI"/>
    <m/>
    <s v="ORION"/>
    <s v="UC-101 "/>
    <m/>
    <s v="Monthly Fees octobre"/>
    <m/>
    <m/>
    <d v="2017-10-31T00:00:00"/>
    <n v="19726.625"/>
    <x v="1"/>
    <s v="OK"/>
    <n v="0"/>
    <n v="19726.625"/>
  </r>
  <r>
    <s v="UC101"/>
    <m/>
    <s v="CLI"/>
    <m/>
    <s v="ORION"/>
    <s v="UC-101 "/>
    <m/>
    <s v="Monthly Fees novembre"/>
    <m/>
    <m/>
    <d v="2017-11-30T00:00:00"/>
    <n v="19726.625"/>
    <x v="1"/>
    <s v="OK"/>
    <n v="0"/>
    <n v="19726.625"/>
  </r>
  <r>
    <s v="UC101"/>
    <m/>
    <s v="CLI"/>
    <m/>
    <s v="ORION"/>
    <s v="UC-101 "/>
    <m/>
    <s v="Monthly Fees Decembre"/>
    <m/>
    <m/>
    <d v="2017-12-31T00:00:00"/>
    <n v="19726.625"/>
    <x v="1"/>
    <s v="OK"/>
    <n v="0"/>
    <n v="19726.625"/>
  </r>
  <r>
    <s v="UC101"/>
    <m/>
    <s v="CLI"/>
    <m/>
    <s v="ORION"/>
    <s v="UC-101 "/>
    <m/>
    <s v="Discount / 1143571"/>
    <m/>
    <m/>
    <m/>
    <m/>
    <x v="1"/>
    <s v="OK"/>
    <n v="0"/>
    <n v="0"/>
  </r>
  <r>
    <s v="UC101"/>
    <m/>
    <s v="CLI"/>
    <m/>
    <s v="ORION"/>
    <s v="UC-101 "/>
    <m/>
    <s v="Investigators fees - Monthly fees (about 14000 €/mois)"/>
    <m/>
    <m/>
    <s v="INV 108055 (15/04/2018) + INV 108140 (17/05/2018) + INV 108181 (14/06/2018) + INV 108235 (27/07/2018) + INV 108310 (04/10/2018) + INV 108339 (02/11/2018) + INV 108391 (14/12/2018) + INV 108407 (31/12/2018) + INV 108419 (08/01/2019) + INV 108424 (11/01/2019) + INV 108442 (21/01/2019) + INV 108459 (05/02/2019) + INV 108503 (13/03/2019) + INV 108511 (19/03/2019) + INV 108484 (25/02/2019) + INV 108611 (01/07/2019) + INV 204550 (03/07/2019) : Investigator fee de Mai 2018 - double facturation via INV 108339 de NOv 2018 + INV 108669 (20/09/2019) + INV 109171 (26/02/2021)"/>
    <n v="232000"/>
    <x v="1"/>
    <n v="315732.75000000006"/>
    <n v="0"/>
    <n v="315732.75000000006"/>
  </r>
  <r>
    <s v="UC101"/>
    <m/>
    <s v="CLI"/>
    <m/>
    <s v="ORION"/>
    <s v="UC-101 "/>
    <m/>
    <s v="InForme fee - modif W002 ORACLE"/>
    <m/>
    <m/>
    <s v="INV 107955 (20/10/2017) + INV 108113 (25/04/2018) + INV 108355 (26/11/2018)"/>
    <n v="63215"/>
    <x v="1"/>
    <n v="58727.520000000004"/>
    <n v="0"/>
    <n v="58727.520000000004"/>
  </r>
  <r>
    <s v="UC101"/>
    <m/>
    <s v="CLI"/>
    <m/>
    <s v="ORION"/>
    <s v="UC-101 "/>
    <m/>
    <s v="PTC"/>
    <m/>
    <m/>
    <s v="INV 109380 du 10/09/2021"/>
    <n v="191798"/>
    <x v="1"/>
    <n v="150718.71000000002"/>
    <n v="2492.65"/>
    <n v="150718.71000000002"/>
  </r>
  <r>
    <s v="UC101"/>
    <m/>
    <s v="CLI"/>
    <m/>
    <s v="ORION"/>
    <s v="UC-101 - LOA"/>
    <m/>
    <s v="LOA signature 30%"/>
    <m/>
    <m/>
    <d v="2017-05-11T00:00:00"/>
    <n v="135330"/>
    <x v="1"/>
    <s v="OK"/>
    <n v="0"/>
    <n v="135330"/>
  </r>
  <r>
    <s v="UC101"/>
    <m/>
    <s v="CLI"/>
    <m/>
    <s v="ORION"/>
    <s v="UC-101 - LOA"/>
    <m/>
    <s v="All PSVs completed 20%"/>
    <m/>
    <m/>
    <n v="90221"/>
    <m/>
    <x v="1"/>
    <m/>
    <n v="0"/>
    <n v="0"/>
  </r>
  <r>
    <s v="UC101"/>
    <m/>
    <s v="CLI"/>
    <m/>
    <s v="ORION"/>
    <s v="UC-101 - LOA"/>
    <m/>
    <s v="All submissions performed 15%"/>
    <m/>
    <m/>
    <n v="67665"/>
    <m/>
    <x v="1"/>
    <m/>
    <n v="0"/>
    <n v="0"/>
  </r>
  <r>
    <s v="UC101"/>
    <m/>
    <s v="CLI"/>
    <m/>
    <s v="ORION"/>
    <s v="UC-101 - LOA"/>
    <m/>
    <s v="RA approvals receipt 15%"/>
    <m/>
    <m/>
    <n v="67665"/>
    <m/>
    <x v="1"/>
    <m/>
    <n v="0"/>
    <n v="0"/>
  </r>
  <r>
    <s v="UC101"/>
    <m/>
    <s v="CLI"/>
    <m/>
    <s v="ORION"/>
    <s v="UC-101 - LOA"/>
    <m/>
    <s v="Monthly management Fees 7%"/>
    <m/>
    <m/>
    <d v="2017-06-30T00:00:00"/>
    <n v="30073"/>
    <x v="1"/>
    <s v="OK"/>
    <n v="0"/>
    <n v="30073"/>
  </r>
  <r>
    <s v="UC101"/>
    <m/>
    <s v="CLI"/>
    <m/>
    <s v="ORION"/>
    <s v="UC-101 - LOA"/>
    <m/>
    <s v="Monthly management Fees 7%"/>
    <m/>
    <m/>
    <d v="2017-07-31T00:00:00"/>
    <n v="30073"/>
    <x v="1"/>
    <s v="OK"/>
    <n v="0"/>
    <n v="30073"/>
  </r>
  <r>
    <s v="UC101"/>
    <m/>
    <s v="CLI"/>
    <m/>
    <s v="ORION"/>
    <s v="UC-101 - LOA"/>
    <m/>
    <s v="Monthly management Fees 7%"/>
    <m/>
    <m/>
    <d v="2017-08-01T00:00:00"/>
    <n v="30073"/>
    <x v="1"/>
    <s v="OK"/>
    <n v="0"/>
    <n v="30073"/>
  </r>
  <r>
    <s v="UC101"/>
    <m/>
    <s v="CLI"/>
    <m/>
    <s v="ORION"/>
    <s v="UC-101 - LOA"/>
    <m/>
    <s v="PTC"/>
    <m/>
    <m/>
    <d v="2017-10-01T00:00:00"/>
    <m/>
    <x v="1"/>
    <m/>
    <n v="0"/>
    <n v="0"/>
  </r>
  <r>
    <s v="UC101"/>
    <m/>
    <s v="CLI"/>
    <m/>
    <s v="ORION"/>
    <s v="UC-101 - LOA"/>
    <m/>
    <s v="Extension costs - du 07/09 au 06/12 PG a dis on oubli 7973,16 €"/>
    <m/>
    <m/>
    <m/>
    <m/>
    <x v="1"/>
    <s v="OK"/>
    <n v="0"/>
    <n v="0"/>
  </r>
  <r>
    <s v="UC101"/>
    <m/>
    <s v="CLI"/>
    <m/>
    <s v="ORION"/>
    <s v="UC-101 MAJ A1"/>
    <m/>
    <s v="50 SIVs completed"/>
    <m/>
    <m/>
    <s v="08/03/2018 + Coûts supplé. 10/08/2018"/>
    <n v="55486"/>
    <x v="1"/>
    <n v="59063"/>
    <n v="0"/>
    <n v="59063"/>
  </r>
  <r>
    <s v="UC101"/>
    <m/>
    <s v="CLI"/>
    <m/>
    <s v="ORION"/>
    <s v="UC-101 MAJ A1"/>
    <m/>
    <s v="25% patients enrolled"/>
    <m/>
    <m/>
    <d v="2017-12-17T00:00:00"/>
    <m/>
    <x v="1"/>
    <s v="OK"/>
    <n v="0"/>
    <n v="0"/>
  </r>
  <r>
    <s v="UC101"/>
    <m/>
    <s v="CLI"/>
    <m/>
    <s v="ORION"/>
    <s v="UC-101 MAJ A1"/>
    <m/>
    <s v="50% patients enrolled"/>
    <m/>
    <m/>
    <s v="26/03/2018 + Coûts supplé. 10/08/2018"/>
    <n v="77680"/>
    <x v="1"/>
    <n v="82688"/>
    <n v="0"/>
    <n v="82688"/>
  </r>
  <r>
    <s v="UC101"/>
    <m/>
    <s v="CLI"/>
    <m/>
    <s v="ORION"/>
    <s v="UC-101 MAJ A1"/>
    <m/>
    <s v="75% patients enrolled"/>
    <m/>
    <m/>
    <s v="15/05/2018 + Coûts supplé. 10/08/2018"/>
    <n v="55486"/>
    <x v="1"/>
    <n v="59063"/>
    <n v="0"/>
    <n v="59063"/>
  </r>
  <r>
    <s v="UC101"/>
    <m/>
    <s v="CLI"/>
    <m/>
    <s v="ORION"/>
    <s v="UC-101 MAJ A1"/>
    <m/>
    <s v="100% patients enrolled"/>
    <m/>
    <m/>
    <s v="15/05/2018 + Coûts supplé. 10/08/2018"/>
    <n v="22194"/>
    <x v="1"/>
    <n v="23626"/>
    <n v="0"/>
    <n v="23626"/>
  </r>
  <r>
    <s v="UC101"/>
    <m/>
    <s v="CLI"/>
    <m/>
    <s v="ORION"/>
    <s v="UC-101 MAJ A1"/>
    <m/>
    <s v="50% data entered "/>
    <m/>
    <m/>
    <d v="2019-01-01T00:00:00"/>
    <m/>
    <x v="1"/>
    <s v="OK"/>
    <n v="0"/>
    <n v="0"/>
  </r>
  <r>
    <s v="UC101"/>
    <m/>
    <s v="CLI"/>
    <m/>
    <s v="ORION"/>
    <s v="UC-101 MAJ A1"/>
    <m/>
    <s v="All data entered and monitored"/>
    <m/>
    <m/>
    <d v="2018-06-13T00:00:00"/>
    <m/>
    <x v="1"/>
    <s v="OK"/>
    <n v="0"/>
    <n v="0"/>
  </r>
  <r>
    <s v="UC101"/>
    <m/>
    <s v="CLI"/>
    <m/>
    <s v="ORION"/>
    <s v="UC-101 MAJ A1"/>
    <m/>
    <s v="DBL"/>
    <m/>
    <m/>
    <d v="2018-07-28T00:00:00"/>
    <m/>
    <x v="1"/>
    <s v="OK"/>
    <n v="0"/>
    <n v="0"/>
  </r>
  <r>
    <s v="UC101"/>
    <m/>
    <s v="CLI"/>
    <m/>
    <s v="ORION"/>
    <s v="UC-101 MAJ A1"/>
    <m/>
    <s v="Final CSR"/>
    <m/>
    <m/>
    <d v="2018-09-27T00:00:00"/>
    <m/>
    <x v="1"/>
    <s v="OK"/>
    <n v="0"/>
    <n v="0"/>
  </r>
  <r>
    <s v="UC101"/>
    <m/>
    <s v="CLI"/>
    <m/>
    <s v="ORION"/>
    <s v="UC-101 MAJ A1"/>
    <m/>
    <s v="TMF Return"/>
    <m/>
    <m/>
    <d v="2018-10-28T00:00:00"/>
    <m/>
    <x v="1"/>
    <s v="OK"/>
    <n v="0"/>
    <n v="0"/>
  </r>
  <r>
    <s v="UC101"/>
    <m/>
    <s v="CLI"/>
    <m/>
    <s v="ORION"/>
    <s v="UC-101 MAJ A1"/>
    <m/>
    <s v="Monthly Fees Janvier"/>
    <m/>
    <m/>
    <d v="2018-03-08T00:00:00"/>
    <n v="18199"/>
    <x v="1"/>
    <s v="OK"/>
    <n v="0"/>
    <n v="18199"/>
  </r>
  <r>
    <s v="UC101"/>
    <m/>
    <s v="CLI"/>
    <m/>
    <s v="ORION"/>
    <s v="UC-101 MAJ A1"/>
    <m/>
    <s v="Monthly Fees fevrier"/>
    <m/>
    <m/>
    <d v="2018-04-18T00:00:00"/>
    <n v="18199"/>
    <x v="1"/>
    <s v="OK"/>
    <n v="0"/>
    <n v="18199"/>
  </r>
  <r>
    <s v="UC101"/>
    <m/>
    <s v="CLI"/>
    <m/>
    <s v="ORION"/>
    <s v="UC-101 MAJ A1"/>
    <m/>
    <s v="Monthly Fees Mars"/>
    <m/>
    <m/>
    <d v="2018-04-18T00:00:00"/>
    <n v="18199"/>
    <x v="1"/>
    <s v="OK"/>
    <n v="0"/>
    <n v="18199"/>
  </r>
  <r>
    <s v="UC101"/>
    <m/>
    <s v="CLI"/>
    <m/>
    <s v="ORION"/>
    <s v="UC-101 MAJ A1"/>
    <m/>
    <s v="Monthly Fees Avril"/>
    <m/>
    <m/>
    <d v="2018-05-14T00:00:00"/>
    <n v="18199"/>
    <x v="1"/>
    <s v="OK"/>
    <n v="0"/>
    <n v="18199"/>
  </r>
  <r>
    <s v="UC101"/>
    <m/>
    <s v="CLI"/>
    <m/>
    <s v="ORION"/>
    <s v="UC-101 MAJ A1"/>
    <m/>
    <s v="Monthly Fees Mai"/>
    <m/>
    <m/>
    <d v="2018-06-11T00:00:00"/>
    <n v="18199"/>
    <x v="1"/>
    <s v="OK"/>
    <n v="0"/>
    <n v="18199"/>
  </r>
  <r>
    <s v="UC101"/>
    <m/>
    <s v="CLI"/>
    <m/>
    <s v="ORION"/>
    <s v="UC-101 MAJ A1"/>
    <m/>
    <s v="Monthly Fees Juin"/>
    <m/>
    <m/>
    <d v="2018-07-01T00:00:00"/>
    <m/>
    <x v="1"/>
    <s v="OK"/>
    <n v="0"/>
    <n v="0"/>
  </r>
  <r>
    <s v="UC101"/>
    <m/>
    <s v="CLI"/>
    <m/>
    <s v="ORION"/>
    <s v="UC-101 MAJ A1"/>
    <m/>
    <s v="Monthly Fees Juillet"/>
    <m/>
    <m/>
    <d v="2018-08-01T00:00:00"/>
    <m/>
    <x v="1"/>
    <s v="OK"/>
    <n v="0"/>
    <n v="0"/>
  </r>
  <r>
    <s v="UC101"/>
    <m/>
    <s v="CLI"/>
    <m/>
    <s v="ORION"/>
    <s v="UC-101 MAJ A1"/>
    <m/>
    <s v="Monthly Fees Aout"/>
    <m/>
    <m/>
    <d v="2018-09-01T00:00:00"/>
    <m/>
    <x v="1"/>
    <s v="OK"/>
    <n v="0"/>
    <n v="0"/>
  </r>
  <r>
    <s v="UC101"/>
    <m/>
    <s v="CLI"/>
    <m/>
    <s v="ORION"/>
    <s v="UC-101 MAJ A1"/>
    <m/>
    <s v="Monthly Fees Septembre"/>
    <m/>
    <m/>
    <d v="2018-10-01T00:00:00"/>
    <m/>
    <x v="1"/>
    <s v="OK"/>
    <n v="0"/>
    <n v="0"/>
  </r>
  <r>
    <s v="UC101"/>
    <m/>
    <s v="CLI"/>
    <m/>
    <s v="ORION"/>
    <s v="UC-101 MAJ A1"/>
    <m/>
    <s v="Signature A1"/>
    <m/>
    <m/>
    <d v="2018-02-09T00:00:00"/>
    <n v="33291"/>
    <x v="1"/>
    <s v="OK"/>
    <n v="0"/>
    <n v="33291"/>
  </r>
  <r>
    <s v="UC101"/>
    <m/>
    <s v="CLI"/>
    <m/>
    <s v="ORION"/>
    <s v="UC-101 MAJ A2"/>
    <m/>
    <s v="Somme des delta sur factures déjà reçues et payée selon A1"/>
    <m/>
    <m/>
    <s v="Regule faite via INV 108252"/>
    <n v="13594"/>
    <x v="1"/>
    <s v="OK"/>
    <n v="0"/>
    <n v="13594"/>
  </r>
  <r>
    <s v="UC101"/>
    <m/>
    <s v="CLI"/>
    <m/>
    <s v="ORION"/>
    <s v="UC-101 MAJ A2"/>
    <m/>
    <s v="50% data entered "/>
    <m/>
    <m/>
    <s v="INV 108245 (03/08/2018)"/>
    <n v="47250"/>
    <x v="1"/>
    <s v="OK"/>
    <n v="0"/>
    <n v="47250"/>
  </r>
  <r>
    <s v="UC101"/>
    <m/>
    <s v="CLI"/>
    <m/>
    <s v="ORION"/>
    <s v="UC-101 MAJ A2"/>
    <m/>
    <s v="All data entered and monitored"/>
    <m/>
    <m/>
    <s v="INV 108266 (23/08/2018)"/>
    <n v="47250"/>
    <x v="1"/>
    <s v="OK"/>
    <n v="0"/>
    <n v="47250"/>
  </r>
  <r>
    <s v="UC101"/>
    <m/>
    <s v="CLI"/>
    <m/>
    <s v="ORION"/>
    <s v="UC-101 MAJ A2"/>
    <m/>
    <s v="DBL"/>
    <m/>
    <m/>
    <s v="INV 108275 (03/09/2018)"/>
    <n v="41344"/>
    <x v="1"/>
    <s v="OK"/>
    <n v="0"/>
    <n v="41344"/>
  </r>
  <r>
    <s v="UC101"/>
    <m/>
    <s v="CLI"/>
    <m/>
    <s v="ORION"/>
    <s v="UC-101 MAJ A2"/>
    <m/>
    <s v="Final CSR"/>
    <m/>
    <s v="INV 108472 + INV 109000"/>
    <s v="08/02/2019 + 28/07/2020"/>
    <n v="29531"/>
    <x v="1"/>
    <n v="29531"/>
    <n v="0"/>
    <n v="29531"/>
  </r>
  <r>
    <s v="UC101"/>
    <m/>
    <s v="CLI"/>
    <m/>
    <s v="ORION"/>
    <s v="UC-101 MAJ A2"/>
    <m/>
    <s v="TMF Return"/>
    <s v="QUAND ?"/>
    <m/>
    <m/>
    <n v="38465"/>
    <x v="1"/>
    <m/>
    <n v="38465"/>
    <n v="0"/>
  </r>
  <r>
    <s v="UC101"/>
    <m/>
    <s v="CLI"/>
    <m/>
    <s v="ORION"/>
    <s v="UC-101 MAJ A2"/>
    <m/>
    <s v="25% patients enrolled JAMAIS RECU SOUS l'A1 - Recu dans une facture de régule"/>
    <m/>
    <m/>
    <s v="Inclus dans l'INV de Coûts supplé. 10/08/2018"/>
    <n v="82688"/>
    <x v="1"/>
    <s v="OK"/>
    <n v="0"/>
    <n v="82688"/>
  </r>
  <r>
    <s v="UC101"/>
    <m/>
    <s v="CLI"/>
    <m/>
    <s v="ORION"/>
    <s v="UC-101 MAJ A2"/>
    <m/>
    <s v="Monthly Fees Juin"/>
    <m/>
    <m/>
    <s v="INV 108206 (03/07/2018)"/>
    <n v="23564"/>
    <x v="1"/>
    <s v="OK"/>
    <n v="0"/>
    <n v="23564"/>
  </r>
  <r>
    <s v="UC101"/>
    <m/>
    <s v="CLI"/>
    <m/>
    <s v="ORION"/>
    <s v="UC-101 MAJ A2"/>
    <m/>
    <s v="Monthly Fees Juillet"/>
    <m/>
    <m/>
    <s v="INV 108243 (03/08/2018)"/>
    <n v="23564"/>
    <x v="1"/>
    <s v="OK"/>
    <n v="0"/>
    <n v="23564"/>
  </r>
  <r>
    <s v="UC101"/>
    <m/>
    <s v="CLI"/>
    <m/>
    <s v="ORION"/>
    <s v="UC-101 MAJ A2"/>
    <m/>
    <s v="Monthly Fees Aout"/>
    <m/>
    <m/>
    <s v="INV 108276 (03/09/2018)"/>
    <n v="23564"/>
    <x v="1"/>
    <s v="OK"/>
    <n v="0"/>
    <n v="23564"/>
  </r>
  <r>
    <s v="UC101"/>
    <m/>
    <s v="CLI"/>
    <m/>
    <s v="ORION"/>
    <s v="UC-101 MAJ A2"/>
    <m/>
    <s v="Monthly Fees Septembre"/>
    <m/>
    <m/>
    <s v="INV 108305 (02/10/2018)"/>
    <n v="23564"/>
    <x v="1"/>
    <s v="OK"/>
    <n v="0"/>
    <n v="23564"/>
  </r>
  <r>
    <s v="RA301"/>
    <m/>
    <s v="CLI"/>
    <m/>
    <s v="ORION"/>
    <s v="WO004 - P00319_2019"/>
    <s v="P00319_2019"/>
    <s v="Siganture du Work Order"/>
    <m/>
    <m/>
    <s v="INV 108448 du 31/01/2019 + Fervier INV108451 du 01/02/2019 (29111 euros) + Mars INV 108489 du 01/03/2019 (29111 euros) + Avril INV 108515 du 01/04/2019 (29111 euros)"/>
    <n v="305666"/>
    <x v="1"/>
    <n v="305666"/>
    <n v="0"/>
    <n v="305666"/>
  </r>
  <r>
    <s v="RA301"/>
    <m/>
    <s v="CLI"/>
    <m/>
    <s v="ORION"/>
    <s v="WO004 - P00319_2019"/>
    <s v="P00319_2019"/>
    <s v="Go Live e-CRF"/>
    <m/>
    <m/>
    <s v="INV 108623 du 02/07/2019"/>
    <n v="120576"/>
    <x v="1"/>
    <s v="OK"/>
    <n v="0"/>
    <n v="120576"/>
  </r>
  <r>
    <s v="RA301"/>
    <m/>
    <s v="CLI"/>
    <m/>
    <s v="ORION"/>
    <s v="WO004 - P00319_2019"/>
    <s v="P00319_2019"/>
    <s v="All submissions performed"/>
    <m/>
    <m/>
    <s v="INV 108589 du 17/06/2019"/>
    <n v="120576"/>
    <x v="1"/>
    <s v="OK"/>
    <n v="0"/>
    <n v="120576"/>
  </r>
  <r>
    <s v="RA301"/>
    <m/>
    <s v="CLI"/>
    <m/>
    <s v="ORION"/>
    <s v="WO004 - P00319_2019"/>
    <s v="P00319_2019"/>
    <s v="First Visit First Patient"/>
    <m/>
    <m/>
    <s v="INV 108641 du  18/07/2018"/>
    <n v="200961"/>
    <x v="1"/>
    <s v="OK"/>
    <n v="0"/>
    <n v="200961"/>
  </r>
  <r>
    <s v="RA301"/>
    <m/>
    <s v="CLI"/>
    <m/>
    <s v="ORION"/>
    <s v="WO004 - P00319_2019"/>
    <s v="P00319_2019"/>
    <s v="Last Visit First Patient"/>
    <m/>
    <s v="INV 108780"/>
    <d v="2019-11-05T00:00:00"/>
    <n v="200961"/>
    <x v="1"/>
    <s v="OK"/>
    <n v="0"/>
    <n v="200961"/>
  </r>
  <r>
    <s v="RA301"/>
    <m/>
    <s v="CLI"/>
    <m/>
    <s v="ORION"/>
    <s v="WO004 - P00319_2019"/>
    <s v="P00319_2019"/>
    <s v="First Visit Last Patient - 200 961 €"/>
    <m/>
    <m/>
    <m/>
    <n v="0"/>
    <x v="1"/>
    <s v="OK"/>
    <n v="0"/>
    <n v="0"/>
  </r>
  <r>
    <s v="RA301"/>
    <m/>
    <s v="CLI"/>
    <m/>
    <s v="ORION"/>
    <s v="WO004 - P00319_2019"/>
    <s v="P00319_2019"/>
    <s v="Last Visit Last Patient 100 480 €"/>
    <m/>
    <m/>
    <m/>
    <n v="0"/>
    <x v="1"/>
    <s v="OK"/>
    <n v="0"/>
    <n v="0"/>
  </r>
  <r>
    <s v="RA301"/>
    <m/>
    <s v="CLI"/>
    <m/>
    <s v="ORION"/>
    <s v="WO004 - P00319_2019"/>
    <s v="P00319_2019"/>
    <s v="Data Base Lock 60 288 €"/>
    <m/>
    <m/>
    <m/>
    <n v="0"/>
    <x v="1"/>
    <s v="OK"/>
    <n v="0"/>
    <n v="0"/>
  </r>
  <r>
    <s v="RA301"/>
    <m/>
    <s v="CLI"/>
    <m/>
    <s v="ORION"/>
    <s v="WO004 - P00319_2019"/>
    <s v="P00319_2019"/>
    <s v="TLF - Final Table Listing and Figures 60 288 €"/>
    <m/>
    <m/>
    <m/>
    <n v="0"/>
    <x v="1"/>
    <s v="OK"/>
    <n v="0"/>
    <n v="0"/>
  </r>
  <r>
    <s v="RA301"/>
    <m/>
    <s v="CLI"/>
    <m/>
    <s v="ORION"/>
    <s v="WO004 - P00319_2019"/>
    <s v="P00319_2019"/>
    <s v="Final CSR 35 967 €"/>
    <m/>
    <m/>
    <m/>
    <n v="0"/>
    <x v="1"/>
    <s v="OK"/>
    <n v="0"/>
    <n v="0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81"/>
    <s v="03/06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619"/>
    <s v="01/07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665"/>
    <s v="01/08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711"/>
    <d v="2019-09-02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744"/>
    <d v="2019-10-01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778"/>
    <d v="2019-11-04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08"/>
    <d v="2019-12-02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22"/>
    <d v="2020-01-02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49"/>
    <d v="2020-02-03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77"/>
    <d v="2020-03-02T00:00:00"/>
    <n v="26212"/>
    <x v="1"/>
    <s v="OK"/>
    <n v="0"/>
    <n v="26212"/>
  </r>
  <r>
    <s v="RA301"/>
    <m/>
    <s v="CLI"/>
    <m/>
    <s v="ORION"/>
    <s v="WO004 - P00319_2019"/>
    <s v="P00319_2019"/>
    <s v="RA301 - PTC - EU PSVs"/>
    <m/>
    <s v="INV 108542"/>
    <s v=" du 17/04/2019 "/>
    <n v="0"/>
    <x v="1"/>
    <n v="0"/>
    <n v="0"/>
    <n v="0"/>
  </r>
  <r>
    <s v="RA301"/>
    <m/>
    <s v="CLI"/>
    <m/>
    <s v="ORION"/>
    <s v="WO004 - P00319_2019"/>
    <s v="P00319_2019"/>
    <s v="RA301 - PTC - EU PSVs"/>
    <m/>
    <s v="INV 108556"/>
    <s v=" du 14/05/2019"/>
    <n v="0"/>
    <x v="1"/>
    <n v="0"/>
    <n v="0"/>
    <n v="0"/>
  </r>
  <r>
    <s v="RA301"/>
    <m/>
    <s v="CLI"/>
    <m/>
    <s v="ORION"/>
    <s v="WO004 - P00319_2019"/>
    <s v="P00319_2019"/>
    <s v="RA301 - PTC - EU PSVs"/>
    <m/>
    <s v="INV 108626 + INV 108704 + INV 108864"/>
    <s v="02/07/2019 + 27/08/2019 + 20/02/2020"/>
    <n v="0"/>
    <x v="1"/>
    <n v="0"/>
    <n v="0"/>
    <n v="0"/>
  </r>
  <r>
    <s v="RA301"/>
    <m/>
    <s v="CLI"/>
    <m/>
    <s v="ORION"/>
    <s v="WO004 - P00319_2019"/>
    <s v="P00319_2019"/>
    <s v="RA301 - PTC - Regulatory &amp; Ethics Submissions"/>
    <m/>
    <s v="INV 108542 + INV 108556 + INV 109057 + INV 109231"/>
    <s v="17/04/2019 + 14/05/2019 + 13/10/2020 + 28/04/2021"/>
    <n v="0"/>
    <x v="1"/>
    <n v="0"/>
    <n v="0"/>
    <n v="0"/>
  </r>
  <r>
    <s v="RA301"/>
    <m/>
    <s v="CLI"/>
    <m/>
    <s v="ORION"/>
    <s v="WO004 - P00319_2019"/>
    <s v="P00319_2019"/>
    <s v="RA301 - PTC - Regulatory &amp; Ethics Submissions"/>
    <m/>
    <s v="INV 108601"/>
    <d v="2019-06-21T00:00:00"/>
    <n v="0"/>
    <x v="1"/>
    <n v="0"/>
    <n v="0"/>
    <n v="0"/>
  </r>
  <r>
    <s v="RA301"/>
    <m/>
    <s v="CLI"/>
    <m/>
    <s v="ORION"/>
    <s v="WO004 - P00319_2019"/>
    <s v="P00319_2019"/>
    <s v="RA301 - PTC - Regulatory &amp; Ethics Submissions"/>
    <m/>
    <s v="INV 108763 + INV 108784 + INV 108824 + INV 108827 + INV 108864 + INV 108904 + INV 108984 + INV 109215"/>
    <s v="24/10/2019 + 11/11/2019 + 31/12/2019 + 31/12/2019 + 20/02/2020 + 15/04/2020 + 07/07/2020 + 09/04/2021"/>
    <n v="0"/>
    <x v="1"/>
    <n v="0"/>
    <n v="0"/>
    <n v="0"/>
  </r>
  <r>
    <s v="RA301"/>
    <m/>
    <s v="CLI"/>
    <m/>
    <s v="ORION"/>
    <s v="WO004 - P00319_2019"/>
    <s v="P00319_2019"/>
    <s v="RA301 - PTC - Miscellaneous Study matos - Document translation costs"/>
    <m/>
    <m/>
    <s v="INV 108556 du 14/05/2019 + INV 108601 du 21/06/2019 + INV 108626 du 02/07/2019"/>
    <n v="0"/>
    <x v="1"/>
    <n v="0"/>
    <n v="0"/>
    <n v="0"/>
  </r>
  <r>
    <s v="RA301"/>
    <m/>
    <s v="CLI"/>
    <m/>
    <s v="ORION"/>
    <s v="WO004 - P00319_2019"/>
    <s v="P00319_2019"/>
    <s v="RA301 - PTC - Miscellaneous Study matos - Document translation costs"/>
    <m/>
    <s v="INV 108735 + INV 108763 + INV 108914 + INV 108984 + INV 109249"/>
    <s v="27/09/2019 + 24/10/2019 + 27/04/2020 + 07/07/2020 + 11/05/2021"/>
    <n v="0"/>
    <x v="1"/>
    <n v="0"/>
    <n v="0"/>
    <n v="0"/>
  </r>
  <r>
    <s v="RA301"/>
    <m/>
    <s v="CLI"/>
    <m/>
    <s v="ORION"/>
    <s v="WO004 - P00319_2019"/>
    <s v="P00319_2019"/>
    <s v="RA301 - PTC Project Management (telecommunication + courier cost)"/>
    <m/>
    <m/>
    <s v="INV 108601 du 21/06/2019  + INV 108626 du 02/07/2019"/>
    <n v="0"/>
    <x v="1"/>
    <n v="0"/>
    <n v="0"/>
    <n v="0"/>
  </r>
  <r>
    <s v="RA301"/>
    <m/>
    <s v="CLI"/>
    <m/>
    <s v="ORION"/>
    <s v="WO004 - P00319_2019"/>
    <s v="P00319_2019"/>
    <s v="RA301 - PTC Project Management (telecommunication + courier cost)"/>
    <m/>
    <s v="INV 108675"/>
    <s v=" du 28/09/2019"/>
    <n v="0"/>
    <x v="1"/>
    <n v="0"/>
    <n v="0"/>
    <n v="0"/>
  </r>
  <r>
    <s v="RA301"/>
    <m/>
    <s v="CLI"/>
    <m/>
    <s v="ORION"/>
    <s v="WO004 - P00319_2019"/>
    <s v="P00319_2019"/>
    <s v="RA301 - PTC Project Management (telecommunication + courier cost)"/>
    <m/>
    <s v="INV 108763 + INV 108784 + INV 108824 + INV 108827 + INV 108864 + INV 108914 + INV 108938 + INV 108953 + INV 108904 + INV 109057 + INV 109081"/>
    <s v="24/10/2019 + 11/11/2019 + 31/12/2019 + 31/12/2019 + 20/02/2020 + 27/04/2020 + 19/05/2020 + 04/06/2020 + 15/04/2020 + 13/10/2020 +11/11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714 + INV 108720 + INV 108844 + INV 108864"/>
    <s v="05/09/2019 + 13/09/2019 + 30/01/2020 + 20/02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718 + INV 108812 + INV 108815 + INV 108834 + CR 204604"/>
    <s v="13/09/2019 + 09/12/2019 + 16/12/2019 + 08/01/2020 + 11/03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874 + INV 108891"/>
    <s v="29/02/2020 + 30/03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891 + INV 108906 + INV 108912 + INV 108915 + INV 108930"/>
    <s v="30/03/2020 + 18/04/2020 + 24/04/2020 + 29/04/2020 + 07/05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925 + INV 108930 + INV 108929 + INV 108937 + INV 108940 + INV 108946"/>
    <s v="05/05/2020 + 07/05/2020 + 06/05/2020 + 14/05/2020 + 20/05/2020 + 29/05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946"/>
    <d v="2020-05-29T00:00:0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981 + INV 109111"/>
    <s v="02/07/2020 + 15/12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9111"/>
    <d v="2020-12-15T00:00:00"/>
    <n v="0"/>
    <x v="1"/>
    <n v="0"/>
    <n v="0"/>
    <n v="0"/>
  </r>
  <r>
    <s v="RA301"/>
    <m/>
    <s v="CLI"/>
    <m/>
    <s v="ORION"/>
    <s v="WO004 - P00319_2019"/>
    <s v="P00319_2019"/>
    <s v="RA301 - PTC MONTHLY INVESTIGATOR FEES"/>
    <m/>
    <s v="INV 109111 + INV 109230"/>
    <s v="15/12/2021 + 23/04/2021"/>
    <n v="0"/>
    <x v="1"/>
    <n v="0"/>
    <n v="0"/>
    <n v="0"/>
  </r>
  <r>
    <s v="RA301"/>
    <m/>
    <s v="CLI"/>
    <m/>
    <s v="ORION"/>
    <s v="WO004 - P00319_2019"/>
    <s v="P00319_2019"/>
    <s v="RA301 - PTC MONTHLY INVESTIGATOR FEES"/>
    <m/>
    <s v="INV 109230 + INV 109254 + INV 109288"/>
    <s v="23/04/2021 + 14/05/2021 + 16/06/2021"/>
    <n v="0"/>
    <x v="1"/>
    <n v="0"/>
    <n v="0"/>
    <n v="0"/>
  </r>
  <r>
    <s v="RA301"/>
    <m/>
    <s v="CLI"/>
    <m/>
    <s v="ORION"/>
    <s v="WO004 - P00319_2019"/>
    <s v="P00319_2019"/>
    <s v="RA301 - PTC MONTHLY INVESTIGATOR FEES"/>
    <m/>
    <s v="INV 109288"/>
    <d v="2021-06-16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Up-front"/>
    <m/>
    <s v="INV 108668"/>
    <d v="2019-08-06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6/2019 au 16/09/2019"/>
    <m/>
    <s v="INV 108668"/>
    <d v="2019-08-06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9/2019 au 16/12/2019"/>
    <m/>
    <s v="INV 108763"/>
    <d v="2019-10-24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12/2019 au 16/03/2020"/>
    <m/>
    <s v="INV 108914"/>
    <d v="2020-04-27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3/2020 - 16/06/2020"/>
    <m/>
    <s v="INV 108953"/>
    <d v="2020-06-04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6/2020 - 16/09/2020"/>
    <m/>
    <s v="INV 108984"/>
    <d v="2020-07-07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9/2020 au 16/12/2020"/>
    <m/>
    <s v="INV 109057"/>
    <d v="2020-10-13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12/2020 au 01/03/2021 2,7 mois"/>
    <m/>
    <s v="INV 109134"/>
    <d v="2021-01-14T00:00:00"/>
    <n v="0"/>
    <x v="1"/>
    <n v="0"/>
    <n v="0"/>
    <n v="0"/>
  </r>
  <r>
    <s v="RA301"/>
    <m/>
    <s v="CLI"/>
    <m/>
    <s v="ORION"/>
    <s v="WO004 - P00319_2019"/>
    <s v="P00319_2019"/>
    <s v="RA301 - PTC - Other - Investigator meeting planning"/>
    <m/>
    <s v="INV 108577 "/>
    <d v="2019-05-30T00:00:00"/>
    <n v="0"/>
    <x v="1"/>
    <n v="0"/>
    <n v="0"/>
    <n v="0"/>
  </r>
  <r>
    <s v="RA301"/>
    <m/>
    <s v="CLI"/>
    <m/>
    <s v="ORION"/>
    <s v="WO004 - P00319_2019"/>
    <s v="P00319_2019"/>
    <s v="RA301 - PTC - Other - Investigator meeting planning"/>
    <m/>
    <s v="INV 108577"/>
    <d v="2019-05-30T00:00:00"/>
    <n v="0"/>
    <x v="1"/>
    <n v="0"/>
    <n v="0"/>
    <n v="0"/>
  </r>
  <r>
    <s v="RA301"/>
    <m/>
    <s v="CLI"/>
    <m/>
    <s v="ORION"/>
    <s v="WO004 - P00319_2019 + Amdt 1 WO004"/>
    <s v="P00319_2019"/>
    <s v="RA301 - PTC - EU SIVs (CCC 150)"/>
    <m/>
    <s v="INV 108735 - AV204573 - AV204574 + INV 108784 + INV 108824 + INV 108827 + INV 108864 + INV108953 + INV 108904"/>
    <s v="27/09/2019 + 03/10/2019 + 11/11/2019 + 31/12/2019 + 31/12/2019 + 20/02/2020 + 04/06/2020 + 15/04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8827 + INV 108864"/>
    <s v="31/12/2019 + 20/02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8914 + INV 108939 + INV 108953 + INV 108904"/>
    <s v="27/04/2020 + 19/05/2020 + 04/06/2020 + 15/04/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8984 + INV 109016 + INV 109036"/>
    <s v="07/07/2020 + 20/08/2020 + 15/09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036 + INV 109057 + INV 109081"/>
    <s v="15/09/2020 + 13/10/2020 + 11/11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081 + INV 109106"/>
    <s v="11/11/2020 + 09/12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106 + INV 109134"/>
    <s v="09/12/2020 + 14/01/2021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160 + INV 109186 + INV 209215"/>
    <s v="10/02/2021 + 08/03/2021 + 09/04/2021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209215 + INV 109249 + INV 109284"/>
    <s v="09/04/2021 + 11/05/2021 + 14/06/2021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m/>
    <m/>
    <n v="0"/>
    <x v="1"/>
    <n v="0"/>
    <n v="0"/>
    <n v="0"/>
  </r>
  <r>
    <s v="RA301"/>
    <m/>
    <s v="CLI"/>
    <m/>
    <s v="ORION"/>
    <s v="WO004 - P00319_2019 + Amdt 1 WO004"/>
    <s v="P00319_2019"/>
    <s v="RA301 - PTC - EU COVs"/>
    <m/>
    <s v="INV 109249"/>
    <d v="2021-05-11T00:00:00"/>
    <n v="0"/>
    <x v="1"/>
    <n v="0"/>
    <n v="0"/>
    <n v="0"/>
  </r>
  <r>
    <s v="RA301"/>
    <m/>
    <s v="CLI"/>
    <m/>
    <s v="ORION"/>
    <s v="WO004 - P00319_2019 + Amdt 1 WO004"/>
    <s v="P00319_2019"/>
    <s v="RA301 - PTC - EU COVs"/>
    <m/>
    <m/>
    <m/>
    <n v="0"/>
    <x v="1"/>
    <n v="0"/>
    <n v="0"/>
    <n v="0"/>
  </r>
  <r>
    <s v="RA301"/>
    <m/>
    <s v="CLI"/>
    <m/>
    <s v="ORION"/>
    <s v="WO004 - P00319_2019 + Amdt 1 WO004"/>
    <s v="P00319_2019"/>
    <s v="RA301 - PTC - Miscellaneous Study matos - Distribution (CCC 130)"/>
    <m/>
    <s v="INV 108794"/>
    <d v="2019-11-11T00:00:00"/>
    <n v="0"/>
    <x v="1"/>
    <n v="0"/>
    <n v="0"/>
    <n v="0"/>
  </r>
  <r>
    <s v="RA301"/>
    <m/>
    <s v="CLI"/>
    <m/>
    <s v="ORION"/>
    <s v="WO004 - P00319_2019 + Amdt 1 WO004"/>
    <s v="P00319_2019"/>
    <s v="RA301 - PTC - Other - Site set up"/>
    <m/>
    <s v="INV 108953 + INV 109160 + INV 109231 + INV 109249 + INV 109284"/>
    <s v="04/06/2020 + 10/02/2021 + 28/04/2021 + 11/05/2021 + 14/06/2021"/>
    <n v="0"/>
    <x v="1"/>
    <n v="0"/>
    <n v="0"/>
    <n v="0"/>
  </r>
  <r>
    <s v="RA301"/>
    <m/>
    <s v="CLI"/>
    <m/>
    <s v="ORION"/>
    <s v="WO004 - P00319_2019 + Amdt 1 WO004"/>
    <s v="P00319_2019"/>
    <s v="RA301 - PTC - Other - Site set up"/>
    <m/>
    <m/>
    <m/>
    <n v="0"/>
    <x v="1"/>
    <n v="0"/>
    <n v="0"/>
    <n v="0"/>
  </r>
  <r>
    <s v="RA301"/>
    <m/>
    <s v="CLI"/>
    <m/>
    <s v="ORION"/>
    <s v="WO004 - P00319_2019 + Amdt 1 WO004"/>
    <s v="P00319_2019"/>
    <s v="RA301 - PTC - Other - Site set up"/>
    <m/>
    <m/>
    <m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46 + INV 108981"/>
    <s v="29/05/2020 + 02/07/2020"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81"/>
    <d v="2020-07-02T00:00:00"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81"/>
    <d v="2020-07-02T00:00:00"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81"/>
    <d v="2020-07-02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134 + INV 109160 + INV 109125"/>
    <s v="14/01/2021 + 10/02/2021 + 09/04/2021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125 + INV 109224"/>
    <s v="09/04/2021 + 19/04/2021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- Other - IVRS (S-Clinica) (CCC 201)"/>
    <m/>
    <s v="INV108784+INV108824+INV108864+INV108914+INV108953+INV108984+ INV 109057 + Inv 109134 + INV 109160 + INV 109186 + INV 109284"/>
    <s v="11/11/2019+31/12/2019+20/02/2020+27/04/2020+04/06/2020+07/07/2020 + 13/10/2020 + 14/01/2021 + 10/02/2021 + 08/03/2021 + 14/06/2021"/>
    <n v="0"/>
    <x v="1"/>
    <n v="0"/>
    <n v="0"/>
    <n v="0"/>
  </r>
  <r>
    <s v="RA301"/>
    <m/>
    <s v="CLI"/>
    <m/>
    <s v="ORION"/>
    <s v="WO004 - P00319_2019 + Amdt 1 WO004 + Amendement 2 WO004 + Amendement 3 WO004"/>
    <m/>
    <s v="PTC INVESTIGATOR FEE"/>
    <m/>
    <s v="INV 109359"/>
    <d v="2021-08-18T00:00:00"/>
    <n v="410000"/>
    <x v="1"/>
    <n v="445013.69"/>
    <n v="0"/>
    <n v="445013.69"/>
  </r>
  <r>
    <s v="RA301"/>
    <m/>
    <s v="CLI"/>
    <m/>
    <s v="ORION"/>
    <s v="WO004 - P00319_2019 + Amdt 1 WO004 + Amendement 2 WO004 + Amendement 3 WO004"/>
    <m/>
    <s v="PTC ORACLE"/>
    <m/>
    <s v="INV 109365 + INV 109381 + INV 109645"/>
    <s v="27/08/2021 + 10/09/2021 + 20/06/2022"/>
    <n v="96199"/>
    <x v="1"/>
    <n v="97031.139999999985"/>
    <n v="0"/>
    <n v="97031.139999999985"/>
  </r>
  <r>
    <s v="RA301"/>
    <m/>
    <s v="CLI"/>
    <m/>
    <s v="ORION"/>
    <s v="WO004 - P00319_2019 + Amdt 1 WO004 + Amendement 2 WO004 + Amendement 3 WO004 + Amendement 4 WO004 "/>
    <m/>
    <s v="PTC"/>
    <m/>
    <s v="INV 109343 + INV 109365 + INV 109381 + INV 109422 + INV 109439 + INV 109563 + INV 109587"/>
    <s v="09/08/2021 + 27/08/2021 + 10/09/2021 + 21/10/2021 + 09/11/2021 + 18/03/2022 + 19/04/2022"/>
    <n v="387653"/>
    <x v="1"/>
    <n v="308218.00000000006"/>
    <n v="79434.999999999942"/>
    <n v="308218.00000000006"/>
  </r>
  <r>
    <s v="RA301"/>
    <m/>
    <s v="CLI"/>
    <m/>
    <s v="ORION"/>
    <s v="WO004 - Sponsor Change in Scope Notification Letter"/>
    <m/>
    <s v="Additional TFLs requested by sponsor.  Additional TFL implementation in CSR. Extension to study timeline"/>
    <m/>
    <m/>
    <m/>
    <n v="39014.07"/>
    <x v="1"/>
    <m/>
    <n v="39014.07"/>
    <n v="0"/>
  </r>
  <r>
    <s v="RI907"/>
    <m/>
    <s v="CLI"/>
    <s v="Josainne"/>
    <s v="ORION"/>
    <s v="35947-LOA"/>
    <m/>
    <s v="renal study - Direct fees"/>
    <m/>
    <s v="INV OCRF-FTI-000140 - OCFR-FTC-000091 + INV OCFR-FTI-000161"/>
    <s v="19/04/2024 - 08/05/2024 + 08/05/2024"/>
    <n v="53021"/>
    <x v="1"/>
    <n v="53021"/>
    <n v="0"/>
    <n v="53021"/>
  </r>
  <r>
    <s v="RI907"/>
    <m/>
    <s v="CLI"/>
    <s v="Josainne"/>
    <s v="ORION"/>
    <s v="35947-LOA"/>
    <m/>
    <s v="renal study - PTC"/>
    <m/>
    <s v="INV OCFR-PIN-000095"/>
    <d v="2024-04-19T00:00:00"/>
    <n v="6200"/>
    <x v="1"/>
    <n v="6200"/>
    <n v="0"/>
    <n v="6200"/>
  </r>
  <r>
    <s v="RI907"/>
    <m/>
    <s v="CLI"/>
    <s v="Josianne"/>
    <s v="ORION"/>
    <s v="35947-WO 009"/>
    <m/>
    <s v="RI907 - Renal Impairment Study - At siganture (247 522€ - LOA(53 021 €)"/>
    <m/>
    <s v="INV OCFR-FTI-000191"/>
    <d v="2024-06-19T00:00:00"/>
    <n v="194501"/>
    <x v="1"/>
    <n v="194501"/>
    <n v="0"/>
    <n v="194501"/>
  </r>
  <r>
    <s v="RI907"/>
    <m/>
    <s v="CLI"/>
    <s v="Josainne"/>
    <s v="ORION"/>
    <s v="35947-WO 009"/>
    <m/>
    <s v="RI907 - Renal Impairment Study - Combined Approval Received"/>
    <m/>
    <s v="INV OCFR-FTI-000244"/>
    <d v="2024-08-15T00:00:00"/>
    <n v="82507"/>
    <x v="1"/>
    <n v="82507.289999999994"/>
    <n v="0"/>
    <n v="82507.289999999994"/>
  </r>
  <r>
    <s v="RI907"/>
    <m/>
    <s v="CLI"/>
    <s v="Josainne"/>
    <s v="ORION"/>
    <s v="35947-WO 009"/>
    <m/>
    <s v="RI907 - Renal Impairment Study - eCRF go live"/>
    <m/>
    <s v="INV OCFR-FTI-000266"/>
    <d v="2024-09-09T00:00:00"/>
    <n v="82507"/>
    <x v="1"/>
    <n v="82507"/>
    <n v="0"/>
    <n v="82507"/>
  </r>
  <r>
    <s v="RI907"/>
    <m/>
    <s v="CLI"/>
    <s v="Josainne"/>
    <s v="ORION"/>
    <s v="35947-WO 009"/>
    <m/>
    <s v="RI907 - Renal Impairment Study - First subject First Dose Cohort 1"/>
    <m/>
    <s v="INV OCFR-FTI-000274"/>
    <d v="2024-09-23T00:00:00"/>
    <n v="49504"/>
    <x v="1"/>
    <n v="49504"/>
    <n v="0"/>
    <n v="49504"/>
  </r>
  <r>
    <s v="RI907"/>
    <m/>
    <s v="CLI"/>
    <s v="Josainne"/>
    <s v="ORION"/>
    <s v="35947-WO 009"/>
    <m/>
    <s v="RI907 - Renal Impairment Study - First subject First Dose Cohort 2"/>
    <m/>
    <s v="INV OCFR-FTI-000360"/>
    <d v="2024-12-09T00:00:00"/>
    <n v="49504"/>
    <x v="1"/>
    <n v="49504.38"/>
    <n v="0"/>
    <n v="49504.38"/>
  </r>
  <r>
    <s v="RI907"/>
    <m/>
    <s v="CLI"/>
    <s v="Josainne"/>
    <s v="ORION"/>
    <s v="35947-WO 009 - CO1"/>
    <m/>
    <s v="RI907 - Renal Impairment Study - Signature CO#1"/>
    <m/>
    <s v="INV OCFR-FTI-000568"/>
    <d v="2025-07-24T00:00:00"/>
    <n v="143320"/>
    <x v="1"/>
    <n v="143319.75"/>
    <n v="0.25"/>
    <n v="143319.75"/>
  </r>
  <r>
    <s v="RI907"/>
    <m/>
    <s v="CLI"/>
    <s v="Josainne"/>
    <s v="ORION"/>
    <s v="35947-WO 009 - CO1"/>
    <m/>
    <s v="RI907 - Renal Impairment Study - Last Subject Last visit Cohort 1"/>
    <m/>
    <s v="INV OCFR-FTI-000657"/>
    <d v="2025-10-23T00:00:00"/>
    <n v="69185"/>
    <x v="1"/>
    <n v="69185.55"/>
    <n v="0"/>
    <n v="69185.55"/>
  </r>
  <r>
    <s v="RI907"/>
    <m/>
    <s v="CLI"/>
    <s v="Josainne"/>
    <s v="ORION"/>
    <s v="35947-WO 009 - CO1"/>
    <m/>
    <s v="RI907 - Renal Impairment Study - Last Subject Last visit Cohort 2"/>
    <m/>
    <s v="INV OCFR-FTI-000656"/>
    <d v="2025-10-23T00:00:00"/>
    <n v="69185"/>
    <x v="1"/>
    <n v="69185.55"/>
    <n v="0"/>
    <n v="69185.55"/>
  </r>
  <r>
    <s v="RI907"/>
    <m/>
    <s v="CLI"/>
    <s v="Josainne"/>
    <s v="ORION"/>
    <s v="35947-WO 009 - CO1"/>
    <m/>
    <s v="RI907 - Renal Impairment Study Database Lock"/>
    <m/>
    <s v="INV OCFR-FTI-000685"/>
    <d v="2025-11-24T00:00:00"/>
    <n v="46124"/>
    <x v="1"/>
    <n v="46123.35"/>
    <n v="0"/>
    <n v="46123.35"/>
  </r>
  <r>
    <s v="RI907"/>
    <m/>
    <s v="CLI"/>
    <s v="Josainne"/>
    <s v="ORION"/>
    <s v="35947-WO 009 - CO1"/>
    <m/>
    <s v="RI907 - Renal Impairment Study - Draft CSR"/>
    <m/>
    <m/>
    <m/>
    <n v="18161"/>
    <x v="1"/>
    <m/>
    <n v="18161"/>
    <n v="0"/>
  </r>
  <r>
    <s v="RI907"/>
    <m/>
    <s v="CLI"/>
    <s v="Josainne"/>
    <s v="ORION"/>
    <s v="35947-WO 009"/>
    <m/>
    <s v="RI907 - Renal Impairment Study - Monthly fees 2024 (9 mois x 18 335€)"/>
    <m/>
    <s v="INV OCFR-FTI-000211 - OCFR-FTC-000121 + INV OCFR-FTI-000213"/>
    <s v="02/07/2024 + 09/07/2024 + 09/07/2024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236"/>
    <d v="2024-08-06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246"/>
    <d v="2024-09-03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278"/>
    <d v="2024-10-02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309"/>
    <d v="2024-11-05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361"/>
    <d v="2024-12-09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5 (9 mois x 18 335€)"/>
    <m/>
    <s v="INV OCFR-FTI-000372"/>
    <d v="2025-01-07T00:00:00"/>
    <n v="19252"/>
    <x v="1"/>
    <n v="19252"/>
    <n v="0"/>
    <n v="19252"/>
  </r>
  <r>
    <s v="RI907"/>
    <m/>
    <s v="CLI"/>
    <s v="Josainne"/>
    <s v="ORION"/>
    <s v="35947-WO 009"/>
    <m/>
    <s v="RI907 - Renal Impairment Study - Monthly fees 2025 (9 mois x 18 335€)"/>
    <m/>
    <s v="INV OCFR-FTI-000401"/>
    <d v="2025-02-04T00:00:00"/>
    <n v="19252"/>
    <x v="1"/>
    <n v="19252"/>
    <n v="0"/>
    <n v="19252"/>
  </r>
  <r>
    <s v="RI907"/>
    <m/>
    <s v="CLI"/>
    <s v="Josainne"/>
    <s v="ORION"/>
    <s v="35947-WO 009"/>
    <m/>
    <s v="RI907 - Renal Impairment Study - Monthly fees 2025 (9 mois x 18 335€)"/>
    <m/>
    <s v="INV OCFR-FTI-000435"/>
    <d v="2025-03-05T00:00:00"/>
    <n v="19252"/>
    <x v="1"/>
    <n v="19252"/>
    <n v="0"/>
    <n v="19252"/>
  </r>
  <r>
    <s v="RI907"/>
    <m/>
    <s v="CLI"/>
    <s v="Josainne"/>
    <s v="ORION"/>
    <s v="35947-WO 009"/>
    <m/>
    <s v="RI907 - Renal Impairment Study - Monthly fees 2025 (7 mois x 6 188€)"/>
    <m/>
    <s v="INV OCFR-FTI-000465"/>
    <d v="2025-04-03T00:00:00"/>
    <n v="6188"/>
    <x v="1"/>
    <n v="6188.05"/>
    <n v="0"/>
    <n v="6188.05"/>
  </r>
  <r>
    <s v="RI907"/>
    <m/>
    <s v="CLI"/>
    <s v="Josainne"/>
    <s v="ORION"/>
    <s v="35947-WO 009"/>
    <m/>
    <s v="RI907 - Renal Impairment Study - Monthly fees 2025 (7 mois x 6 188€)"/>
    <m/>
    <s v="INV OCFR-FTI-000484"/>
    <d v="2025-05-06T00:00:00"/>
    <n v="6188"/>
    <x v="1"/>
    <n v="6188.05"/>
    <n v="0"/>
    <n v="6188.05"/>
  </r>
  <r>
    <s v="RI907"/>
    <m/>
    <s v="CLI"/>
    <s v="Josainne"/>
    <s v="ORION"/>
    <s v="35947-WO 009"/>
    <m/>
    <s v="RI907 - Renal Impairment Study - Monthly fees 2025 (7 mois x 6 188€)"/>
    <m/>
    <s v="INV OCFR-FTI-000513"/>
    <d v="2025-06-04T00:00:00"/>
    <n v="6188"/>
    <x v="1"/>
    <n v="6188.05"/>
    <n v="0"/>
    <n v="6188.05"/>
  </r>
  <r>
    <s v="RI907"/>
    <m/>
    <s v="CLI"/>
    <s v="Josainne"/>
    <s v="ORION"/>
    <s v="35947-WO 009"/>
    <m/>
    <s v="RI907 - Renal Impairment Study - Monthly fees 2025 (7 mois x 6 188€)"/>
    <m/>
    <s v="INV OCFR-FTI-000544 + INV OCFR-FTC-000301+INV OCFR-FTI-000569"/>
    <s v="03/07/2025+28/07/2025+28/07/2025"/>
    <n v="6188"/>
    <x v="1"/>
    <n v="6188.05"/>
    <n v="0"/>
    <n v="6188.05"/>
  </r>
  <r>
    <s v="RI907"/>
    <m/>
    <s v="CLI"/>
    <s v="Josainne"/>
    <s v="ORION"/>
    <s v="35947-WO 009 - CO1"/>
    <m/>
    <s v="RI907 - Renal Impairment Study - Monthly fees 2025 (5 mois x 12 262 €)"/>
    <m/>
    <s v="INV OCFR-FTI-000570"/>
    <d v="2025-08-03T00:00:00"/>
    <n v="12262"/>
    <x v="1"/>
    <n v="12261.48"/>
    <n v="0"/>
    <n v="12261.48"/>
  </r>
  <r>
    <s v="RI907"/>
    <m/>
    <s v="CLI"/>
    <s v="Josainne"/>
    <s v="ORION"/>
    <s v="35947-WO 009 - CO1"/>
    <m/>
    <s v="RI907 - Renal Impairment Study - Monthly fees 2025 (5 mois x 12 262 €)"/>
    <m/>
    <s v="INV OCFR-FTI-000625"/>
    <d v="2025-09-22T00:00:00"/>
    <n v="12262"/>
    <x v="1"/>
    <n v="12261.48"/>
    <n v="0"/>
    <n v="12261.48"/>
  </r>
  <r>
    <s v="RI907"/>
    <m/>
    <s v="CLI"/>
    <s v="Josainne"/>
    <s v="ORION"/>
    <s v="35947-WO 009 - CO1"/>
    <m/>
    <s v="RI907 - Renal Impairment Study - Monthly fees 2025 (5 mois x 12 262 €)"/>
    <m/>
    <s v="INV OCFR-FTI-000655"/>
    <d v="2025-10-23T00:00:00"/>
    <n v="12262"/>
    <x v="1"/>
    <n v="12261.48"/>
    <n v="0"/>
    <n v="12261.48"/>
  </r>
  <r>
    <s v="RI907"/>
    <m/>
    <s v="CLI"/>
    <s v="Josainne"/>
    <s v="ORION"/>
    <s v="35947-WO 009 - CO1"/>
    <m/>
    <s v="RI907 - Renal Impairment Study - Monthly fees 2025 (5 mois x 12 262 €)"/>
    <m/>
    <s v="INV OCFR-FTI-000686 + INVV OCFR-FTI-000699"/>
    <s v="28/11/2025 + 04/12/2025"/>
    <n v="12262"/>
    <x v="1"/>
    <n v="12261.48"/>
    <n v="0"/>
    <n v="12261.48"/>
  </r>
  <r>
    <s v="RI907"/>
    <m/>
    <s v="CLI"/>
    <s v="Josainne"/>
    <s v="ORION"/>
    <s v="35947-WO 009 - CO1"/>
    <m/>
    <s v="RI907 - Renal Impairment Study - Monthly fees 2025 (5 mois x 12 262 €)"/>
    <m/>
    <s v="INV OCFR-FTI-000700"/>
    <d v="2025-12-04T00:00:00"/>
    <n v="12262"/>
    <x v="1"/>
    <n v="12260.93"/>
    <n v="0"/>
    <n v="12260.93"/>
  </r>
  <r>
    <s v="RI907"/>
    <m/>
    <s v="CLI"/>
    <s v="Josainne"/>
    <s v="ORION"/>
    <s v="35947-WO 009 - CO1"/>
    <m/>
    <s v="RI907 - Renal Impairment Study - Monthly fees 2026 (2 mois x 6 054 €)"/>
    <m/>
    <s v="INV OCFR-FTI-000840"/>
    <d v="2026-01-15T00:00:00"/>
    <n v="6054"/>
    <x v="1"/>
    <n v="6053.83"/>
    <n v="0.17000000000007276"/>
    <n v="6053.83"/>
  </r>
  <r>
    <s v="RI907"/>
    <m/>
    <s v="CLI"/>
    <s v="Josainne"/>
    <s v="ORION"/>
    <s v="35947-WO 009 - CO1"/>
    <m/>
    <s v="RI907 - Renal Impairment Study - Monthly fees 2026 (2 mois x 6 054 €)"/>
    <d v="2026-01-01T00:00:00"/>
    <m/>
    <m/>
    <n v="6054"/>
    <x v="1"/>
    <m/>
    <n v="6054"/>
    <n v="0"/>
  </r>
  <r>
    <s v="RI907"/>
    <m/>
    <s v="CLI"/>
    <s v="Josainne"/>
    <s v="ORION"/>
    <s v="35947-WO 009 - CO1"/>
    <m/>
    <s v="RI907 - Renal Impairment Study - PTC"/>
    <m/>
    <s v="INV OCFR-PIN-000240 + INV OCFR-PIN-000279 + INV OCFR-PIN-000301 + INV OCFR-PIN-000300 + INV OCFR-PIN-000331 + INV OCFR-PCN-000281 + INV OCFR-PIN-000357 + INV OCFR-PIN-000408 + INV OCFR-PIN-000413 + INV OCFR-PIN-000432 + INV OCFR-PIN-000445"/>
    <s v="30/01/2025 + 27/03/2025 + 30/04/2025 + 30/04/2025 + 30/06/2025 + 16/07/2025 + 30/07/2025 + 20/10/2025 + 30/10/2025 + 27/11/2025 + 18/12/2025"/>
    <n v="8594"/>
    <x v="1"/>
    <n v="3241.45"/>
    <n v="5352.55"/>
    <n v="3241.45"/>
  </r>
  <r>
    <s v="RI907"/>
    <m/>
    <s v="CLI"/>
    <s v="Josainne"/>
    <s v="ORION"/>
    <s v="35947-WO 009 - CO1"/>
    <m/>
    <s v="RI907 - Renal Impairment Study - PTC - ORACLE"/>
    <m/>
    <s v="INV OCFR-PIN-000231 + INV OCFR-PIN-000260 + INV OCFR-PIN-000279 + INV OCFR-PIN-000301 + INV OCFR-PIN-000300 + INV OCFR-PIN-000331 + INV OCFR-PIN-000408 + INV OCFR-PIN-000413 + INV OCFR-PIN-000432"/>
    <s v="31/12/2024 + 27/02/2025 + 27/03/2025 + 30/04/2025 + 30/04/2025 + 30/06/2025 + 20/10/2025 + 30/10/2025 + 27/11/2025"/>
    <n v="41553"/>
    <x v="1"/>
    <n v="32235.219999999994"/>
    <n v="9317.7800000000061"/>
    <n v="32235.219999999994"/>
  </r>
  <r>
    <s v="NOTAPP"/>
    <m/>
    <s v="LAB"/>
    <s v="Didier S"/>
    <s v="OROXCELL"/>
    <s v="DV3501-1 - P00235_2024"/>
    <s v="P00235_2024"/>
    <s v="Retour archive études"/>
    <m/>
    <m/>
    <m/>
    <n v="300"/>
    <x v="1"/>
    <m/>
    <n v="300"/>
    <n v="0"/>
  </r>
  <r>
    <s v="ABX464"/>
    <m/>
    <s v="MED"/>
    <m/>
    <s v="OXFORD UNIVERSITY"/>
    <s v="1553289 - P00518_2024"/>
    <s v="P00518_2024"/>
    <s v="2 journals sub renewal 2025"/>
    <m/>
    <s v="INV 01553289"/>
    <d v="2024-10-18T00:00:00"/>
    <n v="2902"/>
    <x v="1"/>
    <n v="2902"/>
    <n v="0"/>
    <n v="2902"/>
  </r>
  <r>
    <s v="NOTAPP"/>
    <m/>
    <s v="LAB"/>
    <s v="Aude G"/>
    <s v="OZYME"/>
    <s v="OZY29740S - P00423_2024"/>
    <s v="P00423_2024"/>
    <s v="Maintenance Nanodrop 1 an - 10/09/2024 au 10/09/2025"/>
    <m/>
    <s v="INV FA852837"/>
    <d v="2024-09-12T00:00:00"/>
    <n v="766.48"/>
    <x v="1"/>
    <n v="766.48"/>
    <n v="0"/>
    <n v="766.48"/>
  </r>
  <r>
    <s v="NOTAPP"/>
    <m/>
    <s v="LAB"/>
    <s v="Aude G"/>
    <s v="OZYME"/>
    <s v="OZY29740S - P00423_2024"/>
    <s v="P00423_2024"/>
    <s v="Maintenance Nanodrop 1 an - 10/09/2025 au 10/09/2026"/>
    <m/>
    <s v="INV FA852837"/>
    <d v="2024-09-12T00:00:00"/>
    <n v="766.48"/>
    <x v="1"/>
    <n v="766.48"/>
    <n v="0"/>
    <n v="766.48"/>
  </r>
  <r>
    <s v="NOTAPP"/>
    <m/>
    <s v="LAB"/>
    <s v="Aude G"/>
    <s v="OZYME"/>
    <s v="OZY29740S - P00423_2024"/>
    <s v="P00423_2024"/>
    <s v="Maintenance Nanodrop 1 an - 10/09/2025 au 10/09/2027"/>
    <m/>
    <s v="INV FA852837"/>
    <d v="2024-09-12T00:00:00"/>
    <n v="766.48"/>
    <x v="1"/>
    <n v="766.48"/>
    <n v="0"/>
    <n v="766.48"/>
  </r>
  <r>
    <s v="MD914"/>
    <m/>
    <s v="CLI"/>
    <m/>
    <s v="PAREXEL"/>
    <s v="289377 - MSA_24225_LOI"/>
    <s v="Pas de PO"/>
    <s v="LOI - ABX464 - Etude 914"/>
    <m/>
    <s v="INV 12101115385"/>
    <d v="2024-12-31T00:00:00"/>
    <n v="150000"/>
    <x v="3"/>
    <n v="150000"/>
    <n v="0"/>
    <n v="150000"/>
  </r>
  <r>
    <s v="MD914"/>
    <m/>
    <s v="CLI"/>
    <s v="Josianne"/>
    <s v="PAREXEL"/>
    <s v="289377 - MSA_25001"/>
    <s v="Pas de PO"/>
    <s v="MD914 - Phase 1 in healthy participants - Upon signature LOI (9%) - allready invoice in LOI"/>
    <m/>
    <m/>
    <m/>
    <n v="0"/>
    <x v="3"/>
    <n v="0"/>
    <n v="0"/>
    <n v="0"/>
  </r>
  <r>
    <s v="MD914"/>
    <m/>
    <s v="CLI"/>
    <s v="Josianne"/>
    <s v="PAREXEL"/>
    <s v="289377 - MSA_25001"/>
    <s v="Pas de PO"/>
    <s v="MD914 - Phase 1 in healthy participants - Upon signature (11%)"/>
    <m/>
    <s v="INV 12011315383"/>
    <d v="2025-04-22T00:00:00"/>
    <n v="186172.23"/>
    <x v="3"/>
    <n v="186172.23"/>
    <n v="0"/>
    <n v="186172.23"/>
  </r>
  <r>
    <s v="MD914"/>
    <m/>
    <s v="CLI"/>
    <s v="Josianne"/>
    <s v="PAREXEL"/>
    <s v="289377 - MSA_25001"/>
    <s v="Pas de PO"/>
    <s v="MD914 - Phase 1 in healthy participants - First Subject Screened (20%)"/>
    <m/>
    <s v="INV 12011316088 "/>
    <d v="2025-04-25T00:00:00"/>
    <n v="336172.23"/>
    <x v="3"/>
    <n v="336172.23"/>
    <n v="0"/>
    <n v="336172.23"/>
  </r>
  <r>
    <s v="MD914"/>
    <m/>
    <s v="CLI"/>
    <s v="Josianne"/>
    <s v="PAREXEL"/>
    <s v="289377 - MSA_25001"/>
    <s v="Pas de PO"/>
    <s v="MD914 - Phase 1 in healthy participants - First Subject Dosed (15%)"/>
    <m/>
    <s v="INV 12011316596"/>
    <d v="2025-04-30T00:00:00"/>
    <n v="252129.18"/>
    <x v="3"/>
    <n v="252129.18"/>
    <n v="0"/>
    <n v="252129.18"/>
  </r>
  <r>
    <s v="MD914"/>
    <m/>
    <s v="CLI"/>
    <s v="Josianne"/>
    <s v="PAREXEL"/>
    <s v="289377 - MSA_25001"/>
    <s v="Pas de PO"/>
    <s v="MD914 - Phase 1 in healthy participants - Upon 50% Subject completed (15%)"/>
    <m/>
    <s v="INV 12011321205"/>
    <d v="2025-06-18T00:00:00"/>
    <n v="252129.18"/>
    <x v="3"/>
    <n v="252129.18"/>
    <n v="0"/>
    <n v="252129.18"/>
  </r>
  <r>
    <s v="MD914"/>
    <m/>
    <s v="CLI"/>
    <s v="Josianne"/>
    <s v="PAREXEL"/>
    <s v="289377 - MSA_25001"/>
    <s v="Pas de PO"/>
    <s v="MD914 - Phase 1 in healthy participants - Upon completion of clinical part ( 10%)"/>
    <m/>
    <s v="INV 12011326682"/>
    <d v="2025-08-12T00:00:00"/>
    <n v="168086.12"/>
    <x v="3"/>
    <n v="168086.12"/>
    <n v="0"/>
    <n v="168086.12"/>
  </r>
  <r>
    <s v="MD914"/>
    <m/>
    <s v="CLI"/>
    <s v="Josianne"/>
    <s v="PAREXEL"/>
    <s v="289377 - MSA_25001"/>
    <s v="Pas de PO"/>
    <s v="MD914 - Phase 1 in healthy participants - Upon database locked &amp; final Statistics (10%)"/>
    <d v="2025-08-06T00:00:00"/>
    <m/>
    <m/>
    <n v="168086.12"/>
    <x v="3"/>
    <m/>
    <n v="168086.12"/>
    <n v="0"/>
  </r>
  <r>
    <s v="MD914"/>
    <m/>
    <s v="CLI"/>
    <s v="Josianne"/>
    <s v="PAREXEL"/>
    <s v="289377 - MSA_25001"/>
    <s v="Pas de PO"/>
    <s v="MD914 - Phase 1 in healthy participants - Upond delivery of draft report (10%)"/>
    <d v="2025-10-31T00:00:00"/>
    <m/>
    <m/>
    <n v="168086.12"/>
    <x v="3"/>
    <m/>
    <n v="168086.12"/>
    <n v="0"/>
  </r>
  <r>
    <s v="MD914"/>
    <m/>
    <s v="CLI"/>
    <s v="Josianne"/>
    <s v="PAREXEL"/>
    <s v="289377 - MSA_25001"/>
    <s v="Pas de PO"/>
    <s v="MD914 - Phase 1 in healthy participants - PTC"/>
    <m/>
    <s v="INV 12011318775 + INV 12011321182 + INV12011325680 + INV 12011331198 + I NV 12011334719 + INV 12011337933"/>
    <s v="27/05/2025 + 25/06/2025 + 30/07/2025 + 26/09/2025 + 31/10/2025 + 30/11/2025"/>
    <n v="690150.24"/>
    <x v="3"/>
    <n v="651821.64999999991"/>
    <n v="38328.590000000084"/>
    <n v="651821.64999999991"/>
  </r>
  <r>
    <s v="ABX711"/>
    <m/>
    <s v="CMC"/>
    <m/>
    <s v="PATHEON"/>
    <s v="P00103_2023"/>
    <s v="P00103_2023"/>
    <s v="ABX711 colums purchase for the analytical work done at Patheon"/>
    <m/>
    <m/>
    <m/>
    <n v="2433.4"/>
    <x v="1"/>
    <m/>
    <n v="2433.4"/>
    <n v="0"/>
  </r>
  <r>
    <s v="ABX464"/>
    <m/>
    <s v="CMC"/>
    <s v="Sunil S / Jerome"/>
    <s v="PATHEON - THERMO FISHER TORONTO"/>
    <s v="P-TRP-333562-R7 - Achat MP - P00242_2024"/>
    <s v="P00242_2024"/>
    <s v="TORO-ABX464 IR Capsules 25mg et 50mg Manuf - Withe opaque hard caps size 1"/>
    <m/>
    <s v="INV 90171013 + INV 90174164"/>
    <s v="30/10/2024 + 27/01/2025"/>
    <n v="14389.95"/>
    <x v="3"/>
    <n v="14235.880000000001"/>
    <n v="0"/>
    <n v="14235.880000000001"/>
  </r>
  <r>
    <s v="ABX711"/>
    <m/>
    <s v="CMC"/>
    <m/>
    <s v="PATHEON France"/>
    <s v="P-BRP-312071-R1 - P00027_2024 - Annule PO00361_2022"/>
    <s v="P00027_2024"/>
    <s v="Formulation developpment CTM manufacture ABX711"/>
    <m/>
    <s v="INV 303801187"/>
    <s v="22/02/2024 (Recu 06/2024)"/>
    <n v="42428"/>
    <x v="1"/>
    <n v="42428"/>
    <n v="0"/>
    <n v="42428"/>
  </r>
  <r>
    <s v="ABX464"/>
    <m/>
    <s v="CMC"/>
    <m/>
    <s v="PCAS - SEQENS"/>
    <s v="(WO26#2021) - P00069_2021 - Lot de validation 1"/>
    <s v="P00069_2021"/>
    <s v="ICH Stability studies for technical and validation Item 1 - At the beginning of the study"/>
    <m/>
    <s v="INV 00010 21001799 RI"/>
    <d v="2021-07-05T00:00:00"/>
    <n v="10000"/>
    <x v="1"/>
    <s v="OK"/>
    <n v="0"/>
    <n v="10000"/>
  </r>
  <r>
    <s v="ABX464"/>
    <m/>
    <s v="CMC"/>
    <m/>
    <s v="PCAS - SEQENS"/>
    <s v="(WO26#2021) - P00069_2021 - Lot de validation 1"/>
    <s v="P00069_2021"/>
    <s v="ICH Stability studies for technical and validation Item 2 - At issu of 12 months results"/>
    <m/>
    <s v="INV 00010 22002928 RI"/>
    <d v="2022-09-30T00:00:00"/>
    <n v="10000"/>
    <x v="1"/>
    <s v="OK"/>
    <n v="0"/>
    <n v="10000"/>
  </r>
  <r>
    <s v="ABX464"/>
    <m/>
    <s v="CMC"/>
    <m/>
    <s v="PCAS - SEQENS"/>
    <s v="(WO26#2021) - P00069_2021 - Lot de validation 1"/>
    <s v="P00069_2021"/>
    <s v="ICH Stability studies for technical and validation Item 3 - At the issu of of 24 months results"/>
    <m/>
    <s v="INV 00010 23002228 RI"/>
    <d v="2023-10-10T00:00:00"/>
    <n v="10000"/>
    <x v="1"/>
    <n v="10000"/>
    <n v="0"/>
    <n v="10000"/>
  </r>
  <r>
    <s v="ABX464"/>
    <m/>
    <s v="CMC"/>
    <m/>
    <s v="PCAS - SEQENS"/>
    <s v="(WO26#2021) - P00069_2021 - Lot de validation 1"/>
    <s v="P00069_2021"/>
    <s v="ICH Stability studies for technical and validation Item 4 - At the issu of of 36 months results"/>
    <m/>
    <s v="INV0001024002022 RI"/>
    <d v="2024-09-11T00:00:00"/>
    <n v="5000"/>
    <x v="1"/>
    <n v="5000"/>
    <n v="0"/>
    <n v="5000"/>
  </r>
  <r>
    <s v="ABX464"/>
    <m/>
    <s v="CMC"/>
    <m/>
    <s v="PCAS - SEQENS"/>
    <s v="(WO26#2021) - P00069_2021 - Lot de validation 1"/>
    <s v="P00069_2021"/>
    <s v="ICH Stability studies for technical and validation Item 5 - At the issu of of 48 months results"/>
    <m/>
    <s v="INV 00010 25002584 RI"/>
    <d v="2025-10-31T00:00:00"/>
    <n v="5000"/>
    <x v="1"/>
    <n v="5000"/>
    <n v="0"/>
    <n v="5000"/>
  </r>
  <r>
    <s v="ABX464"/>
    <m/>
    <s v="CMC"/>
    <m/>
    <s v="PCAS - SEQENS"/>
    <s v="(WO26#2021) - P00069_2021 - Lot de validation 1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de validation 1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de validation 2"/>
    <s v="P00069_2021"/>
    <s v="ICH Stability studies for technical and validation Item 1 - At the beginning of the study"/>
    <d v="2021-03-01T00:00:00"/>
    <m/>
    <m/>
    <n v="10000"/>
    <x v="1"/>
    <m/>
    <n v="10000"/>
    <n v="0"/>
  </r>
  <r>
    <s v="ABX464"/>
    <m/>
    <s v="CMC"/>
    <m/>
    <s v="PCAS - SEQENS"/>
    <s v="(WO26#2021) - P00069_2021 - Lot de validation 2"/>
    <s v="P00069_2021"/>
    <s v="ICH Stability studies for technical and validation Item 2 - At issu of 12 months results"/>
    <d v="2022-03-01T00:00:00"/>
    <m/>
    <m/>
    <n v="10000"/>
    <x v="1"/>
    <m/>
    <n v="10000"/>
    <n v="0"/>
  </r>
  <r>
    <s v="ABX464"/>
    <m/>
    <s v="CMC"/>
    <m/>
    <s v="PCAS - SEQENS"/>
    <s v="(WO26#2021) - P00069_2021 - Lot de validation 2"/>
    <s v="P00069_2021"/>
    <s v="ICH Stability studies for technical and validation Item 3 - At the issu of of 24 months results"/>
    <d v="2023-03-01T00:00:00"/>
    <m/>
    <m/>
    <n v="10000"/>
    <x v="1"/>
    <m/>
    <n v="10000"/>
    <n v="0"/>
  </r>
  <r>
    <s v="ABX464"/>
    <m/>
    <s v="CMC"/>
    <m/>
    <s v="PCAS - SEQENS"/>
    <s v="(WO26#2021) - P00069_2021 - Lot de validation 2"/>
    <s v="P00069_2021"/>
    <s v="ICH Stability studies for technical and validation Item 4 - At the issu of of 36 months results"/>
    <d v="2024-03-01T00:00:00"/>
    <m/>
    <m/>
    <n v="5000"/>
    <x v="1"/>
    <m/>
    <n v="5000"/>
    <n v="0"/>
  </r>
  <r>
    <s v="ABX464"/>
    <m/>
    <s v="CMC"/>
    <m/>
    <s v="PCAS - SEQENS"/>
    <s v="(WO26#2021) - P00069_2021 - Lot de validation 2"/>
    <s v="P00069_2021"/>
    <s v="ICH Stability studies for technical and validation Item 5 - At the issu of of 48 months results"/>
    <d v="2025-03-01T00:00:00"/>
    <m/>
    <m/>
    <n v="5000"/>
    <x v="1"/>
    <m/>
    <n v="5000"/>
    <n v="0"/>
  </r>
  <r>
    <s v="ABX464"/>
    <m/>
    <s v="CMC"/>
    <m/>
    <s v="PCAS - SEQENS"/>
    <s v="(WO26#2021) - P00069_2021 - Lot de validation 2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de validation 2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de validation 3"/>
    <s v="P00069_2021"/>
    <s v="ICH Stability studies for technical and validation Item 1 - At the beginning of the study"/>
    <d v="2021-03-01T00:00:00"/>
    <m/>
    <m/>
    <n v="10000"/>
    <x v="1"/>
    <m/>
    <n v="10000"/>
    <n v="0"/>
  </r>
  <r>
    <s v="ABX464"/>
    <m/>
    <s v="CMC"/>
    <m/>
    <s v="PCAS - SEQENS"/>
    <s v="(WO26#2021) - P00069_2021 - Lot de validation 3"/>
    <s v="P00069_2021"/>
    <s v="ICH Stability studies for technical and validation Item 2 - At issu of 12 months results"/>
    <d v="2022-03-01T00:00:00"/>
    <m/>
    <m/>
    <n v="10000"/>
    <x v="1"/>
    <m/>
    <n v="10000"/>
    <n v="0"/>
  </r>
  <r>
    <s v="ABX464"/>
    <m/>
    <s v="CMC"/>
    <m/>
    <s v="PCAS - SEQENS"/>
    <s v="(WO26#2021) - P00069_2021 - Lot de validation 3"/>
    <s v="P00069_2021"/>
    <s v="ICH Stability studies for technical and validation Item 3 - At the issu of of 24 months results"/>
    <d v="2023-03-01T00:00:00"/>
    <m/>
    <m/>
    <n v="10000"/>
    <x v="1"/>
    <m/>
    <n v="10000"/>
    <n v="0"/>
  </r>
  <r>
    <s v="ABX464"/>
    <m/>
    <s v="CMC"/>
    <m/>
    <s v="PCAS - SEQENS"/>
    <s v="(WO26#2021) - P00069_2021 - Lot de validation 3"/>
    <s v="P00069_2021"/>
    <s v="ICH Stability studies for technical and validation Item 4 - At the issu of of 36 months results"/>
    <d v="2024-03-01T00:00:00"/>
    <m/>
    <m/>
    <n v="5000"/>
    <x v="1"/>
    <m/>
    <n v="5000"/>
    <n v="0"/>
  </r>
  <r>
    <s v="ABX464"/>
    <m/>
    <s v="CMC"/>
    <m/>
    <s v="PCAS - SEQENS"/>
    <s v="(WO26#2021) - P00069_2021 - Lot de validation 3"/>
    <s v="P00069_2021"/>
    <s v="ICH Stability studies for technical and validation Item 5 - At the issu of of 48 months results"/>
    <d v="2025-03-01T00:00:00"/>
    <m/>
    <m/>
    <n v="5000"/>
    <x v="1"/>
    <m/>
    <n v="5000"/>
    <n v="0"/>
  </r>
  <r>
    <s v="ABX464"/>
    <m/>
    <s v="CMC"/>
    <m/>
    <s v="PCAS - SEQENS"/>
    <s v="(WO26#2021) - P00069_2021 - Lot de validation 3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de validation 3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Réglementaire 1"/>
    <s v="P00069_2021"/>
    <s v="ICH Stability studies for technical and validation item 1 - At the beginning of the study"/>
    <m/>
    <s v="INV 0011 21000080 RI"/>
    <d v="2021-03-25T00:00:00"/>
    <n v="10000"/>
    <x v="1"/>
    <s v="OK"/>
    <n v="0"/>
    <n v="10000"/>
  </r>
  <r>
    <s v="ABX464"/>
    <m/>
    <s v="CMC"/>
    <m/>
    <s v="PCAS - SEQENS"/>
    <s v="(WO26#2021) - P00069_2021 - Lot Réglementaire 1"/>
    <s v="P00069_2021"/>
    <s v="ICH Stability studies for technical and validation item 2 - At issu of 12 months results"/>
    <m/>
    <s v="INV 00010 22001587 RI"/>
    <d v="2022-05-16T00:00:00"/>
    <n v="10000"/>
    <x v="1"/>
    <s v="OK"/>
    <n v="0"/>
    <n v="10000"/>
  </r>
  <r>
    <s v="ABX464"/>
    <m/>
    <s v="CMC"/>
    <m/>
    <s v="PCAS - SEQENS"/>
    <s v="(WO26#2021) - P00069_2021 - Lot Réglementaire 1"/>
    <s v="P00069_2021"/>
    <s v="ICH Stability studies for technical and validation item 3 - At the issu of of 24 months results"/>
    <m/>
    <s v="INV 00010 23001561 RI"/>
    <d v="2023-07-04T00:00:00"/>
    <n v="10000"/>
    <x v="1"/>
    <n v="10000"/>
    <n v="0"/>
    <n v="10000"/>
  </r>
  <r>
    <s v="ABX464"/>
    <m/>
    <s v="CMC"/>
    <m/>
    <s v="PCAS - SEQENS"/>
    <s v="(WO26#2021) - P00069_2021 - Lot Réglementaire 1"/>
    <s v="P00069_2021"/>
    <s v="ICH Stability studies for technical and validation item 4 - At the issu of of 36 months results"/>
    <m/>
    <s v="INV 00010 24001194 RI"/>
    <d v="2024-05-22T00:00:00"/>
    <n v="5000"/>
    <x v="1"/>
    <n v="5000"/>
    <n v="0"/>
    <n v="5000"/>
  </r>
  <r>
    <s v="ABX464"/>
    <m/>
    <s v="CMC"/>
    <m/>
    <s v="PCAS - SEQENS"/>
    <s v="(WO26#2021) - P00069_2021 - Lot Réglementaire 1"/>
    <s v="P00069_2021"/>
    <s v="ICH Stability studies for technical and validation item 5 - At the issu of of 48 months results"/>
    <m/>
    <s v="INV 00010 25001491 RI"/>
    <d v="2025-06-17T00:00:00"/>
    <n v="5000"/>
    <x v="1"/>
    <n v="5000"/>
    <n v="0"/>
    <n v="5000"/>
  </r>
  <r>
    <s v="ABX464"/>
    <m/>
    <s v="CMC"/>
    <m/>
    <s v="PCAS - SEQENS"/>
    <s v="(WO26#2021) - P00069_2021 - Lot Réglementaire 1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Réglementaire 1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réglementaire 2"/>
    <s v="P00069_2021"/>
    <s v="ICH Stability studies for technical and validation Item 1 - At the beginning of the study"/>
    <m/>
    <s v="INV 0011 21000081 RI"/>
    <d v="2021-03-25T00:00:00"/>
    <n v="10000"/>
    <x v="1"/>
    <s v="OK"/>
    <n v="0"/>
    <n v="10000"/>
  </r>
  <r>
    <s v="ABX464"/>
    <m/>
    <s v="CMC"/>
    <m/>
    <s v="PCAS - SEQENS"/>
    <s v="(WO26#2021) - P00069_2021 - Lot réglementaire 2"/>
    <s v="P00069_2021"/>
    <s v="ICH Stability studies for technical and validation Item 2 - At issu of 12 months results"/>
    <m/>
    <s v="INV 00010 22001589 RI"/>
    <d v="2022-05-16T00:00:00"/>
    <n v="10000"/>
    <x v="1"/>
    <s v="OK"/>
    <n v="0"/>
    <n v="10000"/>
  </r>
  <r>
    <s v="ABX464"/>
    <m/>
    <s v="CMC"/>
    <m/>
    <s v="PCAS - SEQENS"/>
    <s v="(WO26#2021) - P00069_2021 - Lot réglementaire 2"/>
    <s v="P00069_2021"/>
    <s v="ICH Stability studies for technical and validation Item 3 - At the issu of of 24 months results"/>
    <m/>
    <s v="INV 00010 23001562 RI"/>
    <d v="2023-07-04T00:00:00"/>
    <n v="10000"/>
    <x v="1"/>
    <n v="10000"/>
    <n v="0"/>
    <n v="10000"/>
  </r>
  <r>
    <s v="ABX464"/>
    <m/>
    <s v="CMC"/>
    <m/>
    <s v="PCAS - SEQENS"/>
    <s v="(WO26#2021) - P00069_2021 - Lot réglementaire 2"/>
    <s v="P00069_2021"/>
    <s v="ICH Stability studies for technical and validation Item 4 - At the issu of of 36 months results"/>
    <m/>
    <s v="INV 00010 24001195 RI"/>
    <d v="2024-05-22T00:00:00"/>
    <n v="5000"/>
    <x v="1"/>
    <n v="5000"/>
    <n v="0"/>
    <n v="5000"/>
  </r>
  <r>
    <s v="ABX464"/>
    <m/>
    <s v="CMC"/>
    <m/>
    <s v="PCAS - SEQENS"/>
    <s v="(WO26#2021) - P00069_2021 - Lot réglementaire 2"/>
    <s v="P00069_2021"/>
    <s v="ICH Stability studies for technical and validation Item 5 - At the issu of of 48 months results"/>
    <m/>
    <s v="INV 0001025001493 RI"/>
    <d v="2025-06-17T00:00:00"/>
    <n v="5000"/>
    <x v="1"/>
    <n v="5000"/>
    <n v="0"/>
    <n v="5000"/>
  </r>
  <r>
    <s v="ABX464"/>
    <m/>
    <s v="CMC"/>
    <m/>
    <s v="PCAS - SEQENS"/>
    <s v="(WO26#2021) - P00069_2021 - Lot réglementaire 2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réglementaire 2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49#2021) - P00302_2021"/>
    <s v="P00302_2021"/>
    <s v="Reasearch of the root cause of the change on the dissolution profile of ABX464"/>
    <m/>
    <s v="INV 00010 22000958 RI"/>
    <d v="2022-03-24T00:00:00"/>
    <n v="24750"/>
    <x v="1"/>
    <n v="13984"/>
    <n v="10766"/>
    <n v="13984"/>
  </r>
  <r>
    <s v="ABX464"/>
    <m/>
    <s v="CMC"/>
    <m/>
    <s v="PCAS - SEQENS"/>
    <s v="(WO51#2021) - P00306_2021"/>
    <s v="P00306_2021"/>
    <s v="ICH Stability studies on the milled J003 batches"/>
    <m/>
    <s v="INV 00010 22001251 RI + INV 00010 23000950 RI + INV 00010 24001346 RI + INV 00010 25000449 RI"/>
    <s v="15/04/2022 + 25/04/2023 + 05/06/2024 + 25/02/2025"/>
    <n v="68855"/>
    <x v="1"/>
    <n v="49395"/>
    <n v="19460"/>
    <n v="49395"/>
  </r>
  <r>
    <s v="ABX464"/>
    <m/>
    <s v="CMC"/>
    <m/>
    <s v="PCAS - SEQENS"/>
    <s v="W27 (WO2020#9) - P00693_2020 - SEQS"/>
    <s v="2020 - SEQS"/>
    <s v="GMP Procution 300 Kg ( 2 450 € / Kg) - Batch 1 - Réalité 330,50 kg"/>
    <m/>
    <s v="INV 00010 21002408 RI"/>
    <d v="2021-09-15T00:00:00"/>
    <n v="482000"/>
    <x v="1"/>
    <n v="580370"/>
    <n v="0"/>
    <n v="580370"/>
  </r>
  <r>
    <s v="ABX464"/>
    <m/>
    <s v="CMC"/>
    <m/>
    <s v="PCAS - SEQENS"/>
    <s v="W27 (WO2020#9) - P00693_2020 - SEQS"/>
    <s v="2020 - SEQS"/>
    <s v="GMP Procution 300 Kg ( 2 450 € / Kg) - Process validation"/>
    <s v="?"/>
    <m/>
    <m/>
    <n v="30000"/>
    <x v="1"/>
    <m/>
    <n v="30000"/>
    <n v="0"/>
  </r>
  <r>
    <s v="ABX464"/>
    <m/>
    <s v="CMC"/>
    <m/>
    <s v="PCAS - SEQENS"/>
    <s v="W28 (WO10#2020) - P00703_2020 - SEQS"/>
    <s v="2020 - SEQS"/>
    <s v="Analytical methods validation RSMs"/>
    <m/>
    <s v="INV 00010 20003797 RI + INV 00010 20004085 RI + INV 00010 21000862 RI + INV 00010 2300076 RI"/>
    <s v="30/11/2020 + 29/12/2020 + 31/03/2021 + 31/03/2023"/>
    <n v="252000"/>
    <x v="1"/>
    <n v="222000"/>
    <n v="30000"/>
    <n v="222000"/>
  </r>
  <r>
    <s v="ABX464"/>
    <m/>
    <s v="CMC"/>
    <m/>
    <s v="PCAS - SEQENS"/>
    <s v="W41 (WO23#2020) - P00871_2020"/>
    <s v="P00871_2020"/>
    <s v="Production batch GMP 2 x 300 kg + 600 kg de quinolinone"/>
    <s v="Année 2021"/>
    <s v="INV 00010 21003487 RI + INV 00010 21003421 RI"/>
    <s v="23/12/2021 + 20/12/2021"/>
    <n v="1730000"/>
    <x v="1"/>
    <n v="906444.65"/>
    <n v="823555.35"/>
    <n v="906444.65"/>
  </r>
  <r>
    <s v="BE904"/>
    <m/>
    <s v="CLI"/>
    <m/>
    <s v="PHINC"/>
    <s v="PH21004 - P00075_2021"/>
    <s v="P00075_2021"/>
    <s v="ABX464-904 PK Analysis - At signature"/>
    <m/>
    <s v="INV F21-851"/>
    <d v="2021-03-19T00:00:00"/>
    <n v="10118"/>
    <x v="1"/>
    <s v="OK"/>
    <n v="0"/>
    <n v="10118"/>
  </r>
  <r>
    <s v="BE904"/>
    <m/>
    <s v="CLI"/>
    <m/>
    <s v="PHINC"/>
    <s v="PH21004 - P00075_2021"/>
    <s v="P00075_2021"/>
    <s v="ABX464-904 PK Analysis - At completion of analysis plan"/>
    <m/>
    <m/>
    <m/>
    <n v="10118"/>
    <x v="1"/>
    <m/>
    <n v="10118"/>
    <n v="0"/>
  </r>
  <r>
    <s v="BE904"/>
    <m/>
    <s v="CLI"/>
    <m/>
    <s v="PHINC"/>
    <s v="PH21004 - P00075_2021"/>
    <s v="P00075_2021"/>
    <s v="ABX464-904 PK Analysis - At completion of PK analysis"/>
    <m/>
    <m/>
    <m/>
    <n v="10118"/>
    <x v="1"/>
    <m/>
    <n v="10118"/>
    <n v="0"/>
  </r>
  <r>
    <s v="BE904"/>
    <m/>
    <s v="CLI"/>
    <m/>
    <s v="PHINC"/>
    <s v="PH21004 - P00075_2021"/>
    <s v="P00075_2021"/>
    <s v="ABX464-904 PK Analysis - At first release of the draftreport"/>
    <m/>
    <m/>
    <m/>
    <n v="10118"/>
    <x v="1"/>
    <m/>
    <n v="10118"/>
    <n v="0"/>
  </r>
  <r>
    <s v="BE904"/>
    <m/>
    <s v="CLI"/>
    <m/>
    <s v="PHINC"/>
    <s v="PH21004 - P00075_2021"/>
    <s v="P00075_2021"/>
    <s v="ABX464-904 PK Analysis - At the relese of draft report"/>
    <m/>
    <m/>
    <m/>
    <n v="10118"/>
    <x v="1"/>
    <m/>
    <n v="10118"/>
    <n v="0"/>
  </r>
  <r>
    <s v="NA"/>
    <m/>
    <s v="CLI"/>
    <m/>
    <s v="PHINC"/>
    <s v="PH21008"/>
    <m/>
    <s v="Consulting Cli 50h"/>
    <m/>
    <s v="INV F21-867 + F21-873 + INV F21-879 "/>
    <s v="09/04/2021 + 30/04/2021 + 30/04/2021"/>
    <n v="11000"/>
    <x v="1"/>
    <n v="9500"/>
    <n v="1500"/>
    <n v="9500"/>
  </r>
  <r>
    <s v="TP906"/>
    <m/>
    <s v="CLI"/>
    <m/>
    <s v="PHINC"/>
    <s v="PH23028_WO13 - P00307_2023"/>
    <s v="P00307_2023"/>
    <s v="TP906 - PK analysis CSR writing and Study coordination - at signature"/>
    <m/>
    <s v="INV F23-1618"/>
    <d v="2023-09-20T00:00:00"/>
    <n v="30380"/>
    <x v="1"/>
    <n v="30380"/>
    <n v="0"/>
    <n v="30380"/>
  </r>
  <r>
    <s v="TP906"/>
    <m/>
    <s v="CLI"/>
    <m/>
    <s v="PHINC"/>
    <s v="PH23028_WO13 - P00307_2023"/>
    <s v="P00307_2023"/>
    <s v="TP906 - PK analysis CSR writing and Study coordination - at completion of SAP"/>
    <m/>
    <s v="INV F24-1881"/>
    <d v="2024-06-27T00:00:00"/>
    <n v="22785"/>
    <x v="1"/>
    <n v="22785"/>
    <n v="0"/>
    <n v="22785"/>
  </r>
  <r>
    <s v="TP906"/>
    <m/>
    <s v="CLI"/>
    <m/>
    <s v="PHINC"/>
    <s v="PH23028_WO13 - P00307_2023"/>
    <s v="P00307_2023"/>
    <s v="TP906 - PK analysis CSR writing and Study coordination -  at completion of PK analysis Part A"/>
    <m/>
    <m/>
    <m/>
    <n v="22785"/>
    <x v="1"/>
    <m/>
    <n v="22785"/>
    <n v="0"/>
  </r>
  <r>
    <s v="TP906"/>
    <m/>
    <s v="CLI"/>
    <m/>
    <s v="PHINC"/>
    <s v="PH23028_WO13 - P00307_2023"/>
    <s v="P00307_2023"/>
    <s v="TP906 - PK analysis CSR writing and Study coordination -  at completion of PK analysis Part B"/>
    <m/>
    <s v="INV F25-2207"/>
    <d v="2025-07-24T00:00:00"/>
    <n v="30380"/>
    <x v="1"/>
    <n v="30380"/>
    <n v="0"/>
    <n v="30380"/>
  </r>
  <r>
    <s v="TP906"/>
    <m/>
    <s v="CLI"/>
    <m/>
    <s v="PHINC"/>
    <s v="PH23028_WO13 - P00307_2023"/>
    <s v="P00307_2023"/>
    <s v="TP906 - PK analysis CSR writing and Study coordination - At sending of SDTM and ADaM PK package"/>
    <m/>
    <s v="INV F25-2215"/>
    <d v="2025-08-22T00:00:00"/>
    <n v="22785"/>
    <x v="1"/>
    <n v="22785"/>
    <n v="0"/>
    <n v="22785"/>
  </r>
  <r>
    <s v="TP906"/>
    <m/>
    <s v="CLI"/>
    <m/>
    <s v="PHINC"/>
    <s v="PH23028_WO13 - P00307_2023"/>
    <s v="P00307_2023"/>
    <s v="TP906 - PK analysis CSR writing and Study coordination - At release of the CSR"/>
    <m/>
    <s v="INV F25-2209"/>
    <d v="2025-08-28T00:00:00"/>
    <n v="22785"/>
    <x v="1"/>
    <n v="22785"/>
    <n v="0"/>
    <n v="22785"/>
  </r>
  <r>
    <s v="ABX464"/>
    <m/>
    <s v="CLI"/>
    <m/>
    <s v="PHINC"/>
    <s v="PH23075_WO16 - P00456_2023"/>
    <s v="P00456_2023"/>
    <s v="ABX464NGlu PKPD analyses on UC patients - At signature of the present Cost Estimate"/>
    <m/>
    <s v="INV F24-1745"/>
    <d v="2024-01-22T00:00:00"/>
    <n v="5000"/>
    <x v="1"/>
    <n v="5000"/>
    <n v="0"/>
    <n v="5000"/>
  </r>
  <r>
    <s v="ABX464"/>
    <m/>
    <s v="CLI"/>
    <m/>
    <s v="PHINC"/>
    <s v="PH2514_WO16 - Annule et remplace PH23075"/>
    <m/>
    <s v="ABX464NGlu PKPD analyses on UC patients - At completion of dapagliflozin and mefenamic acid report"/>
    <m/>
    <s v="INV F25-2242"/>
    <d v="2025-09-24T00:00:00"/>
    <n v="23680"/>
    <x v="1"/>
    <n v="23680"/>
    <n v="0"/>
    <n v="23680"/>
  </r>
  <r>
    <s v="ABX464"/>
    <m/>
    <s v="CLI"/>
    <m/>
    <s v="PHINC"/>
    <s v="PH23075_WO16 - P00456_2023 - Annulé"/>
    <s v="P00456_2023"/>
    <s v="ABX464NGlu PKPD analyses on UC patients - At completion of MAP 500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After Graphical exploration 892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PKPD modeling of 1st PD endpoint 748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PKPD modeling of 2nd PD endpoint 748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PKPD modeling of 3rd PD endpoint 748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PKPD modeling of 4th PD endpoint 748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PKPD modeling of 5th PD endpoint 7480"/>
    <m/>
    <m/>
    <m/>
    <n v="0"/>
    <x v="1"/>
    <m/>
    <n v="0"/>
    <n v="0"/>
  </r>
  <r>
    <s v="ABX464"/>
    <m/>
    <s v="CLI"/>
    <m/>
    <s v="PHINC"/>
    <s v="PH23075_WO16 - P00456_2023 - Annulé"/>
    <s v="P00456_2023"/>
    <s v="ABX464NGlu PKPD analyses on UC patients - PKPD modeling of 6th PD endpoint 7480"/>
    <m/>
    <m/>
    <m/>
    <n v="0"/>
    <x v="1"/>
    <m/>
    <n v="0"/>
    <n v="0"/>
  </r>
  <r>
    <s v="ABX464"/>
    <m/>
    <s v="CLI"/>
    <s v="Doug / Caroline L"/>
    <s v="PHINC"/>
    <s v="PH21028A5_WO19 - P00210_2024"/>
    <s v="P00210_2024"/>
    <s v="Additional cost for exploratory pediatric simulations"/>
    <m/>
    <m/>
    <m/>
    <n v="8160"/>
    <x v="1"/>
    <m/>
    <n v="8160"/>
    <n v="0"/>
  </r>
  <r>
    <s v="RI907"/>
    <m/>
    <s v="CLI"/>
    <s v="Doug / Caroline L"/>
    <s v="PHINC"/>
    <s v="PH24042_WO20 - P00253_2024"/>
    <s v="P00253_2024"/>
    <s v="RI907 - Renal impairment Study"/>
    <m/>
    <s v="INV F24-2026 +INV F25-2079"/>
    <s v="11/12/2024 + 13/02/2025"/>
    <n v="96900"/>
    <x v="1"/>
    <n v="35853"/>
    <n v="61047"/>
    <n v="35853"/>
  </r>
  <r>
    <s v="UC105"/>
    <m/>
    <s v="CLI"/>
    <s v="Julien"/>
    <s v="PHINC"/>
    <s v="PH23055_WO17"/>
    <m/>
    <s v="PK model ABX464&amp;N-Gluc ABTECT studies - At signature"/>
    <m/>
    <s v="INV F24-2040"/>
    <d v="2024-12-20T00:00:00"/>
    <n v="14496"/>
    <x v="1"/>
    <n v="14496"/>
    <n v="0"/>
    <n v="14496"/>
  </r>
  <r>
    <s v="UC105"/>
    <m/>
    <s v="CLI"/>
    <s v="Julien"/>
    <s v="PHINC"/>
    <s v="PH23055_WO17"/>
    <m/>
    <s v="PK model ABX464&amp;N-Gluc ABTECT studies - Part 1 PK CSR activities - completion PK SAPs"/>
    <m/>
    <s v="INV F25-2310"/>
    <d v="2025-12-31T00:00:00"/>
    <n v="5120"/>
    <x v="1"/>
    <n v="5120"/>
    <n v="0"/>
    <n v="5120"/>
  </r>
  <r>
    <s v="UC105"/>
    <m/>
    <s v="CLI"/>
    <s v="Julien"/>
    <s v="PHINC"/>
    <s v="PH23055_WO17"/>
    <m/>
    <s v="PK model ABX464&amp;N-Gluc ABTECT studies - Part 1 PK CSR activities - completion PK TFLs"/>
    <m/>
    <s v="INV F25-2278"/>
    <d v="2025-11-26T00:00:00"/>
    <n v="7680"/>
    <x v="1"/>
    <n v="7680"/>
    <n v="0"/>
    <n v="7680"/>
  </r>
  <r>
    <s v="UC105"/>
    <m/>
    <s v="CLI"/>
    <s v="Julien"/>
    <s v="PHINC"/>
    <s v="PH23055_WO17"/>
    <m/>
    <s v="PK model ABX464&amp;N-Gluc ABTECT studies - Part 2 Poulation PK - At completion of MAP"/>
    <m/>
    <s v="INV F25-2183"/>
    <d v="2025-06-25T00:00:00"/>
    <n v="10872"/>
    <x v="1"/>
    <n v="10872"/>
    <n v="0"/>
    <n v="10872"/>
  </r>
  <r>
    <s v="UC105"/>
    <m/>
    <s v="CLI"/>
    <s v="Julien"/>
    <s v="PHINC"/>
    <s v="PH23055_WO17"/>
    <m/>
    <s v="PK model ABX464&amp;N-Gluc ABTECT studies - Part 2 Poulation PK - At popPK analysis after studies 105 and 106 finalization"/>
    <m/>
    <m/>
    <m/>
    <n v="14496"/>
    <x v="1"/>
    <m/>
    <n v="14496"/>
    <n v="0"/>
  </r>
  <r>
    <s v="UC105"/>
    <m/>
    <s v="CLI"/>
    <s v="Julien"/>
    <s v="PHINC"/>
    <s v="PH23055_WO17"/>
    <m/>
    <s v="PK model ABX464&amp;N-Gluc ABTECT studies - Part 2 Poulation PK - At popPK analysis after studies 107 finalization"/>
    <m/>
    <m/>
    <m/>
    <n v="10872"/>
    <x v="1"/>
    <m/>
    <n v="10872"/>
    <n v="0"/>
  </r>
  <r>
    <s v="UC105"/>
    <m/>
    <s v="CLI"/>
    <s v="Julien"/>
    <s v="PHINC"/>
    <s v="PH23055_WO17"/>
    <m/>
    <s v="PK model ABX464&amp;N-Gluc ABTECT studies - Part 2 Poulation PK - At the first release of the draft report (105 &amp; 106)"/>
    <m/>
    <m/>
    <m/>
    <n v="10872"/>
    <x v="1"/>
    <m/>
    <n v="10872"/>
    <n v="0"/>
  </r>
  <r>
    <s v="UC105"/>
    <m/>
    <s v="CLI"/>
    <s v="Julien"/>
    <s v="PHINC"/>
    <s v="PH23055_WO17"/>
    <m/>
    <s v="PK model ABX464&amp;N-Gluc ABTECT studies - Part 2 Poulation PK - At the first release of the draft report (107)"/>
    <m/>
    <m/>
    <m/>
    <n v="10872"/>
    <x v="1"/>
    <m/>
    <n v="10872"/>
    <n v="0"/>
  </r>
  <r>
    <s v="ABX464"/>
    <m/>
    <s v="CMC"/>
    <m/>
    <s v="PROPHASE DEVELOPMENT"/>
    <s v="Quote du 02/05/2023 - P00142_2023"/>
    <s v="P00142_2023"/>
    <s v="Safety assessments of hydrophilic solvents and surfactants / Pediatric formulation"/>
    <m/>
    <s v="INV 030/2023 + INV 037/2023 + INV 044/2023"/>
    <s v="31/05/2023 + 05/07/2023 + 16/08/2023"/>
    <n v="10200"/>
    <x v="2"/>
    <n v="10200"/>
    <n v="0"/>
    <n v="10200"/>
  </r>
  <r>
    <s v="ABX464"/>
    <m/>
    <s v="CLI"/>
    <m/>
    <s v="Q2 SOLUTIONS IQVIA"/>
    <s v="LAB45111 - SRV_24077 + A1"/>
    <m/>
    <s v="CYP and UGT Phenotyping for ABX464&amp;NGlu - Study setup fee"/>
    <m/>
    <s v="INV BIO-029000 + INV BIO-029500"/>
    <s v="08/10/2024 + 27/12/2024"/>
    <n v="156250"/>
    <x v="3"/>
    <n v="78750"/>
    <n v="77500"/>
    <n v="78750"/>
  </r>
  <r>
    <s v="ABX464"/>
    <m/>
    <s v="CLI"/>
    <m/>
    <s v="Q2 SOLUTIONS IQVIA"/>
    <s v="LAB86059 - SRV_24093 + A1 + CO1"/>
    <m/>
    <s v="Metabolite Profiling and Identification ABX464NGlu"/>
    <m/>
    <s v="INV BIO-029508"/>
    <d v="2024-12-27T00:00:00"/>
    <n v="89075"/>
    <x v="3"/>
    <n v="41335"/>
    <n v="47740"/>
    <n v="41335"/>
  </r>
  <r>
    <s v="ABX464"/>
    <m/>
    <s v="LAB"/>
    <m/>
    <s v="QIAGEN"/>
    <s v="web - P00422_2023"/>
    <s v="P00422_2023"/>
    <s v="Consommable Labo"/>
    <m/>
    <m/>
    <m/>
    <n v="907.2"/>
    <x v="1"/>
    <m/>
    <n v="907.2"/>
    <n v="0"/>
  </r>
  <r>
    <s v="ABX464"/>
    <m/>
    <s v="LAB"/>
    <m/>
    <s v="QIAGEN"/>
    <s v="231219FR01735537CB - P00469_2023"/>
    <s v="P00469_2023"/>
    <s v="Consommable Labo"/>
    <m/>
    <m/>
    <m/>
    <n v="6325.6"/>
    <x v="1"/>
    <m/>
    <n v="6325.6"/>
    <n v="0"/>
  </r>
  <r>
    <s v="ABX464"/>
    <m/>
    <s v="LAB"/>
    <m/>
    <s v="QIAGEN"/>
    <s v="P00171_2024"/>
    <s v="P00171_2024"/>
    <s v="Consommable Labo"/>
    <m/>
    <m/>
    <m/>
    <n v="1933.4"/>
    <x v="1"/>
    <m/>
    <n v="1933.4"/>
    <n v="0"/>
  </r>
  <r>
    <s v="ABX464"/>
    <m/>
    <s v="LAB"/>
    <s v="Aude G"/>
    <s v="QIAGEN"/>
    <s v="RT-qPCR - P00212_2024"/>
    <s v="P00212_2024"/>
    <s v="Consommable Labo"/>
    <m/>
    <m/>
    <m/>
    <n v="4890.95"/>
    <x v="1"/>
    <m/>
    <n v="4890.95"/>
    <n v="0"/>
  </r>
  <r>
    <s v="ABX464"/>
    <m/>
    <s v="LAB"/>
    <s v="Aude G"/>
    <s v="QIAGEN"/>
    <s v="web - P00292_2024"/>
    <s v="P00292_2024"/>
    <s v="Consommable Labo"/>
    <m/>
    <s v="INV 940556221"/>
    <d v="2024-06-14T00:00:00"/>
    <n v="1000.04"/>
    <x v="1"/>
    <n v="403.04"/>
    <n v="597"/>
    <n v="403.04"/>
  </r>
  <r>
    <s v="ABX464"/>
    <m/>
    <s v="LAB"/>
    <s v="Aude G"/>
    <s v="QIAGEN"/>
    <s v="250122FR01887879CB - P00034_2025"/>
    <s v="P00034_2025"/>
    <s v="Consommable Labo"/>
    <m/>
    <s v="INV 940570000 + INV 940570044"/>
    <s v="23/01/2025 + 24/01/2025"/>
    <n v="10913.3"/>
    <x v="1"/>
    <n v="10888.3"/>
    <n v="0"/>
    <n v="10888.3"/>
  </r>
  <r>
    <s v="ABX311"/>
    <m/>
    <s v="LAB"/>
    <m/>
    <s v="QIMR"/>
    <s v="SRV_16193 "/>
    <m/>
    <s v="Final Report"/>
    <m/>
    <m/>
    <m/>
    <n v="16250"/>
    <x v="1"/>
    <m/>
    <n v="16250"/>
    <n v="0"/>
  </r>
  <r>
    <s v="NA"/>
    <m/>
    <s v="QA1"/>
    <m/>
    <s v="QRC Consultant"/>
    <s v="AVX-21-01 v3 - P00192_2021"/>
    <s v="P00192_2021"/>
    <s v="SOP WRITING"/>
    <m/>
    <s v="INV 7642 + INV 7756 + INV 7881 + INV 7979 + INV 8100 + INV 8312"/>
    <s v="31/07/2021 + 31/08/2021 + 30/09/2021 + 31/10/2021 + 30/11/2021 + 31/01/2022"/>
    <n v="20040"/>
    <x v="2"/>
    <n v="7385"/>
    <n v="12655"/>
    <n v="7385"/>
  </r>
  <r>
    <s v="ABX464"/>
    <m/>
    <s v="CMC"/>
    <m/>
    <s v="QUOTIENT"/>
    <s v="M 22 3909-E - P00285_2023 - P00187_2022 annulé et remplacé "/>
    <s v="P00285_2023"/>
    <s v="Synthesis of ABX464-Nglu to support non clinical Studies"/>
    <m/>
    <s v="INV 6296 + INV 6326 - CR398 + INV 6392 + INV SIN000006 + INV SIN000699 + INV SIN000797 - SCR000060 + INV SIN000929 + NV SIN000976"/>
    <s v="08/07/2022 + 25/07/2022 - 18/08/2022 + 10/08/2022 + 08/02/2023 + 15/06/2023 + 31/07/2023 - 31/07/2023 + 31/08/2023 + 22/09/2023"/>
    <n v="168171"/>
    <x v="2"/>
    <n v="116313"/>
    <n v="51858"/>
    <n v="116313"/>
  </r>
  <r>
    <s v="ABX464"/>
    <m/>
    <s v="CMC"/>
    <s v="Jerome D"/>
    <s v="QUOTIENT NOTTINGHAM"/>
    <s v="QSC302430 - P00365_2024"/>
    <s v="P00365_2024"/>
    <s v="Formulation development ABX464 pediatric form signature SOW"/>
    <m/>
    <s v="INV SIN002500 + INV SIN004845"/>
    <s v="19/07/2024 + 18/03/2025"/>
    <n v="195729"/>
    <x v="2"/>
    <n v="197696.5"/>
    <n v="0"/>
    <n v="197696.5"/>
  </r>
  <r>
    <s v="ABX464"/>
    <m/>
    <s v="CMC"/>
    <s v="Jerome D"/>
    <s v="QUOTIENT NOTTINGHAM"/>
    <s v="QSC302430_CO1 - P00491_2024"/>
    <s v="P00491_2024"/>
    <s v="CO1 - Formulation development ABX464 pediatric form - Upon singnature CO1"/>
    <m/>
    <s v="INV SIN3585"/>
    <d v="2024-11-11T00:00:00"/>
    <n v="56988"/>
    <x v="2"/>
    <n v="56988"/>
    <n v="0"/>
    <n v="56988"/>
  </r>
  <r>
    <s v="ABX464"/>
    <m/>
    <s v="CMC"/>
    <s v="Jerome D"/>
    <s v="QUOTIENT NOTTINGHAM"/>
    <s v="QSC302430_CO2 - P00099_2025 suite du PO00491_2024 - Annulée"/>
    <s v="P00099_2025 - P00599_2025"/>
    <s v="CO2 - Formulation development ABX464 pediatric form - Upon completion confirmation batches"/>
    <m/>
    <m/>
    <m/>
    <n v="0"/>
    <x v="2"/>
    <m/>
    <n v="0"/>
    <n v="0"/>
  </r>
  <r>
    <s v="ABX464"/>
    <m/>
    <s v="CMC"/>
    <s v="Jerome D"/>
    <s v="QUOTIENT NOTTINGHAM"/>
    <s v="QSC302430_CO2 - P00099_2025 suite du PO00491_2024 - Annulée"/>
    <s v="P00099_2025 - P00599_2025"/>
    <s v="CO2 - Formulation development ABX464 pediatric form - Upon Regulatory approvals"/>
    <m/>
    <m/>
    <m/>
    <n v="0"/>
    <x v="2"/>
    <m/>
    <n v="0"/>
    <n v="0"/>
  </r>
  <r>
    <s v="ABX464"/>
    <m/>
    <s v="CMC"/>
    <s v="Jerome D"/>
    <s v="QUOTIENT NOTTINGHAM"/>
    <s v="QSC302430_CO2 - P00099_2025 suite du PO00491_2024"/>
    <s v="P00099_2025"/>
    <s v="CO2 - Formulation development ABX464 pediatric form - Upon singnature CO2"/>
    <m/>
    <s v=" INV SIN004721"/>
    <d v="2025-03-05T00:00:00"/>
    <n v="36519"/>
    <x v="2"/>
    <n v="36519"/>
    <n v="0"/>
    <n v="36519"/>
  </r>
  <r>
    <s v="ABX464"/>
    <m/>
    <s v="CMC"/>
    <s v="Jerome D"/>
    <s v="QUOTIENT NOTTINGHAM"/>
    <s v="QSC302430_CO2 - P00099_2025 suite du PO00491_2024"/>
    <s v="P00099_2025"/>
    <s v="CO2 - Formulation development ABX464 pediatric form - Completion of CO2"/>
    <m/>
    <m/>
    <m/>
    <n v="36518"/>
    <x v="2"/>
    <m/>
    <n v="36518"/>
    <n v="0"/>
  </r>
  <r>
    <s v="ABX464"/>
    <m/>
    <s v="CMC"/>
    <s v="Jerome D"/>
    <s v="QUOTIENT NOTTINGHAM"/>
    <s v="QSC302430_SOW2 - P00583_2024"/>
    <s v="P00583_2024"/>
    <s v="Amdt 2 -  Formulation development ABX464 pediatric form - Signature WO 30%"/>
    <m/>
    <s v="INV SIN004100"/>
    <d v="2024-12-31T00:00:00"/>
    <n v="181544"/>
    <x v="2"/>
    <n v="181544"/>
    <n v="0"/>
    <n v="181544"/>
  </r>
  <r>
    <s v="ABX464"/>
    <m/>
    <s v="CMC"/>
    <s v="Thanh-Huong"/>
    <s v="QUOTIENT NOTTINGHAM"/>
    <s v="QSC302430_SOW2_CO1 - P00146_2025 - P00583_2024"/>
    <s v="P00146_2025"/>
    <s v="Amdt 2 -  Formulation development ABX464 pediatric form - Signature CO"/>
    <m/>
    <s v="INV SIN004954"/>
    <d v="2025-03-31T00:00:00"/>
    <n v="75137"/>
    <x v="2"/>
    <n v="75137"/>
    <n v="0"/>
    <n v="75137"/>
  </r>
  <r>
    <s v="ABX464"/>
    <m/>
    <s v="CMC"/>
    <s v="Thanh-Huong"/>
    <s v="QUOTIENT NOTTINGHAM"/>
    <s v="QSC302430_SOW2_CO1 - P00146_2025 - P00583_2024"/>
    <s v="P00146_2025"/>
    <s v="Amdt 2 -  Formulation development ABX464 pediatric form - Completion Confirmation batch 40%"/>
    <m/>
    <s v="INV SIN006713"/>
    <d v="2025-10-17T00:00:00"/>
    <n v="242059"/>
    <x v="2"/>
    <n v="242059"/>
    <n v="0"/>
    <n v="242059"/>
  </r>
  <r>
    <s v="ABX464"/>
    <m/>
    <s v="CMC"/>
    <s v="Thanh-Huong"/>
    <s v="QUOTIENT NOTTINGHAM"/>
    <s v="QSC302430_SOW2_CO1 - P00146_2025 - P00583_2024"/>
    <s v="P00146_2025"/>
    <s v="Amdt 2 -  Formulation development ABX464 pediatric form - Completion CMC batch 15%"/>
    <m/>
    <s v="INV SIN006713"/>
    <d v="2025-10-17T00:00:00"/>
    <n v="90772"/>
    <x v="2"/>
    <n v="90772"/>
    <n v="0"/>
    <n v="90772"/>
  </r>
  <r>
    <s v="ABX464"/>
    <m/>
    <s v="CMC"/>
    <s v="Thanh-Huong"/>
    <s v="QUOTIENT NOTTINGHAM"/>
    <s v="QSC302430_SOW2_CO1 - P00146_2025 - P00583_2024"/>
    <s v="P00146_2025"/>
    <s v="Amdt 2 -  Formulation development ABX464 pediatric form - Completion CTM batch 15%"/>
    <m/>
    <m/>
    <m/>
    <n v="90772"/>
    <x v="2"/>
    <m/>
    <n v="90772"/>
    <n v="0"/>
  </r>
  <r>
    <s v="ABX464"/>
    <m/>
    <s v="CLI"/>
    <s v="Doug / Caroline L"/>
    <s v="QUOTIENT NOTTINGHAM"/>
    <s v="QSC303253_SOW1 - P00581_2024"/>
    <s v="P00581_2024"/>
    <s v="PBK modeling &amp; simulation prediatric formulation - signature WO"/>
    <m/>
    <s v="INV SIN003823"/>
    <d v="2024-11-27T00:00:00"/>
    <n v="9515"/>
    <x v="2"/>
    <n v="9515"/>
    <n v="0"/>
    <n v="9515"/>
  </r>
  <r>
    <s v="ABX464"/>
    <m/>
    <s v="CLI"/>
    <s v="Doug / Caroline L"/>
    <s v="QUOTIENT NOTTINGHAM"/>
    <s v="QSC303253_SOW1 - P00581_2024"/>
    <s v="P00581_2024"/>
    <s v="PBK modeling &amp; simulation prediatric formulation - Ongoing work"/>
    <m/>
    <m/>
    <m/>
    <n v="3806"/>
    <x v="2"/>
    <m/>
    <n v="3806"/>
    <n v="0"/>
  </r>
  <r>
    <s v="ABX464"/>
    <m/>
    <s v="LAB"/>
    <s v="Aude G"/>
    <s v="REVVITY"/>
    <s v="Q-267605 - P00211_2024"/>
    <s v="P00211_2024"/>
    <s v="Consommable Labo"/>
    <m/>
    <m/>
    <m/>
    <n v="1857.7"/>
    <x v="1"/>
    <m/>
    <n v="1857.7"/>
    <n v="0"/>
  </r>
  <r>
    <s v="NOTAPP"/>
    <m/>
    <s v="LAB"/>
    <s v="Aude G"/>
    <s v="REvvITY"/>
    <s v="Q-292858 - P00011_2025"/>
    <s v="P00011_2025"/>
    <s v="Consommable Labo"/>
    <m/>
    <s v="INV 3000222923"/>
    <d v="2025-01-10T00:00:00"/>
    <n v="1493.05"/>
    <x v="1"/>
    <n v="1493.05"/>
    <n v="0"/>
    <n v="1493.05"/>
  </r>
  <r>
    <s v="ABX464"/>
    <m/>
    <s v="QA"/>
    <s v="Sophie G"/>
    <s v="RiverArk"/>
    <s v="WO1 - P00274_2023"/>
    <s v="P00274_2023"/>
    <s v="3 on site audits (Q Sqaure, IQVIA, Investigator site California)"/>
    <m/>
    <s v="INV RA202367 + INV RA202383 + INV RA202380 + Inv RA2023104"/>
    <s v="22/09/2023 + 31/10/2023 + 31/10/2023 + 01/01/2024"/>
    <n v="49710"/>
    <x v="2"/>
    <n v="49142.89"/>
    <n v="567.11000000000058"/>
    <n v="49142.89"/>
  </r>
  <r>
    <s v="ABX464"/>
    <m/>
    <s v="QA"/>
    <s v="Sophie G"/>
    <s v="RiverArk"/>
    <s v="WO1 - P00404_2023"/>
    <s v="P00404_2023"/>
    <s v="2 on site audits (Almac UK, Creapharm FR)"/>
    <m/>
    <s v="INV RA2023117 + RA2024013 + RA2024005 + RA2024032 + RA2024088"/>
    <s v="01/01/2024 + 31/01/2024 + 31/01/2024 + 28/03/2024 + 30/06/2024"/>
    <n v="25670"/>
    <x v="2"/>
    <n v="25088.42"/>
    <n v="581.58000000000175"/>
    <n v="25088.42"/>
  </r>
  <r>
    <s v="CD202"/>
    <m/>
    <s v="QA"/>
    <s v="Sophie G"/>
    <s v="RiverArk"/>
    <s v="P00068_2024"/>
    <s v="P00068_2024"/>
    <s v="Audit Almac"/>
    <m/>
    <s v="INV RA2024040 + INV RA2024090 + INV RA2024049"/>
    <s v="28/03/2024 + 30/06/2024 + 30/04/2024"/>
    <n v="14710"/>
    <x v="2"/>
    <n v="22175.97"/>
    <n v="0"/>
    <n v="22175.97"/>
  </r>
  <r>
    <s v="UC105"/>
    <m/>
    <s v="QA"/>
    <s v="Sophie G"/>
    <s v="RiverArk"/>
    <s v="P00068_2024"/>
    <s v="P00068_2024"/>
    <s v="Audit CREAPHARM - CENDUIT"/>
    <m/>
    <s v="INV RA20244039 + INV RA20244091 + INV RA2024089 + INV RA2024101 + INV RA2024026 + INV RA2024049"/>
    <s v="28/03/2024 + 30/06/2024 + 30/06/2024 + 30/07/2024 + 26/02/2024 + 30/04/2024"/>
    <n v="23150"/>
    <x v="2"/>
    <n v="16800"/>
    <n v="6350"/>
    <n v="16800"/>
  </r>
  <r>
    <s v="ABX464"/>
    <m/>
    <s v="QA"/>
    <s v="Sophie G"/>
    <s v="RiverArk"/>
    <s v="WO3 - P00350_2024"/>
    <s v="P00350_2024"/>
    <s v="Audit Q2 Solutions"/>
    <m/>
    <s v="INV RA2024116 + INV RA2024199 + INV RA2025026"/>
    <s v="30/09/2024 + 19/12/2024 + 28/02/2025"/>
    <n v="13980"/>
    <x v="2"/>
    <n v="14428.79"/>
    <n v="0"/>
    <n v="14428.79"/>
  </r>
  <r>
    <s v="CD202"/>
    <m/>
    <s v="CLI"/>
    <s v="Pascaline"/>
    <s v="ROME FOUNDATION"/>
    <s v="LIC_23215"/>
    <m/>
    <s v="Bristol Stool Form Scale (BSFS) - 15 languages"/>
    <m/>
    <s v="INV 20231208Abivax"/>
    <d v="2023-12-08T00:00:00"/>
    <n v="55225"/>
    <x v="3"/>
    <n v="55225"/>
    <n v="0"/>
    <n v="55225"/>
  </r>
  <r>
    <s v="CD202"/>
    <m/>
    <s v="CLI"/>
    <s v="Pascaline"/>
    <s v="ROME FOUNDATION"/>
    <s v="LIC_23215_A1"/>
    <m/>
    <s v="Bristol Stool Form Scale (BSFS) - Spanish"/>
    <m/>
    <s v="INV 20240506"/>
    <d v="2024-05-06T00:00:00"/>
    <n v="2200"/>
    <x v="3"/>
    <n v="2200"/>
    <n v="0"/>
    <n v="2200"/>
  </r>
  <r>
    <s v="ABX196"/>
    <m/>
    <s v="CMC"/>
    <m/>
    <s v="ROOWIN"/>
    <s v="DV-201706056-v000 - P00234"/>
    <s v="P00234"/>
    <s v="Analyse Lot G09001182205 restest standard CQG"/>
    <m/>
    <m/>
    <m/>
    <n v="8000"/>
    <x v="1"/>
    <m/>
    <n v="8000"/>
    <n v="0"/>
  </r>
  <r>
    <s v="ABX196"/>
    <m/>
    <s v="CMC"/>
    <m/>
    <s v="ROOWIN"/>
    <s v="DV-202303049-v000 - P00091_2023"/>
    <s v="P00091_2023"/>
    <s v="reference sdt retest T60M qNMR"/>
    <m/>
    <m/>
    <m/>
    <n v="1500"/>
    <x v="1"/>
    <m/>
    <n v="1500"/>
    <n v="0"/>
  </r>
  <r>
    <s v="ABX464"/>
    <m/>
    <s v="CMC"/>
    <m/>
    <s v="ROSENZWEIG CONSEIL"/>
    <s v="CSL_23080 - P00333_2023"/>
    <s v="P00333_2023"/>
    <s v="Accompagnement RFP Clinical Supply"/>
    <m/>
    <s v="INV ABI_2023-09-30"/>
    <d v="2023-10-06T00:00:00"/>
    <n v="15200"/>
    <x v="1"/>
    <n v="11400"/>
    <n v="3800"/>
    <n v="11400"/>
  </r>
  <r>
    <s v="NOTAPP"/>
    <m/>
    <s v="ANA"/>
    <s v="David D"/>
    <s v="SAI MED PARTNERS"/>
    <s v="76800 - P00002_2024"/>
    <s v="P00002_2024"/>
    <s v="Cometitive Intelligence 2nd Monitoring 2025"/>
    <m/>
    <s v="INV PS-INV103044 + INV PS-INV103209 + INV PS-INV103921"/>
    <s v="14/01/2025+ 01/03/2025 + 01/12/2025"/>
    <n v="76800"/>
    <x v="3"/>
    <n v="76800"/>
    <n v="0"/>
    <n v="76800"/>
  </r>
  <r>
    <s v="ABX464"/>
    <m/>
    <s v="LAB"/>
    <m/>
    <s v="SARTAORIUS"/>
    <s v="CPQ-02230249 - P00457_2023"/>
    <s v="P00457_2023"/>
    <s v="BH Tip 5-350"/>
    <m/>
    <m/>
    <m/>
    <n v="1916.8"/>
    <x v="1"/>
    <m/>
    <n v="1916.8"/>
    <n v="0"/>
  </r>
  <r>
    <s v="NOTAPP"/>
    <m/>
    <s v="LAB"/>
    <m/>
    <s v="SARTORIUS"/>
    <s v="1050397289 - P00253_2023"/>
    <s v="P00253_2023"/>
    <s v="Calibration pipettes"/>
    <m/>
    <m/>
    <m/>
    <n v="11064.9"/>
    <x v="1"/>
    <m/>
    <n v="11064.9"/>
    <n v="0"/>
  </r>
  <r>
    <s v="NOTAPP"/>
    <m/>
    <s v="LAB"/>
    <s v="Aude G"/>
    <s v="SARTORIUS"/>
    <s v="1050509316 - P00056_2025"/>
    <s v="P00056_2025"/>
    <s v="Maintenance pipettes"/>
    <m/>
    <s v="INV 9216210632"/>
    <d v="2025-09-24T00:00:00"/>
    <n v="7785.15"/>
    <x v="1"/>
    <n v="7503.32"/>
    <n v="281.82999999999993"/>
    <n v="7503.32"/>
  </r>
  <r>
    <s v="NOTAPP"/>
    <m/>
    <s v="QA"/>
    <s v="Ana S"/>
    <s v="SCIMITAR"/>
    <s v="MSA_23198_WO_2 - P00296_2024"/>
    <s v="P00296_2024"/>
    <s v="QMS SOPs for Reg Aff and Med Aff"/>
    <m/>
    <s v="INV-3380 + INV-3452 + INV-3499"/>
    <s v="31/07/2024 + 30/09/2024 +31/10/2024"/>
    <n v="39000"/>
    <x v="3"/>
    <n v="39000"/>
    <n v="0"/>
    <n v="39000"/>
  </r>
  <r>
    <s v="NOTAPP"/>
    <m/>
    <s v="QA"/>
    <s v="Ouahiba K / Ana S"/>
    <s v="SCIMITAR"/>
    <s v="MSA_23198_WO_3 - P00379_2024"/>
    <s v="P00379_2024"/>
    <s v="Inspection readiness, Training &amp; QMS roadmap"/>
    <m/>
    <s v="INV-3368 + INV-3420 + INV-3463"/>
    <s v="31/07/2024 + 31/08/2024 + 30/09/2024 ( recu en 2025)"/>
    <n v="127999.98"/>
    <x v="3"/>
    <n v="127998.98000000001"/>
    <n v="0"/>
    <n v="127998.98000000001"/>
  </r>
  <r>
    <s v="NOTAPP"/>
    <m/>
    <s v="QA"/>
    <s v="Ouahiba K / Ana S"/>
    <s v="SCIMITAR"/>
    <s v="MSA_23198_WO_4 - P00378_2024"/>
    <s v="P00378_2024"/>
    <s v="14 SOPS writting support"/>
    <m/>
    <s v="INV-3501 + INV - 3589 + INV - 3643 + INV-3769 +INV-3864 + INV-3982"/>
    <s v="31/10/2024 + 30/11/2024 + 20/12/2024+28/02/2025+30/04/2025 + 30/06/2025"/>
    <n v="42000"/>
    <x v="3"/>
    <n v="33000"/>
    <n v="0"/>
    <n v="33000"/>
  </r>
  <r>
    <s v="UC108"/>
    <m/>
    <s v="CLI"/>
    <m/>
    <s v="SCOPE INTERNATIONAL"/>
    <s v="SRV_21082 - LOI - "/>
    <m/>
    <s v="Start-up trial activities and PTC"/>
    <m/>
    <s v="INV E21-419281 + INV E21-465281 + INV E21-522281 + INV E22-020281 + INV I22-022281 + INV E22-021281"/>
    <s v="22/09/2021 + 15/10/2021 + 24/11/2021 + 11/01/2022 + 11/01/2022 + 11/01/2022"/>
    <n v="141853"/>
    <x v="1"/>
    <n v="196369.91999999998"/>
    <n v="0"/>
    <n v="196369.91999999998"/>
  </r>
  <r>
    <s v="UC108"/>
    <m/>
    <s v="CLI"/>
    <m/>
    <s v="SCOPE INTERNATIONAL"/>
    <s v="SRV_21082 - LOI - P00217_2021"/>
    <s v="P00217_2021"/>
    <s v="Start-up trial activities - Upon execution"/>
    <m/>
    <s v="INV S21-417281"/>
    <d v="2021-09-22T00:00:00"/>
    <n v="190129"/>
    <x v="1"/>
    <n v="190128"/>
    <n v="0"/>
    <n v="190128"/>
  </r>
  <r>
    <s v="UC108"/>
    <m/>
    <s v="CLI"/>
    <m/>
    <s v="SCOPE INTERNATIONAL"/>
    <s v="SRV_21082 - LOI - P00217_2021"/>
    <s v="P00217_2021"/>
    <s v="Start-up trial activities  - CTA submission in 1st Study Country"/>
    <m/>
    <s v="INV SI21-444281"/>
    <d v="2021-09-30T00:00:00"/>
    <n v="95064"/>
    <x v="1"/>
    <n v="95064"/>
    <n v="0"/>
    <n v="95064"/>
  </r>
  <r>
    <s v="UC108"/>
    <m/>
    <s v="CLI"/>
    <m/>
    <s v="SCOPE INTERNATIONAL"/>
    <s v="SRV_21082 - LOI - P00217_2021"/>
    <s v="P00217_2021"/>
    <s v="Start-up trial activities  - On 1st site Initiated"/>
    <m/>
    <s v="INV SI21-559281"/>
    <d v="2021-12-07T00:00:00"/>
    <n v="95064"/>
    <x v="1"/>
    <n v="95064"/>
    <n v="0"/>
    <n v="95064"/>
  </r>
  <r>
    <s v="UC108"/>
    <m/>
    <s v="CLI"/>
    <m/>
    <s v="SCOPE INTERNATIONAL"/>
    <s v="SRV_21082 - LOI - P00217_2021"/>
    <s v="P00217_2021"/>
    <s v="Start-up trial activities - PTC"/>
    <m/>
    <s v="INV E21-418281 + INV E21-419281"/>
    <s v="22/09/2021 + 22/09/2021"/>
    <n v="100000"/>
    <x v="1"/>
    <n v="100000"/>
    <n v="0"/>
    <n v="100000"/>
  </r>
  <r>
    <s v="UC108"/>
    <m/>
    <s v="CLI"/>
    <m/>
    <s v="SCOPE INTERNATIONAL"/>
    <s v="SRV_21096"/>
    <m/>
    <s v="1. On execution of this WO"/>
    <m/>
    <s v="INV S22-078281"/>
    <d v="2022-02-04T00:00:00"/>
    <n v="125000"/>
    <x v="1"/>
    <n v="125000"/>
    <n v="0"/>
    <n v="125000"/>
  </r>
  <r>
    <s v="UC108"/>
    <m/>
    <s v="CLI"/>
    <m/>
    <s v="SCOPE INTERNATIONAL"/>
    <s v="SRV_21096"/>
    <m/>
    <s v="2. On First Patient enrolled"/>
    <m/>
    <s v="INV S22-078281"/>
    <d v="2022-02-04T00:00:00"/>
    <n v="60000"/>
    <x v="1"/>
    <n v="60000"/>
    <n v="0"/>
    <n v="60000"/>
  </r>
  <r>
    <s v="UC108"/>
    <m/>
    <s v="CLI"/>
    <m/>
    <s v="SCOPE INTERNATIONAL"/>
    <s v="SRV_21096"/>
    <m/>
    <s v="3. 50% sites initiated"/>
    <m/>
    <s v="INV S22-442281"/>
    <d v="2022-09-14T00:00:00"/>
    <n v="125000"/>
    <x v="1"/>
    <n v="125000"/>
    <n v="0"/>
    <n v="125000"/>
  </r>
  <r>
    <s v="UC108"/>
    <m/>
    <s v="CLI"/>
    <m/>
    <s v="SCOPE INTERNATIONAL"/>
    <s v="SRV_21096_A1"/>
    <m/>
    <s v="4. CO#1 additional services"/>
    <m/>
    <s v="INV S22-551281"/>
    <d v="2022-11-16T00:00:00"/>
    <n v="249250"/>
    <x v="1"/>
    <n v="249250"/>
    <n v="0"/>
    <n v="249250"/>
  </r>
  <r>
    <s v="UC108"/>
    <m/>
    <s v="CLI"/>
    <m/>
    <s v="SCOPE INTERNATIONAL"/>
    <s v="SRV_21096"/>
    <m/>
    <s v="5. 100% sites initiated"/>
    <m/>
    <s v="INV S23-022281"/>
    <d v="2023-01-23T00:00:00"/>
    <n v="204821"/>
    <x v="1"/>
    <n v="204821"/>
    <n v="0"/>
    <n v="204821"/>
  </r>
  <r>
    <s v="UC108"/>
    <m/>
    <s v="CLI"/>
    <m/>
    <s v="SCOPE INTERNATIONAL"/>
    <s v="SRV_21096_A2"/>
    <m/>
    <s v="6. CO#2 additionnal services"/>
    <m/>
    <s v="INV S24-029281"/>
    <d v="2024-01-25T00:00:00"/>
    <n v="146765"/>
    <x v="1"/>
    <n v="146765"/>
    <n v="0"/>
    <n v="146765"/>
  </r>
  <r>
    <s v="UC108"/>
    <m/>
    <s v="CLI"/>
    <m/>
    <s v="SCOPE INTERNATIONAL"/>
    <s v="SRV_21096_A3"/>
    <m/>
    <s v="7. CO#3 additionnal services "/>
    <m/>
    <s v="INV S24-306281"/>
    <d v="2024-07-03T00:00:00"/>
    <n v="119390"/>
    <x v="1"/>
    <n v="119390"/>
    <n v="0"/>
    <n v="119390"/>
  </r>
  <r>
    <s v="UC108"/>
    <m/>
    <s v="CLI"/>
    <m/>
    <s v="SCOPE INTERNATIONAL"/>
    <s v="SRV_21096_A4"/>
    <m/>
    <s v="8. Upon execution CO4"/>
    <m/>
    <s v="INV S25-493281"/>
    <d v="2025-12-03T00:00:00"/>
    <n v="150000"/>
    <x v="1"/>
    <n v="150000"/>
    <n v="0"/>
    <n v="150000"/>
  </r>
  <r>
    <s v="UC108"/>
    <m/>
    <s v="CLI"/>
    <m/>
    <s v="SCOPE INTERNATIONAL"/>
    <s v="SRV_21096_A4"/>
    <m/>
    <s v="9. On Data Base Lock"/>
    <m/>
    <m/>
    <m/>
    <n v="120000"/>
    <x v="1"/>
    <m/>
    <n v="120000"/>
    <n v="0"/>
  </r>
  <r>
    <s v="UC108"/>
    <m/>
    <s v="CLI"/>
    <m/>
    <s v="SCOPE INTERNATIONAL"/>
    <s v="SRV_21096_A4"/>
    <m/>
    <s v="10. On Statistical Output Delivered (TLFs)"/>
    <m/>
    <m/>
    <m/>
    <n v="70000"/>
    <x v="1"/>
    <m/>
    <n v="70000"/>
    <n v="0"/>
  </r>
  <r>
    <s v="UC108"/>
    <m/>
    <s v="CLI"/>
    <m/>
    <s v="SCOPE INTERNATIONAL"/>
    <s v="SRV_21096_A4"/>
    <m/>
    <s v="11. On final draft Clinical Study Report"/>
    <m/>
    <m/>
    <m/>
    <n v="70000"/>
    <x v="1"/>
    <m/>
    <n v="70000"/>
    <n v="0"/>
  </r>
  <r>
    <s v="UC108"/>
    <m/>
    <s v="CLI"/>
    <m/>
    <s v="SCOPE INTERNATIONAL"/>
    <s v="SRV_21096_A4"/>
    <m/>
    <s v="12. On End of Services"/>
    <m/>
    <m/>
    <m/>
    <n v="91679"/>
    <x v="1"/>
    <m/>
    <n v="91679"/>
    <n v="0"/>
  </r>
  <r>
    <s v="UC108"/>
    <m/>
    <s v="CLI"/>
    <m/>
    <s v="SCOPE INTERNATIONAL"/>
    <s v="SRV_21096"/>
    <m/>
    <s v="Project Management Costs, 16 equal part - Février 2022"/>
    <m/>
    <s v="INV SI22-077281"/>
    <d v="2022-02-04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2"/>
    <m/>
    <s v="INV S22-0203281"/>
    <d v="2022-05-03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Aout 2022"/>
    <m/>
    <s v="INV S22-376281"/>
    <d v="2022-08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Novembre 2022"/>
    <m/>
    <s v="INV S22-531281"/>
    <d v="2022-11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Février 2023"/>
    <m/>
    <s v="INV S23-046281"/>
    <d v="2023-02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3"/>
    <m/>
    <s v="INV S23-210281"/>
    <d v="2023-05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Aout 2023"/>
    <m/>
    <s v="INV S23-348281"/>
    <d v="2023-08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Novembre 2023"/>
    <m/>
    <s v="INV S23-498281"/>
    <d v="2023-11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Février 2024"/>
    <m/>
    <s v="INV S24-047281"/>
    <d v="2024-02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4"/>
    <m/>
    <s v="INV S24-214281"/>
    <d v="2024-05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Aout 2024"/>
    <m/>
    <s v="INV S24-349281"/>
    <d v="2024-08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Novembre 2024"/>
    <m/>
    <s v="INV S24-497281"/>
    <d v="2024-11-04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Février 2025"/>
    <m/>
    <s v="INV S25-046281"/>
    <d v="2025-02-03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5"/>
    <m/>
    <s v="INV S25-188281"/>
    <d v="2025-05-01T00:00:00"/>
    <n v="111660"/>
    <x v="1"/>
    <n v="116171.06"/>
    <n v="0"/>
    <n v="116171.06"/>
  </r>
  <r>
    <s v="UC108"/>
    <m/>
    <s v="CLI"/>
    <m/>
    <s v="SCOPE INTERNATIONAL"/>
    <s v="SRV_21096"/>
    <m/>
    <s v="Project Management Costs, 16 equal part - Aout 2025"/>
    <m/>
    <s v="INV S25-314281"/>
    <d v="2025-08-01T00:00:00"/>
    <n v="111660"/>
    <x v="1"/>
    <n v="116171.06"/>
    <n v="0"/>
    <n v="116171.06"/>
  </r>
  <r>
    <s v="UC108"/>
    <m/>
    <s v="CLI"/>
    <m/>
    <s v="SCOPE INTERNATIONAL"/>
    <s v="SRV_21096"/>
    <m/>
    <s v="Project Management Costs, 16 equal part - Novembre 2025"/>
    <m/>
    <s v="INV S25-444281"/>
    <d v="2025-11-03T00:00:00"/>
    <n v="111660"/>
    <x v="1"/>
    <n v="116171.06"/>
    <n v="0"/>
    <n v="116171.06"/>
  </r>
  <r>
    <s v="UC108"/>
    <m/>
    <s v="CLI"/>
    <m/>
    <s v="SCOPE INTERNATIONAL"/>
    <s v="SRV_21096"/>
    <m/>
    <s v="Project Management Costs, 16 equal part - Fevrier 2026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Mai 2026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Aout 2026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Novembre 2026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Fevrier 2027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Mai 2027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Aout 2027"/>
    <m/>
    <m/>
    <m/>
    <n v="150000"/>
    <x v="1"/>
    <m/>
    <n v="150000"/>
    <n v="0"/>
  </r>
  <r>
    <s v="UC108"/>
    <m/>
    <s v="CLI"/>
    <m/>
    <s v="SCOPE INTERNATIONAL"/>
    <s v="SRV_21096"/>
    <m/>
    <s v="Project Management Costs, 16 equal part - Novembre 2027"/>
    <m/>
    <m/>
    <m/>
    <n v="150000"/>
    <x v="1"/>
    <m/>
    <n v="150000"/>
    <n v="0"/>
  </r>
  <r>
    <s v="UC108"/>
    <m/>
    <s v="CLI"/>
    <m/>
    <s v="SCOPE INTERNATIONAL"/>
    <s v="SRV_21096"/>
    <m/>
    <s v="INVESTIGATOR FEE"/>
    <m/>
    <s v="INV I22-075281 + INV I22-098281 + INV I22-260281 + INV I22-444281 + INV I22-496281 + INV I22-562281 + INV I22-610281 + INV I23-091281 + INV I23-131281 + INV I23-177281 + INV I23-261281 + INV I23-358281 + INV I23-383281 + INV I23-403281 + INV I23-422281 + INV I23-468281 + INV I23-517281 + INV I23-585281 + INV I24-036281 + INV I24-256281 + INV I24-321281 + INV I24-099281 + INV I24-140281 + INV I24-1952811 + INV I24-390281 + INV I24-393281 + INV I24-404281 + INV I24-484281 + INV I24-506281 + INV I24-577281 + INV I25-056281 + INV I25-085281 + INV I25-108281 +INV I25-051281 + INV I25-120281 + INV I25-157281 + INV I25-219281 + INV I25-248281+ INV I25-298281 + INV I25-361281 + INV E25-369281 + INV I25-384281+INV I28--517281"/>
    <s v="04/02/2022 + 14/02/2022 + 02/06/2022 + 14/09/2022 + 13/10/2022 + 24/11/2022 + 16/12/2022 + 24/02/2023 + 16/03/2023 + 05/04/2023 + 12/06/2023 + 07/08/2023 + 30/08/2023 + 12/09/2023 + 26/09/2023 + 18/10/2023 + 17/11/2023 + 19/12/2023 + 31/01/2024 + 10/06/2024 + 16/07/2024 + 27/02/2024 + 20/03/2024 + 25/04/2024 + 02/09/2024 + 09/09/2024 + 18/09/2024 + 29/10/2024 + 08/11/2024 + 19/12/2024 + 05/02/2025 + 26/02/2025 + 14/03/2025 + 04/02/2025 + 25/03/2025 +14/04/2025 + 27/05/2025 + 25/06/2025+21/07/2025 + 08/09/2025 + 19/09/2025 + 29/09/2025+16/12/2025"/>
    <n v="2903627"/>
    <x v="1"/>
    <n v="1533754.7699999998"/>
    <n v="1369872.2300000002"/>
    <n v="1533754.7699999998"/>
  </r>
  <r>
    <s v="UC108"/>
    <m/>
    <s v="CLI"/>
    <m/>
    <s v="SCOPE INTERNATIONAL"/>
    <s v="SRV_21096 + SRV_21096_A1 + A2 + A3 + A4"/>
    <m/>
    <s v="PTC"/>
    <m/>
    <s v="INV E22-075281 + INV E22-097281 + INV E22-259281 + INV E22-344281 + INV E22-386281 + INV E22-443281 + INV E22-561281 + INV E22-611281 + INV E + INV E24-19328123-06281 + INV E23-088281 + INV E23-124281 + Inv E23-178281 + INV E23-222281 + INV E23-263281 + INV E23-325281 + INV E23-369281 + INV E23-404281 + INV E23-470281 + INv E23-532281 + INV E23-585281 + INV E24-081281 + INV E24-037281 + INV E24-258281 + INV E24-312281 + INV E24-081281 + INV E24-143281 + INV E24-224281 + INV E24-361281 + INV E24-399281 + INV E24-519281 + INV E24-576281+ INV E25-050281 + INV E25-067281 + INV E25-102281 + INV E25-133281 + INV E25-156281 + INV E25-247281 + INV E25-299281 + INV E25-340281 + INV I25-370281 + INV E25-394281 +INV E25-453281+ INV E25-518281"/>
    <s v="04/02/2022 + 14/02/2022 + 27/04/2022 + 02/06/2022 + 15/07/2022 + 09/08/2022 + 14/09/2022 + 24/11/2022 + 16/12/2022 + 07/02/2023 + 23/02/2023 + 09/03/2023 + 05/04/2023 + 05/05/2023 + 14/06/2023 + 17/07/2023 + 10/08/2023 + 13/09/2023 + 19/10/2023 + 22/11/2023 + 19/12/2023 + 16/02/2024 + 31/01/2024 + 24/04/2024 + 12/06/2024 + 12/07/2024 + 16/02/2024 + 21/03/2024 + 15/05/2024 + 07/08/2024 + 12/09/2024 + 20/11/2024 + 18/12/2024 + 04/02/2025 + 19/02/2025 + 11/03/2025+31/03/2025+14/04/2025+24/06/2025+21/07/2025+22/08/2025 + 19/09/2025+30/09/2025 + 11/11/2025+16/12/2025"/>
    <n v="2915724"/>
    <x v="1"/>
    <n v="1250478.53"/>
    <n v="1665245.47"/>
    <n v="1250478.53"/>
  </r>
  <r>
    <s v="ABX464"/>
    <m/>
    <s v="CMC"/>
    <m/>
    <s v="SEQENS"/>
    <s v="WO61#2023 - P00039_2023"/>
    <s v="P00039_2023"/>
    <s v="PCV Storage fee ABX464"/>
    <m/>
    <s v="INV 00010 24000107 RI"/>
    <d v="2024-01-19T00:00:00"/>
    <n v="5400"/>
    <x v="1"/>
    <n v="3000"/>
    <n v="2400"/>
    <n v="3000"/>
  </r>
  <r>
    <s v="ABX464"/>
    <m/>
    <s v="CMC"/>
    <m/>
    <s v="SEQENS"/>
    <s v="WO64#2023 - P00265_2023"/>
    <s v="P00265_2023"/>
    <s v="Obefazimod process validation campaign"/>
    <s v="2023-2025"/>
    <s v="INV 23002039 RI + INV 00010 30431 SO + INV 00010 24000918 RI + INV 24002950 RI + INV 25000081 RI + INV 25000202 RI + INV 25001502 RI + INV 15002375 RI"/>
    <s v="19/09/2023 + 30/01/2024 (recu 02/2024) + 15/04/2024 + 19/12/2024 +15/01/2025 + 28/01/2025 + 18/06/2025 + 08/10/2025"/>
    <n v="1870200"/>
    <x v="1"/>
    <n v="1937881.8599999999"/>
    <n v="0"/>
    <n v="1937881.8599999999"/>
  </r>
  <r>
    <s v="ABX464"/>
    <m/>
    <s v="CMC"/>
    <m/>
    <s v="SEQENS"/>
    <s v="WO65#2023 - P00243_2023"/>
    <s v="P00243_2023"/>
    <s v="ABX464 Analytical transfert to Thermo Fisher "/>
    <m/>
    <s v="INV 00010 23002939 RI + INV 00010 24000402 RI + INV 00010 24001097 RI + INV 00010 24001536 RI + INV 00010 24001818 RI + INV 0001024002400 RI"/>
    <s v="01/01/2024 + 21/02/2024 + 30/04/2024 + 27/06/2024 + 30/07/2024 + 24/10/2024"/>
    <n v="296200"/>
    <x v="1"/>
    <n v="156400"/>
    <n v="139800"/>
    <n v="156400"/>
  </r>
  <r>
    <s v="ABX464"/>
    <m/>
    <s v="CMC"/>
    <m/>
    <s v="SEQENS"/>
    <s v="WO66#2023 - P00242_2023"/>
    <s v="P00242_2023"/>
    <s v="ABX464 Analytical validation"/>
    <m/>
    <s v="INV 00010 24002458 RI"/>
    <d v="2024-10-30T00:00:00"/>
    <n v="48000"/>
    <x v="1"/>
    <n v="32000"/>
    <n v="16000"/>
    <n v="32000"/>
  </r>
  <r>
    <s v="ABX464"/>
    <m/>
    <s v="CMC"/>
    <m/>
    <s v="SEQENS"/>
    <s v="WO69#2023 - P00331_2023"/>
    <s v="P00331_2023"/>
    <s v="Technical support for process transfer at Thermofisher"/>
    <m/>
    <s v="INV 00010 23002178 RI + INV 00010 24002793 RI"/>
    <s v="03/10/2023 + 06/12/2024"/>
    <n v="16000"/>
    <x v="1"/>
    <n v="11520"/>
    <n v="4480"/>
    <n v="11520"/>
  </r>
  <r>
    <s v="ABX464"/>
    <m/>
    <s v="CMC"/>
    <m/>
    <s v="SEQENS"/>
    <s v="WO#73 - P00076_2024"/>
    <s v="P00076_2024"/>
    <s v="Product shipment"/>
    <m/>
    <m/>
    <m/>
    <n v="4060"/>
    <x v="1"/>
    <m/>
    <n v="4060"/>
    <n v="0"/>
  </r>
  <r>
    <s v="ABX464"/>
    <m/>
    <s v="CMC"/>
    <m/>
    <s v="SEQENS"/>
    <s v="WO#72 - P00060_2024"/>
    <s v="P00060_2024"/>
    <s v="Modification process"/>
    <m/>
    <m/>
    <m/>
    <n v="31500"/>
    <x v="1"/>
    <m/>
    <n v="31500"/>
    <n v="0"/>
  </r>
  <r>
    <s v="ABX464"/>
    <m/>
    <s v="CMC"/>
    <s v="Jerome D"/>
    <s v="SEQENS"/>
    <s v="WO80#2024 - P00356_2024"/>
    <s v="P00356_2024"/>
    <s v="ABX464 seeds for TFS and sample for UK"/>
    <m/>
    <s v="INV 00010 24002902 RI"/>
    <d v="2024-12-18T00:00:00"/>
    <n v="10450"/>
    <x v="1"/>
    <n v="10450"/>
    <n v="0"/>
    <n v="10450"/>
  </r>
  <r>
    <s v="ABX464"/>
    <m/>
    <s v="CMC"/>
    <s v="Jerome D"/>
    <s v="SEQENS"/>
    <s v="WO90#2024 - P00543_2024"/>
    <s v="P00543_2024"/>
    <s v="Ethyl cloride &amp; isopropyl chl methods validation"/>
    <m/>
    <s v="INV 00010 25003077 RI"/>
    <d v="2025-12-22T00:00:00"/>
    <n v="23450"/>
    <x v="1"/>
    <n v="18750"/>
    <n v="4700"/>
    <n v="18750"/>
  </r>
  <r>
    <s v="ABX464"/>
    <m/>
    <s v="CMC"/>
    <s v="Jerome D"/>
    <s v="SEQENS"/>
    <s v="WO61#2023 A1 - P00544_2024"/>
    <s v="P00544_2024"/>
    <s v="PCV Storage fee ABX464 2025 (01/01/25-31/12/25)"/>
    <d v="2025-12-31T00:00:00"/>
    <m/>
    <m/>
    <n v="6900"/>
    <x v="1"/>
    <m/>
    <n v="6900"/>
    <n v="0"/>
  </r>
  <r>
    <s v="ABX464"/>
    <m/>
    <s v="CMC"/>
    <s v="Adrien K"/>
    <s v="SEQENS"/>
    <s v="WO22#2020 - P00590_2024"/>
    <s v="P00590_2024"/>
    <s v="Sample shipments in 2024"/>
    <m/>
    <s v="INV 00010 24002951 RI"/>
    <d v="2024-12-19T00:00:00"/>
    <n v="12240"/>
    <x v="1"/>
    <n v="12240"/>
    <n v="0"/>
    <n v="12240"/>
  </r>
  <r>
    <s v="ABX464"/>
    <m/>
    <s v="CMC"/>
    <s v="Saadia"/>
    <s v="SEQENS"/>
    <s v="WO91#2024 - P00018_2025"/>
    <s v="P00018_2025"/>
    <s v="Nitroso ABX464 impurty study in DS&amp;DP - Synthesis of new batch"/>
    <m/>
    <s v="INV 00010 25000225 RI + INV 00010 25000756 RI  + INV 1025001494 RI"/>
    <s v="29/01/2025 + 27/03/2025+ 17/06/2025"/>
    <n v="33750"/>
    <x v="1"/>
    <n v="33750"/>
    <n v="0"/>
    <n v="33750"/>
  </r>
  <r>
    <s v="ABX464"/>
    <m/>
    <s v="CMC"/>
    <s v="Adrien K"/>
    <s v="SEQENS"/>
    <s v="WO83#2024 - P00058_2025"/>
    <s v="P00058_2025"/>
    <s v="ICH Stability studies for demo Batch"/>
    <m/>
    <s v="INV 00010 25001373 RI"/>
    <d v="2025-06-04T00:00:00"/>
    <n v="69600"/>
    <x v="1"/>
    <n v="13000"/>
    <n v="56600"/>
    <n v="13000"/>
  </r>
  <r>
    <s v="ABX464"/>
    <m/>
    <s v="CMC"/>
    <s v="Adrien K"/>
    <s v="SEQENS"/>
    <s v="WO85#2024 - P00067_2025"/>
    <s v="P00067_2025"/>
    <s v="Stability study ABX464 pharaon Intermediates"/>
    <m/>
    <s v="INV 25000436 RI"/>
    <d v="2025-02-24T00:00:00"/>
    <n v="12250"/>
    <x v="1"/>
    <n v="6125"/>
    <n v="6125"/>
    <n v="6125"/>
  </r>
  <r>
    <s v="ABX464"/>
    <m/>
    <s v="CMC"/>
    <s v="Adrien K"/>
    <s v="SEQENS"/>
    <s v="WO92#2025 - P00068_2025 - P00101_2025"/>
    <s v="P00101_2025"/>
    <s v="Analysis &amp; Milling validation batches &amp; co"/>
    <m/>
    <s v="INV 25001242 RI + INV 25001459 + inv 25001615 ri"/>
    <s v="21/05/2025 + 13/06/2025 + 27/06/2025"/>
    <n v="377440"/>
    <x v="1"/>
    <n v="152117"/>
    <n v="225323"/>
    <n v="152117"/>
  </r>
  <r>
    <s v="ABX464"/>
    <m/>
    <s v="CMC"/>
    <s v="Saadia"/>
    <s v="SEQENS"/>
    <s v="WO91#2024 - P00076_2025"/>
    <s v="P00076_2025"/>
    <s v="Nitroso ABX464 impurty study in DS&amp;DP - Analytical Dev"/>
    <m/>
    <s v="250007540RI"/>
    <d v="2025-03-27T00:00:00"/>
    <n v="22275"/>
    <x v="1"/>
    <n v="22275"/>
    <n v="0"/>
    <n v="22275"/>
  </r>
  <r>
    <s v="ABX464"/>
    <m/>
    <s v="QA"/>
    <m/>
    <s v="SILICON MARKETING"/>
    <s v="2021-01-07 - P00105_2023"/>
    <s v="P00105_2023"/>
    <s v="Audit CRL Everux"/>
    <m/>
    <s v="INV 2023_52 + INV 2023_102"/>
    <s v="15/06/2023 + 18/09/2023"/>
    <n v="7100"/>
    <x v="1"/>
    <n v="5753"/>
    <n v="1347"/>
    <n v="5753"/>
  </r>
  <r>
    <s v="NOTAPP"/>
    <m/>
    <s v="QA1"/>
    <m/>
    <s v="SILICON MARKETING"/>
    <s v="Amdt 2021_02_02 - P00171_2022"/>
    <s v="P00171_2022"/>
    <s v="Audit PHINC"/>
    <m/>
    <s v="INV 2022_55"/>
    <d v="2022-07-20T00:00:00"/>
    <n v="5500"/>
    <x v="1"/>
    <n v="5500"/>
    <n v="0"/>
    <n v="5500"/>
  </r>
  <r>
    <s v="NOTAPP"/>
    <m/>
    <s v="QA1"/>
    <m/>
    <s v="SILICON MARKETING"/>
    <s v="Amdt 2021_02_03 - P00179_2022"/>
    <s v="P00179_2022"/>
    <s v="Audit MBV"/>
    <m/>
    <s v="INV 2022_57"/>
    <d v="2022-07-20T00:00:00"/>
    <n v="5985"/>
    <x v="1"/>
    <n v="5500"/>
    <n v="0"/>
    <n v="5500"/>
  </r>
  <r>
    <s v="NOTAPP"/>
    <m/>
    <s v="QA1"/>
    <m/>
    <s v="SILICON MARKETING"/>
    <s v="CSL_18135 - P00029 (Docushare)"/>
    <m/>
    <s v="Create a register of personnal data"/>
    <m/>
    <s v="Q42018 - INV 2018-24 "/>
    <d v="2018-10-12T00:00:00"/>
    <n v="2000"/>
    <x v="1"/>
    <s v="OK"/>
    <n v="0"/>
    <n v="2000"/>
  </r>
  <r>
    <s v="NOTAPP"/>
    <m/>
    <s v="QA1"/>
    <m/>
    <s v="SILICON MARKETING"/>
    <s v="CSL_18135 - P00029 (Docushare)"/>
    <m/>
    <s v="Update documentation where DPO and communication should be specific"/>
    <m/>
    <s v="Q42018 - INV 2018-24 "/>
    <d v="2018-10-12T00:00:00"/>
    <n v="2000"/>
    <x v="1"/>
    <s v="OK"/>
    <n v="0"/>
    <n v="2000"/>
  </r>
  <r>
    <s v="NOTAPP"/>
    <m/>
    <s v="QA1"/>
    <m/>
    <s v="SILICON MARKETING"/>
    <s v="CSL_18135 - P00029 (Docushare)"/>
    <m/>
    <s v="Data protection impact assessment (DPIA) for critical process"/>
    <m/>
    <s v="Q42018 - INV 2018-24 + INV2019-45"/>
    <s v="12/10/2018 + 31/12/2018"/>
    <n v="3500"/>
    <x v="1"/>
    <n v="3500"/>
    <n v="0"/>
    <n v="3500"/>
  </r>
  <r>
    <s v="NOTAPP"/>
    <m/>
    <s v="QA1"/>
    <m/>
    <s v="SILICON MARKETING"/>
    <s v="CSL_18135 - P00029 (Docushare)"/>
    <m/>
    <s v="Informe about GDPR law"/>
    <m/>
    <s v="Q3&amp;Q42018 - INV2019-45"/>
    <d v="2018-12-31T00:00:00"/>
    <n v="500"/>
    <x v="1"/>
    <n v="500"/>
    <n v="0"/>
    <n v="500"/>
  </r>
  <r>
    <s v="NOTAPP"/>
    <m/>
    <s v="QA1"/>
    <m/>
    <s v="SILICON MARKETING"/>
    <s v="CSL_18135 - P00029 (Docushare)"/>
    <m/>
    <s v="Questionnaire for sub-contractors Part 1"/>
    <d v="2020-04-01T00:00:00"/>
    <m/>
    <m/>
    <n v="0"/>
    <x v="1"/>
    <m/>
    <n v="0"/>
    <n v="0"/>
  </r>
  <r>
    <s v="NOTAPP"/>
    <m/>
    <s v="QA1"/>
    <m/>
    <s v="SILICON MARKETING"/>
    <s v="CSL_18135 - P00029 (Docushare)"/>
    <m/>
    <s v="Questionnaire for sub-contractors Part 2"/>
    <d v="2020-04-01T00:00:00"/>
    <m/>
    <m/>
    <n v="0"/>
    <x v="1"/>
    <m/>
    <n v="0"/>
    <n v="0"/>
  </r>
  <r>
    <s v="NOTAPP"/>
    <m/>
    <s v="QA1"/>
    <m/>
    <s v="SILICON MARKETING"/>
    <s v="CSL_18135 - P00029 (Docushare)"/>
    <m/>
    <s v="Prepare a training or a presentation on GDPR for employees"/>
    <m/>
    <m/>
    <m/>
    <n v="0"/>
    <x v="1"/>
    <s v="OK"/>
    <n v="0"/>
    <n v="0"/>
  </r>
  <r>
    <s v="NOTAPP"/>
    <m/>
    <s v="QA1"/>
    <m/>
    <s v="SILICON MARKETING"/>
    <s v="CSL_18135 - P00029 (Docushare)"/>
    <m/>
    <s v="GDPR implementation review - 2000 €"/>
    <m/>
    <m/>
    <m/>
    <n v="0"/>
    <x v="1"/>
    <s v="OK"/>
    <n v="0"/>
    <n v="0"/>
  </r>
  <r>
    <s v="NOTAPP"/>
    <m/>
    <s v="QA1"/>
    <m/>
    <s v="SILICON MARKETING"/>
    <s v="CSL_18135 - P00029 (Docushare)"/>
    <m/>
    <s v="Conduct on site audit key vendors UK ORION_x000a_Sera une autre presta DPIA (11/2019 =&gt; Caroline)"/>
    <m/>
    <s v="INV 2021-53"/>
    <d v="2021-09-17T00:00:00"/>
    <n v="2000"/>
    <x v="1"/>
    <n v="3750"/>
    <n v="0"/>
    <n v="3750"/>
  </r>
  <r>
    <s v="NOTAPP"/>
    <m/>
    <s v="QA1"/>
    <m/>
    <s v="SILICON MARKETING"/>
    <s v="CSL_18135 - P00029 (Docushare)"/>
    <m/>
    <s v="Conduct on site audit key vendors Spain academic reseach site 2000 €"/>
    <m/>
    <m/>
    <m/>
    <n v="0"/>
    <x v="1"/>
    <s v="OK"/>
    <n v="0"/>
    <n v="0"/>
  </r>
  <r>
    <s v="NOTAPP"/>
    <m/>
    <s v="QA1"/>
    <m/>
    <s v="SILICON MARKETING"/>
    <s v="CSL_18135 - P00029 (Docushare)"/>
    <m/>
    <s v="Conduct on site audit key vendors Paris MBV SI 2000 €"/>
    <m/>
    <m/>
    <m/>
    <n v="0"/>
    <x v="1"/>
    <s v="OK"/>
    <n v="0"/>
    <n v="0"/>
  </r>
  <r>
    <s v="NOTAPP"/>
    <m/>
    <s v="QA"/>
    <m/>
    <s v="SILICON MARKETING"/>
    <s v="Devis 2022-02-04 - P00011_2023"/>
    <s v="P00011_2023"/>
    <s v="Audit ACTIVE BIOMARKERS"/>
    <m/>
    <s v="INV 2023_11 + INV 2023_52"/>
    <s v="10/04/2023 + 15/06/2023"/>
    <n v="6550"/>
    <x v="1"/>
    <n v="4561"/>
    <n v="1989"/>
    <n v="4561"/>
  </r>
  <r>
    <s v="NOTAPP"/>
    <m/>
    <s v="QA"/>
    <m/>
    <s v="SILICON MARKETING"/>
    <s v="Devis 2022-02-05 - P00010_2023"/>
    <s v="P00010_2023"/>
    <s v="Audit INTRALINKS"/>
    <m/>
    <s v="INV 2023_11 + INV 2023_52"/>
    <s v="10/04/2023 + 15/06/2023"/>
    <n v="5500"/>
    <x v="1"/>
    <n v="2953.5"/>
    <n v="2546.5"/>
    <n v="2953.5"/>
  </r>
  <r>
    <s v="NOTAPP"/>
    <m/>
    <s v="QA"/>
    <m/>
    <s v="SILICON MARKETING"/>
    <s v="Quote 2021_02_08 - P00208_2023"/>
    <s v="P00208_2023"/>
    <s v="Computerized System Validation (CSV) global Strategy"/>
    <m/>
    <s v="INV 2023_102 + INV 2023_161 + INV 2024_05 + INV 2024_67 + INV 2024_123 + INV 2024_191"/>
    <s v="18/09/2023 + 19/12/2023 + 13/03/2024 + 14/06/2024 + 19/09/2024 + 11/12/2024"/>
    <n v="19550"/>
    <x v="1"/>
    <n v="40231.990000000005"/>
    <n v="0"/>
    <n v="40231.990000000005"/>
  </r>
  <r>
    <s v="NOTAPP"/>
    <m/>
    <s v="QA"/>
    <m/>
    <s v="SILICON MARKETING"/>
    <s v="Quote 2021_02_09 - P00326_2023"/>
    <s v="P00326_2023"/>
    <s v="Audits of 3 subcontractors ERBC, Charles River Den Bosh, Cell Carta"/>
    <m/>
    <s v="INV 2023_161 + INV 2024_05 + INV 2024_123 + INV 2024_191"/>
    <s v="19/12/2023 + 13/03/2024 + 19/09/2024 + 11/12/2024"/>
    <n v="22000"/>
    <x v="1"/>
    <n v="24085.800000000003"/>
    <n v="0"/>
    <n v="24085.800000000003"/>
  </r>
  <r>
    <s v="NOTAPP"/>
    <m/>
    <s v="QA"/>
    <m/>
    <s v="SILICON MARKETING"/>
    <s v="Quote 2022_02_06 - P00022_2023"/>
    <s v="P00022_2023"/>
    <s v="GRPD Annual Training Programm"/>
    <m/>
    <s v="INV 2023_10 + INV 2023_53 + INV 2023_103 + INV 2023_160 + INV 2024_04"/>
    <s v="10/04/2023 + 15/06/2023 + 18/09/2023 + 19/12/2023 + 13/03/2024"/>
    <n v="6200"/>
    <x v="1"/>
    <n v="6764.5"/>
    <n v="0"/>
    <n v="6764.5"/>
  </r>
  <r>
    <s v="NOTAPP"/>
    <m/>
    <s v="QA"/>
    <m/>
    <s v="SILICON MARKETING"/>
    <s v="SRV-SM-ABX - P00409_2019"/>
    <s v="P00409_2019"/>
    <s v="Audit"/>
    <m/>
    <s v="INV 2019-43"/>
    <d v="2019-11-06T00:00:00"/>
    <n v="1000"/>
    <x v="1"/>
    <s v="OK"/>
    <n v="0"/>
    <n v="1000"/>
  </r>
  <r>
    <s v="NOTAPP"/>
    <m/>
    <s v="QA"/>
    <m/>
    <s v="SILICON MARKETING"/>
    <s v="SRV-SM-ABX - P00409_2019"/>
    <s v="P00409_2019"/>
    <s v="Report Wirting"/>
    <m/>
    <s v="INV 2019-43"/>
    <d v="2019-11-06T00:00:00"/>
    <n v="1000"/>
    <x v="1"/>
    <s v="OK"/>
    <n v="0"/>
    <n v="1000"/>
  </r>
  <r>
    <s v="ABX464"/>
    <m/>
    <s v="QA"/>
    <m/>
    <s v="SILICON MARKETING"/>
    <s v="Quote 2021_02_11 - P00023_2024"/>
    <s v="P00023_2024"/>
    <s v="Co-auditor Creapharm Le Haillan"/>
    <m/>
    <s v="INV 2024_05 + INV 2024_63 + INV 2024_123 + INV 2024_191"/>
    <s v="13/03/2024 + 14/06/2024 + 19/09/2024 + 11/12/2024"/>
    <n v="8800"/>
    <x v="1"/>
    <n v="5812.64"/>
    <n v="2987.3599999999997"/>
    <n v="5812.64"/>
  </r>
  <r>
    <s v="ABX464"/>
    <m/>
    <s v="QA"/>
    <m/>
    <s v="SILICON MARKETING"/>
    <s v="2021_02_12 - P00074_2024"/>
    <s v="P00074_2024"/>
    <s v="Audit Cenduit"/>
    <m/>
    <s v="INV 2024_05 + INV 2024_64 + INV 2024_123 + INV 2024_191"/>
    <s v="13/03/2024 + 14/06/2024 + 19/09/2024 + 11/12/2024"/>
    <n v="9900"/>
    <x v="1"/>
    <n v="6884.4100000000008"/>
    <n v="3015.5899999999992"/>
    <n v="6884.4100000000008"/>
  </r>
  <r>
    <s v="ABX464"/>
    <m/>
    <s v="DAT"/>
    <s v="Kevin S"/>
    <s v="SILICON MARKETING"/>
    <s v="2021_02_13 CSV - P00126_2024"/>
    <s v="P00126_2024"/>
    <s v="CSV SAS support implementation at Abivax  - ILC SAS"/>
    <m/>
    <s v="INV 2024_06"/>
    <d v="2024-03-13T00:00:00"/>
    <n v="8800"/>
    <x v="1"/>
    <n v="320.38"/>
    <n v="8479.6200000000008"/>
    <n v="320.38"/>
  </r>
  <r>
    <s v="ABX464"/>
    <m/>
    <s v="QA"/>
    <m/>
    <s v="SILICON MARKETING"/>
    <s v="2021_02_14 - P00168_2024"/>
    <s v="P00168_2024"/>
    <s v="Audit on site VOISIN CONSULTIN (VCLS Paris)"/>
    <m/>
    <s v="INV 2024_65 + INV 2024_123 + INV 2024_191"/>
    <s v="14/06/2024 + 19/09/2024 + 11/12/2024"/>
    <n v="11000"/>
    <x v="1"/>
    <n v="10818.9"/>
    <n v="181.10000000000036"/>
    <n v="10818.9"/>
  </r>
  <r>
    <s v="UC105"/>
    <m/>
    <s v="QA"/>
    <s v="Ouahiba K / Ana S"/>
    <s v="SILICON MARKETING"/>
    <s v="Quote 2021_02_15 - P00249_2024"/>
    <s v="P00249_2024"/>
    <s v="ABTECT - 4 Audits On site - CERBA HISTALIM"/>
    <m/>
    <s v="INV 2024_62 + INV 2024_125 + INV 2024_192 + INV 2025_17 + INV 2025_77 + INV_114"/>
    <s v="14/06/2024 + 19/09/2024 + 11/12/2024 + 10/04/2025 + 26/06/2025 + 15/09/2025"/>
    <n v="7700"/>
    <x v="1"/>
    <n v="4837.3900000000003"/>
    <n v="2862.6099999999997"/>
    <n v="4837.3900000000003"/>
  </r>
  <r>
    <s v="ABX464"/>
    <m/>
    <s v="QA"/>
    <s v="Ouahiba K / Ana S"/>
    <s v="SILICON MARKETING"/>
    <s v="Quote 2021_02_15 - P00249_2024"/>
    <s v="P00249_2024"/>
    <s v="Internal - 4 Audits On site - LAB Montpllier ABIVAX"/>
    <m/>
    <s v="INV 2024_62 + INV 2024_125 + INV 2025_17 + INV 2025_77"/>
    <s v="14/06/2024 + 19/09/2024 + 10/04/2025 + 26/06/2025"/>
    <n v="8800"/>
    <x v="1"/>
    <n v="8204.6299999999992"/>
    <n v="595.3700000000008"/>
    <n v="8204.6299999999992"/>
  </r>
  <r>
    <s v="CD202"/>
    <m/>
    <s v="QA"/>
    <s v="Ouahiba K / Ana S"/>
    <s v="SILICON MARKETING"/>
    <s v="Quote 2021_02_15 - P00249_2024"/>
    <s v="P00249_2024"/>
    <s v="CROHN - 4 Audits On site - LKF - Nordic Bioscience"/>
    <m/>
    <s v="INV 2024_192 + INV 2025_17 + INV 2025_77 + INV_114"/>
    <s v="10/04/2025 + 26/06/2025 + 15/09/2025"/>
    <n v="17600"/>
    <x v="1"/>
    <n v="11665.559999999998"/>
    <n v="5934.4400000000023"/>
    <n v="11665.559999999998"/>
  </r>
  <r>
    <s v="ABX464"/>
    <m/>
    <s v="QA"/>
    <s v="Nadege B"/>
    <s v="SILICON MARKETING"/>
    <s v="Quote 2021_02_13 - P00248_2024"/>
    <s v="P00248_2024"/>
    <s v="CSV and support on SAS implementation"/>
    <m/>
    <s v="INV 2024_66"/>
    <d v="2024-06-14T00:00:00"/>
    <n v="8800"/>
    <x v="1"/>
    <n v="1542.75"/>
    <n v="7257.25"/>
    <n v="1542.75"/>
  </r>
  <r>
    <s v="ABX464"/>
    <m/>
    <s v="CMC"/>
    <s v="Marianne P"/>
    <s v="SILICON MARKETING"/>
    <s v="2021_02_016 - P00222_2024"/>
    <s v="P00222_2024"/>
    <s v="CSV of GxP Inventory (Signant Health)"/>
    <m/>
    <s v="INV 2024_124 + INV 2024_186"/>
    <s v="19/09/2024 + 10/12/2024"/>
    <n v="14000"/>
    <x v="1"/>
    <n v="6062.5"/>
    <n v="7937.5"/>
    <n v="6062.5"/>
  </r>
  <r>
    <s v="NOTAPP"/>
    <m/>
    <s v="QA"/>
    <s v="Sophie G"/>
    <s v="SILICON MARKETING"/>
    <s v="Quote 2021_02_18 - P00308_2024"/>
    <s v="P00308_2024"/>
    <s v="CSV on Veeva Quality Docs &amp; RIMS Applications"/>
    <m/>
    <s v="INV 2024_123 + INV 2024_191"/>
    <s v="19/09/2024 + 11/12/2024"/>
    <n v="29500"/>
    <x v="1"/>
    <n v="11137.5"/>
    <n v="18362.5"/>
    <n v="11137.5"/>
  </r>
  <r>
    <s v="NOTAPP"/>
    <m/>
    <s v="QA"/>
    <s v="Sophie G"/>
    <s v="SILICON MARKETING"/>
    <s v="Quote 2021_02_19 - P00337_2024"/>
    <s v="P00337_2024"/>
    <s v="Trainign on CSV ILC Training for 2024"/>
    <m/>
    <s v="INV 2024_123 + INV 2024_191"/>
    <s v="19/09/2024 + 11/12/2024"/>
    <n v="4300"/>
    <x v="1"/>
    <n v="4110.88"/>
    <n v="189.11999999999989"/>
    <n v="4110.88"/>
  </r>
  <r>
    <s v="ABX464"/>
    <m/>
    <s v="QA"/>
    <s v="Ouahiba K / Ana S"/>
    <s v="SILICON MARKETING"/>
    <s v="2021_02_21 - P00417_2024"/>
    <s v="P00417_2024"/>
    <s v="Audit IQVIA PV"/>
    <m/>
    <s v="INV 2024_191 + INV 2025_17"/>
    <s v="11/12/2024 + 10/04/2025"/>
    <n v="9100"/>
    <x v="1"/>
    <n v="6100"/>
    <n v="3000"/>
    <n v="6100"/>
  </r>
  <r>
    <s v="NOTAPP"/>
    <m/>
    <s v="QA"/>
    <s v="Sophie G"/>
    <s v="SILICON MARKETING"/>
    <s v="2021_02_23 - P00023_2025"/>
    <s v="P00023_2025"/>
    <s v="GDPR Trainings &amp; data Gov Strategy"/>
    <m/>
    <s v="INV 2025_18 + INV 2025_66 + INV 2025_115"/>
    <s v="10/04/2025 + 26/06/2025 + 15/09/2025"/>
    <n v="9100"/>
    <x v="1"/>
    <n v="17160.270000000004"/>
    <n v="0"/>
    <n v="17160.270000000004"/>
  </r>
  <r>
    <s v="NOTAPP"/>
    <m/>
    <s v="QA"/>
    <s v="Sophie G"/>
    <s v="SILICON MARKETING"/>
    <s v="2021_02_24 - P00022_2025"/>
    <s v="P00022_2025"/>
    <s v="CSV improvements &amp; VEEVA releases upgrade"/>
    <m/>
    <s v="INV 2025_18 + INV 2025_77 + INV_115 + INV 2025_171"/>
    <s v="10/04/2025 + 26/06/2025 + 15/09/2025 + 18/12/2025"/>
    <n v="11050"/>
    <x v="1"/>
    <n v="11142.03"/>
    <n v="0"/>
    <n v="11142.03"/>
  </r>
  <r>
    <s v="RA302"/>
    <m/>
    <s v="CMC"/>
    <m/>
    <s v="SODIA - CREAPHARM"/>
    <s v="Devis 11936-2 Amendement 2 - P00107_2023"/>
    <s v="P00107_2023"/>
    <s v="Abx-302 return shipment"/>
    <m/>
    <s v="INV FA232539 + INV FA232995 + INV FA233558 + INV FA235349 + INV FACLI000293 + INC FACLI000487 + INV FACLI001184 + INV FACLI002964 + INV FACLI000410 + INV FACLI001057 + INV FACLI001736"/>
    <s v="28/04/2023 + 31/05/2023 + 30/06/2023 (recu 07/2023) + 30/09/2023 + 29/12/2023 + 29/03/2024 + 28/06/2024 + 31/12/2024 + 24/03/2025 + 30/06/2025 + 30/09/2025"/>
    <n v="13247.5"/>
    <x v="1"/>
    <n v="4805.3999999999996"/>
    <n v="8442.1"/>
    <n v="4805.3999999999996"/>
  </r>
  <r>
    <s v="NOTAPP"/>
    <m/>
    <s v="PMO"/>
    <s v="Stephane"/>
    <s v="SPRINGER NATURE"/>
    <s v="Q-110408 - P00468_2024"/>
    <s v="P00468_2024"/>
    <s v="Documentation"/>
    <m/>
    <s v="INV 2939805091"/>
    <d v="2024-09-24T00:00:00"/>
    <n v="1503.15"/>
    <x v="1"/>
    <n v="1503.15"/>
    <n v="0"/>
    <n v="1503.15"/>
  </r>
  <r>
    <s v="NOTAPP"/>
    <m/>
    <s v="LAB"/>
    <s v="Aude G"/>
    <s v="SPUR environnement"/>
    <s v="P00039_2025"/>
    <s v="P00039_2025"/>
    <s v="Destruction de produits LABO"/>
    <m/>
    <s v="INV G2502217"/>
    <d v="2025-02-27T00:00:00"/>
    <n v="987.87"/>
    <x v="1"/>
    <n v="646.95000000000005"/>
    <n v="340.91999999999996"/>
    <n v="646.95000000000005"/>
  </r>
  <r>
    <s v="ABX464"/>
    <m/>
    <s v="CMC"/>
    <s v="Jerome D"/>
    <s v="THERMO FISHER CORK"/>
    <s v="A-CRKA-335410-R3 - P00240_2023"/>
    <s v="P00240_2023"/>
    <s v="WP1 /2/3 - Implementation and Validation of manuf process ABX464"/>
    <m/>
    <s v="INV 2023-0015 + INV 2024-0006 + INV 9001300258"/>
    <s v="03/10/2023 + 26/03/2024 + 09/05/2025"/>
    <n v="507556"/>
    <x v="1"/>
    <n v="507556"/>
    <n v="0"/>
    <n v="507556"/>
  </r>
  <r>
    <s v="ABX464"/>
    <m/>
    <s v="CMC"/>
    <s v="Jerome D"/>
    <s v="THERMO FISHER CORK"/>
    <s v="A-CRKA-335410-R3 - P00240_2023"/>
    <s v="P00240_2023"/>
    <s v="WP4 - Implementation and Validation of manuf process ABX464"/>
    <m/>
    <s v="INV 2024-0005 + (INV 2024-0008 - AV 2024-9001) + INV 900125262 + INV 900129859 + (INV 900130615 - CR 910004962) + INV 900130832 + INV 900132301 + INV 900132300 + INV 900134264"/>
    <s v="26/03/2024 + 16/05/2024 + 26/06/2024 + 17/07/2024 + 14/04/2025 + 30/05/2025 - 10/06/2025 + 12/06/2025+10/09/2025+19/09/2025 + 13/01/2026"/>
    <n v="3986049"/>
    <x v="1"/>
    <n v="1720691.1099999999"/>
    <n v="2265357.89"/>
    <n v="1720691.1099999999"/>
  </r>
  <r>
    <s v="ABX464"/>
    <m/>
    <s v="CMC"/>
    <m/>
    <s v="THERMO FISHER CORK"/>
    <s v="A-CRKA-335410-R3 - P00241_2023"/>
    <s v="P00241_2023"/>
    <s v="Stability studies / apount including rebate"/>
    <m/>
    <s v="INV 900134247"/>
    <d v="2026-01-12T00:00:00"/>
    <n v="127095"/>
    <x v="1"/>
    <n v="63547.5"/>
    <n v="63547.5"/>
    <n v="63547.5"/>
  </r>
  <r>
    <s v="ABX464"/>
    <m/>
    <s v="CMC"/>
    <m/>
    <s v="THERMO FISHER CORK"/>
    <s v="CoS-1 - A-CRKA-335410-R3 CO n°1 - P00084_2024"/>
    <s v="P00084_2024"/>
    <s v="CoS-1 - Implementation and validation of manuf process ABX464"/>
    <m/>
    <s v="INV 900130256"/>
    <d v="2025-05-09T00:00:00"/>
    <n v="52500"/>
    <x v="1"/>
    <n v="52500"/>
    <n v="0"/>
    <n v="52500"/>
  </r>
  <r>
    <s v="ABX464"/>
    <m/>
    <s v="CMC"/>
    <m/>
    <s v="THERMO FISHER CORK"/>
    <s v="CoS-2 - A-CRKA-335410-R3 CO n°2 - P00088_2024"/>
    <s v="P00088_2024"/>
    <s v="CoS-2 - Implementation and validation of manuf process ABX464"/>
    <m/>
    <s v="INV 9001300257"/>
    <d v="2025-05-09T00:00:00"/>
    <n v="22900"/>
    <x v="1"/>
    <n v="22900"/>
    <n v="0"/>
    <n v="22900"/>
  </r>
  <r>
    <s v="ABX464"/>
    <m/>
    <s v="CMC"/>
    <m/>
    <s v="THERMO FISHER CORK"/>
    <s v="CoS-3 - A-CRKA-335410-R3 CO n°3 - P00089_2024"/>
    <s v="P00089_2024"/>
    <s v="CoS-3 - Implementation and validation of manuf process ABX464"/>
    <m/>
    <s v="INV 900130259"/>
    <d v="2025-05-09T00:00:00"/>
    <n v="12500"/>
    <x v="1"/>
    <n v="12500"/>
    <n v="0"/>
    <n v="12500"/>
  </r>
  <r>
    <s v="ABX464"/>
    <m/>
    <s v="CMC"/>
    <s v="Sunil S / Jerome"/>
    <s v="THERMO FISHER CORK"/>
    <s v="COS-5-A-CRKA-335410-R3 CO n°5 - P00577_2024"/>
    <s v="P00577_2024"/>
    <s v="Anhydride synthesis"/>
    <m/>
    <s v="INV 900127959 + INV 900129778+ INV 900129829"/>
    <s v="18/12/2024+10/04/2025+10/04/2025"/>
    <n v="241700"/>
    <x v="1"/>
    <n v="201400"/>
    <n v="40300"/>
    <n v="201400"/>
  </r>
  <r>
    <s v="ABX464"/>
    <m/>
    <s v="CMC"/>
    <s v="Sunil S / Jerome"/>
    <s v="THERMO FISHER TORONTO - PATHEON"/>
    <s v="21541933 - P000104_2024"/>
    <s v="P00104_2024"/>
    <s v="TORO-ABX464 IR Capsules 25mg et 50mg"/>
    <m/>
    <s v="INV 90167385"/>
    <d v="2024-07-23T00:00:00"/>
    <n v="93000.71"/>
    <x v="3"/>
    <n v="92932.94"/>
    <n v="67.770000000004075"/>
    <n v="92932.94"/>
  </r>
  <r>
    <s v="ABX464"/>
    <m/>
    <s v="CMC"/>
    <s v="Sunil S / Jerome"/>
    <s v="THERMO FISHER TORONTO - PATHEON"/>
    <s v="21541933 - P00312_2024"/>
    <s v="P00312_2024"/>
    <s v="TORO-ABX464 IR Capsules - Refacturation PTC"/>
    <m/>
    <m/>
    <m/>
    <n v="5525.1"/>
    <x v="3"/>
    <m/>
    <n v="5525.1"/>
    <n v="0"/>
  </r>
  <r>
    <s v="ABX464"/>
    <m/>
    <s v="CMC"/>
    <s v="Sunil S / Jerome"/>
    <s v="THERMO FISHER TORONTO - PATHEON"/>
    <s v="21541933 - P00313_2024"/>
    <s v="P00313_2024"/>
    <s v="TORO-ABX464 IR Capsules - Refacturation PTC"/>
    <m/>
    <m/>
    <m/>
    <n v="12969.56"/>
    <x v="3"/>
    <m/>
    <n v="12969.56"/>
    <n v="0"/>
  </r>
  <r>
    <s v="ABX464"/>
    <m/>
    <s v="CMC"/>
    <s v="Saadia"/>
    <s v="THERMO FISHER CORK"/>
    <s v="CoS-6 - A-CRKA-335410-R3 CO n°6 - P00601_2024"/>
    <s v="P00601_2024"/>
    <s v="ABX-Metabenzoquinoline impurty - WP1 - Spiking study"/>
    <m/>
    <s v="INV 900129866"/>
    <d v="2025-04-14T00:00:00"/>
    <n v="15100"/>
    <x v="1"/>
    <n v="15100"/>
    <n v="0"/>
    <n v="15100"/>
  </r>
  <r>
    <s v="ABX464"/>
    <m/>
    <s v="CMC"/>
    <s v="Saadia"/>
    <s v="THERMO FISHER CORK"/>
    <s v="CoS-6 - A-CRKA-335410-R3 CO n°6 - P00601_2024"/>
    <s v="P00601_2024"/>
    <s v="ABX-Metabenzoquinoline impurt - WP2 - Stage 2 specification change"/>
    <m/>
    <s v="INV 900129866"/>
    <d v="2025-04-14T00:00:00"/>
    <n v="80600"/>
    <x v="1"/>
    <n v="80600"/>
    <n v="0"/>
    <n v="80600"/>
  </r>
  <r>
    <s v="AD903"/>
    <m/>
    <s v="CLI"/>
    <s v="Doug / Caroline L"/>
    <s v="TNO"/>
    <s v="SRV_24023 - P00012_2025"/>
    <s v="P00012_2025"/>
    <s v="AD903 - Metabolite identification in human plasma"/>
    <m/>
    <s v="INV 9060148677"/>
    <d v="2025-02-06T00:00:00"/>
    <n v="21500"/>
    <x v="1"/>
    <n v="21500"/>
    <n v="0"/>
    <n v="21500"/>
  </r>
  <r>
    <s v="ABX464"/>
    <m/>
    <s v="CMC"/>
    <s v="Saadia"/>
    <s v="USP - United States Pharmacopeial"/>
    <s v="Q1637130 - P00438_2024"/>
    <s v="P00438_2024"/>
    <s v="USP-NF Online - Souscription 1 an pour 20 users"/>
    <m/>
    <m/>
    <m/>
    <n v="1402.5"/>
    <x v="4"/>
    <m/>
    <n v="1402.5"/>
    <n v="0"/>
  </r>
  <r>
    <s v="NOTAPP"/>
    <m/>
    <s v="QA"/>
    <s v="Ouahiba K / Ana S"/>
    <s v="VEEVA"/>
    <s v="SRV_24115 - P00269_2024"/>
    <s v="P00269_2024"/>
    <s v="Vault Quality Docs + Training sessions"/>
    <m/>
    <s v="INV 457095"/>
    <d v="2024-06-05T00:00:00"/>
    <n v="124080"/>
    <x v="1"/>
    <n v="124080"/>
    <n v="0"/>
    <n v="124080"/>
  </r>
  <r>
    <s v="NOTAPP"/>
    <m/>
    <s v="QA"/>
    <s v="Ouahiba K / Ana S"/>
    <s v="VEEVA"/>
    <s v="SRV_24114 - P00260_2024"/>
    <s v="P00260_2024"/>
    <s v="QMS tools Vault Quality Docs + Training sessions"/>
    <m/>
    <s v="INV 460533 + INV 463489 + INV 463533 + INV 467971 + INV 468050 + INV 472218 + INV 474598 + IN 477198 + INV 477184 + INV 476786 + INV 481686 + INV 481688 + INV 485322 + INV485368 + INV 488680 + INV 495548 + INV 501127 + INV 505539+ INV 510172 + INV 515224+INV 520437"/>
    <s v="21/06/2024 + 05/07/2024 + 05/07/2024 + 06/08/2024 + 06/08/2024 + 06/09/2024 + 27/09/2024 + 04/10/2024 + 04/10/2024 + 04/10/2024 + 05/11/2024 + 05/11/2024 + 05/12/2024 + 05/12/2024 +20/12/2024 + 07/02/2025+07/03/2025+04/04/2025+06/05/2025+05/06/2025+04/07/2025"/>
    <n v="91280"/>
    <x v="1"/>
    <n v="81370"/>
    <n v="9910"/>
    <n v="81370"/>
  </r>
  <r>
    <s v="NOTAPP"/>
    <m/>
    <s v="REG"/>
    <s v="Mary M"/>
    <s v="VEEVA"/>
    <s v="00187346 - P00215_2024"/>
    <s v="P00215_2024"/>
    <s v="Vault submission ELA"/>
    <m/>
    <m/>
    <m/>
    <n v="93960"/>
    <x v="1"/>
    <m/>
    <n v="93960"/>
    <n v="0"/>
  </r>
  <r>
    <s v="NOTAPP"/>
    <m/>
    <s v="REG"/>
    <s v="Mary M"/>
    <s v="VEEVA"/>
    <s v="SOW VC-377886 - P00214_2024"/>
    <s v="P00214_2024"/>
    <s v="RIMS Vault implementation Costs"/>
    <m/>
    <s v="INV 455660 + INV 458856 + INV 463249 + INV 466388 + INV 478123 + INV 481690 + INV 480569 + INV 485017 + INV 491188 + INV 495599 + INV 501154  +INV 505528 + INV 511275 + INV 515241 + INV 520422 + INV 525353 + INV 529995 + INV 535156 + INV 540766 + INV 544372 + INV 550227"/>
    <s v="13/05/2024 + 06/06/2024 + 05/07/2024 + 05/08/2024 + 07/10/2024 + 05/11/2024 + 05/11/2024 + 05/12/2024 + 07/01/2025 + 07/02/20250+07/03/2025+04/04/2025+06/05/2025+05/06/2025+04/07/2025+06/08/2025 + 04/09/2025+07/10/2025+04/10/2025+04/11/2025+07/01/2026"/>
    <n v="76750"/>
    <x v="1"/>
    <n v="75270"/>
    <n v="1480"/>
    <n v="75270"/>
  </r>
  <r>
    <s v="NOTAPP"/>
    <m/>
    <s v="QA"/>
    <s v="Ouahiba K / Ana S"/>
    <s v="VEEVA"/>
    <s v="00213007 - P00503_2024"/>
    <s v="P00503_2024"/>
    <s v="Vault Quality Docs and Vault training essentials licenses"/>
    <m/>
    <s v="INV 480248"/>
    <d v="2024-11-04T00:00:00"/>
    <n v="29799.96"/>
    <x v="1"/>
    <n v="29800"/>
    <n v="0"/>
    <n v="29800"/>
  </r>
  <r>
    <s v="ABX464"/>
    <m/>
    <s v="LAB"/>
    <m/>
    <s v="WORLD COURRIER"/>
    <s v="0800024587_VR_01 - P00435_2023"/>
    <s v="P00435_2023"/>
    <s v="Transport produits pharmaceutiques ref 231560706CL"/>
    <m/>
    <m/>
    <m/>
    <n v="814.65"/>
    <x v="1"/>
    <m/>
    <n v="814.65"/>
    <n v="0"/>
  </r>
  <r>
    <s v="ABX464"/>
    <m/>
    <s v="CLI"/>
    <m/>
    <s v="WORLD COURRIER"/>
    <s v="231215_065127_CDG_0800024587_VR_01 - P00450"/>
    <s v="P00450"/>
    <s v="Transport of plasma for PK analysis"/>
    <m/>
    <m/>
    <m/>
    <n v="1706.05"/>
    <x v="1"/>
    <m/>
    <n v="1706.05"/>
    <n v="0"/>
  </r>
  <r>
    <s v="OC910"/>
    <m/>
    <s v="CLI"/>
    <m/>
    <s v="WORLD COURRIER"/>
    <s v="240112_104626_CDG - P00021_2024"/>
    <s v="P00021_2024"/>
    <s v="Transport échantillons"/>
    <m/>
    <m/>
    <m/>
    <n v="2526.4"/>
    <x v="1"/>
    <m/>
    <n v="2526.4"/>
    <n v="0"/>
  </r>
  <r>
    <s v="ABX464"/>
    <m/>
    <s v="LAB"/>
    <m/>
    <s v="WORLD COURRIER"/>
    <s v="240408_045610_CDG_0800024587 - P00196_2024"/>
    <s v="P00196_2024"/>
    <s v="Transport vers Indianapolis"/>
    <m/>
    <m/>
    <m/>
    <n v="3526.55"/>
    <x v="1"/>
    <m/>
    <n v="3526.55"/>
    <n v="0"/>
  </r>
  <r>
    <s v="ABX464"/>
    <m/>
    <s v="LAB"/>
    <m/>
    <s v="WORLD COURRIER"/>
    <s v="240404_053532_CDG_0800024587 - P00195_2024"/>
    <s v="P00195_2024"/>
    <s v="Transport vers Santa Clara"/>
    <m/>
    <m/>
    <m/>
    <n v="3545.8"/>
    <x v="1"/>
    <m/>
    <n v="3545.8"/>
    <n v="0"/>
  </r>
  <r>
    <s v="OC910"/>
    <m/>
    <s v="CLI"/>
    <s v="Audrey A / Julien"/>
    <s v="WORLD COURRIER"/>
    <s v="080024480_VR_01 - P00254_2024"/>
    <s v="P00254_2024"/>
    <s v="Shipment ABX464-910"/>
    <m/>
    <m/>
    <m/>
    <n v="2725.6"/>
    <x v="1"/>
    <m/>
    <n v="2725.6"/>
    <n v="0"/>
  </r>
  <r>
    <s v="ABX464"/>
    <m/>
    <s v="LAB"/>
    <s v="Aude G"/>
    <s v="WORLD COURRIER"/>
    <s v="250113_091600_CDG_0800 - P00016_2025"/>
    <s v="P00016_2025"/>
    <s v="Transport ABX464 Aptuit"/>
    <m/>
    <m/>
    <m/>
    <n v="1358.5"/>
    <x v="1"/>
    <m/>
    <n v="1358.5"/>
    <n v="0"/>
  </r>
  <r>
    <s v="NOTAPP"/>
    <m/>
    <s v="ANA (SAM)"/>
    <s v="David D"/>
    <s v="XPLICO"/>
    <s v="P00244_2024"/>
    <s v="P00244_2024"/>
    <s v="Additional 2 lice,ces"/>
    <m/>
    <s v="INV ABIVAX.09 + INV ABIVAX.11 + INV ABIVAX.12 + INV ABIVAX,13"/>
    <s v="01/10/2024+01/04/2025+01/07/2025+15/10/2025"/>
    <n v="45000"/>
    <x v="1"/>
    <n v="14040"/>
    <n v="30960"/>
    <n v="14040"/>
  </r>
  <r>
    <s v="UC103 / UC104"/>
    <m/>
    <s v="QA1"/>
    <m/>
    <s v="ZINAIDA LINEVYCH"/>
    <s v="Quote du 11/01/2021 - P00011_2021"/>
    <s v="P00011_2021"/>
    <s v="2 Audit of Abivax UC study ABX464-103/104 Ukraine - site audit planning"/>
    <m/>
    <s v="INV Honorarium01"/>
    <d v="2021-04-28T00:00:00"/>
    <n v="1740"/>
    <x v="3"/>
    <n v="1740"/>
    <n v="0"/>
    <n v="1740"/>
  </r>
  <r>
    <s v="UC103 / UC104"/>
    <m/>
    <s v="QA1"/>
    <m/>
    <s v="ZINAIDA LINEVYCH"/>
    <s v="Quote du 11/01/2021 - P00011_2021"/>
    <s v="P00011_2021"/>
    <s v="2 Audit of Abivax UC study ABX464-103/104 Ukraine - Conduct of the audits"/>
    <m/>
    <s v="INV Honorarium01"/>
    <d v="2021-04-28T00:00:00"/>
    <n v="1920"/>
    <x v="3"/>
    <n v="1920"/>
    <n v="0"/>
    <n v="1920"/>
  </r>
  <r>
    <s v="UC103 / UC104"/>
    <m/>
    <s v="QA1"/>
    <m/>
    <s v="ZINAIDA LINEVYCH"/>
    <s v="Quote du 11/01/2021 - P00011_2021"/>
    <s v="P00011_2021"/>
    <s v="2 Audit of Abivax UC study ABX464-103/104 Ukraine - Post audit activities"/>
    <s v="Q1 2021"/>
    <m/>
    <m/>
    <n v="480"/>
    <x v="3"/>
    <m/>
    <n v="480"/>
    <n v="0"/>
  </r>
  <r>
    <s v="UC103 / UC104"/>
    <m/>
    <s v="QA1"/>
    <m/>
    <s v="ZINAIDA LINEVYCH"/>
    <s v="Quote du 11/01/2021 - P00011_2021"/>
    <s v="P00011_2021"/>
    <s v="2 Audit of Abivax UC study ABX464-103/104 Ukraine - site audit planning"/>
    <m/>
    <s v="INV Honorarium01"/>
    <d v="2021-04-28T00:00:00"/>
    <n v="1740"/>
    <x v="3"/>
    <n v="1740"/>
    <n v="0"/>
    <n v="1740"/>
  </r>
  <r>
    <s v="UC103 / UC104"/>
    <m/>
    <s v="QA1"/>
    <m/>
    <s v="ZINAIDA LINEVYCH"/>
    <s v="Quote du 11/01/2021 - P00011_2021"/>
    <s v="P00011_2021"/>
    <s v="2 Audit of Abivax UC study ABX464-103/104 Ukraine - Conduct of the audits"/>
    <m/>
    <s v="INV Honorarium01"/>
    <d v="2021-04-28T00:00:00"/>
    <n v="1920"/>
    <x v="3"/>
    <n v="1399"/>
    <n v="521"/>
    <n v="1399"/>
  </r>
  <r>
    <s v="UC103 / UC104"/>
    <m/>
    <s v="QA1"/>
    <m/>
    <s v="ZINAIDA LINEVYCH"/>
    <s v="Quote du 11/01/2021 - P00011_2021"/>
    <s v="P00011_2021"/>
    <s v="2 Audit of Abivax UC study ABX464-103/104 Ukraine - Post audit activities"/>
    <s v="Q1 2021"/>
    <m/>
    <m/>
    <n v="480"/>
    <x v="3"/>
    <m/>
    <n v="480"/>
    <n v="0"/>
  </r>
  <r>
    <s v="ABX464"/>
    <m/>
    <s v="CMC"/>
    <s v="Saadia"/>
    <s v="MICROMERITICS"/>
    <s v="Abbivax 01-22-25A - P00060_2025"/>
    <s v="P00060_2025"/>
    <s v="Specific surface test"/>
    <m/>
    <s v="INV PSI026798"/>
    <d v="2025-02-26T00:00:00"/>
    <n v="1323"/>
    <x v="3"/>
    <n v="1323"/>
    <n v="0"/>
    <n v="1323"/>
  </r>
  <r>
    <s v="ABX464"/>
    <m/>
    <s v="CMC"/>
    <s v="Saadia"/>
    <s v="JETPHARMA"/>
    <s v="25100040 SQ - P00077_2025"/>
    <s v="P00077_2025"/>
    <s v="Shipment"/>
    <m/>
    <s v="INV 25100041 - INV 25100124"/>
    <s v="10/02/2025 + 07/04/2025"/>
    <n v="6180"/>
    <x v="4"/>
    <n v="5896.41"/>
    <n v="0"/>
    <n v="5896.41"/>
  </r>
  <r>
    <s v="ABX464"/>
    <m/>
    <s v="CMC"/>
    <s v="Saadia"/>
    <s v="JETPHARMA"/>
    <s v="25100205 - P00078_2025"/>
    <s v="P00078_2025"/>
    <s v="800g Milling lab batch"/>
    <m/>
    <s v="INV 25100062"/>
    <d v="2025-02-27T00:00:00"/>
    <n v="16000"/>
    <x v="4"/>
    <n v="16000"/>
    <n v="0"/>
    <n v="16000"/>
  </r>
  <r>
    <s v="ABX464"/>
    <m/>
    <s v="CMC"/>
    <s v="Saadia"/>
    <s v="SEQENS"/>
    <s v="WO93#2025 - P00080_2025"/>
    <s v="P00080_2025"/>
    <s v="Nitroso ABX464 impurty study"/>
    <m/>
    <s v="INV 25001316 RI"/>
    <d v="2025-05-27T00:00:00"/>
    <n v="30000"/>
    <x v="1"/>
    <n v="30000"/>
    <n v="0"/>
    <n v="30000"/>
  </r>
  <r>
    <s v="ABX464"/>
    <m/>
    <s v="LAB"/>
    <s v="Aude G"/>
    <s v="EPPENDORF"/>
    <s v="Q23000522079 - P00084_2025"/>
    <s v="P00084_2025"/>
    <s v="Consommable Labo"/>
    <m/>
    <s v="INV 10094498 + INV 10094499"/>
    <s v="14/02/2025 + 14/02/2025"/>
    <n v="2924.8"/>
    <x v="1"/>
    <n v="2924.8"/>
    <n v="0"/>
    <n v="2924.8"/>
  </r>
  <r>
    <s v="ABX464"/>
    <m/>
    <s v="LAB"/>
    <s v="Aude G"/>
    <s v="EUROMEDEX"/>
    <s v="DE-52272 - P00087_2025"/>
    <s v="P00087_2025"/>
    <s v="Consommable Labo"/>
    <m/>
    <s v="INV FV25REC01279"/>
    <d v="2025-02-18T00:00:00"/>
    <n v="4575"/>
    <x v="1"/>
    <n v="4575"/>
    <n v="0"/>
    <n v="4575"/>
  </r>
  <r>
    <s v="ABX464"/>
    <m/>
    <s v="CMC"/>
    <s v="Saadia"/>
    <s v="DELPHARM PARIS"/>
    <s v="B 24 039 V1 - P00091_2025"/>
    <s v="P00091_2025"/>
    <s v="ABX464 Dissolution test on API"/>
    <m/>
    <s v="INV 10000822"/>
    <d v="2025-02-28T00:00:00"/>
    <n v="13510"/>
    <x v="1"/>
    <n v="13510"/>
    <n v="0"/>
    <n v="13510"/>
  </r>
  <r>
    <s v="NOTAPP"/>
    <m/>
    <s v="LAB"/>
    <s v="Aude G"/>
    <s v="SARTORIUS"/>
    <s v="CQP-02310555 - P00092_2025"/>
    <s v="P00092_2025"/>
    <s v="Consommable Labo"/>
    <m/>
    <s v="INV 9216199714+ INV 9216200838 + INV 9216203221"/>
    <s v="22/03/2025+10/04/2025+22/05/2025"/>
    <n v="1046.24"/>
    <x v="1"/>
    <n v="1038.3600000000001"/>
    <n v="7.8799999999998818"/>
    <n v="1038.3600000000001"/>
  </r>
  <r>
    <s v="ABX464"/>
    <m/>
    <s v="CMC"/>
    <s v="Adrien K"/>
    <s v="DELPHARM LILLE"/>
    <s v="L25_4253B - P00093_2025"/>
    <s v="P00093_2025"/>
    <s v="Outillage conditionnement primaire"/>
    <m/>
    <s v="INV 10001153  +INV 10001154 + INV 10000047 + INV 10000452"/>
    <s v="24/03/2025 + 24/03/2025+17/07/2025+29/101/2025"/>
    <n v="175487"/>
    <x v="1"/>
    <n v="175487"/>
    <n v="0"/>
    <n v="175487"/>
  </r>
  <r>
    <s v="ABX464"/>
    <m/>
    <s v="CMC"/>
    <s v="Saadia"/>
    <s v="DELPHARM REIMS"/>
    <s v="DDR 2025 0047 V1 - P00095_2025"/>
    <s v="P00095_2025"/>
    <s v="Assay method validation complement 50mg"/>
    <m/>
    <s v="INV 0528/25 + INV 0592/25+ INV 0616/25"/>
    <s v="28/02/2025 + 31/03/2025+16/04/25"/>
    <n v="4900"/>
    <x v="1"/>
    <n v="4900"/>
    <n v="0"/>
    <n v="4900"/>
  </r>
  <r>
    <s v="ABX464"/>
    <m/>
    <s v="CMC"/>
    <s v="Saadia"/>
    <s v="DELPHARM REIMS"/>
    <s v="DDR 2025 034 V2 - P00096_2025"/>
    <s v="P00096_2025"/>
    <s v="New dissolution validation 25&amp;50mg"/>
    <m/>
    <s v="INV 0529/25 + INV 637/25 + INV 713/25 + 0778/25 + INV 0021/26"/>
    <s v="28/02/2025+25/04/2025+27/05/2025+16/06/2025+21/07/2025"/>
    <n v="41500"/>
    <x v="1"/>
    <n v="41500"/>
    <n v="0"/>
    <n v="41500"/>
  </r>
  <r>
    <s v="ABX464"/>
    <m/>
    <s v="CMC"/>
    <s v="Saadia"/>
    <s v="DELPHARM REIMS"/>
    <s v="DDR 2025 034 V2 - P00125_2025"/>
    <s v="P00125_2025"/>
    <s v="New dissolution validation 25&amp;50mg - Option 2"/>
    <m/>
    <m/>
    <m/>
    <n v="1500"/>
    <x v="1"/>
    <m/>
    <n v="1500"/>
    <n v="0"/>
  </r>
  <r>
    <s v="ABX464"/>
    <m/>
    <s v="CMC"/>
    <s v="Saadia"/>
    <s v="MICROMERITICS"/>
    <s v="Abivax 01-22-25B - P00097_2025"/>
    <s v="P00097_2025"/>
    <s v="Specific surface test - DOE"/>
    <s v=" "/>
    <s v="INV PSI029110"/>
    <d v="2025-06-16T00:00:00"/>
    <n v="8655"/>
    <x v="3"/>
    <n v="8505"/>
    <n v="150"/>
    <n v="8505"/>
  </r>
  <r>
    <s v="ABX464"/>
    <m/>
    <s v="LAB"/>
    <s v="Aude G"/>
    <s v="QIAGEN"/>
    <s v="250225FR01901506CB - P00098_2025"/>
    <s v="P00098_2025"/>
    <s v="Consommable Labo"/>
    <m/>
    <s v="INV 940574123"/>
    <d v="2025-03-26T00:00:00"/>
    <n v="8644.85"/>
    <x v="1"/>
    <n v="8619.85"/>
    <n v="25"/>
    <n v="8619.85"/>
  </r>
  <r>
    <s v="ABX464"/>
    <m/>
    <s v="LAB"/>
    <s v="Aude G"/>
    <s v="JANVIERLABS"/>
    <s v="JLCO250300015 - P00103_2025"/>
    <s v="P00103_2025"/>
    <s v="Consommable Labo"/>
    <m/>
    <s v="INV JLFC250301526"/>
    <d v="2025-03-13T00:00:00"/>
    <n v="1139.76"/>
    <x v="1"/>
    <n v="1139.76"/>
    <n v="0"/>
    <n v="1139.76"/>
  </r>
  <r>
    <s v="ABX464"/>
    <m/>
    <s v="LAB"/>
    <s v="Aude G"/>
    <s v="CNRS"/>
    <s v="FR40180089013 - P00105_2025"/>
    <s v="P00105_2025"/>
    <s v="Entretien Cage Bimestre 1 - 2025"/>
    <m/>
    <s v="INV 90794961"/>
    <d v="2025-03-04T00:00:00"/>
    <n v="5279.04"/>
    <x v="1"/>
    <n v="5279.04"/>
    <n v="0"/>
    <n v="5279.04"/>
  </r>
  <r>
    <s v="ABX464"/>
    <m/>
    <s v="LAB"/>
    <s v="Aude G"/>
    <s v="CNRS"/>
    <s v="Achats magasins - P00111_2025"/>
    <s v="P00111_2025"/>
    <s v="Consommable Labo"/>
    <m/>
    <s v="INV 90795841"/>
    <d v="2025-03-06T00:00:00"/>
    <n v="563.64"/>
    <x v="1"/>
    <n v="563.64"/>
    <n v="0"/>
    <n v="563.64"/>
  </r>
  <r>
    <s v="ABX464"/>
    <m/>
    <s v="LAB"/>
    <s v="Aude G"/>
    <s v="EUROMEDEX"/>
    <s v="Devis-IL060325-4 - P00113_2025"/>
    <s v="P00113_2025"/>
    <s v="Consommable Labo"/>
    <m/>
    <s v="INV FV25REC02182"/>
    <d v="2025-03-12T00:00:00"/>
    <n v="9150"/>
    <x v="1"/>
    <n v="9150"/>
    <n v="0"/>
    <n v="9150"/>
  </r>
  <r>
    <s v="ABX464"/>
    <m/>
    <s v="LAB"/>
    <s v="Didier S"/>
    <s v="CHARLES RIVER NETHERLAND"/>
    <s v="24RC2026 - P00126_2025"/>
    <s v="P00126_2025"/>
    <s v="Study archiving - 01/04/2025 au 01/04/2026"/>
    <m/>
    <s v="INV 47048823"/>
    <d v="2025-06-03T00:00:00"/>
    <n v="1501"/>
    <x v="1"/>
    <n v="1501"/>
    <n v="0"/>
    <n v="1501"/>
  </r>
  <r>
    <s v="NOTAPP"/>
    <m/>
    <s v="QA1"/>
    <s v="Sophie G"/>
    <s v="SILICON MARKETING"/>
    <s v="2021_02_26 - P00106_2025"/>
    <s v="P00106_2025"/>
    <s v="CSV Docusign"/>
    <m/>
    <s v="INV 2025_17 + INV 2025_66 + INV 2025_115"/>
    <s v="10/04/2025 + 26/06/2025 + 15/09/2025"/>
    <n v="15600"/>
    <x v="1"/>
    <n v="23325.660000000003"/>
    <n v="0"/>
    <n v="23325.660000000003"/>
  </r>
  <r>
    <s v="ABX464"/>
    <m/>
    <s v="CMC"/>
    <s v="Saadia"/>
    <s v="ARTMOLECULE"/>
    <s v="P2412021 - P00124_2025"/>
    <s v="P00124_2025"/>
    <s v="Synthèse de métabolites de ABX464"/>
    <m/>
    <s v="INV 32397 + INV 32400"/>
    <s v="07/03/2025 + 19/03/2025"/>
    <n v="8435"/>
    <x v="1"/>
    <n v="8435"/>
    <n v="0"/>
    <n v="8435"/>
  </r>
  <r>
    <s v="ABX464"/>
    <m/>
    <s v="CMC"/>
    <s v="Adrien K"/>
    <s v="ARTMOLECULE"/>
    <s v="P2503051 - P00123_2025"/>
    <s v="P00123_2025"/>
    <s v="Retest of reference standrad"/>
    <m/>
    <s v="INV 32401"/>
    <d v="2025-03-19T00:00:00"/>
    <n v="2400"/>
    <x v="1"/>
    <n v="2400"/>
    <n v="0"/>
    <n v="2400"/>
  </r>
  <r>
    <s v="ABX464"/>
    <m/>
    <s v="CMC"/>
    <s v="Adrien K"/>
    <s v="SEQENS"/>
    <s v="WO94#2025 - P00119_2025"/>
    <s v="P00119_2025"/>
    <s v="Stability study on batch J003 milled by jetpharma"/>
    <m/>
    <s v="INV 00010 25001374 RI"/>
    <d v="2025-06-04T00:00:00"/>
    <n v="49995"/>
    <x v="1"/>
    <n v="19790"/>
    <n v="30205"/>
    <n v="19790"/>
  </r>
  <r>
    <s v="ABX464"/>
    <m/>
    <s v="CMC"/>
    <s v="Saadia"/>
    <s v="SEQENS"/>
    <s v="WO91#2024 - P00112_2025"/>
    <s v="P00112_2025"/>
    <s v="Nitroso ABX464 impurty study in DS&amp;DP"/>
    <m/>
    <s v="INV 25000795 RI +INV 25001544 RI"/>
    <s v="31/03/2025 + 23/06/2025"/>
    <n v="33750"/>
    <x v="1"/>
    <n v="33750"/>
    <n v="0"/>
    <n v="33750"/>
  </r>
  <r>
    <s v="ABX464"/>
    <m/>
    <s v="CLI"/>
    <s v="Julien S"/>
    <s v="EFOR - SOLADIS"/>
    <s v="OCS/L/25/4165 - P00114_2025"/>
    <s v="P00114_2025"/>
    <s v="Statistitien confirmé - année 2025 / 2026"/>
    <m/>
    <s v="INV F6022512-00456"/>
    <d v="2026-01-01T00:00:00"/>
    <n v="36800"/>
    <x v="1"/>
    <n v="4025"/>
    <n v="32775"/>
    <n v="4025"/>
  </r>
  <r>
    <s v="ABX464"/>
    <m/>
    <s v="CMC"/>
    <s v="Adrien K"/>
    <s v="CHARLES RIVER NETHERLAND"/>
    <s v="OPP-379729 - CRL_32037185 - P00121_2025"/>
    <s v="P00121_2025"/>
    <s v="ICH M7 asessment using in silico tools"/>
    <m/>
    <m/>
    <m/>
    <n v="5655"/>
    <x v="1"/>
    <m/>
    <n v="5655"/>
    <n v="0"/>
  </r>
  <r>
    <s v="ABX464"/>
    <m/>
    <s v="CMC"/>
    <s v="Sunil S / Jerome"/>
    <s v="THERMO FISHER TORONTO - PATHEON"/>
    <s v="P-TRP-333562-R7 - Achat MP - P00120_2025"/>
    <s v="P00120_2025"/>
    <s v="MP4 Filter Order materiel"/>
    <m/>
    <m/>
    <m/>
    <n v="10466.64"/>
    <x v="5"/>
    <m/>
    <n v="10466.64"/>
    <n v="0"/>
  </r>
  <r>
    <s v="ABX464"/>
    <m/>
    <s v="CMC"/>
    <s v="Sunil S / Jerome"/>
    <s v="THERMO FISHER TORONTO - PATHEON"/>
    <s v="P00117_2025"/>
    <s v="P00117_2025"/>
    <s v="Sent of 600g ABX464 blend for Explosivity testing"/>
    <m/>
    <m/>
    <m/>
    <n v="4370"/>
    <x v="5"/>
    <m/>
    <n v="4370"/>
    <n v="0"/>
  </r>
  <r>
    <s v="ABX464"/>
    <m/>
    <s v="CMC"/>
    <s v="Saadia"/>
    <s v="THERMO FISHER CORK"/>
    <s v="CoS-7 - A-CRKA-335410-R3 CO n°7 - P00115_2025"/>
    <s v="P00115_2025"/>
    <s v="GMP production &amp; Validation ABX464"/>
    <m/>
    <s v="INV 900129460 + INV 900129858"/>
    <s v="24/03/2025 + 14/04/2025"/>
    <n v="226330.93"/>
    <x v="1"/>
    <n v="226330.93"/>
    <n v="0"/>
    <n v="226330.93"/>
  </r>
  <r>
    <s v="ABX464"/>
    <m/>
    <s v="QA1"/>
    <s v="ouahiba K / Sophie G"/>
    <s v="SILICON MARKETING"/>
    <s v="2021_02_28 - P00109_2025"/>
    <s v="P00109_2025"/>
    <s v="Audits Cerba Histalim, Cell Carta, Cell&amp;Co, Nordic Biosciences"/>
    <m/>
    <s v="INV 2025_77 + INV_114 + INV_173 "/>
    <s v="26/06/2025 + 15/09/2025 + 18/12/2025"/>
    <n v="55250"/>
    <x v="1"/>
    <n v="31964.519999999997"/>
    <n v="23285.480000000003"/>
    <n v="31964.519999999997"/>
  </r>
  <r>
    <s v="NOTAPP"/>
    <m/>
    <s v="QA1"/>
    <s v="ouahiba K / Sophie G"/>
    <s v="VEEVA"/>
    <s v="QUO-004120 - P00122_2025"/>
    <s v="P00122_2025"/>
    <s v="Renouvellement licences VAULT - 30/04/2025 au 29/04/2026"/>
    <m/>
    <s v="INV 509061"/>
    <d v="2025-04-30T00:00:00"/>
    <n v="199834"/>
    <x v="1"/>
    <n v="199834"/>
    <n v="0"/>
    <n v="199834"/>
  </r>
  <r>
    <s v="ABX464"/>
    <m/>
    <s v="CMC"/>
    <s v="Sunil S / Jerome"/>
    <s v="PATHEON - THERMO FISHER TORONTO"/>
    <s v="P-TRP-333562-R7 - TORO-ABX464 IR Capsules 25mg et 50mg Manuf"/>
    <s v="P00127_2024"/>
    <s v="1.0 PROJECT START-UP - Project Start-Up"/>
    <n v="25000"/>
    <s v="INV 90162447"/>
    <d v="2024-03-01T00:00:00"/>
    <n v="25000"/>
    <x v="3"/>
    <n v="25000"/>
    <n v="0"/>
    <n v="25000"/>
  </r>
  <r>
    <s v="ABX464"/>
    <m/>
    <s v="CMC"/>
    <s v="Sunil S / Jerome"/>
    <s v="PATHEON - THERMO FISHER TORONTO"/>
    <s v="P-TRP-333562-R7 - TORO-ABX464 IR Capsules 25mg et 50mg Manuf"/>
    <s v="P00127_2024"/>
    <s v="3.1 ANALYTICAL SERVICES - 3.1 Cleaning Residuals Assay (Multiple Surfaces Development and Validation)"/>
    <n v="44292"/>
    <s v="INV 90164380"/>
    <d v="2024-04-25T00:00:00"/>
    <n v="44292"/>
    <x v="3"/>
    <n v="44292"/>
    <n v="0"/>
    <n v="44292"/>
  </r>
  <r>
    <s v="ABX464"/>
    <m/>
    <s v="CMC"/>
    <s v="Sunil S / Jerome"/>
    <s v="PATHEON - THERMO FISHER TORONTO"/>
    <s v="P-TRP-333562-R7 - TORO-ABX464 IR Capsules 25mg et 50mg Manuf"/>
    <s v="P00127_2024"/>
    <s v="3.2 ANALYTICAL SERVICES - 3.2 Drug Substance Identification by IR (Method Transfer)"/>
    <n v="4534"/>
    <s v="INV 90175619"/>
    <d v="2025-02-28T00:00:00"/>
    <n v="4534"/>
    <x v="3"/>
    <n v="4534"/>
    <n v="0"/>
    <n v="4534"/>
  </r>
  <r>
    <s v="ABX464"/>
    <m/>
    <s v="CMC"/>
    <s v="Sunil S / Jerome"/>
    <s v="PATHEON - THERMO FISHER TORONTO"/>
    <s v="P-TRP-333562-R7 - TORO-ABX464 IR Capsules 25mg et 50mg Manuf + P-TRP-333562-R7 - CoS 04"/>
    <s v="P00127_2024 + P00116_2025"/>
    <s v="3.3 ANALYTICAL SERVICES - 3.3 Drug Substance Potency and related substance assay by HPLC (method Transfer) - ANNULE Via CoS 04"/>
    <n v="18193"/>
    <m/>
    <m/>
    <n v="0"/>
    <x v="3"/>
    <n v="0"/>
    <n v="0"/>
    <n v="0"/>
  </r>
  <r>
    <s v="ABX464"/>
    <m/>
    <s v="CMC"/>
    <s v="Sunil S / Jerome"/>
    <s v="PATHEON - THERMO FISHER TORONTO"/>
    <s v="P-TRP-333562-R7 - TORO-ABX464 IR Capsules 25mg et 50mg Manuf"/>
    <s v="P00127_2024"/>
    <s v="3.4 ANALYTICAL SERVICES - 3.4 Drug Substance Residual Solvent Assay by GC - Method 1 (Method Transfer)"/>
    <n v="11902"/>
    <m/>
    <m/>
    <n v="11902"/>
    <x v="3"/>
    <m/>
    <n v="11902"/>
    <n v="0"/>
  </r>
  <r>
    <s v="ABX464"/>
    <m/>
    <s v="CMC"/>
    <s v="Sunil S / Jerome"/>
    <s v="PATHEON - THERMO FISHER TORONTO"/>
    <s v="P-TRP-333562-R7 - TORO-ABX464 IR Capsules 25mg et 50mg Manuf"/>
    <s v="P00127_2024"/>
    <s v="3.5 ANALYTICAL SERVICES - 3.5 Drug Substance Residual Solvent Assay by GC - Method 2 (Method Transfer)"/>
    <n v="11902"/>
    <s v="INV 90176202"/>
    <d v="2025-03-17T00:00:00"/>
    <n v="11902"/>
    <x v="3"/>
    <n v="11902"/>
    <n v="0"/>
    <n v="11902"/>
  </r>
  <r>
    <s v="ABX464"/>
    <m/>
    <s v="CMC"/>
    <s v="Sunil S / Jerome"/>
    <s v="PATHEON - THERMO FISHER TORONTO"/>
    <s v="P-TRP-333562-R7 - TORO-ABX464 IR Capsules 25mg et 50mg Manuf"/>
    <s v="P00127_2024"/>
    <s v="3.6 ANALYTICAL SERVICES - 3.6 Drug Substance Particle Size Distribution (Method Transfer)"/>
    <n v="10014"/>
    <s v="INV 90184222"/>
    <d v="2025-09-26T00:00:00"/>
    <n v="10014"/>
    <x v="3"/>
    <n v="10014"/>
    <n v="0"/>
    <n v="10014"/>
  </r>
  <r>
    <s v="ABX464"/>
    <m/>
    <s v="CMC"/>
    <s v="Sunil S / Jerome"/>
    <s v="PATHEON - THERMO FISHER TORONTO"/>
    <s v="P-TRP-333562-R7 - TORO-ABX464 IR Capsules 25mg et 50mg Manuf"/>
    <s v="P00127_2024"/>
    <s v="3.7 ANALYTICAL SERVICES - 3.7 Drug Substance Moisture Content by KF (Method Transfer)"/>
    <n v="5179"/>
    <s v="INV 90174507"/>
    <d v="2025-02-01T00:00:00"/>
    <n v="5179"/>
    <x v="3"/>
    <n v="5179"/>
    <n v="0"/>
    <n v="5179"/>
  </r>
  <r>
    <s v="ABX464"/>
    <m/>
    <s v="CMC"/>
    <s v="Sunil S / Jerome"/>
    <s v="PATHEON - THERMO FISHER TORONTO"/>
    <s v="P-TRP-333562-R7 - TORO-ABX464 IR Capsules 25mg et 50mg Manuf"/>
    <s v="P00127_2024"/>
    <s v="3.8 ANALYTICAL SERVICES -"/>
    <s v="out"/>
    <m/>
    <m/>
    <s v="out"/>
    <x v="3"/>
    <m/>
    <m/>
    <n v="0"/>
  </r>
  <r>
    <s v="ABX464"/>
    <m/>
    <s v="CMC"/>
    <s v="Sunil S / Jerome"/>
    <s v="PATHEON - THERMO FISHER TORONTO"/>
    <s v="P-TRP-333562-R7 - TORO-ABX464 IR Capsules 25mg et 50mg Manuf"/>
    <s v="P00127_2024"/>
    <s v="3.9 ANALYTICAL SERVICES -"/>
    <s v="out"/>
    <m/>
    <m/>
    <s v="out"/>
    <x v="3"/>
    <m/>
    <m/>
    <n v="0"/>
  </r>
  <r>
    <s v="ABX464"/>
    <m/>
    <s v="CMC"/>
    <s v="Sunil S / Jerome"/>
    <s v="PATHEON - THERMO FISHER TORONTO"/>
    <s v="P-TRP-333562-R7 - TORO-ABX464 IR Capsules 25mg et 50mg Manuf"/>
    <s v="P00127_2024"/>
    <s v="3.10 ANALYTICAL SERVICES - 3.10 Drug Substance Microbial Limit Testing (Method Transfer)"/>
    <n v="5851"/>
    <s v="INV 90174505"/>
    <d v="2025-02-01T00:00:00"/>
    <n v="5851"/>
    <x v="3"/>
    <n v="5851"/>
    <n v="0"/>
    <n v="5851"/>
  </r>
  <r>
    <s v="ABX464"/>
    <m/>
    <s v="CMC"/>
    <s v="Sunil S / Jerome"/>
    <s v="PATHEON - THERMO FISHER TORONTO"/>
    <s v="P-TRP-333562-R7 - TORO-ABX464 IR Capsules 25mg et 50mg Manuf"/>
    <s v="P00127_2024"/>
    <s v="3.11 ANALYTICAL SERVICES - 3.11 Product Dissolution Assay by HPLC (Method Evaluation and Method Transfer)"/>
    <n v="22436"/>
    <s v="INV 90166729"/>
    <d v="2024-06-27T00:00:00"/>
    <n v="22436"/>
    <x v="3"/>
    <n v="22436"/>
    <n v="0"/>
    <n v="22436"/>
  </r>
  <r>
    <s v="ABX464"/>
    <m/>
    <s v="CMC"/>
    <s v="Sunil S / Jerome"/>
    <s v="PATHEON - THERMO FISHER TORONTO"/>
    <s v="P-TRP-333562-R7 - TORO-ABX464 IR Capsules 25mg et 50mg Manuf"/>
    <s v="P00127_2024"/>
    <s v="3.12 ANALYTICAL SERVICES - 3.12 Product ID/BU/CU/Potency and Related Substances Assay (Method Evaluation and Method Transfer)"/>
    <n v="24916"/>
    <s v="INV 90166729"/>
    <d v="2024-06-27T00:00:00"/>
    <n v="24916"/>
    <x v="3"/>
    <n v="24916"/>
    <n v="0"/>
    <n v="24916"/>
  </r>
  <r>
    <s v="ABX464"/>
    <m/>
    <s v="CMC"/>
    <s v="Sunil S / Jerome"/>
    <s v="PATHEON - THERMO FISHER TORONTO"/>
    <s v="P-TRP-333562-R7 - TORO-ABX464 IR Capsules 25mg et 50mg Manuf"/>
    <s v="P00127_2024"/>
    <s v="3.13 ANALYTICAL SERVICES - 3.13 Karl Fischer (USP Method Verification)"/>
    <n v="5179"/>
    <m/>
    <m/>
    <n v="5179"/>
    <x v="3"/>
    <m/>
    <n v="5179"/>
    <n v="0"/>
  </r>
  <r>
    <s v="ABX464"/>
    <m/>
    <s v="CMC"/>
    <s v="Sunil S / Jerome"/>
    <s v="PATHEON - THERMO FISHER TORONTO"/>
    <s v="P-TRP-333562-R7 - TORO-ABX464 IR Capsules 25mg et 50mg Manuf"/>
    <s v="P00127_2024"/>
    <s v="3.14 ANALYTICAL SERVICES - 3.14 Discriminating Dissolution Method"/>
    <n v="51935"/>
    <m/>
    <m/>
    <n v="51935"/>
    <x v="3"/>
    <m/>
    <n v="51935"/>
    <n v="0"/>
  </r>
  <r>
    <s v="ABX464"/>
    <m/>
    <s v="CMC"/>
    <s v="Sunil S / Jerome"/>
    <s v="PATHEON - THERMO FISHER TORONTO"/>
    <s v="P-TRP-333562-R7 - TORO-ABX464 IR Capsules 25mg et 50mg Manuf"/>
    <s v="P00127_2024"/>
    <s v="3.15 ANALYTICAL SERVICES - 3.15 Drug Substance Release Testing (per Lot)"/>
    <n v="13718"/>
    <s v="INV 90184939"/>
    <d v="2025-10-17T00:00:00"/>
    <n v="13718"/>
    <x v="3"/>
    <n v="13718"/>
    <n v="0"/>
    <n v="13718"/>
  </r>
  <r>
    <s v="ABX464"/>
    <m/>
    <s v="CMC"/>
    <s v="Sunil S / Jerome"/>
    <s v="PATHEON - THERMO FISHER TORONTO"/>
    <s v="P-TRP-333562-R7 - TORO-ABX464 IR Capsules 25mg et 50mg Manuf"/>
    <s v="P00127_2024"/>
    <s v="3.16 ANALYTICAL SERVICES -"/>
    <s v="out"/>
    <m/>
    <m/>
    <s v="out"/>
    <x v="3"/>
    <m/>
    <m/>
    <n v="0"/>
  </r>
  <r>
    <s v="ABX464"/>
    <m/>
    <s v="CMC"/>
    <s v="Sunil S / Jerome"/>
    <s v="PATHEON - THERMO FISHER TORONTO"/>
    <s v="P-TRP-333562-R7 - TORO-ABX464 IR Capsules 25mg et 50mg Manuf"/>
    <s v="P00127_2024"/>
    <s v="3.17 ANALYTICAL SERVICES - 3.17 Specification Generation (Assumed 3 Specifications)"/>
    <n v="3584"/>
    <s v="INV 90181226"/>
    <d v="2025-07-22T00:00:00"/>
    <n v="3584"/>
    <x v="3"/>
    <n v="3584"/>
    <n v="0"/>
    <n v="3584"/>
  </r>
  <r>
    <s v="ABX464"/>
    <m/>
    <s v="CMC"/>
    <s v="Sunil S / Jerome"/>
    <s v="PATHEON - THERMO FISHER TORONTO"/>
    <s v="P-TRP-333562-R7 - TORO-ABX464 IR Capsules 25mg et 50mg Manuf"/>
    <s v="P00127_2024"/>
    <s v="4.0 MICROBIOLOGY - SUB TOTAL (Number of Trials Assumed = 1 Trial)"/>
    <n v="7418"/>
    <s v="INV 90178312"/>
    <d v="2025-05-03T00:00:00"/>
    <n v="7418"/>
    <x v="3"/>
    <n v="7418"/>
    <n v="0"/>
    <n v="7418"/>
  </r>
  <r>
    <s v="ABX464"/>
    <m/>
    <s v="CMC"/>
    <s v="Sunil S / Jerome"/>
    <s v="PATHEON - THERMO FISHER TORONTO"/>
    <s v="P-TRP-333562-R7 - TORO-ABX464 IR Capsules 25mg et 50mg Manuf + P-TRP-333562-R7 - CoS 02"/>
    <s v="P00127_2024 + P00557_2024"/>
    <s v="5.1 TECH. TRANSFER 4 BATCHES - ANNULE via CoS 02"/>
    <n v="248599"/>
    <m/>
    <m/>
    <n v="0"/>
    <x v="3"/>
    <n v="0"/>
    <n v="0"/>
    <n v="0"/>
  </r>
  <r>
    <s v="ABX464"/>
    <m/>
    <s v="CMC"/>
    <s v="Sunil S / Jerome"/>
    <s v="PATHEON - THERMO FISHER TORONTO"/>
    <s v="P-TRP-333562-R7 - TORO-ABX464 IR Capsules 25mg et 50mg Manuf"/>
    <s v="P00127_2024"/>
    <s v="5.2 TECH. TRANSFER 2 BATCHES - First Batch Analytical Support #1 25mg CVHWS"/>
    <n v="24945"/>
    <s v="INV 90174506"/>
    <d v="2025-02-01T00:00:00"/>
    <n v="24945"/>
    <x v="3"/>
    <n v="24945"/>
    <n v="0"/>
    <n v="24945"/>
  </r>
  <r>
    <s v="ABX464"/>
    <m/>
    <s v="CMC"/>
    <s v="Sunil S / Jerome"/>
    <s v="PATHEON - THERMO FISHER TORONTO"/>
    <s v="P-TRP-333562-R7 - TORO-ABX464 IR Capsules 25mg et 50mg Manuf"/>
    <s v="P00127_2024"/>
    <s v="5.2 TECH. TRANSFER 2 BATCHES -  First Batch Analytical Support #2 50mg CTHZX"/>
    <n v="24945"/>
    <s v="INV 90175702"/>
    <d v="2025-03-01T00:00:00"/>
    <n v="24945"/>
    <x v="3"/>
    <n v="24945"/>
    <n v="0"/>
    <n v="24945"/>
  </r>
  <r>
    <s v="ABX464"/>
    <m/>
    <s v="CMC"/>
    <s v="Sunil S / Jerome"/>
    <s v="PATHEON - THERMO FISHER TORONTO"/>
    <s v="P-TRP-333562-R7 - TORO-ABX464 IR Capsules 25mg et 50mg Manuf"/>
    <s v="P00127_2024"/>
    <s v="5.2 TECH. TRANSFER 2 BATCHES - First Batch Manufacturing #1 25mg CVHWS"/>
    <n v="134132"/>
    <s v="INV 90173588"/>
    <d v="2024-12-31T00:00:00"/>
    <n v="134132"/>
    <x v="3"/>
    <n v="134132"/>
    <n v="0"/>
    <n v="134132"/>
  </r>
  <r>
    <s v="ABX464"/>
    <m/>
    <s v="CMC"/>
    <s v="Sunil S / Jerome"/>
    <s v="PATHEON - THERMO FISHER TORONTO"/>
    <s v="P-TRP-333562-R7 - TORO-ABX464 IR Capsules 25mg et 50mg Manuf"/>
    <s v="P00127_2024"/>
    <s v="5.2 TECH. TRANSFER 2 BATCHES - First Batch Manufacturing #1 50mg CTHZX"/>
    <n v="134132"/>
    <s v="INV 90175017"/>
    <d v="2025-02-18T00:00:00"/>
    <n v="134132"/>
    <x v="3"/>
    <n v="134132"/>
    <n v="0"/>
    <n v="134132"/>
  </r>
  <r>
    <s v="ABX464"/>
    <m/>
    <s v="CMC"/>
    <s v="Sunil S / Jerome"/>
    <s v="PATHEON - THERMO FISHER TORONTO"/>
    <s v="P-TRP-333562-R7 - TORO-ABX464 IR Capsules 25mg et 50mg Manuf"/>
    <s v="P00127_2024"/>
    <s v="5.2 TECH. TRANSFER 2 BATCHES -  Manufacturing Report"/>
    <n v="17248"/>
    <s v="INV 90184415"/>
    <d v="2025-09-27T00:00:00"/>
    <n v="17248"/>
    <x v="3"/>
    <n v="17248"/>
    <n v="0"/>
    <n v="17248"/>
  </r>
  <r>
    <s v="ABX464"/>
    <m/>
    <s v="CMC"/>
    <s v="Sunil S / Jerome"/>
    <s v="PATHEON - THERMO FISHER TORONTO"/>
    <s v="P-TRP-333562-R7 - TORO-ABX464 IR Capsules 25mg et 50mg Manuf"/>
    <s v="P00127_2024"/>
    <s v="7.1 DESIGN EXPERIMENT (DoE) - Protocol preparation - Designe of Experiment"/>
    <n v="288416"/>
    <m/>
    <m/>
    <n v="288416"/>
    <x v="3"/>
    <m/>
    <n v="288416"/>
    <n v="0"/>
  </r>
  <r>
    <s v="ABX464"/>
    <m/>
    <s v="CMC"/>
    <s v="Sunil S / Jerome"/>
    <s v="PATHEON - THERMO FISHER TORONTO"/>
    <s v="P-TRP-333562-R7 - TORO-ABX464 IR Capsules 25mg et 50mg Manuf"/>
    <s v="P00127_2024"/>
    <s v="7.2 DESIGN EXPERIMENT (DoE) - Protocol preparation - Confirmation 2 Batches GMP"/>
    <n v="174774"/>
    <m/>
    <m/>
    <n v="174774"/>
    <x v="3"/>
    <m/>
    <n v="174774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First Batch Manufacturing CTPFK"/>
    <n v="118713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First Batch Stability Packaging"/>
    <n v="1733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Analytical Support CTPFK CTPFD"/>
    <n v="23311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Back to Back Batch Manufacturing CTPFD"/>
    <n v="9638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Back to Back Batch Stability Packaging"/>
    <n v="1412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Back to Back Batch Analytical Support"/>
    <n v="23311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Manufacturing Report"/>
    <n v="1724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Protocol Generation"/>
    <n v="145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Summary Report Generation"/>
    <n v="207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1 Months (40C / 75% RH) (30C / 75% RH) (25C / 60% RH)"/>
    <n v="119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2 Months (40C / 75% RH) (30C / 75% RH) (25C / 60% RH)"/>
    <n v="1208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3 Months (40C / 75% RH) (30C / 75% RH) (25C / 60% RH)"/>
    <n v="122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6 Months (30C / 75% RH) (25C / 60% RH)"/>
    <n v="989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9 Months (30C / 75% RH) (25C / 60% RH)"/>
    <n v="1019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12 Months (30C / 75% RH) (25C / 60% RH)"/>
    <n v="1049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manuf"/>
    <n v="7187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- manuf"/>
    <n v="11973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- Stab pack"/>
    <n v="1733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- Ana Support"/>
    <n v="233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"/>
    <n v="9740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Stab"/>
    <n v="1572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Ana Support"/>
    <n v="233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 - for more 4 batches"/>
    <n v="38963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 - for more 4 batches"/>
    <n v="6291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 - for more 4 batches"/>
    <n v="9335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Manuf report"/>
    <n v="1724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DISCOUNT"/>
    <n v="-27681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Proto gen"/>
    <n v="145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1"/>
    <n v="214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2"/>
    <n v="2161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3"/>
    <n v="2445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6"/>
    <n v="1567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9"/>
    <n v="1603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12"/>
    <n v="1639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18"/>
    <n v="1711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24"/>
    <n v="1783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36"/>
    <n v="1927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48"/>
    <n v="2602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60"/>
    <n v="7483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Summary report Gen"/>
    <n v="207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2"/>
    <s v="P00557_2024"/>
    <s v="12.1 Analytical Services - 12.1Phase III Samples tested using Stationary Basket"/>
    <n v="5358"/>
    <s v="INV 90172805"/>
    <d v="2024-12-11T00:00:00"/>
    <n v="5358"/>
    <x v="3"/>
    <n v="5358"/>
    <n v="0"/>
    <n v="5358"/>
  </r>
  <r>
    <s v="ABX464"/>
    <m/>
    <s v="CMC"/>
    <s v="Sunil S / Jerome"/>
    <s v="PATHEON - THERMO FISHER TORONTO"/>
    <s v="P-TRP-333562-R7 - TORO-ABX464 IR Capsules 25mg et 50mg Manuf - CoS 02"/>
    <s v="P00557_2024"/>
    <s v="12.2 Analytical Services - 12.2Method Investigation"/>
    <n v="15413"/>
    <s v="INV 90172805"/>
    <d v="2024-12-11T00:00:00"/>
    <n v="15413"/>
    <x v="3"/>
    <n v="15413"/>
    <n v="0"/>
    <n v="15413"/>
  </r>
  <r>
    <s v="ABX464"/>
    <m/>
    <s v="CMC"/>
    <s v="Sunil S / Jerome"/>
    <s v="PATHEON - THERMO FISHER TORONTO"/>
    <s v="P-TRP-333562-R7 - TORO-ABX464 IR Capsules 25mg et 50mg Manuf - CoS 02"/>
    <s v="P00557_2024"/>
    <s v="12.3 Analytical Services - 12.3Particle Size Distribution - 4 samples"/>
    <n v="661"/>
    <s v="INV 90172805"/>
    <d v="2024-12-11T00:00:00"/>
    <n v="661"/>
    <x v="3"/>
    <n v="661"/>
    <n v="0"/>
    <n v="661"/>
  </r>
  <r>
    <s v="ABX464"/>
    <m/>
    <s v="CMC"/>
    <s v="Sunil S / Jerome"/>
    <s v="PATHEON - THERMO FISHER TORONTO"/>
    <s v="P-TRP-333562-R7 - TORO-ABX464 IR Capsules 25mg et 50mg Manuf - CoS 02"/>
    <s v="P00557_2024"/>
    <s v="12.4 Analytical Services - 12.4Repeat CU Analysis on Manually Filled Capsules"/>
    <n v="4023"/>
    <s v="INV 90172805"/>
    <d v="2024-12-11T00:00:00"/>
    <n v="4023"/>
    <x v="3"/>
    <n v="4023"/>
    <n v="0"/>
    <n v="4023"/>
  </r>
  <r>
    <s v="ABX464"/>
    <m/>
    <s v="CMC"/>
    <s v="Sunil S / Jerome"/>
    <s v="PATHEON - THERMO FISHER TORONTO"/>
    <s v="P-TRP-333562-R7 - TORO-ABX464 IR Capsules 25mg et 50mg Manuf - CoS 02"/>
    <s v="P00557_2024"/>
    <s v="12.5 Analytical Services - 12.5Automatically Filled Capsule Analysis using 1 Method"/>
    <n v="9062"/>
    <s v="INV 90172805"/>
    <d v="2024-12-11T00:00:00"/>
    <n v="9062"/>
    <x v="3"/>
    <n v="9062"/>
    <n v="0"/>
    <n v="9062"/>
  </r>
  <r>
    <s v="ABX464"/>
    <m/>
    <s v="CMC"/>
    <s v="Sunil S / Jerome"/>
    <s v="PATHEON - THERMO FISHER TORONTO"/>
    <s v="P-TRP-333562-R7 - TORO-ABX464 IR Capsules 25mg et 50mg Manuf - CoS 02"/>
    <s v="P00557_2024"/>
    <s v="13.0 FORMULATION DEVELOPMENT - 13.1Tech. Transfer Batches - 3 batches Analytical Support ABIC25MG0101, ABI1C25MG0201, CTHZZ"/>
    <n v="67474"/>
    <s v="INV 90172805"/>
    <d v="2024-12-11T00:00:00"/>
    <n v="67474"/>
    <x v="3"/>
    <n v="67474"/>
    <n v="0"/>
    <n v="67474"/>
  </r>
  <r>
    <s v="ABX464"/>
    <m/>
    <s v="CMC"/>
    <s v="Sunil S / Jerome"/>
    <s v="PATHEON - THERMO FISHER TORONTO"/>
    <s v="P-TRP-333562-R7 - TORO-ABX464 IR Capsules 25mg et 50mg Manuf - CoS 02"/>
    <s v="P00557_2024"/>
    <s v="13.0 FORMULATION DEVELOPMENT - 13.1Tech. Transfer Batches - 3 batches Manufacturing ABIC25MG0101, ABI1C25MG0201, CTHZZ"/>
    <n v="116198"/>
    <s v="INV 90172805"/>
    <d v="2024-12-11T00:00:00"/>
    <n v="116198"/>
    <x v="3"/>
    <n v="116198"/>
    <n v="0"/>
    <n v="116198"/>
  </r>
  <r>
    <s v="ABX464"/>
    <m/>
    <s v="CMC"/>
    <s v="Sunil S / Jerome"/>
    <s v="PATHEON - THERMO FISHER TORONTO"/>
    <s v="P-TRP-333562-R7 - TORO-ABX464 IR Capsules 25mg et 50mg Manuf - CoS 02"/>
    <s v="P00557_2024"/>
    <s v="13.0 FORMULATION DEVELOPMENT - 13.1Tech. Transfer Batches - 3 batches Protocol Preparation"/>
    <n v="3704"/>
    <s v="INV 90172805"/>
    <d v="2024-12-11T00:00:00"/>
    <n v="3704"/>
    <x v="3"/>
    <n v="3704"/>
    <n v="0"/>
    <n v="3704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THZX)"/>
    <n v="9219"/>
    <s v="INV 90176050"/>
    <d v="2025-03-11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VHWS)"/>
    <n v="9219"/>
    <s v="INV 90176050"/>
    <d v="2025-03-11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VKNF)"/>
    <n v="9219"/>
    <s v="INV 90176858"/>
    <d v="2025-03-28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VYVG)"/>
    <n v="9219"/>
    <s v="INV 90176858"/>
    <d v="2025-03-28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First Batch Manufacturing CVYVG 25mg"/>
    <n v="113994"/>
    <s v="INV 90176201"/>
    <d v="2025-03-17T00:00:00"/>
    <n v="113994"/>
    <x v="3"/>
    <n v="113994"/>
    <n v="0"/>
    <n v="113994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First Batch Packaging CVYVG 25mg"/>
    <n v="63283"/>
    <s v="INV 90179167"/>
    <d v="2025-05-28T00:00:00"/>
    <n v="63283"/>
    <x v="3"/>
    <n v="63283"/>
    <n v="0"/>
    <n v="6328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First Batch Analytical Support CVYVG 25mg"/>
    <n v="27373"/>
    <s v="INV 90176858"/>
    <d v="2025-03-28T00:00:00"/>
    <n v="27373"/>
    <x v="3"/>
    <n v="27373"/>
    <n v="0"/>
    <n v="2737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Back to Back Batch Manufacturing CVKNF 50mg"/>
    <n v="90123"/>
    <s v="INV 90176201"/>
    <d v="2025-03-17T00:00:00"/>
    <n v="90123"/>
    <x v="3"/>
    <n v="90123"/>
    <n v="0"/>
    <n v="9012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Back to Back Batch Packaging CVKNF 50mg"/>
    <n v="56543"/>
    <s v="INV 90178311"/>
    <d v="2025-05-03T00:00:00"/>
    <n v="56543"/>
    <x v="3"/>
    <n v="56543"/>
    <n v="0"/>
    <n v="5654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Back to Back Batch Analytical Support CVKNF 50mg"/>
    <n v="27373"/>
    <s v="INV 90176858"/>
    <d v="2025-03-28T00:00:00"/>
    <n v="27373"/>
    <x v="3"/>
    <n v="27373"/>
    <n v="0"/>
    <n v="27373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Protocol Generation"/>
    <n v="1467"/>
    <s v="INV 90176425"/>
    <d v="2025-03-20T00:00:00"/>
    <n v="1467"/>
    <x v="3"/>
    <n v="1467"/>
    <n v="0"/>
    <n v="1467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1 Months (40C / 75% RH) (30C / 75% RH) (25C / 60% RH)"/>
    <n v="19195"/>
    <s v="INV 90181235"/>
    <d v="2025-07-22T00:00:00"/>
    <n v="9421"/>
    <x v="3"/>
    <n v="9421"/>
    <n v="0"/>
    <n v="9421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2 Months (40C / 75% RH) (30C / 75% RH) (25C / 60% RH)"/>
    <n v="19362"/>
    <s v="INV 90182466"/>
    <d v="2025-08-21T00:00:00"/>
    <n v="9462"/>
    <x v="3"/>
    <n v="9462"/>
    <n v="0"/>
    <n v="9462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3 Months (40C / 75% RH) (30C / 75% RH) (25C / 60% RH)"/>
    <n v="19528"/>
    <s v="INV 90182951"/>
    <d v="2025-08-30T00:00:00"/>
    <n v="19528"/>
    <x v="3"/>
    <n v="19528"/>
    <n v="0"/>
    <n v="19528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6 Months (30C / 75% RH) (25C / 60% RH)"/>
    <n v="14915"/>
    <s v="INV 90187892"/>
    <d v="2025-12-24T00:00:00"/>
    <n v="28621"/>
    <x v="3"/>
    <n v="28621"/>
    <n v="0"/>
    <n v="28621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9 Months (30C / 75% RH) (25C / 60% RH)"/>
    <n v="15289"/>
    <m/>
    <m/>
    <n v="15289"/>
    <x v="3"/>
    <m/>
    <n v="15289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12 Months (30C / 75% RH) (25C / 60% RH)"/>
    <n v="15664"/>
    <m/>
    <m/>
    <n v="15664"/>
    <x v="3"/>
    <m/>
    <n v="15664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18 Months (30C / 75% RH) (25C / 60% RH)"/>
    <n v="14166"/>
    <m/>
    <m/>
    <n v="14166"/>
    <x v="3"/>
    <m/>
    <n v="1416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24 Months (30C / 75% RH) (25C / 60% RH)"/>
    <n v="14166"/>
    <m/>
    <m/>
    <n v="14166"/>
    <x v="3"/>
    <m/>
    <n v="1416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36 Months"/>
    <n v="286"/>
    <m/>
    <m/>
    <n v="286"/>
    <x v="3"/>
    <m/>
    <n v="28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48 Months"/>
    <n v="286"/>
    <m/>
    <m/>
    <n v="286"/>
    <x v="3"/>
    <m/>
    <n v="28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Summary Report Generation"/>
    <n v="2096"/>
    <m/>
    <m/>
    <n v="2096"/>
    <x v="3"/>
    <m/>
    <n v="2096"/>
    <n v="0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assay by HPLC MT"/>
    <n v="14978"/>
    <s v="INV 90176049"/>
    <d v="2025-03-11T00:00:00"/>
    <n v="14978"/>
    <x v="3"/>
    <n v="14978"/>
    <n v="0"/>
    <n v="14978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Impurity by HPLC MT"/>
    <n v="15824"/>
    <s v="INV 90176049"/>
    <d v="2025-03-11T00:00:00"/>
    <n v="15824"/>
    <x v="3"/>
    <n v="15824"/>
    <n v="0"/>
    <n v="15824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2-nitrochlorobenzene MT"/>
    <n v="15824"/>
    <s v="INV 90177768"/>
    <d v="2025-04-24T00:00:00"/>
    <n v="15824"/>
    <x v="3"/>
    <n v="15824"/>
    <n v="0"/>
    <n v="15824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Assay ME"/>
    <n v="7439"/>
    <s v="INV 90176049"/>
    <d v="2025-03-11T00:00:00"/>
    <n v="7439"/>
    <x v="3"/>
    <n v="7439"/>
    <n v="0"/>
    <n v="7439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Impurity ME"/>
    <n v="9570"/>
    <s v="INV 90176765"/>
    <d v="2025-02-28T00:00:00"/>
    <n v="9570"/>
    <x v="3"/>
    <n v="9570"/>
    <n v="0"/>
    <n v="9570"/>
  </r>
  <r>
    <s v="ABX464"/>
    <m/>
    <s v="CMC"/>
    <s v="Sunil S / Jerome"/>
    <s v="PATHEON - THERMO FISHER TORONTO"/>
    <s v="P-TRP-333562-R7 - Achat MP - P00137_2025"/>
    <s v="P00137_2025"/>
    <s v="Outsourcing method XRPD &amp; DSC"/>
    <m/>
    <m/>
    <m/>
    <n v="35954"/>
    <x v="5"/>
    <m/>
    <n v="35954"/>
    <n v="0"/>
  </r>
  <r>
    <s v="UC105"/>
    <m/>
    <s v="CLI"/>
    <s v="Julien"/>
    <s v="CHARLES RIVER ST NAZAIRE"/>
    <s v="OPP-254665 - CRL-403505 - P00142_2025"/>
    <s v="P00142_2025"/>
    <s v="Détermination concentration ABX464 et Nglu UC105 - add cost"/>
    <m/>
    <s v="INV 59002226"/>
    <d v="2025-06-27T00:00:00"/>
    <n v="1448"/>
    <x v="1"/>
    <n v="1448"/>
    <n v="0"/>
    <n v="1448"/>
  </r>
  <r>
    <s v="ABX464"/>
    <m/>
    <s v="CMC"/>
    <s v="Saadia"/>
    <s v="JETPHARMA"/>
    <s v="25100091 - P00140_2025"/>
    <s v="P00140_2025"/>
    <s v="Sampling"/>
    <m/>
    <s v="INV 25100166"/>
    <d v="2025-04-30T00:00:00"/>
    <n v="5400"/>
    <x v="4"/>
    <n v="5400"/>
    <n v="0"/>
    <n v="5400"/>
  </r>
  <r>
    <s v="ABX464"/>
    <m/>
    <s v="CMC"/>
    <s v="Saadia"/>
    <s v="JETPHARMA"/>
    <s v="25100089 - P00141_2025"/>
    <s v="P00141_2025"/>
    <s v="Shipments"/>
    <m/>
    <s v="INV 25100118"/>
    <d v="2025-03-31T00:00:00"/>
    <n v="7360"/>
    <x v="4"/>
    <n v="7360"/>
    <n v="0"/>
    <n v="7360"/>
  </r>
  <r>
    <s v="ABX464"/>
    <m/>
    <s v="CMC"/>
    <s v="Saadia"/>
    <s v="JETPHARMA"/>
    <s v="54 SA - P00147_2025"/>
    <s v="P00147_2025"/>
    <s v="Morphology Analysis"/>
    <m/>
    <s v="INV 25100117 + INV 25100221 + INV 25100286 + INV 25100348 + INV 25100349"/>
    <s v="28/03/2025 + 17/06/2025+ 15/07/2025 + 20/08/2025 + 20/08/2025"/>
    <n v="11000"/>
    <x v="4"/>
    <n v="9900"/>
    <n v="1100"/>
    <n v="9900"/>
  </r>
  <r>
    <s v="ABX464"/>
    <m/>
    <s v="CMC"/>
    <s v="Saadia"/>
    <s v="DELPHARM REIMS"/>
    <s v="CBA/2503311/1 - P00128_2025"/>
    <s v="P00128_2025"/>
    <s v="Additional dissolution profiles"/>
    <m/>
    <s v="INV 0622/25"/>
    <d v="2025-04-16T00:00:00"/>
    <n v="11000"/>
    <x v="1"/>
    <n v="11000"/>
    <n v="0"/>
    <n v="11000"/>
  </r>
  <r>
    <s v="ABX464"/>
    <m/>
    <s v="LAB"/>
    <s v="Aude G"/>
    <s v="JANVIERLABS"/>
    <s v="JLCO250303118 - P00148_2025"/>
    <s v="P00148_2025"/>
    <s v="Consommable Labo"/>
    <m/>
    <s v="INV JLFC250401119"/>
    <d v="2025-04-10T00:00:00"/>
    <n v="1139.76"/>
    <x v="1"/>
    <n v="1139.76"/>
    <n v="0"/>
    <n v="1139.76"/>
  </r>
  <r>
    <s v="ABX464"/>
    <m/>
    <s v="LAB"/>
    <s v="Aude G"/>
    <s v="JANVIERLABS"/>
    <s v="JLCO250303117 - P00149_2025"/>
    <s v="P00149_2025"/>
    <s v="Consommable Labo"/>
    <m/>
    <s v="INV JLFC250400347"/>
    <d v="2025-04-03T00:00:00"/>
    <n v="1519.68"/>
    <x v="1"/>
    <n v="1519.68"/>
    <n v="0"/>
    <n v="1519.68"/>
  </r>
  <r>
    <s v="ABX464"/>
    <m/>
    <s v="LAB"/>
    <s v="Aude G"/>
    <s v="JANVIERLABS"/>
    <s v="JLCO250303120 - P00150_2025"/>
    <s v="P00150_2025"/>
    <s v="Consommable Labo"/>
    <m/>
    <s v="INV JLFC250500602"/>
    <d v="2025-05-07T00:00:00"/>
    <n v="1139.76"/>
    <x v="1"/>
    <n v="1139.76"/>
    <n v="0"/>
    <n v="1139.76"/>
  </r>
  <r>
    <s v="NOTAPP"/>
    <m/>
    <s v="REG"/>
    <s v="Mary M"/>
    <s v="VEEVA"/>
    <s v="Quote 00187346 - P00152_2025"/>
    <s v="PO a changer avec le PO00161"/>
    <s v="Veeva RIMS Vault Submission ELA100"/>
    <m/>
    <m/>
    <m/>
    <n v="0"/>
    <x v="1"/>
    <m/>
    <n v="0"/>
    <n v="0"/>
  </r>
  <r>
    <s v="NOTAPP"/>
    <m/>
    <s v="QA1"/>
    <s v="Ouahiba"/>
    <s v="CADORET"/>
    <s v="SOW 2025-01 - P00153_2025"/>
    <s v="P00153_2025"/>
    <s v="Audit CYTEL 2 jours"/>
    <m/>
    <s v="INV ABI 20250331 + INV ABI 20250430 + INV ABI 20250630 + INV ABI 20250731"/>
    <s v="31/03/2025 + 30/04/2025 + 30/06/2025+31/07/2025"/>
    <n v="20740"/>
    <x v="3"/>
    <n v="13415"/>
    <n v="7325"/>
    <n v="13415"/>
  </r>
  <r>
    <s v="ABX464"/>
    <m/>
    <s v="QA"/>
    <s v="Ouahiba"/>
    <s v="SUNNIKAN"/>
    <s v="CRO_2025-052 - P00154_2025"/>
    <s v="P00154_2025"/>
    <s v="Audit KEYRUS FR"/>
    <m/>
    <s v="INV FAC-25-245"/>
    <d v="2025-07-31T00:00:00"/>
    <n v="7526.25"/>
    <x v="1"/>
    <n v="4913.3"/>
    <n v="0"/>
    <n v="4913.3"/>
  </r>
  <r>
    <s v="ABX464"/>
    <s v="TOX"/>
    <s v="LAB"/>
    <s v="Didier S"/>
    <s v="CHARLES RIVER LYON"/>
    <s v="AR-2025-032 - P00155_2025"/>
    <s v="P00155_2025"/>
    <s v="Study archiving - 01/04/2025 au 31/10/2026"/>
    <m/>
    <s v="INV 47616005"/>
    <d v="2025-04-08T00:00:00"/>
    <n v="20624"/>
    <x v="1"/>
    <n v="20624"/>
    <n v="0"/>
    <n v="20624"/>
  </r>
  <r>
    <s v="ABX464"/>
    <m/>
    <s v="LAB"/>
    <s v="Aude G"/>
    <s v="LIFE TECHNOLOGIES"/>
    <s v="W961342528 - P00139_2025"/>
    <s v="P00139_2025"/>
    <s v="Consommable Labo"/>
    <m/>
    <s v="INV 2015548 RI"/>
    <d v="2025-03-24T00:00:00"/>
    <n v="769"/>
    <x v="1"/>
    <n v="769.65"/>
    <n v="0"/>
    <n v="769.65"/>
  </r>
  <r>
    <s v="ABX464"/>
    <m/>
    <s v="LAB"/>
    <s v="Aude G"/>
    <s v="CNRS"/>
    <s v="MGC-GENOBI-T1-2025-GARCEL - P00162_2025"/>
    <s v="P00162_2025"/>
    <s v="Consommable Labo"/>
    <m/>
    <s v="INV 90800792"/>
    <d v="2025-04-02T00:00:00"/>
    <n v="936.32"/>
    <x v="1"/>
    <n v="936.32"/>
    <n v="0"/>
    <n v="936.32"/>
  </r>
  <r>
    <s v="NOTAPP"/>
    <m/>
    <s v="REG"/>
    <s v="Mary M"/>
    <s v="VEEVA"/>
    <s v="Quote QUO-003682 - P00161_2025"/>
    <s v="P00161_2025"/>
    <s v="Veeva RIMS Vault Submission ELA100"/>
    <m/>
    <s v="INV 509062"/>
    <d v="2025-04-30T00:00:00"/>
    <n v="96309"/>
    <x v="1"/>
    <n v="96309"/>
    <n v="0"/>
    <n v="96309"/>
  </r>
  <r>
    <s v="ABX464"/>
    <m/>
    <s v="CMC"/>
    <s v="Saadia"/>
    <s v="JETPHARMA"/>
    <s v="25100099 &amp; 54 SA - P00165_2025"/>
    <s v="P00165_2025"/>
    <s v="Milling trials &amp; PSD analysis"/>
    <m/>
    <s v="INV 25100171 + INV 25100168 +INV 25100161 + INV 25100180"/>
    <s v="30/04/2025+30/04/2025+29/04/2025 + 08/05/2025"/>
    <n v="37100"/>
    <x v="4"/>
    <n v="37099.9"/>
    <n v="0"/>
    <n v="37099.9"/>
  </r>
  <r>
    <s v="ABX464"/>
    <m/>
    <s v="CMC"/>
    <s v="Saadia"/>
    <s v="DELPHARM PARIS"/>
    <s v="B24039 - P00166_2025"/>
    <s v="P00166_2025"/>
    <s v="Achats filtres"/>
    <m/>
    <s v="INV 10000983"/>
    <d v="2025-04-04T00:00:00"/>
    <n v="362.96"/>
    <x v="1"/>
    <n v="362.96"/>
    <n v="0"/>
    <n v="362.96"/>
  </r>
  <r>
    <s v="NOTAPP"/>
    <m/>
    <s v="LAB"/>
    <s v="Aude G"/>
    <s v="CNRS"/>
    <s v="MGC-CLONAGE-T1-2025-ABIVAX - P00168_2025"/>
    <s v="P00168_2025"/>
    <s v="RNA quality"/>
    <m/>
    <s v="INV 90811657."/>
    <d v="2025-06-19T00:00:00"/>
    <n v="946.99"/>
    <x v="1"/>
    <n v="946.99"/>
    <n v="0"/>
    <n v="946.99"/>
  </r>
  <r>
    <s v="ABX464"/>
    <m/>
    <s v="LAB"/>
    <s v="Aude G"/>
    <s v="BIO-TECHNE"/>
    <s v="Q-594372 - P00169_2025"/>
    <s v="P00169_2025"/>
    <s v="Histologie Consommable Labo"/>
    <m/>
    <s v="INV FRCI-00035675"/>
    <d v="2025-04-22T00:00:00"/>
    <n v="534.29999999999995"/>
    <x v="1"/>
    <n v="534.29999999999995"/>
    <n v="0"/>
    <n v="534.29999999999995"/>
  </r>
  <r>
    <s v="ABX464"/>
    <m/>
    <s v="CMC"/>
    <s v="Adrien K"/>
    <s v="CHARLES RIVER NETHERLAND"/>
    <s v="SFDC OPP-379729 - CRL-32037185 - P00170_2025  - Remplacé par PO00275_2025"/>
    <s v="P00170_2025"/>
    <s v="ICH M7 Assessment using silico Tools"/>
    <m/>
    <m/>
    <m/>
    <n v="0"/>
    <x v="1"/>
    <m/>
    <n v="0"/>
    <n v="0"/>
  </r>
  <r>
    <s v="ABX464"/>
    <m/>
    <s v="CMC"/>
    <s v="Saadia"/>
    <s v="JETPHARMA"/>
    <s v="VAT import shipment - P00177_2025"/>
    <s v="P00177_2025"/>
    <s v="VAT import shipments"/>
    <m/>
    <s v="INV 25100131"/>
    <d v="2025-04-10T00:00:00"/>
    <n v="986.64"/>
    <x v="4"/>
    <n v="986.64"/>
    <n v="0"/>
    <n v="986.64"/>
  </r>
  <r>
    <s v="ABX464"/>
    <m/>
    <s v="CMC"/>
    <s v="Sunil S / Jerome"/>
    <s v="THERMO FISHER TORONTO - PATHEON"/>
    <s v="P-TRP-333562-R7 - Achat MP - P00176_2025"/>
    <s v="P00176_2025"/>
    <s v="Yellow opaque gelatine + Blue opaque gelatine caps size-1"/>
    <m/>
    <s v="INV 90184717"/>
    <d v="2025-10-09T00:00:00"/>
    <n v="21062.25"/>
    <x v="3"/>
    <n v="22655.11"/>
    <n v="0"/>
    <n v="22655.11"/>
  </r>
  <r>
    <s v="ABX464"/>
    <m/>
    <s v="CMC"/>
    <s v="Adrien K"/>
    <s v="SEQENS"/>
    <s v="WO84#2024 - P00175_2025"/>
    <s v="P00175_2025"/>
    <s v="ICH Stability studies validation batches"/>
    <m/>
    <s v="INV 0010 25002595 RI"/>
    <d v="2025-11-03T00:00:00"/>
    <n v="215800"/>
    <x v="1"/>
    <n v="15100"/>
    <n v="200700"/>
    <n v="15100"/>
  </r>
  <r>
    <s v="ABX464"/>
    <m/>
    <s v="CMC"/>
    <s v="Thanh-Huong"/>
    <s v="QUOTIENT NOTTINGHAM"/>
    <s v="QSC303253_SOW1_CO1 - P00186_2025"/>
    <s v="P00186_2025"/>
    <s v="PBK modeling &amp; simulation prediatric formulation - Work for CMC department"/>
    <m/>
    <s v="INV SIN005110"/>
    <d v="2025-04-18T00:00:00"/>
    <n v="7862"/>
    <x v="2"/>
    <n v="7862"/>
    <n v="0"/>
    <n v="7862"/>
  </r>
  <r>
    <s v="ABX464"/>
    <m/>
    <s v="CMC"/>
    <s v="Adrien K"/>
    <s v="DELPHARM LILLE"/>
    <s v="L25_4315A - P00192_2025"/>
    <s v="P00192_2025"/>
    <s v="Mise sous piluliers lot 25mg&amp;50mg"/>
    <m/>
    <s v="INV 10001444"/>
    <d v="2025-05-21T00:00:00"/>
    <n v="5841"/>
    <x v="1"/>
    <n v="4380.75"/>
    <n v="1460.25"/>
    <n v="4380.75"/>
  </r>
  <r>
    <s v="NOTAPP"/>
    <m/>
    <s v="LAB"/>
    <s v="Aude G"/>
    <s v="LIFE TECHNOLOGIES"/>
    <s v="W967740942 - P00194_2025"/>
    <s v="P00194_2025"/>
    <s v="Consommable Labo"/>
    <m/>
    <s v="INV 2021233 RI"/>
    <d v="2025-04-22T00:00:00"/>
    <n v="523.76"/>
    <x v="1"/>
    <n v="523.76"/>
    <n v="0"/>
    <n v="523.76"/>
  </r>
  <r>
    <s v="ABX464"/>
    <m/>
    <s v="LAB"/>
    <s v="Aude G"/>
    <s v="EPPENDORF"/>
    <s v="Q24000704599 - P00188_2025"/>
    <s v="P00188_2025"/>
    <s v="Consommable Labo"/>
    <m/>
    <s v="INV 10095774 + INV 10095798 + INV 10095799 "/>
    <s v="16/04/2025 + 17/04/2025 + 17/04/2025"/>
    <n v="3068"/>
    <x v="1"/>
    <n v="3068"/>
    <n v="0"/>
    <n v="3068"/>
  </r>
  <r>
    <s v="ABX464"/>
    <m/>
    <s v="CMC"/>
    <s v="Saadia"/>
    <s v="DELPHARM PARIS"/>
    <s v="B 24 039 V1 - P00187_2025"/>
    <s v="P00187_2025"/>
    <s v="ABX Dissolution test on API"/>
    <m/>
    <s v="INV 10001082"/>
    <d v="2025-04-30T00:00:00"/>
    <n v="7760"/>
    <x v="1"/>
    <n v="7760"/>
    <n v="0"/>
    <n v="7760"/>
  </r>
  <r>
    <s v="ABX464"/>
    <m/>
    <s v="LAB"/>
    <s v="Aude G"/>
    <s v="MERCK SIGMA"/>
    <s v="web - P00189_2025"/>
    <s v="P00189_2025"/>
    <s v="Consommable Labo"/>
    <m/>
    <s v="INV 8053462783"/>
    <d v="2025-04-17T00:00:00"/>
    <n v="321"/>
    <x v="1"/>
    <n v="321"/>
    <n v="0"/>
    <n v="321"/>
  </r>
  <r>
    <s v="ABX464"/>
    <m/>
    <s v="LAB"/>
    <s v="Aude G"/>
    <s v="EUROMEDEX"/>
    <s v="DE-53022 - P00185_2025"/>
    <s v="P00185_2025"/>
    <s v="Consommable Labo"/>
    <m/>
    <s v="INV FV25REC03642"/>
    <d v="2025-04-16T00:00:00"/>
    <n v="3231"/>
    <x v="1"/>
    <n v="3231"/>
    <n v="0"/>
    <n v="3231"/>
  </r>
  <r>
    <s v="ABX464"/>
    <m/>
    <s v="LAB"/>
    <s v="Aude G"/>
    <s v="EUROMEDEX"/>
    <s v="DE-53086 - P00196_2025"/>
    <s v="P00196_2025"/>
    <s v="Consommable Labo"/>
    <m/>
    <s v="INV FV25REC03838"/>
    <d v="2025-04-24T00:00:00"/>
    <n v="642"/>
    <x v="1"/>
    <n v="642"/>
    <n v="0"/>
    <n v="642"/>
  </r>
  <r>
    <s v="ABX464"/>
    <m/>
    <s v="CMC"/>
    <s v="Saadia"/>
    <s v="JETPHARMA"/>
    <s v="25100109v2 &amp; 54 SA - P00183_2025"/>
    <s v="P00183_2025"/>
    <s v="Milling trials &amp; PSD analysis"/>
    <m/>
    <s v="INV 25100173 + INV 25100172"/>
    <s v="30/04/2025 + 30/04/2025"/>
    <n v="4550"/>
    <x v="4"/>
    <n v="4550"/>
    <n v="0"/>
    <n v="4550"/>
  </r>
  <r>
    <s v="ABX464"/>
    <m/>
    <s v="CMC"/>
    <s v="Saadia"/>
    <s v="JETPHARMA"/>
    <s v="25100102 - P00184_2025"/>
    <s v="P00184_2025"/>
    <s v="Statistic evaluation"/>
    <m/>
    <s v="INV 25100167"/>
    <d v="2025-04-30T00:00:00"/>
    <n v="3800"/>
    <x v="4"/>
    <n v="3800"/>
    <n v="0"/>
    <n v="3800"/>
  </r>
  <r>
    <s v="NOTAPP"/>
    <m/>
    <s v="LAB"/>
    <s v="Aude G"/>
    <s v="DUTSCHER"/>
    <s v="NA - P00180_2025"/>
    <s v="P00180_2025"/>
    <s v="Materiel de labo"/>
    <m/>
    <s v="INV 4123864 + INV 4163335"/>
    <s v="11/04/2025 + 04/06/2025"/>
    <n v="1945.8"/>
    <x v="1"/>
    <n v="1945.8"/>
    <n v="0"/>
    <n v="1945.8"/>
  </r>
  <r>
    <s v="ABX464"/>
    <m/>
    <s v="LAB"/>
    <s v="Aude G"/>
    <s v="ABCAM"/>
    <s v="web - P00179_2025"/>
    <s v="P00179_2025"/>
    <s v="Consommable Labo"/>
    <m/>
    <s v="INV 2469610"/>
    <d v="2025-04-14T00:00:00"/>
    <n v="580"/>
    <x v="1"/>
    <n v="580"/>
    <n v="0"/>
    <n v="580"/>
  </r>
  <r>
    <s v="ABX464"/>
    <m/>
    <s v="CLI"/>
    <s v="Caroline Lee"/>
    <s v="PHARMARON LLC"/>
    <s v="USL-38250 - MSA_25050_W1 - P00198_2025"/>
    <s v="P00198_2025"/>
    <s v="In vitro ADME studies"/>
    <m/>
    <s v="INV INV-PA-12321"/>
    <s v="23/06/2025 (recu 07/2025)"/>
    <n v="5870"/>
    <x v="3"/>
    <n v="5870"/>
    <n v="0"/>
    <n v="5870"/>
  </r>
  <r>
    <s v="ABX464"/>
    <m/>
    <s v="CMC"/>
    <s v="Adrien K"/>
    <s v="EUROFINS BIOPHARMA PRODUCT"/>
    <s v="JV5KPH250055-03 - P00182_2025"/>
    <s v="P00182_2025"/>
    <s v="Bacterial Reverese Mutation test"/>
    <m/>
    <s v="INV 25002818CDE028IV"/>
    <d v="2025-04-28T00:00:00"/>
    <n v="28630"/>
    <x v="1"/>
    <n v="12336.5"/>
    <n v="16293.5"/>
    <n v="12336.5"/>
  </r>
  <r>
    <s v="ABX464"/>
    <m/>
    <s v="CMC"/>
    <s v="Adrien K"/>
    <s v="DELPHARM LILLE"/>
    <s v="L25_4230A - P00191_2025"/>
    <s v="P00191_2025"/>
    <s v="Commande de gélues"/>
    <m/>
    <s v="INV 10001335"/>
    <d v="2025-04-28T00:00:00"/>
    <n v="53585"/>
    <x v="1"/>
    <n v="53585"/>
    <n v="0"/>
    <n v="53585"/>
  </r>
  <r>
    <s v="ABX464"/>
    <m/>
    <s v="CMC"/>
    <s v="Adrien K"/>
    <s v="SEQENS"/>
    <s v="WO95#2025 - P00193_2025"/>
    <s v="P00193_2025"/>
    <s v="Mapping of 4TFMA impurties"/>
    <m/>
    <s v="INV 25002273 RI"/>
    <d v="2025-09-29T00:00:00"/>
    <n v="37300"/>
    <x v="1"/>
    <n v="37300"/>
    <n v="0"/>
    <n v="37300"/>
  </r>
  <r>
    <s v="ABX464"/>
    <m/>
    <s v="CMC"/>
    <s v="Saadia"/>
    <s v="JETPHARMA"/>
    <s v="25100120 - P00197_2025"/>
    <s v="P00197_2025"/>
    <s v="Shipments to PTA"/>
    <m/>
    <s v="INV 25100169"/>
    <d v="2025-04-30T00:00:00"/>
    <n v="2610"/>
    <x v="4"/>
    <n v="2610"/>
    <n v="0"/>
    <n v="2610"/>
  </r>
  <r>
    <s v="ABX464"/>
    <m/>
    <s v="LAB"/>
    <s v="Aude G"/>
    <s v="EFS"/>
    <s v="Commande de juillet 2025 - P00202_2025"/>
    <s v="P00203_2025"/>
    <s v="Consommable Labo - Juillet 2025"/>
    <m/>
    <s v="INV 0090149925 + INV 0090149926 + INV 0090149927"/>
    <d v="2025-07-31T00:00:00"/>
    <n v="976.56"/>
    <x v="1"/>
    <n v="976.56"/>
    <n v="0"/>
    <n v="976.56"/>
  </r>
  <r>
    <s v="ABX464"/>
    <m/>
    <s v="LAB"/>
    <s v="Aude G"/>
    <s v="EFS"/>
    <s v="Commande d'aout 2025 - P00203_2025"/>
    <s v="P00203_2025"/>
    <s v="Consommable Labo - Aout 2025"/>
    <m/>
    <s v="INV 0090160642"/>
    <d v="2025-08-31T00:00:00"/>
    <n v="488.28"/>
    <x v="1"/>
    <n v="488.28"/>
    <n v="0"/>
    <n v="488.28"/>
  </r>
  <r>
    <s v="ABX464"/>
    <m/>
    <s v="LAB"/>
    <s v="Aude G"/>
    <s v="EFS"/>
    <s v="Commande de septembre 2025 - P00204_2025"/>
    <s v="P00204_2025"/>
    <s v="Consommable Labo - Septembre 2025"/>
    <m/>
    <s v="INV 0090170472"/>
    <d v="2025-09-30T00:00:00"/>
    <n v="976.56"/>
    <x v="1"/>
    <n v="488.28"/>
    <n v="0"/>
    <n v="488.28"/>
  </r>
  <r>
    <s v="ABX464"/>
    <m/>
    <s v="LAB"/>
    <s v="Aude G"/>
    <s v="EFS"/>
    <s v="Commande d'octobre 2025 - P00205_2025"/>
    <s v="P00205_2025"/>
    <s v="Consommable Labo - Octobre 2025"/>
    <m/>
    <s v="INV 0090180781"/>
    <d v="2025-10-31T00:00:00"/>
    <n v="1220.7"/>
    <x v="1"/>
    <n v="976.56"/>
    <n v="0"/>
    <n v="976.56"/>
  </r>
  <r>
    <s v="ABX464"/>
    <m/>
    <s v="LAB"/>
    <s v="Aude G"/>
    <s v="EFS"/>
    <s v="Commande de novembre 2025 - P00206_2025"/>
    <s v="P00206_2025"/>
    <s v="Consommable Labo - Novembre 2025"/>
    <m/>
    <s v="INV 0090191011 + INV 0090191012 + INV 0090191010"/>
    <s v="30/11/2025 + 30/11/2025 + 30/11/2025"/>
    <n v="732.42"/>
    <x v="1"/>
    <n v="612.06999999999994"/>
    <n v="0"/>
    <n v="612.06999999999994"/>
  </r>
  <r>
    <s v="ABX464"/>
    <m/>
    <s v="LAB"/>
    <s v="Aude G"/>
    <s v="EFS"/>
    <s v="Commande de décembre 2025 - P00207_2025"/>
    <s v="P00207_2025"/>
    <s v="Consommable Labo - Décembre 2025"/>
    <m/>
    <s v="INV 0090202951 + INV 0090202952"/>
    <s v="01/01/2026 + 01/01/2026"/>
    <n v="732.42"/>
    <x v="1"/>
    <n v="732.42"/>
    <n v="0"/>
    <n v="732.42"/>
  </r>
  <r>
    <s v="ABX464"/>
    <m/>
    <s v="CLI"/>
    <m/>
    <s v="KEYRUS"/>
    <s v="SRV_21002_CO08"/>
    <m/>
    <s v="additional activities for the safety data pooling project."/>
    <m/>
    <s v="INV SI_PHI2400267 + INV SI_PHI2500121"/>
    <s v="31/03/2024 + 24/02/2025"/>
    <n v="105842.6"/>
    <x v="1"/>
    <n v="105842.6"/>
    <n v="0"/>
    <n v="105842.6"/>
  </r>
  <r>
    <s v="ABX464"/>
    <m/>
    <s v="CLI"/>
    <m/>
    <s v="KEYRUS"/>
    <s v="SRV_21002_CO09"/>
    <m/>
    <s v="additional activities for the safety data pooling project."/>
    <m/>
    <s v="INV SI_PHI2400698"/>
    <d v="2024-09-25T00:00:00"/>
    <n v="113696.3"/>
    <x v="1"/>
    <n v="113969.3"/>
    <n v="0"/>
    <n v="113969.3"/>
  </r>
  <r>
    <s v="ABX464"/>
    <m/>
    <s v="CMC"/>
    <s v="Saadia"/>
    <s v="ARTMOLECULE"/>
    <s v="P2505061 - P00233_2025"/>
    <s v="P00233_2025"/>
    <s v="Shipments to Pharmaron"/>
    <m/>
    <s v="INV 32415"/>
    <d v="2025-05-15T00:00:00"/>
    <n v="465"/>
    <x v="1"/>
    <n v="465"/>
    <n v="0"/>
    <n v="465"/>
  </r>
  <r>
    <s v="ABX464"/>
    <m/>
    <s v="CMC"/>
    <s v="Saadia"/>
    <s v="DELPHARM PARIS"/>
    <s v="B 24 039 V1 - P00232_2025"/>
    <s v="P00232_2025"/>
    <s v="ABX Dissolution test on API"/>
    <m/>
    <s v="INV 10001228+INV10000073+INV 10000212 + INV 10000298"/>
    <s v="28/05/2025+30/07/2025+30/09/2025+28/10/2025"/>
    <n v="49440"/>
    <x v="1"/>
    <n v="43120"/>
    <n v="6320"/>
    <n v="43120"/>
  </r>
  <r>
    <s v="ABX464"/>
    <m/>
    <s v="CLI"/>
    <s v="Caroline Lee"/>
    <s v="PHARMARON INC"/>
    <s v="PH-ABVX-MC-2025-01B - MSA_25050_W2 - P00224_2025"/>
    <s v="P00224_2025"/>
    <s v="Ox+Glu metabolite synthesis"/>
    <m/>
    <s v="INV 1186170"/>
    <d v="2025-07-07T00:00:00"/>
    <n v="7500"/>
    <x v="3"/>
    <n v="7500"/>
    <n v="0"/>
    <n v="7500"/>
  </r>
  <r>
    <s v="ABX464"/>
    <m/>
    <s v="CMC"/>
    <s v="Thanh-Huong"/>
    <s v="QUOTIENT NOTTINGHAM"/>
    <s v="QSC302430_CO3 - P00219_2025"/>
    <s v="P00219_2025"/>
    <s v="CO3 - Formulation development ABX464 pediatric form - Upon singnature CO3"/>
    <m/>
    <s v="INV SIN005343"/>
    <d v="2025-05-15T00:00:00"/>
    <n v="10152"/>
    <x v="2"/>
    <n v="10152"/>
    <n v="0"/>
    <n v="10152"/>
  </r>
  <r>
    <s v="ABX464"/>
    <m/>
    <s v="CMC"/>
    <s v="Saadia"/>
    <s v="JETPHARMA"/>
    <s v="25100153 SQ - P00223_2025"/>
    <s v="P00223_2025"/>
    <s v="Packaging and shipment"/>
    <m/>
    <s v="INV 25100179"/>
    <d v="2025-05-08T00:00:00"/>
    <n v="7600"/>
    <x v="4"/>
    <n v="7600"/>
    <n v="0"/>
    <n v="7600"/>
  </r>
  <r>
    <s v="NOTAPP"/>
    <m/>
    <s v="LAB"/>
    <s v="Aude G"/>
    <s v="MILTENYI"/>
    <s v="7086825-00 - P00220_2025"/>
    <s v="P00220_2025"/>
    <s v="Consommable Labo"/>
    <m/>
    <s v="INV 1032504350 + INV 1032504291"/>
    <s v="13/05/2025 + 12/05/2025"/>
    <n v="4109.6000000000004"/>
    <x v="1"/>
    <n v="4109.6000000000004"/>
    <n v="0"/>
    <n v="4109.6000000000004"/>
  </r>
  <r>
    <s v="ABX464"/>
    <m/>
    <s v="LAB"/>
    <s v="Aude G"/>
    <s v="EUROMEDEX"/>
    <s v="DE-53157 - P00218_2025"/>
    <s v="P00218_2025"/>
    <s v="Consommable Labo"/>
    <m/>
    <s v="INV FV25REC04279"/>
    <d v="2025-05-06T00:00:00"/>
    <n v="1751"/>
    <x v="1"/>
    <n v="1751"/>
    <n v="0"/>
    <n v="1751"/>
  </r>
  <r>
    <s v="ABX464"/>
    <m/>
    <s v="CMC"/>
    <s v="Saadia"/>
    <s v="DELPHARM REIMS"/>
    <s v="CBA/250414/1 - P00209_2025"/>
    <s v="P00209_2025"/>
    <s v="Shipment to quotient UK"/>
    <m/>
    <s v="INV 0658/25"/>
    <d v="2025-04-28T00:00:00"/>
    <n v="1500"/>
    <x v="1"/>
    <n v="1500"/>
    <n v="0"/>
    <n v="1500"/>
  </r>
  <r>
    <s v="NOTAPP"/>
    <m/>
    <s v="LAB"/>
    <s v="Aude G"/>
    <s v="CNRS"/>
    <s v="171/2025/ZEFI - P00215_2025"/>
    <s v="P00215_2025"/>
    <s v="Entretien Cage Bimestre 2 - 2025"/>
    <m/>
    <s v="INV 90805084"/>
    <d v="2025-04-30T00:00:00"/>
    <n v="4060.8"/>
    <x v="1"/>
    <n v="4060.8"/>
    <n v="0"/>
    <n v="4060.8"/>
  </r>
  <r>
    <s v="ABX464"/>
    <m/>
    <s v="CMC"/>
    <s v="Saadia"/>
    <s v="DELPHARM LILLE"/>
    <s v="L25_4314A - P00214_2025"/>
    <s v="P00214_2025"/>
    <s v="Méthodes analytiques Co-Validation"/>
    <m/>
    <s v="INV 10001351"/>
    <d v="2025-04-29T00:00:00"/>
    <n v="8920"/>
    <x v="1"/>
    <n v="8920"/>
    <n v="0"/>
    <n v="8920"/>
  </r>
  <r>
    <s v="ABX464"/>
    <m/>
    <s v="CMC"/>
    <s v="Saadia"/>
    <s v="DELPHARM REIMS"/>
    <s v="DDR 2025 034 V2 - P00210_2025"/>
    <s v="P00210_2025"/>
    <s v="Robustesse manquante Option 2"/>
    <m/>
    <s v="INV 713/25"/>
    <d v="2025-05-27T00:00:00"/>
    <n v="1500"/>
    <x v="1"/>
    <n v="1500"/>
    <n v="0"/>
    <n v="1500"/>
  </r>
  <r>
    <s v="ABX464"/>
    <m/>
    <s v="CMC"/>
    <s v="Saadia"/>
    <s v="JETPHARMA"/>
    <s v="24100154 SQ - P00199_2025"/>
    <s v="P00199_2025"/>
    <s v="Storage fees 9 months"/>
    <m/>
    <s v="INV 25100170 + INV 25100178 + INV 25100205 + INV 25100230  +INV 25100346 + INV 25100295 + INV 25100401 + INV 25100471 + INV 25100497"/>
    <s v="30/04/2025 + 08/05/2025 + 02/06/2025 + 24/06/2025+ 20/08/2025 + 18/07/2025 + 25/09/2025 + 05/11/2025 + 26/11/2025"/>
    <n v="5505"/>
    <x v="4"/>
    <n v="5505"/>
    <n v="0"/>
    <n v="5505"/>
  </r>
  <r>
    <s v="NOTAPP"/>
    <m/>
    <s v="LAB"/>
    <s v="Aude G"/>
    <s v="DUTSCHER"/>
    <s v="NA - P00208_2025"/>
    <s v="P00208_2025"/>
    <s v="Consommable Labo"/>
    <m/>
    <s v="INV 4150247 + INV 4134070"/>
    <s v="20/05/2025 + 28/04/2025"/>
    <n v="121.2"/>
    <x v="1"/>
    <n v="121.19999999999999"/>
    <n v="1.4210854715202004E-14"/>
    <n v="121.19999999999999"/>
  </r>
  <r>
    <s v="ABX464"/>
    <m/>
    <s v="CMC"/>
    <s v="Sunil S / Jerome"/>
    <s v="PATHEON - THERMO FISHER TORONTO"/>
    <s v="P-TRP-333562-R7 - TORO-ABX464 IR Capsules 25mg et 50mg Manuf - CoS 05"/>
    <s v="P00211_2025"/>
    <s v="18.0 Feasibility Scale Up - 1st batch Manuf"/>
    <n v="195023"/>
    <s v="INV 90178376 + INV 90179248 + INV 90181779"/>
    <s v="03/05/2025 + 29/05/2025 + 01/08/2025"/>
    <n v="195023"/>
    <x v="3"/>
    <n v="195023"/>
    <n v="0"/>
    <n v="195023"/>
  </r>
  <r>
    <s v="ABX464"/>
    <m/>
    <s v="CMC"/>
    <s v="Sunil S / Jerome"/>
    <s v="PATHEON - THERMO FISHER TORONTO"/>
    <s v="P-TRP-333562-R7 - TORO-ABX464 IR Capsules 25mg et 50mg Manuf - CoS 05"/>
    <s v="P00211_2025"/>
    <s v="19.0 Stability - Feasibility"/>
    <n v="160104"/>
    <s v="INV 90179168 + INV 90188024"/>
    <s v="28/05/2025 + 31/12/2025"/>
    <n v="160104"/>
    <x v="3"/>
    <n v="16882"/>
    <n v="143222"/>
    <n v="16882"/>
  </r>
  <r>
    <s v="ABX464"/>
    <m/>
    <s v="CMC"/>
    <s v="Saadia"/>
    <s v="ARTMOLECULE"/>
    <s v="P2505151 - P00234_2025"/>
    <s v="P00234_2025"/>
    <s v="Shipment to Montpellier"/>
    <m/>
    <s v="INV 32416"/>
    <d v="2025-05-19T00:00:00"/>
    <n v="200"/>
    <x v="1"/>
    <n v="200"/>
    <n v="0"/>
    <n v="200"/>
  </r>
  <r>
    <s v="ABX464"/>
    <m/>
    <s v="LAB"/>
    <s v="Didier S"/>
    <s v="LABCORP"/>
    <s v="P00236_2025"/>
    <s v="P00236_2025"/>
    <s v="ADME Study archiving 5 years"/>
    <m/>
    <s v="INV 11300201165"/>
    <n v="45800"/>
    <n v="1025"/>
    <x v="2"/>
    <n v="1025"/>
    <n v="0"/>
    <n v="1025"/>
  </r>
  <r>
    <s v="ABX464"/>
    <m/>
    <s v="CMC"/>
    <s v="Adrien K"/>
    <s v="Atlanchim"/>
    <s v="ASTIS-6RE7 - P00239_2025"/>
    <s v="P00239_2025"/>
    <s v="Réanalyse &amp; stockage 2024"/>
    <m/>
    <s v="INV FA25 0053"/>
    <d v="2025-05-28T00:00:00"/>
    <n v="1100"/>
    <x v="1"/>
    <n v="1100"/>
    <n v="0"/>
    <n v="1100"/>
  </r>
  <r>
    <s v="NOTAPP"/>
    <m/>
    <s v="LAB"/>
    <s v="Aude G"/>
    <s v="MERCK CHIMIE"/>
    <s v="FR01135307 - P00221_2025"/>
    <s v="P00221_2025"/>
    <s v="Consommable Labo"/>
    <m/>
    <s v="INV 1700241263"/>
    <d v="2025-05-16T00:00:00"/>
    <n v="153"/>
    <x v="1"/>
    <n v="153"/>
    <n v="0"/>
    <n v="153"/>
  </r>
  <r>
    <s v="ABX464"/>
    <m/>
    <s v="LAB"/>
    <s v="Aude G"/>
    <s v="JANVIERLABS"/>
    <s v="JLCO250501984 - P00238_2025"/>
    <s v="P00238_2025"/>
    <s v="Consommable Labo"/>
    <m/>
    <s v="INV JLFC250502798"/>
    <d v="2025-05-28T00:00:00"/>
    <n v="759.84"/>
    <x v="1"/>
    <n v="759.84"/>
    <n v="0"/>
    <n v="759.84"/>
  </r>
  <r>
    <s v="ABX464"/>
    <m/>
    <s v="LAB"/>
    <s v="Aude G"/>
    <s v="JANVIERLABS"/>
    <s v="JLCO250502344 - P00242_2025"/>
    <s v="P00242_2025"/>
    <s v="Consommable Labo"/>
    <m/>
    <s v="INV JLFC250600685"/>
    <d v="2025-06-05T00:00:00"/>
    <n v="2056.6"/>
    <x v="1"/>
    <n v="2056.6"/>
    <n v="0"/>
    <n v="2056.6"/>
  </r>
  <r>
    <s v="ABX464"/>
    <m/>
    <s v="LAB"/>
    <s v="Aude G"/>
    <s v="QIAGEN"/>
    <s v="250513FR01930322CB - P00229_2025"/>
    <s v="P00229_2025"/>
    <s v="Consommable Labo"/>
    <m/>
    <s v="INV 940578394"/>
    <d v="2025-05-30T00:00:00"/>
    <n v="10036.299999999999"/>
    <x v="1"/>
    <n v="10011.299999999999"/>
    <n v="25"/>
    <n v="10011.299999999999"/>
  </r>
  <r>
    <s v="ABX464"/>
    <m/>
    <s v="CMC"/>
    <s v="Saadia"/>
    <s v="MICROMERITICS"/>
    <s v="Abivax 05-16-25 - P00235_2025"/>
    <s v="P00235_2025"/>
    <s v="Specific surface test"/>
    <m/>
    <s v="INV PSI028882 + INV PSI029175"/>
    <s v="04/06/2025+20/06/2025"/>
    <n v="17137.900000000001"/>
    <x v="3"/>
    <n v="17137.900000000001"/>
    <n v="0"/>
    <n v="17137.900000000001"/>
  </r>
  <r>
    <s v="ABX464"/>
    <m/>
    <s v="CMC"/>
    <s v="Saadia"/>
    <s v="ORGAPGARM"/>
    <s v="P00240_2025"/>
    <s v="P00240_2025"/>
    <s v="Shipment to US"/>
    <m/>
    <s v="INV OGPVTE250110"/>
    <d v="2025-05-21T00:00:00"/>
    <n v="3815"/>
    <x v="1"/>
    <n v="3815"/>
    <n v="0"/>
    <n v="3815"/>
  </r>
  <r>
    <s v="ABX464"/>
    <m/>
    <s v="CLI"/>
    <s v="Caroline Lee"/>
    <s v="A&amp;M Labor"/>
    <s v="SRV_25022 - P00248_2025"/>
    <s v="P00248_2025"/>
    <s v="Confirmation of the identity on 4 ABX464NGlu"/>
    <m/>
    <s v="INV 25-0138"/>
    <d v="2025-08-19T00:00:00"/>
    <n v="5000"/>
    <x v="1"/>
    <n v="5000"/>
    <n v="0"/>
    <n v="5000"/>
  </r>
  <r>
    <s v="ABX464"/>
    <m/>
    <s v="CMC"/>
    <s v="Adrien K"/>
    <s v="EUROFINS BIOPHARMA PRODUCT"/>
    <s v="JV5KPH250107-01 - P00246_2025"/>
    <s v="P00246_2025"/>
    <s v="In vitro Testing OECD 471"/>
    <m/>
    <s v="INV 25003569CDE028IV"/>
    <d v="2025-05-26T00:00:00"/>
    <n v="5656"/>
    <x v="1"/>
    <n v="2225.3000000000002"/>
    <n v="3430.7"/>
    <n v="2225.3000000000002"/>
  </r>
  <r>
    <s v="ABX464"/>
    <m/>
    <s v="CMC"/>
    <s v="Sunil S / Jerome"/>
    <s v="PATHEON - THERMO FISHER TORONTO"/>
    <s v="P-TRP-333562-R7 - TORO-ABX464 IR Capsules 25mg et 50mg Manuf - CoS 06"/>
    <s v="P00247_2025"/>
    <s v="20.0 Analytical services"/>
    <n v="95801"/>
    <s v="INV 90179584 + INV 90179745 + INV 90180552 + INV 90180397 + INV 90181241 + INV 90182000"/>
    <s v="06/06/2025 + 11/06/2025 + 27/06/2025 + 26/06/2025 + 22/07/2025 + 05/08/2025"/>
    <n v="95801"/>
    <x v="3"/>
    <n v="95801"/>
    <n v="0"/>
    <n v="95801"/>
  </r>
  <r>
    <s v="ABX464"/>
    <m/>
    <s v="CMC"/>
    <s v="Sunil S / Jerome"/>
    <s v="PATHEON - THERMO FISHER TORONTO"/>
    <s v="P-TRP-333562-R7 - TORO-ABX464 IR Capsules 25mg et 50mg Manuf - CoS 06"/>
    <s v="P00247_2025 - P00484_2025"/>
    <s v="21.0 Microbiology"/>
    <n v="110101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7"/>
    <s v="P00243_2025"/>
    <s v="22.0 Analytical services"/>
    <s v="Optionnal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50mg Small Scale nonGMP"/>
    <n v="38489"/>
    <s v="INV 90179481 + I?V 90180690"/>
    <s v="02/06/2025 + 30/06/2025"/>
    <n v="38489"/>
    <x v="3"/>
    <n v="38489"/>
    <n v="0"/>
    <n v="38489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Back to Back 50mg Batches"/>
    <n v="64085"/>
    <m/>
    <m/>
    <n v="64085"/>
    <x v="3"/>
    <m/>
    <n v="64085"/>
    <n v="0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Back to Back 4 Batches SEQENS API"/>
    <s v="Optionnal"/>
    <s v="INV 90182161"/>
    <d v="2025-08-12T00:00:00"/>
    <n v="0"/>
    <x v="3"/>
    <n v="23373"/>
    <n v="0"/>
    <n v="23373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Back to Back 4 Batches TFS Cork API"/>
    <n v="117106"/>
    <s v="INV 90182538 + INV 90182723 + INV 90182953"/>
    <s v="22/08/2025 + 27/08/2025 + 30/08/2025"/>
    <n v="117106"/>
    <x v="3"/>
    <n v="117105"/>
    <n v="1"/>
    <n v="117105"/>
  </r>
  <r>
    <s v="ABX464"/>
    <m/>
    <s v="CMC"/>
    <s v="Sunil S / Jerome"/>
    <s v="PATHEON - THERMO FISHER TORONTO"/>
    <s v="P-TRP-333562-R7 - TORO-ABX464 IR Capsules 25mg et 50mg Manuf - CoS 07"/>
    <s v="P00281_2025"/>
    <s v="23.0 Formulation Development - Manula Encap dor 25mg Scal Up"/>
    <n v="3117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24.0 - Reg Campaign 1 - SJ Demo"/>
    <n v="412388"/>
    <s v="INV 90179901 + INV 90181866 + INV 90182468 + INV 90184224 + INV 90184225"/>
    <s v="17/06/2025 + 02/08/2025 + 21/08/2025 + 26/09/2025 + 26/09/2025"/>
    <n v="412388"/>
    <x v="3"/>
    <n v="412388"/>
    <n v="0"/>
    <n v="412388"/>
  </r>
  <r>
    <s v="ABX464"/>
    <m/>
    <s v="CMC"/>
    <s v="Sunil S / Jerome"/>
    <s v="PATHEON - THERMO FISHER TORONTO"/>
    <s v="P-TRP-333562-R7 - TORO-ABX464 IR Capsules 25mg et 50mg Manuf - CoS 08"/>
    <s v="P00244_2025"/>
    <s v="25.0 - Reg Campaign 2 - SJ Demo"/>
    <n v="404841"/>
    <s v="INV 90182954"/>
    <d v="2025-08-30T00:00:00"/>
    <n v="404841"/>
    <x v="3"/>
    <n v="205321"/>
    <n v="199520"/>
    <n v="205321"/>
  </r>
  <r>
    <s v="ABX464"/>
    <m/>
    <s v="CMC"/>
    <s v="Sunil S / Jerome"/>
    <s v="PATHEON - THERMO FISHER TORONTO"/>
    <s v="P-TRP-333562-R7 - TORO-ABX464 IR Capsules 25mg et 50mg Manuf - CoS 08"/>
    <s v="P00244_2025"/>
    <s v="26.0 - Reg Campaign 3 - SJ Val 1"/>
    <n v="404841"/>
    <s v="INV 90186804 + INV 90188035 + INV 90187893"/>
    <s v="29/11/2025 + 31/12/2025 + 24/12/2025"/>
    <n v="404841"/>
    <x v="3"/>
    <n v="404841"/>
    <n v="0"/>
    <n v="404841"/>
  </r>
  <r>
    <s v="ABX464"/>
    <m/>
    <s v="CMC"/>
    <s v="Sunil S / Jerome"/>
    <s v="PATHEON - THERMO FISHER TORONTO"/>
    <s v="P-TRP-333562-R7 - TORO-ABX464 IR Capsules 25mg et 50mg Manuf - CoS 08"/>
    <s v="P00244_2025"/>
    <s v="27.0 - Reg Campaign 4 - TJ Demo"/>
    <n v="404841"/>
    <s v="INV 90185711 + INV 90188035 + INV 90188036 + INV 90187849"/>
    <s v="01/11/2025 + 31/12/2025 + 31/12/2025 + 23/12/2025"/>
    <n v="404841"/>
    <x v="3"/>
    <n v="404841"/>
    <n v="0"/>
    <n v="404841"/>
  </r>
  <r>
    <s v="ABX464"/>
    <m/>
    <s v="CMC"/>
    <s v="Sunil S / Jerome"/>
    <s v="PATHEON - THERMO FISHER TORONTO"/>
    <s v="P-TRP-333562-R7 - TORO-ABX464 IR Capsules 25mg et 50mg Manuf - CoS 08"/>
    <s v="P00244_2025"/>
    <s v="28.0 - Reg Campaign 5 - TJ Demo"/>
    <n v="404841"/>
    <m/>
    <m/>
    <n v="404841"/>
    <x v="3"/>
    <m/>
    <n v="404841"/>
    <n v="0"/>
  </r>
  <r>
    <s v="ABX464"/>
    <m/>
    <s v="CMC"/>
    <s v="Sunil S / Jerome"/>
    <s v="PATHEON - THERMO FISHER TORONTO"/>
    <s v="P-TRP-333562-R7 - TORO-ABX464 IR Capsules 25mg et 50mg Manuf - CoS 08"/>
    <s v="P00244_2025"/>
    <s v="29.0 - Reg Campaign 6 -TJ Reg 1"/>
    <n v="146136"/>
    <m/>
    <m/>
    <n v="146136"/>
    <x v="3"/>
    <m/>
    <n v="146136"/>
    <n v="0"/>
  </r>
  <r>
    <s v="ABX464"/>
    <m/>
    <s v="CMC"/>
    <s v="Sunil S / Jerome"/>
    <s v="PATHEON - THERMO FISHER TORONTO"/>
    <s v="P-TRP-333562-R7 - TORO-ABX464 IR Capsules 25mg et 50mg Manuf - CoS 08"/>
    <s v="P00244_2025"/>
    <s v="30.0 - Stability Campaign 1 - SJ Demo"/>
    <n v="382384"/>
    <s v="INV 90181866 + INV 90185599"/>
    <s v="02/08/2025 + 31/10/2025"/>
    <n v="382384"/>
    <x v="3"/>
    <n v="32726"/>
    <n v="349658"/>
    <n v="32726"/>
  </r>
  <r>
    <s v="ABX464"/>
    <m/>
    <s v="CMC"/>
    <s v="Sunil S / Jerome"/>
    <s v="PATHEON - THERMO FISHER TORONTO"/>
    <s v="P-TRP-333562-R7 - TORO-ABX464 IR Capsules 25mg et 50mg Manuf - CoS 08"/>
    <s v="P00244_2025"/>
    <s v="31.0 - Stability Campaign 2 - SJ Demo"/>
    <n v="382384"/>
    <s v="INV 90182467"/>
    <d v="2025-08-21T00:00:00"/>
    <n v="382384"/>
    <x v="3"/>
    <n v="1529"/>
    <n v="380855"/>
    <n v="1529"/>
  </r>
  <r>
    <s v="ABX464"/>
    <m/>
    <s v="CMC"/>
    <s v="Sunil S / Jerome"/>
    <s v="PATHEON - THERMO FISHER TORONTO"/>
    <s v="P-TRP-333562-R7 - TORO-ABX464 IR Capsules 25mg et 50mg Manuf - CoS 08"/>
    <s v="P00244_2025"/>
    <s v="32.0 - Stability Campaign 3 - SJ Val 1"/>
    <n v="382384"/>
    <s v="INV 90185388"/>
    <d v="2025-10-28T00:00:00"/>
    <n v="382384"/>
    <x v="3"/>
    <n v="1529"/>
    <n v="380855"/>
    <n v="1529"/>
  </r>
  <r>
    <s v="ABX464"/>
    <m/>
    <s v="CMC"/>
    <s v="Sunil S / Jerome"/>
    <s v="PATHEON - THERMO FISHER TORONTO"/>
    <s v="P-TRP-333562-R7 - TORO-ABX464 IR Capsules 25mg et 50mg Manuf - CoS 08"/>
    <s v="P00244_2025"/>
    <s v="33.0 - Stability Campaign 4 - TJ Demo"/>
    <n v="382384"/>
    <s v="INV 90185388"/>
    <d v="2025-10-28T00:00:00"/>
    <n v="382384"/>
    <x v="3"/>
    <n v="1529"/>
    <n v="380855"/>
    <n v="1529"/>
  </r>
  <r>
    <s v="ABX464"/>
    <m/>
    <s v="CMC"/>
    <s v="Sunil S / Jerome"/>
    <s v="PATHEON - THERMO FISHER TORONTO"/>
    <s v="P-TRP-333562-R7 - TORO-ABX464 IR Capsules 25mg et 50mg Manuf - CoS 08"/>
    <s v="P00244_2025"/>
    <s v="34.0 - Stability Campaign 5 - TJ Demo"/>
    <n v="382384"/>
    <m/>
    <m/>
    <n v="382384"/>
    <x v="3"/>
    <m/>
    <n v="382384"/>
    <n v="0"/>
  </r>
  <r>
    <s v="ABX464"/>
    <m/>
    <s v="CMC"/>
    <s v="Sunil S / Jerome"/>
    <s v="PATHEON - THERMO FISHER TORONTO"/>
    <s v="P-TRP-333562-R7 - TORO-ABX464 IR Capsules 25mg et 50mg Manuf - CoS 08"/>
    <s v="P00244_2025"/>
    <s v="35.0 - Stability Campaign 6 - J Reg 1"/>
    <n v="382384"/>
    <m/>
    <m/>
    <n v="382384"/>
    <x v="3"/>
    <m/>
    <n v="382384"/>
    <n v="0"/>
  </r>
  <r>
    <s v="ABX464"/>
    <m/>
    <s v="CMC"/>
    <s v="Adrien K"/>
    <s v="CHARLES RIVER NETHERLAND"/>
    <s v="SFDC OPP-388602 - CRL-32053476 - P00245_2025"/>
    <s v="P00245_2025"/>
    <s v="QSAR - ICH M7 Assessment"/>
    <m/>
    <s v="INV 47049127 + INV 47050220"/>
    <s v="24/06/2025 + 16/09/2025"/>
    <n v="6805"/>
    <x v="1"/>
    <n v="6805"/>
    <n v="0"/>
    <n v="6805"/>
  </r>
  <r>
    <s v="ABX464"/>
    <m/>
    <s v="CMC"/>
    <s v="Saadia"/>
    <s v="JETPHARMA"/>
    <s v="25100177 - P00250_2025"/>
    <s v="P00250_2025"/>
    <s v="Milling trials &amp; PSD analysis"/>
    <m/>
    <s v="INV 25100244"/>
    <d v="2025-06-27T00:00:00"/>
    <n v="58600"/>
    <x v="4"/>
    <n v="44648.800000000003"/>
    <n v="13951.199999999997"/>
    <n v="44648.800000000003"/>
  </r>
  <r>
    <s v="ABX464"/>
    <m/>
    <s v="CMC"/>
    <s v="Saadia"/>
    <s v="JETPHARMA"/>
    <s v="PO Global - P00251_2025"/>
    <s v="P00251_2025"/>
    <s v="Estimation Global Shipment costs - 2025 ?"/>
    <m/>
    <s v="INV 25100232 + INV 25100247 + INV 25100288 + INV 25100310 + INV 25100347 + INV 25100394 + INV 25100403+ INV 25100527 + INV 25100526"/>
    <s v="25/06/2025+30/06/2025+15/07/2025+25/07/2025 + 20/08/2025 + 23/09/2025 + 26/09/2025+18/12/2025+18/12/2025"/>
    <n v="49950"/>
    <x v="4"/>
    <n v="47666"/>
    <n v="2284"/>
    <n v="47666"/>
  </r>
  <r>
    <s v="NOTAPP"/>
    <m/>
    <s v="LAB"/>
    <s v="Aude G"/>
    <s v="LIFE TECHNOLOGIES"/>
    <s v="3141765 - P00257_2025"/>
    <s v="P00257_2025"/>
    <s v="Consommable Labo"/>
    <m/>
    <s v="INV 2027211 RI "/>
    <d v="2025-05-27T00:00:00"/>
    <n v="1680.65"/>
    <x v="1"/>
    <n v="1680.65"/>
    <n v="0"/>
    <n v="1680.65"/>
  </r>
  <r>
    <s v="AD903"/>
    <m/>
    <s v="CLI"/>
    <s v="Doug / Caroline L"/>
    <s v="TNO"/>
    <s v="SRV_24023_A1 - P00258_2025"/>
    <s v="P00258_2025"/>
    <s v="AD903 - Metabolite identification in human plasma"/>
    <m/>
    <s v="INV 9060155834"/>
    <d v="2025-11-05T00:00:00"/>
    <n v="8900"/>
    <x v="1"/>
    <n v="8900"/>
    <n v="0"/>
    <n v="8900"/>
  </r>
  <r>
    <s v="ABX464"/>
    <m/>
    <s v="CMC"/>
    <s v="Adrien K"/>
    <s v="DELPHARM LILLE"/>
    <s v="L24_3968C - P00249_2025 - Remplacé par PO00491_2025"/>
    <s v="P00249_2025 - Remplacé par PO00491_2025"/>
    <s v="Production lot ABX464 6,25mg &amp; 12,5mg &amp; 25mg &amp; 50mg gélule"/>
    <m/>
    <s v="INV 10001477 + INV 10001549 + INV 10001578 + INV 10001592 + INV 10001686 + INV 10000013 + INV 10000077 + INV 10000140 + INV 10000217 + INV 10000277  +INV 10000284 +INV 10000312"/>
    <s v="27/05/2025 + 13/06/2025 + 17/06/2025+ 20/06/2025 + 27/06/2025 + 08/07/20255+24/07/2025+25/08/2025+04/09/2025+25/09/2025+26/09/2025+30/09/2025"/>
    <n v="0"/>
    <x v="1"/>
    <m/>
    <n v="0"/>
    <n v="0"/>
  </r>
  <r>
    <s v="ABX464"/>
    <m/>
    <s v="LAB"/>
    <s v="Aude G"/>
    <s v="MILTENYI"/>
    <s v="7090337-00 - P00260_2025"/>
    <s v="P00260_2025"/>
    <s v="Consommable Labo"/>
    <m/>
    <s v="INV 102305185"/>
    <d v="2025-06-05T00:00:00"/>
    <n v="159.80000000000001"/>
    <x v="1"/>
    <n v="159.80000000000001"/>
    <n v="0"/>
    <n v="159.80000000000001"/>
  </r>
  <r>
    <s v="RI907"/>
    <m/>
    <s v="CLI"/>
    <s v="Julien S"/>
    <s v="CHARLES RIVER ST NAZAIRE"/>
    <s v="OPP-353689 - CRL-31989756 - P00266_2025"/>
    <s v="P00266_2025"/>
    <s v="RI907 - PK Analysis - Add cost"/>
    <m/>
    <s v="INV 59002230"/>
    <d v="2025-06-27T00:00:00"/>
    <n v="17550"/>
    <x v="1"/>
    <n v="17550"/>
    <n v="0"/>
    <n v="17550"/>
  </r>
  <r>
    <s v="ABX464"/>
    <m/>
    <s v="LAB"/>
    <s v="Aude G"/>
    <s v="GENOWAY"/>
    <s v="KSE27683 - P00259_2025"/>
    <s v="P00259_2025"/>
    <s v="48 femals mice"/>
    <m/>
    <s v="F250398"/>
    <d v="2025-06-30T00:00:00"/>
    <n v="57600"/>
    <x v="1"/>
    <n v="59000"/>
    <n v="0"/>
    <n v="59000"/>
  </r>
  <r>
    <s v="NOTAPP"/>
    <m/>
    <s v="CMC"/>
    <s v="Marianne P"/>
    <s v="Signant Health Global Solutions"/>
    <s v="SRV_24027 - P00270_2025"/>
    <s v="P00270_2025"/>
    <s v="Saas Software annual fee 2025 - 01/05/2025 au 30/04/2026"/>
    <m/>
    <s v="INV-SHGS-06278"/>
    <d v="2025-05-16T00:00:00"/>
    <n v="90000"/>
    <x v="3"/>
    <n v="90000"/>
    <n v="0"/>
    <n v="90000"/>
  </r>
  <r>
    <s v="NOTAPP"/>
    <m/>
    <s v="CMC"/>
    <s v="Marianne P"/>
    <s v="Signant Health Global Solutions"/>
    <s v="SRV_24027 - P00270_2025"/>
    <s v="P00270_2025"/>
    <s v="Saas Software annual fee 2026 - 01/05/2026 au 30/04/2027"/>
    <m/>
    <m/>
    <m/>
    <n v="90000"/>
    <x v="3"/>
    <m/>
    <n v="90000"/>
    <n v="0"/>
  </r>
  <r>
    <s v="ABX464"/>
    <m/>
    <s v="CMC"/>
    <s v="Adrien K"/>
    <s v="EUROFINS BIOPHARMA PRODUCT"/>
    <s v="JV5KPH250112-01 - P00276_2025"/>
    <s v="P00276_2025"/>
    <s v="In vitro Testing OECD 471"/>
    <m/>
    <s v="INV 25004123CDE028IV"/>
    <d v="2025-06-20T00:00:00"/>
    <n v="5690"/>
    <x v="1"/>
    <n v="2189"/>
    <n v="3501"/>
    <n v="2189"/>
  </r>
  <r>
    <s v="ABX464"/>
    <m/>
    <s v="CMC"/>
    <s v="Saadia"/>
    <s v="DELPHARM REIMS"/>
    <s v="CBA/250527/1 - P00274_2025"/>
    <s v="P00274_2025"/>
    <s v="Dissolution testing plan"/>
    <m/>
    <s v="INV 0760/2025 + INV 0863/25 + INV 0017/26"/>
    <s v="16/06/2025 + 27/06/2025+21/07/2025"/>
    <n v="24100"/>
    <x v="1"/>
    <n v="24100"/>
    <n v="0"/>
    <n v="24100"/>
  </r>
  <r>
    <s v="ABX464"/>
    <m/>
    <s v="CMC"/>
    <s v="Saadia"/>
    <s v="SEQENS"/>
    <s v="WO96#2025 - P00252_2025"/>
    <s v="P00252_2025"/>
    <s v="Nitroso ABX464 impurty in DS &amp; DP"/>
    <m/>
    <s v="INV 00010 25002812 RI"/>
    <d v="2025-11-27T00:00:00"/>
    <n v="38025"/>
    <x v="1"/>
    <n v="38025"/>
    <n v="0"/>
    <n v="38025"/>
  </r>
  <r>
    <s v="ABX464"/>
    <m/>
    <s v="CMC"/>
    <s v="Adrien K"/>
    <s v="CHARLES RIVER NETHERLAND"/>
    <s v="SFDC OPP-379729 - CRL-32037185 - P00275_2025"/>
    <s v="P00275_2025"/>
    <s v="ICH M7 Assessment using silico Tools"/>
    <m/>
    <s v="INV 47049109+INV 47049744"/>
    <s v="24/06/2025+19/08/2025"/>
    <n v="13325"/>
    <x v="1"/>
    <n v="13325"/>
    <n v="0"/>
    <n v="13325"/>
  </r>
  <r>
    <s v="ABX464"/>
    <m/>
    <s v="CMC"/>
    <s v="Adrien K"/>
    <s v="DELPHARM REIMS"/>
    <s v="DDR 2025 071 V10 - P00269_2025"/>
    <s v="P00269_2025"/>
    <s v="Jetpharma API assessment Q2 2025 - Technical batches"/>
    <m/>
    <s v="INV 0802/25 + INV 0893/25"/>
    <s v="18/06/2025 + 30/06/2025"/>
    <n v="60600"/>
    <x v="1"/>
    <n v="60600"/>
    <n v="0"/>
    <n v="60600"/>
  </r>
  <r>
    <s v="ABX464"/>
    <m/>
    <s v="CMC"/>
    <s v="Sunil S / Jerome"/>
    <s v="PATHEON - THERMO FISHER TORONTO"/>
    <s v="P-TRP-333562-R7 - TORO-ABX464 IR Capsules 25mg et 50mg Manuf - CoS 09"/>
    <s v="P00273_2025"/>
    <s v="36.0 - Analytical Services"/>
    <m/>
    <s v="INV 90179993"/>
    <d v="2025-06-18T00:00:00"/>
    <n v="31627"/>
    <x v="3"/>
    <n v="31627"/>
    <n v="0"/>
    <n v="31627"/>
  </r>
  <r>
    <s v="ABX464"/>
    <m/>
    <s v="CMC"/>
    <s v="Saadia"/>
    <s v="JETPHARMA"/>
    <s v="25100185 - P00261_2025"/>
    <s v="P00261_2025"/>
    <s v="Milling trials and PSD analysis"/>
    <m/>
    <s v="INV 25100220"/>
    <d v="2025-06-16T00:00:00"/>
    <n v="27350"/>
    <x v="4"/>
    <n v="27350"/>
    <n v="0"/>
    <n v="27350"/>
  </r>
  <r>
    <s v="ABX464"/>
    <m/>
    <s v="CMC"/>
    <s v="Thanh-Huong"/>
    <s v="QUOTIENT NOTTINGHAM"/>
    <s v="QSC303253_SOW1_CO2 - P00268_2025"/>
    <s v="P00268_2025"/>
    <s v="PBK modeling &amp; simulation pediatric formulation - CMC Add 20hrs"/>
    <m/>
    <s v="INV SIN005556"/>
    <d v="2025-06-05T00:00:00"/>
    <n v="7862"/>
    <x v="2"/>
    <n v="7862"/>
    <n v="0"/>
    <n v="7862"/>
  </r>
  <r>
    <s v="NOTAPP"/>
    <m/>
    <s v="LAB"/>
    <s v="Aude G"/>
    <s v="LIFE TECHNOLOGIES"/>
    <s v="P5741183 - P00271_2025"/>
    <s v="P00271_2025"/>
    <s v="Consommable Labo"/>
    <m/>
    <s v="INV 2028509 RI = INV 2029610 RI"/>
    <s v="04/06/2025 + 11/06/2025"/>
    <n v="660"/>
    <x v="1"/>
    <n v="672"/>
    <n v="0"/>
    <n v="672"/>
  </r>
  <r>
    <s v="ABX464"/>
    <m/>
    <s v="CMC"/>
    <s v="Sunil S / Jerome"/>
    <s v="PATHEON - THERMO FISHER TORONTO"/>
    <s v="P-TRP-333562-R7 - TORO-ABX464 IR Capsules 25mg et 50mg Manuf - CoS 10"/>
    <s v="P00281_2025"/>
    <s v="37.0 - DP Method Validation"/>
    <m/>
    <s v="INV 90181244 + INV 90181999"/>
    <s v="22/07/2025 + 05/08/2025"/>
    <n v="21620"/>
    <x v="3"/>
    <n v="21620"/>
    <n v="0"/>
    <n v="21620"/>
  </r>
  <r>
    <s v="ABX464"/>
    <m/>
    <s v="CMC"/>
    <s v="Sunil S / Jerome"/>
    <s v="PATHEON - THERMO FISHER TORONTO"/>
    <s v="P-TRP-333562-R7 - TORO-ABX464 IR Capsules 25mg et 50mg Manuf - CoS 10"/>
    <s v="P00281_2025"/>
    <s v="38.0 - Formulation development"/>
    <m/>
    <s v="INV 90180551 + INV 90180061"/>
    <s v="27/06/2025 + 19/06/2025"/>
    <n v="117106"/>
    <x v="3"/>
    <n v="117105"/>
    <n v="0"/>
    <n v="117105"/>
  </r>
  <r>
    <s v="ABX464"/>
    <m/>
    <s v="CMC"/>
    <s v="Sunil S / Jerome"/>
    <s v="PATHEON - THERMO FISHER TORONTO"/>
    <s v="P-TRP-333562-R7 - TORO-ABX464 IR Capsules 25mg et 50mg Manuf - CoS 10"/>
    <s v="P00281_2025"/>
    <s v="39.0 - Scale Up Encap 25mg"/>
    <m/>
    <s v="INV 90179994"/>
    <d v="2025-06-18T00:00:00"/>
    <n v="50935"/>
    <x v="3"/>
    <n v="50935"/>
    <n v="0"/>
    <n v="50935"/>
  </r>
  <r>
    <s v="ABX464"/>
    <m/>
    <s v="CMC"/>
    <s v="Sunil S / Jerome"/>
    <s v="PATHEON - THERMO FISHER TORONTO"/>
    <s v="P-TRP-333562-R7 - TORO-ABX464 IR Capsules 25mg et 50mg Manuf - CoS 10"/>
    <s v="P00281_2025"/>
    <s v="40.0 - Packaging Only"/>
    <m/>
    <s v="INV 90184223"/>
    <d v="2025-09-26T00:00:00"/>
    <n v="27332"/>
    <x v="3"/>
    <n v="27332"/>
    <n v="0"/>
    <n v="27332"/>
  </r>
  <r>
    <s v="ABX464"/>
    <m/>
    <s v="CMC"/>
    <s v="Saadia"/>
    <s v="JETPHARMA"/>
    <s v="25100209 - P00280_2025"/>
    <s v="P00280_2025"/>
    <s v="Milling Trials"/>
    <m/>
    <s v="INV 25100243"/>
    <d v="2025-06-27T00:00:00"/>
    <n v="3850"/>
    <x v="4"/>
    <n v="4078.3"/>
    <n v="0"/>
    <n v="4078.3"/>
  </r>
  <r>
    <s v="ABX464"/>
    <m/>
    <s v="CMC"/>
    <s v="Saadia"/>
    <s v="JETPHARMA"/>
    <s v="54 SA - P00282_2025"/>
    <s v="P00282_2025"/>
    <s v="Milling trials &amp; PSD analysis"/>
    <m/>
    <s v="INV 25100324"/>
    <d v="2025-08-08T00:00:00"/>
    <n v="2100"/>
    <x v="4"/>
    <n v="2100"/>
    <n v="0"/>
    <n v="2100"/>
  </r>
  <r>
    <s v="ABX464"/>
    <m/>
    <s v="CMC "/>
    <s v="Adrien K"/>
    <s v="LAB SERVICE"/>
    <s v="DEVIS n° 2025-06_09 - P00283_2025"/>
    <s v="P00283_2025"/>
    <s v="Supperposition de différents lots"/>
    <m/>
    <s v="INV 250816"/>
    <d v="2025-06-17T00:00:00"/>
    <n v="19"/>
    <x v="1"/>
    <n v="19"/>
    <n v="0"/>
    <n v="19"/>
  </r>
  <r>
    <s v="ABX464"/>
    <m/>
    <s v="CMC "/>
    <s v="Adrien K"/>
    <s v="DELPHARM REIMS"/>
    <s v="CBA/250612/1 - P00285_2025"/>
    <s v="P00285_2025"/>
    <s v="Stockage API/PF/PSF"/>
    <m/>
    <s v="INV 0800/25"/>
    <s v="18/06/20205"/>
    <n v="3900"/>
    <x v="1"/>
    <n v="3900"/>
    <n v="0"/>
    <n v="3900"/>
  </r>
  <r>
    <s v="ABX464"/>
    <m/>
    <s v="CMC "/>
    <s v="Adrien K"/>
    <s v="DELPHARM REIMS"/>
    <s v="CBA/250522/3 - P00284_2025"/>
    <s v="P00284_2025"/>
    <s v="Dissolution testing plan 2&amp;3"/>
    <m/>
    <s v="INV 0798/25 + INV 0797/25 + INV 0876/25 + INV 0094/26 + INV 0177/26 + INV 0238/26 + INV 0248/26"/>
    <s v="18/06/2025+18/06/25+30/06/2025+29/08/2025+30/09/2025+31/10/2025+31/10/2025"/>
    <n v="86100"/>
    <x v="1"/>
    <n v="84274.93"/>
    <n v="1825.070000000007"/>
    <n v="84274.93"/>
  </r>
  <r>
    <s v="ABX464"/>
    <m/>
    <s v="LAB"/>
    <s v="Aude G"/>
    <s v="BIOLEGEND"/>
    <s v="1xJBG160625NC-ABIV - P00288_2025"/>
    <s v="P00288_2025"/>
    <s v="Consommable Labo"/>
    <m/>
    <s v="INV EUSI344577"/>
    <d v="2025-06-17T00:00:00"/>
    <n v="600.79999999999995"/>
    <x v="1"/>
    <n v="600.79999999999995"/>
    <n v="0"/>
    <n v="600.79999999999995"/>
  </r>
  <r>
    <s v="ABX464"/>
    <m/>
    <s v="CMC"/>
    <s v="Adrien K"/>
    <s v="DELPHARM LILLE"/>
    <s v="L24_3968D - P00287_2025 - Remplacé par PO00491_2025"/>
    <s v="P00287_2025 - Remplacé par PO00491_2025"/>
    <s v="Production lot ABX464 6,25mg &amp; 12,5mg &amp; 25mg &amp; 50mg gélule"/>
    <m/>
    <s v="INV 10001638+ INV 10000078 + INV 10000286"/>
    <s v="16/06/2025+24/07/2025+26/09/2025"/>
    <n v="0"/>
    <x v="1"/>
    <m/>
    <n v="0"/>
    <n v="0"/>
  </r>
  <r>
    <s v="ABX464"/>
    <m/>
    <s v="LAB"/>
    <s v="Aude G"/>
    <s v="CLINISCIENCES"/>
    <s v="03062025-4 - P00292_2025"/>
    <s v="P00292_2025"/>
    <s v="Consommable Labo"/>
    <m/>
    <s v="INV 361550"/>
    <d v="2025-07-03T00:00:00"/>
    <n v="10870.2"/>
    <x v="1"/>
    <n v="10870.2"/>
    <n v="0"/>
    <n v="10870.2"/>
  </r>
  <r>
    <s v="ABX464"/>
    <m/>
    <s v="CMC"/>
    <s v="Adrien K"/>
    <s v="EVOTEC"/>
    <s v="EVT101731 - P00294_2025"/>
    <s v="P00294_2025"/>
    <s v="Solid State Characterization of ABX464 Caps"/>
    <m/>
    <s v="INV PJ20251605"/>
    <d v="2025-07-17T00:00:00"/>
    <n v="4630"/>
    <x v="1"/>
    <n v="4630"/>
    <n v="0"/>
    <n v="4630"/>
  </r>
  <r>
    <s v="ABX464"/>
    <m/>
    <s v="LAB"/>
    <s v="Aude G"/>
    <s v="REVVITY"/>
    <s v="Q-309707 - P00296_2025"/>
    <s v="P00296_2025"/>
    <s v="RNA quality"/>
    <m/>
    <s v="INV 3000225715"/>
    <d v="2025-06-27T00:00:00"/>
    <n v="543.6"/>
    <x v="1"/>
    <n v="543.6"/>
    <n v="0"/>
    <n v="543.6"/>
  </r>
  <r>
    <s v="ABX464"/>
    <m/>
    <s v="CMC"/>
    <s v="Adrien K"/>
    <s v="SEQENS"/>
    <s v="WO92#2025 - P00297_2025"/>
    <s v="P00297_2025"/>
    <s v="Additional analysis of batch 24013322-J5-0625"/>
    <m/>
    <s v="INV 00010 25002851 RI"/>
    <d v="2025-12-02T00:00:00"/>
    <n v="13600"/>
    <x v="1"/>
    <n v="13600"/>
    <n v="0"/>
    <n v="13600"/>
  </r>
  <r>
    <s v="ABX464"/>
    <m/>
    <s v="CMC"/>
    <s v="Thanh-Huong"/>
    <s v="QUOTIENT NOTTINGHAM"/>
    <s v="QSC302430_SOW2_CO2 - P00293_2025"/>
    <s v="P00293_2025"/>
    <s v="Amdt 2 - CO2 - Formulation development ABX464 pediatric form - Signature CO2"/>
    <m/>
    <s v="INV SIN005708"/>
    <d v="2025-06-26T00:00:00"/>
    <n v="133423"/>
    <x v="2"/>
    <n v="133423"/>
    <n v="0"/>
    <n v="133423"/>
  </r>
  <r>
    <s v="ABX464"/>
    <m/>
    <s v="CMC"/>
    <s v="Jerome D"/>
    <s v="THERMO FISHER CORK"/>
    <s v="A-CRKA-404127-R1 - P00307_2025"/>
    <s v="P00307_2025"/>
    <s v="Validation manuf process for ABX464 - 35% Start Stage 1"/>
    <d v="2026-04-01T00:00:00"/>
    <m/>
    <m/>
    <n v="1512945"/>
    <x v="1"/>
    <m/>
    <n v="1512945"/>
    <n v="0"/>
  </r>
  <r>
    <s v="ABX464"/>
    <m/>
    <s v="CMC"/>
    <s v="Jerome D"/>
    <s v="THERMO FISHER CORK"/>
    <s v="A-CRKA-404127-R1 - P00307_2025"/>
    <s v="P00307_2025"/>
    <s v="Validation manuf process for ABX464 - 35% Start Stage 3"/>
    <m/>
    <m/>
    <m/>
    <n v="1512945"/>
    <x v="1"/>
    <m/>
    <n v="1512945"/>
    <n v="0"/>
  </r>
  <r>
    <s v="ABX464"/>
    <m/>
    <s v="CMC"/>
    <s v="Jerome D"/>
    <s v="THERMO FISHER CORK"/>
    <s v="A-CRKA-404127-R1 - P00307_2025"/>
    <s v="P00307_2025"/>
    <s v="Validation manuf process for ABX464 - 20% Start API validation"/>
    <m/>
    <m/>
    <m/>
    <n v="864540"/>
    <x v="1"/>
    <m/>
    <n v="864540"/>
    <n v="0"/>
  </r>
  <r>
    <s v="ABX464"/>
    <m/>
    <s v="CMC"/>
    <s v="Jerome D"/>
    <s v="THERMO FISHER CORK"/>
    <s v="A-CRKA-404127-R1 - P00307_2025"/>
    <s v="P00307_2025"/>
    <s v="Validation manuf process for ABX464 - 10% Upon Validation report"/>
    <m/>
    <m/>
    <m/>
    <n v="432270"/>
    <x v="1"/>
    <m/>
    <n v="432270"/>
    <n v="0"/>
  </r>
  <r>
    <s v="ABX464"/>
    <m/>
    <s v="LAB"/>
    <s v="Aude G"/>
    <s v="CNRS"/>
    <s v="MGC_CLONAGE-T2-2025 - P00300_2025"/>
    <s v="P00300_2025"/>
    <s v="QC RNA T2 2025"/>
    <m/>
    <s v="INV 90813434"/>
    <d v="2025-06-30T00:00:00"/>
    <n v="305.76"/>
    <x v="1"/>
    <n v="305.76"/>
    <n v="0"/>
    <n v="305.76"/>
  </r>
  <r>
    <s v="ABX464"/>
    <m/>
    <s v="CMC"/>
    <s v="Adrien K"/>
    <s v="DELPHARM LILLE"/>
    <s v="L25_4360A - P00298_2025"/>
    <s v="P00298_2025"/>
    <s v="Lot Clinique 25mg juillet 2025"/>
    <m/>
    <s v="INV 10000019 +INV 10000076"/>
    <s v="10/07/2025+24/07/2025"/>
    <n v="52080"/>
    <x v="1"/>
    <n v="52080"/>
    <n v="0"/>
    <n v="52080"/>
  </r>
  <r>
    <s v="ABX464"/>
    <m/>
    <s v="CMC"/>
    <s v="Adrien K"/>
    <s v="DELPHARM LILLE"/>
    <s v="L25_4349A - P00303_2025"/>
    <s v="P00303_2025"/>
    <s v="Stockage de matières ABIVAX jusuqu'au 30/06/2025"/>
    <m/>
    <s v="INV 10000009"/>
    <d v="2025-07-04T00:00:00"/>
    <n v="21465"/>
    <x v="1"/>
    <n v="21465"/>
    <n v="0"/>
    <n v="21465"/>
  </r>
  <r>
    <s v="UC107"/>
    <m/>
    <s v="CMC"/>
    <m/>
    <s v="CREAPHARM"/>
    <s v="Devis 13032 Amd 19"/>
    <m/>
    <s v="UC107 Production plan 2025"/>
    <m/>
    <m/>
    <m/>
    <n v="89315.82"/>
    <x v="1"/>
    <m/>
    <n v="89315.82"/>
    <n v="0"/>
  </r>
  <r>
    <s v="ABX464"/>
    <m/>
    <s v="QA"/>
    <s v="Sophie G"/>
    <s v="RiverArk"/>
    <s v="WO5 - P00316_2025"/>
    <s v="P00316_2025"/>
    <s v="On-site audit ALMAC IR"/>
    <m/>
    <s v="INV RA2025153+INV RA2025214"/>
    <d v="2025-10-17T00:00:00"/>
    <n v="11620"/>
    <x v="2"/>
    <n v="11457.4"/>
    <n v="162.60000000000036"/>
    <n v="11457.4"/>
  </r>
  <r>
    <s v="ABX464"/>
    <m/>
    <s v="CMC"/>
    <s v="Adrien K"/>
    <s v="DELPHARM REIMS"/>
    <s v="DDR 2025 071 V2.0 - P00320_2025"/>
    <s v="P00320_2025"/>
    <s v="Dissolution impact form API Technical Batches 2025"/>
    <m/>
    <s v="INV 0023/26 +INV 0024/26 + INV 0091/26+ INV 0103/26 + INV 0127/26 + INV 0275/26"/>
    <s v="21/07/2025  +21/07/2025+29/08/2025+10/09/2025+17/09/2025 + 20/11/2025"/>
    <n v="32300"/>
    <x v="1"/>
    <n v="31950"/>
    <n v="350"/>
    <n v="31950"/>
  </r>
  <r>
    <s v="ABX464"/>
    <m/>
    <s v="CMC"/>
    <s v="Saadia"/>
    <s v="JETPHARMA"/>
    <s v="25100233REV1 &amp; 54 SA - P00325_2025 P00306_2025"/>
    <s v="P00325_2025"/>
    <s v="Milling trials &amp; PSD analysis"/>
    <m/>
    <s v="INV 25100294 + INV 25100340"/>
    <s v="18/07/2025 + 18/08/2025"/>
    <n v="32850"/>
    <x v="4"/>
    <n v="105039574"/>
    <n v="0"/>
    <n v="105039574"/>
  </r>
  <r>
    <s v="ABX464"/>
    <m/>
    <s v="CMC"/>
    <s v="Saadia"/>
    <s v="SEQENS"/>
    <s v="WO97#2025 - P00305_2025"/>
    <s v="P00305_2025"/>
    <s v="Evaluation of phototoxicity ABX464&amp;Nglu"/>
    <m/>
    <s v="INV 00010 2501994 RI"/>
    <d v="2025-08-27T00:00:00"/>
    <n v="1650"/>
    <x v="1"/>
    <n v="1650"/>
    <n v="0"/>
    <n v="1650"/>
  </r>
  <r>
    <s v="NOTAPP"/>
    <m/>
    <s v="LAB"/>
    <s v="Aude G"/>
    <s v="CNRS"/>
    <s v="186/2025/ZEFI - P00314_2025"/>
    <s v="P00314_2025"/>
    <s v="Entretien cage Bimestre 3 2025"/>
    <m/>
    <s v="INV 90817362"/>
    <d v="2025-07-28T00:00:00"/>
    <n v="4339.9799999999996"/>
    <x v="1"/>
    <n v="4339.9799999999996"/>
    <n v="0"/>
    <n v="4339.9799999999996"/>
  </r>
  <r>
    <s v="NOTAPP"/>
    <m/>
    <s v="LAB"/>
    <s v="Aude G"/>
    <s v="CAS"/>
    <s v="00135573 - P00254_2025"/>
    <s v="P00254_2025"/>
    <s v="CAS contrat renewal - 01/06/2025 au 31/05/2026"/>
    <m/>
    <m/>
    <m/>
    <n v="16117.25"/>
    <x v="3"/>
    <m/>
    <n v="16117.25"/>
    <n v="0"/>
  </r>
  <r>
    <s v="NOTAPP"/>
    <m/>
    <s v="LAB"/>
    <s v="Aude G"/>
    <s v="CHEMAXON"/>
    <s v="DJ00101952 - P00313_2025"/>
    <s v="P00313_2025"/>
    <s v="Chemaxon contract renewal - 01/07/2025 au 01/07/2026"/>
    <m/>
    <s v="INV-25-0241"/>
    <d v="2025-07-11T00:00:00"/>
    <n v="8930"/>
    <x v="1"/>
    <n v="8930"/>
    <n v="0"/>
    <n v="8930"/>
  </r>
  <r>
    <s v="NOTAPP"/>
    <m/>
    <s v="LAB"/>
    <s v="Aude G"/>
    <s v="MERCK SIGMA"/>
    <s v="web - P00310_2025"/>
    <s v="P00310_2025"/>
    <s v="Consommable Labo"/>
    <m/>
    <s v="INV 8053505164 + INV 8053510179"/>
    <s v="04/07/2025+15/07/2025"/>
    <n v="1642"/>
    <x v="1"/>
    <n v="1642"/>
    <n v="0"/>
    <n v="1642"/>
  </r>
  <r>
    <s v="ABX464"/>
    <m/>
    <s v="LAB"/>
    <s v="Aude G"/>
    <s v="MILTENYI"/>
    <s v="7095831-00 - P00311_2025"/>
    <s v="P00311_2025"/>
    <s v="Consommable Labo"/>
    <m/>
    <s v="INV 1032506412"/>
    <d v="2025-07-04T00:00:00"/>
    <n v="2319.65"/>
    <x v="1"/>
    <n v="2319.65"/>
    <n v="0"/>
    <n v="2319.65"/>
  </r>
  <r>
    <s v="ABX464"/>
    <m/>
    <s v="LAB"/>
    <s v="Aude G"/>
    <s v="BECTON DICKINSON"/>
    <s v="P00309_2025"/>
    <s v="P00309_2025"/>
    <s v="Consommable Labo"/>
    <m/>
    <s v="INV 006127066"/>
    <d v="2025-07-07T00:00:00"/>
    <n v="890"/>
    <x v="1"/>
    <n v="890"/>
    <n v="0"/>
    <n v="890"/>
  </r>
  <r>
    <s v="ABX464"/>
    <m/>
    <s v="CMC"/>
    <s v="Jerome D"/>
    <s v="THERMO FISHER CORK"/>
    <s v="A-CRKA-335410-R3 - P00308_2025"/>
    <s v="P00308_2025"/>
    <s v="Implementation and Validation of manuf process ABX464 - PTC 2023/2024"/>
    <m/>
    <s v="INV 900131920"/>
    <d v="2025-08-18T00:00:00"/>
    <n v="118378"/>
    <x v="1"/>
    <n v="118378"/>
    <n v="0"/>
    <n v="118378"/>
  </r>
  <r>
    <s v="ABX464"/>
    <m/>
    <s v="CMC"/>
    <s v="Saadia"/>
    <s v="MICROMERITICS"/>
    <s v="Abivax 07-09-25 - P00329_2025"/>
    <s v="P00329_2025"/>
    <s v="Specific surface test"/>
    <m/>
    <s v="INV PSI029863"/>
    <d v="2025-07-24T00:00:00"/>
    <n v="15285.7"/>
    <x v="3"/>
    <n v="15285.7"/>
    <n v="0"/>
    <n v="15285.7"/>
  </r>
  <r>
    <s v="ABX464"/>
    <m/>
    <s v="CMC"/>
    <s v="Saadia"/>
    <s v="DELPHARM LILLE"/>
    <s v="L25_4353A - P00328_2025"/>
    <s v="P00328_2025"/>
    <s v="Additionnal dissolution on 4 batches"/>
    <m/>
    <s v="INV 10000249"/>
    <d v="2025-09-16T00:00:00"/>
    <n v="5880"/>
    <x v="1"/>
    <n v="5880"/>
    <n v="0"/>
    <n v="5880"/>
  </r>
  <r>
    <s v="ABX464"/>
    <m/>
    <s v="CMC"/>
    <s v="Adrien K"/>
    <s v="SEQENS"/>
    <s v="WO98#2025 - P00342_2025"/>
    <s v="P00342_2025"/>
    <s v="OBE4 reconditionning in cotrolled zone"/>
    <m/>
    <s v="INV 25002376 RI"/>
    <d v="2025-10-08T00:00:00"/>
    <n v="2400"/>
    <x v="1"/>
    <n v="2400"/>
    <n v="0"/>
    <n v="2400"/>
  </r>
  <r>
    <s v="ABX464"/>
    <m/>
    <s v="CMC"/>
    <s v="Adrien K"/>
    <s v="Atlanchim"/>
    <s v="ASTIS-5RE - P00340_2025"/>
    <s v="P00340_2025"/>
    <s v="Réanalyse du lot GSAASTIS5"/>
    <m/>
    <s v="INV FA25  0075"/>
    <d v="2025-08-18T00:00:00"/>
    <n v="600"/>
    <x v="1"/>
    <n v="600"/>
    <n v="0"/>
    <n v="600"/>
  </r>
  <r>
    <s v="ABX464"/>
    <m/>
    <s v="CMC"/>
    <s v="Adrien K"/>
    <s v="EUROFINS BIOPHARMA PRODUCT"/>
    <s v="JV5K02250028-01 - P00330_2025"/>
    <s v="P00330_2025"/>
    <s v="In vitro Testing OECD 471"/>
    <m/>
    <s v="INV 25004886CDE028IV"/>
    <d v="2025-07-22T00:00:00"/>
    <n v="5652"/>
    <x v="1"/>
    <n v="2381.5"/>
    <n v="3270.5"/>
    <n v="2381.5"/>
  </r>
  <r>
    <s v="ABX464"/>
    <m/>
    <s v="DAT"/>
    <s v="Kevin S"/>
    <s v="ALSINOVA - ex KEYRUS"/>
    <s v="SRV_21002_CO11"/>
    <m/>
    <s v="additional activities for the safety data pooling project."/>
    <m/>
    <s v="INV ALS202512000166"/>
    <d v="2025-12-17T00:00:00"/>
    <n v="162987.64000000001"/>
    <x v="1"/>
    <n v="78382.850000000006"/>
    <n v="84604.790000000008"/>
    <n v="78382.850000000006"/>
  </r>
  <r>
    <s v="ABX464"/>
    <m/>
    <s v="LAB"/>
    <s v="Aude G"/>
    <s v="LIFE TECHNOLOGIES"/>
    <s v="D5926046 - P00312_2025"/>
    <s v="P00312_2025"/>
    <s v="Consommable Labo"/>
    <m/>
    <s v="INV 2035470 RI + INV 2035447 RI + INV 2036334 RI + INV 2037009 RI"/>
    <s v="11/07/2025 +11/07/2025 + 18/07/2025+23/07/2025"/>
    <n v="6264.52"/>
    <x v="1"/>
    <n v="6264.5199999999995"/>
    <n v="9.0949470177292824E-13"/>
    <n v="6264.5199999999995"/>
  </r>
  <r>
    <s v="NOTAPP"/>
    <m/>
    <s v="LAB"/>
    <s v="Aude G"/>
    <s v="MERCK - SIGMA"/>
    <s v="web - P00338_2025"/>
    <s v="P00338_2025"/>
    <s v="Consommable Labo"/>
    <m/>
    <s v="INV 8053511584"/>
    <d v="2025-07-17T00:00:00"/>
    <n v="321"/>
    <x v="1"/>
    <n v="321"/>
    <n v="0"/>
    <n v="321"/>
  </r>
  <r>
    <s v="NOTAPP"/>
    <m/>
    <s v="LAB"/>
    <s v="Aude G"/>
    <s v="DUTSCHER"/>
    <s v="NA - P00339_2025"/>
    <s v="P00339_2025"/>
    <s v="Consommable Labo"/>
    <m/>
    <s v="INV 4201701+INV 4205942"/>
    <s v="21/07/2025 + 25/07/2025"/>
    <n v="1287"/>
    <x v="1"/>
    <n v="1358.8"/>
    <n v="0"/>
    <n v="1358.8"/>
  </r>
  <r>
    <s v="ABX464"/>
    <m/>
    <s v="LAB"/>
    <s v="Aude G / Nadege"/>
    <s v="CHARLES RIVER ST NAZAIRE"/>
    <s v="SOW-STN_abivax 050625 - P00345_2025"/>
    <s v="P00345_2025"/>
    <s v="Archivage 3 ans - 2026-2027-2028 - 01/01/2026 au 31/12/2026"/>
    <m/>
    <s v="INV 59002326"/>
    <d v="2025-08-27T00:00:00"/>
    <n v="11579.333333333334"/>
    <x v="1"/>
    <n v="114580"/>
    <n v="0"/>
    <n v="114580"/>
  </r>
  <r>
    <s v="ABX464"/>
    <m/>
    <s v="LAB"/>
    <s v="Aude G / Nadege"/>
    <s v="CHARLES RIVER ST NAZAIRE"/>
    <s v="SOW-STN_abivax 050625 - P00345_2025"/>
    <s v="P00345_2025"/>
    <s v="Archivage 3 ans - 2026-2027-2028 - 01/01/2027 au 31/12/2027"/>
    <m/>
    <m/>
    <m/>
    <n v="11579.333333333334"/>
    <x v="1"/>
    <m/>
    <n v="11579.333333333334"/>
    <n v="0"/>
  </r>
  <r>
    <s v="ABX464"/>
    <m/>
    <s v="LAB"/>
    <s v="Aude G / Nadege"/>
    <s v="CHARLES RIVER ST NAZAIRE"/>
    <s v="SOW-STN_abivax 050625 - P00345_2025"/>
    <s v="P00345_2025"/>
    <s v="Archivage 3 ans - 2026-2027-2028 - 01/01/2028 au 31/12/2028"/>
    <m/>
    <m/>
    <m/>
    <n v="11579.333333333334"/>
    <x v="1"/>
    <m/>
    <n v="11579.333333333334"/>
    <n v="0"/>
  </r>
  <r>
    <s v="ABX464"/>
    <m/>
    <s v="LAB"/>
    <s v="Aude G / Nadege"/>
    <s v="CHARLES RIVER NETHERLAND"/>
    <s v="24ARC0015 - P00341_2025"/>
    <s v="P00341_2025"/>
    <s v="Archivage 3 ans 2026-2027-2028"/>
    <m/>
    <s v="INV 47050586"/>
    <d v="2025-10-07T00:00:00"/>
    <n v="5097"/>
    <x v="1"/>
    <n v="5097"/>
    <n v="0"/>
    <n v="5097"/>
  </r>
  <r>
    <s v="ABX464"/>
    <m/>
    <s v="LAB"/>
    <s v="Aude G"/>
    <s v="SARTORIUS"/>
    <s v="CPQ-02310703 - P00349_2025"/>
    <s v="P00349_2025"/>
    <s v="Consommable Labo"/>
    <m/>
    <s v="INV 9216207597"/>
    <s v="23/072025"/>
    <n v="530.4"/>
    <x v="1"/>
    <n v="530.4"/>
    <n v="0"/>
    <n v="530.4"/>
  </r>
  <r>
    <s v="ABX464"/>
    <m/>
    <s v="CMC"/>
    <s v="Adrien K"/>
    <s v="DELPHARM LILLE"/>
    <s v="L25_4373A - P00337_2025"/>
    <s v="P00337_2025"/>
    <s v="Stabilité lots techniques pilulier 25mg &amp; 50mg - T0"/>
    <m/>
    <m/>
    <m/>
    <n v="3486"/>
    <x v="1"/>
    <m/>
    <n v="3486"/>
    <n v="0"/>
  </r>
  <r>
    <s v="ABX464"/>
    <m/>
    <s v="CMC"/>
    <s v="Adrien K"/>
    <s v="DELPHARM LILLE"/>
    <s v="L25_4373A - P00337_2025"/>
    <s v="P00337_2025"/>
    <s v="Stabilité lots techniques pilulier 25mg &amp; 50mg - T3"/>
    <m/>
    <m/>
    <m/>
    <n v="9001"/>
    <x v="1"/>
    <m/>
    <n v="9001"/>
    <n v="0"/>
  </r>
  <r>
    <s v="ABX464"/>
    <m/>
    <s v="CMC"/>
    <s v="Adrien K"/>
    <s v="DELPHARM LILLE"/>
    <s v="L25_4373A - P00337_2025"/>
    <s v="P00337_2025"/>
    <s v="Stabilité lots techniques pilulier 25mg &amp; 50mg - T6"/>
    <m/>
    <m/>
    <m/>
    <n v="11101"/>
    <x v="1"/>
    <m/>
    <n v="11101"/>
    <n v="0"/>
  </r>
  <r>
    <s v="ABX464"/>
    <m/>
    <s v="CMC"/>
    <s v="Adrien K"/>
    <s v="DELPHARM LILLE"/>
    <s v="L25_4373A - P00337_2025"/>
    <s v="P00337_2025"/>
    <s v="Stabilité lots techniques pilulier 25mg &amp; 50mg - T9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12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18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24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36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48"/>
    <m/>
    <m/>
    <m/>
    <n v="8481"/>
    <x v="1"/>
    <m/>
    <n v="8481"/>
    <n v="0"/>
  </r>
  <r>
    <s v="NOTAPP"/>
    <m/>
    <s v="LAB"/>
    <s v="Aude G"/>
    <s v="MERCK SIGMA"/>
    <s v="web - P00351_2025"/>
    <s v="P00351_2025"/>
    <s v="Consommable Labo"/>
    <m/>
    <s v="INV 8053513851"/>
    <d v="2025-07-22T00:00:00"/>
    <n v="965"/>
    <x v="1"/>
    <n v="965"/>
    <n v="0"/>
    <n v="965"/>
  </r>
  <r>
    <s v="NOTAPP"/>
    <m/>
    <s v="LAB"/>
    <s v="Aude G"/>
    <s v="MERCK SIGMA"/>
    <s v="web - P00352_2025"/>
    <s v="P00352_2025"/>
    <s v="Consommable Labo"/>
    <m/>
    <s v="INV 8053515066"/>
    <d v="2025-07-24T00:00:00"/>
    <n v="495"/>
    <x v="1"/>
    <n v="495"/>
    <n v="0"/>
    <n v="495"/>
  </r>
  <r>
    <s v="ABX464"/>
    <m/>
    <s v="CMC"/>
    <s v="Saadia"/>
    <s v="WORLD COURRIER"/>
    <s v="CDG-0800024587-25JUL2025-251332445CL-V1 - P00353_2025"/>
    <s v="P00353_2025"/>
    <s v="Transport de Orgapharm vers SEQENS PCAS"/>
    <m/>
    <s v="INV 0095881637"/>
    <d v="2025-08-08T00:00:00"/>
    <n v="762.53"/>
    <x v="1"/>
    <n v="762.53"/>
    <n v="0"/>
    <n v="762.53"/>
  </r>
  <r>
    <s v="ABX464"/>
    <m/>
    <s v="LAB"/>
    <s v="Didier S (par Aude G)"/>
    <s v="CHARLES RIVER LYON"/>
    <s v="AR-2025-040 - P00343_2025"/>
    <s v="P00343_2025"/>
    <s v="Achivage 3 ans - 2026-2027-2028 - 01/01/2026 au 31/12/2028"/>
    <m/>
    <s v="INV 47616588"/>
    <d v="2025-08-05T00:00:00"/>
    <n v="50574"/>
    <x v="1"/>
    <n v="50574"/>
    <n v="0"/>
    <n v="50574"/>
  </r>
  <r>
    <s v="ABX464"/>
    <m/>
    <s v="LAB"/>
    <s v="Didier S (par Aude G)"/>
    <s v="CHARLES RIVER EVREUX"/>
    <s v="SOW-3729-V2 - P000344_2025"/>
    <s v="P000344_2025"/>
    <s v="Achivage 3 ans - 2026 - 01/01/2026 au 31/12/2026"/>
    <m/>
    <m/>
    <m/>
    <n v="26563"/>
    <x v="1"/>
    <m/>
    <n v="26563"/>
    <n v="0"/>
  </r>
  <r>
    <s v="ABX464"/>
    <m/>
    <s v="LAB"/>
    <s v="Didier S (par Aude G)"/>
    <s v="CHARLES RIVER EVREUX"/>
    <s v="SOW-3729-V2 - P000344_2025"/>
    <s v="P000344_2025"/>
    <s v="Achivage 3 ans - 2027 - 01/01/2027 au 31/12/2027"/>
    <m/>
    <m/>
    <m/>
    <n v="26563"/>
    <x v="1"/>
    <m/>
    <n v="26563"/>
    <n v="0"/>
  </r>
  <r>
    <s v="ABX464"/>
    <m/>
    <s v="LAB"/>
    <s v="Didier S (par Aude G)"/>
    <s v="CHARLES RIVER EVREUX"/>
    <s v="SOW-3729-V2 - P000344_2025"/>
    <s v="P000344_2025"/>
    <s v="Achivage 3 ans - 2028 - 01/01/2028 au 31/12/2028"/>
    <m/>
    <m/>
    <m/>
    <n v="26563"/>
    <x v="1"/>
    <m/>
    <n v="26563"/>
    <n v="0"/>
  </r>
  <r>
    <s v="ABX464"/>
    <m/>
    <s v="LAB"/>
    <s v="Aude G"/>
    <s v="LIFE TECHNOLOGIES"/>
    <s v="Web - P00356_2025"/>
    <s v="P00356_2025"/>
    <s v="Consommable Labo"/>
    <m/>
    <s v="INV 2038071 RI"/>
    <d v="2025-07-29T00:00:00"/>
    <n v="212.44"/>
    <x v="1"/>
    <n v="212.44"/>
    <n v="0"/>
    <n v="212.44"/>
  </r>
  <r>
    <s v="ABX464"/>
    <m/>
    <s v="LAB"/>
    <s v="Aude G"/>
    <s v="LIFE TECHNOLOGIES"/>
    <s v="Web - P00360_2025"/>
    <s v="P00360_2025"/>
    <s v="Consommable Labo"/>
    <m/>
    <s v="INV 2038876 RI"/>
    <d v="2025-08-04T00:00:00"/>
    <n v="1143.96"/>
    <x v="1"/>
    <n v="1143.96"/>
    <n v="0"/>
    <n v="1143.96"/>
  </r>
  <r>
    <s v="ABX464"/>
    <m/>
    <s v="LAB"/>
    <s v="Aude G"/>
    <s v="QIAGEN"/>
    <s v="250729FR01959425MP - P00358_2025"/>
    <s v="P00358_2025"/>
    <s v="Consommable Labo"/>
    <m/>
    <s v="INV 940582415"/>
    <d v="2025-07-31T00:00:00"/>
    <n v="8236.7999999999993"/>
    <x v="1"/>
    <n v="8236.7999999999993"/>
    <n v="0"/>
    <n v="8236.7999999999993"/>
  </r>
  <r>
    <s v="UC101"/>
    <m/>
    <s v="CLI"/>
    <s v="Cécile A"/>
    <s v="CRYOPORT"/>
    <s v="DV-ABI-0725-1640 - P00366_2025"/>
    <s v="P00366_2025"/>
    <s v="destruction of all study samples"/>
    <m/>
    <s v="INV IV-10250897-ABI"/>
    <d v="2025-10-31T00:00:00"/>
    <n v="516.17999999999995"/>
    <x v="1"/>
    <n v="516.17999999999995"/>
    <n v="0"/>
    <n v="516.17999999999995"/>
  </r>
  <r>
    <s v="ABX464"/>
    <m/>
    <s v="CLI"/>
    <s v="Cécile A"/>
    <s v="CRYOPORT"/>
    <s v="DV-ABI-0725-1648 - P00367_2025"/>
    <s v="P00367_2025"/>
    <s v="destruction of all study samples"/>
    <m/>
    <s v="INV IV-10250901-ABI"/>
    <d v="2025-10-31T00:00:00"/>
    <n v="1599.66"/>
    <x v="1"/>
    <n v="1854.49"/>
    <n v="0"/>
    <n v="1854.49"/>
  </r>
  <r>
    <s v="RA301"/>
    <m/>
    <s v="CLI"/>
    <s v="Cécile A"/>
    <s v="CRYOPORT"/>
    <s v="DV-ABI-0725-1644 - P00363_2025"/>
    <s v="P00363_2025"/>
    <s v="destruction of all study samples"/>
    <m/>
    <s v="INV IV-09250808-ABI"/>
    <d v="2025-09-30T00:00:00"/>
    <n v="486.5"/>
    <x v="1"/>
    <n v="486.5"/>
    <n v="0"/>
    <n v="486.5"/>
  </r>
  <r>
    <s v="AD903"/>
    <m/>
    <s v="CLI"/>
    <s v="Cécile A"/>
    <s v="CRYOPORT"/>
    <s v="DV-ABI-0725-1647 - P00365_2025"/>
    <s v="P00365_2025"/>
    <s v="destruction of all study samples"/>
    <m/>
    <s v="INV IV-10250900-ABI"/>
    <d v="2025-10-31T00:00:00"/>
    <n v="1038.1300000000001"/>
    <x v="1"/>
    <n v="1038.1300000000001"/>
    <n v="0"/>
    <n v="1038.1300000000001"/>
  </r>
  <r>
    <s v="HIV005"/>
    <m/>
    <s v="CLI"/>
    <s v="Cécile A"/>
    <s v="CRYOPORT"/>
    <s v="DV-ABI-0725-1643 - P00362_2025"/>
    <s v="P00362_2025"/>
    <s v="destruction of all study samples"/>
    <m/>
    <s v="INV IV-09250802-ABI"/>
    <d v="2025-09-30T00:00:00"/>
    <n v="437.04"/>
    <x v="1"/>
    <n v="437.04"/>
    <n v="0"/>
    <n v="437.04"/>
  </r>
  <r>
    <s v="RA302"/>
    <m/>
    <s v="CLI"/>
    <s v="Cécile A"/>
    <s v="CRYOPORT"/>
    <s v="DV-ABI-0725-1645 - P00364_2025"/>
    <s v="P00364_2025"/>
    <s v="destruction of all study samples"/>
    <m/>
    <s v="INV IV-10250899-ABI"/>
    <d v="2025-10-31T00:00:00"/>
    <n v="555.76"/>
    <x v="1"/>
    <n v="555.76"/>
    <n v="0"/>
    <n v="555.76"/>
  </r>
  <r>
    <s v="HIV004"/>
    <m/>
    <s v="CLI"/>
    <s v="Cécile A"/>
    <s v="CRYOPORT"/>
    <s v="DV-ABI-0725-1641 - P00361_2025"/>
    <s v="P00361_2025"/>
    <s v="destruction of all study samples"/>
    <m/>
    <s v="INV IV-09250806-ABI"/>
    <d v="2025-09-30T00:00:00"/>
    <n v="640.36"/>
    <x v="1"/>
    <n v="640.36"/>
    <n v="0"/>
    <n v="640.36"/>
  </r>
  <r>
    <s v="UC103"/>
    <m/>
    <s v="CLI"/>
    <s v="Cécile A"/>
    <s v="CRYOPORT"/>
    <s v="DV-ABI-0725-1627 - P00335_2025"/>
    <s v="P00335_2025"/>
    <s v="destruction of all study samples"/>
    <m/>
    <s v="INV IV-09250807-ABI"/>
    <d v="2025-09-30T00:00:00"/>
    <n v="1668.91"/>
    <x v="1"/>
    <n v="1668.91"/>
    <n v="0"/>
    <n v="1668.91"/>
  </r>
  <r>
    <s v="UC104"/>
    <m/>
    <s v="CLI"/>
    <s v="Cécile A"/>
    <s v="CRYOPORT"/>
    <s v="DV-ABI-0725-1628 - P00336_2025"/>
    <s v="P00336_2025"/>
    <s v="destruction of all study samples"/>
    <m/>
    <s v="INV IV-09250803-ABI"/>
    <d v="2025-09-30T00:00:00"/>
    <n v="1738.17"/>
    <x v="1"/>
    <n v="1824.81"/>
    <n v="0"/>
    <n v="1824.81"/>
  </r>
  <r>
    <s v="UC102"/>
    <m/>
    <s v="CLI"/>
    <s v="Cécile A"/>
    <s v="CRYOPORT"/>
    <s v="DV-ABI-0725-1626 - P00334_2025"/>
    <s v="P00334_2025"/>
    <s v="destruction of all study samples"/>
    <m/>
    <s v="INV IV-09250804-ABI"/>
    <d v="2025-09-30T00:00:00"/>
    <n v="249.06"/>
    <x v="1"/>
    <n v="249.06"/>
    <n v="0"/>
    <n v="249.06"/>
  </r>
  <r>
    <s v="HIV003"/>
    <m/>
    <s v="CLI"/>
    <s v="Cécile A"/>
    <s v="CRYOPORT"/>
    <s v="DV-ABI-0725-1631 - P00333_2025"/>
    <s v="P00333_2025"/>
    <s v="destruction of all study samples"/>
    <m/>
    <s v="INV IV-09250805-ABI"/>
    <d v="2025-09-30T00:00:00"/>
    <n v="1245.9000000000001"/>
    <x v="1"/>
    <n v="1495.9"/>
    <n v="0"/>
    <n v="1495.9"/>
  </r>
  <r>
    <s v="196-1"/>
    <m/>
    <s v="CLI"/>
    <s v="Cécile A"/>
    <s v="CRYOPORT"/>
    <s v="DV-ABI-0725-1629 - P00331_2025"/>
    <s v="P00331_2025"/>
    <s v="destruction of all study samples"/>
    <m/>
    <s v="INV IV-09250809-ABI"/>
    <d v="2025-09-30T00:00:00"/>
    <n v="437.04"/>
    <x v="1"/>
    <n v="437.04"/>
    <n v="0"/>
    <n v="437.04"/>
  </r>
  <r>
    <s v="HIV001"/>
    <m/>
    <s v="CLI"/>
    <s v="Cécile A"/>
    <s v="CRYOPORT"/>
    <s v="DV-ABI-0725-1625 - P00332_2025"/>
    <s v="P00332_2025"/>
    <s v="destruction of all study samples"/>
    <m/>
    <s v="INV IV-10250898-ABI"/>
    <d v="2025-10-31T00:00:00"/>
    <n v="869.94"/>
    <x v="1"/>
    <n v="869.94"/>
    <n v="0"/>
    <n v="869.94"/>
  </r>
  <r>
    <s v="RI907"/>
    <m/>
    <s v="CLI"/>
    <s v="Julien S"/>
    <s v="CHARLES RIVER ST NAZAIRE"/>
    <s v="OPP-353689 - CRL-31989756 - P00369_2025"/>
    <s v="P00266_2025"/>
    <s v="RI907 - PK Analysis - Add cost"/>
    <m/>
    <s v="INV 59002306"/>
    <d v="2025-08-21T00:00:00"/>
    <n v="3432"/>
    <x v="1"/>
    <n v="3432"/>
    <n v="0"/>
    <n v="3432"/>
  </r>
  <r>
    <s v="ABX464"/>
    <m/>
    <s v="CLI"/>
    <s v="Julien"/>
    <s v="CHARLES RIVER ST NAZAIRE"/>
    <s v="OPP-392248 - CRL-644672 - P00382_2025"/>
    <s v="P00382_2025"/>
    <s v="Transfer HPLC-MS Method Quantif ABX464 humain Plasma"/>
    <m/>
    <s v="INV 59002380 + INV 59002392"/>
    <s v="26/09/2025+03/10/2025"/>
    <n v="14715"/>
    <x v="1"/>
    <n v="14715"/>
    <n v="0"/>
    <n v="14715"/>
  </r>
  <r>
    <s v="ABX464"/>
    <m/>
    <s v="CLI"/>
    <s v="Audrey A / Julien"/>
    <s v="CHARLES RIVER ST NAZAIRE"/>
    <s v="OPP-392248 - 32060599 - CRL-644673 - P00382_2025 + P00590_2025"/>
    <s v="P00382_2025 + P00590_2025"/>
    <s v="Validation HPLC-MS Method Quantif ABX464 humain Plasma"/>
    <m/>
    <s v="INV 59002426 + INV 59002467 + INV 59002475"/>
    <s v="03/11/2025 + 11/12/2025 + 12/12/2025"/>
    <n v="56094"/>
    <x v="1"/>
    <n v="40089"/>
    <n v="16005"/>
    <n v="40089"/>
  </r>
  <r>
    <s v="NOTAPP"/>
    <m/>
    <s v="QA"/>
    <s v="Ouahiba"/>
    <s v="YMUNIT"/>
    <s v="ABIVAX-202508-05 - P00373_2025"/>
    <s v="P00373_2025"/>
    <s v="Audit on site IRON MOUNTAIN FR"/>
    <m/>
    <s v="INV F-2025-YMUNIYT-051"/>
    <d v="2025-12-21T00:00:00"/>
    <n v="12350"/>
    <x v="1"/>
    <n v="11426.77"/>
    <n v="0"/>
    <n v="11426.77"/>
  </r>
  <r>
    <s v="NOTAPP"/>
    <m/>
    <s v="LAB"/>
    <s v="Aude G"/>
    <s v="OCEASOFT"/>
    <s v="QTOC217747 - P00375_2025"/>
    <s v="P00375_2025"/>
    <s v="Maintenance OCEAView année 2025"/>
    <m/>
    <s v="INV INVOC1020749"/>
    <d v="2025-10-15T00:00:00"/>
    <n v="2997.54"/>
    <x v="1"/>
    <n v="2997.54"/>
    <n v="0"/>
    <n v="2997.54"/>
  </r>
  <r>
    <s v="NOTAPP"/>
    <m/>
    <s v="LAB"/>
    <s v="Aude G"/>
    <s v="OCEASOFT"/>
    <s v="QTOC217779 - P00376_2025"/>
    <s v="P00376_2025"/>
    <s v="Renouvellement licences OCEAlert &amp; OCEAView année 2025"/>
    <m/>
    <s v="INV INVOC10200505"/>
    <d v="2025-09-24T00:00:00"/>
    <n v="869.1"/>
    <x v="1"/>
    <n v="869.1"/>
    <n v="0"/>
    <n v="869.1"/>
  </r>
  <r>
    <s v="NOTAPP"/>
    <m/>
    <s v="LAB"/>
    <s v="Aude G"/>
    <s v="MC2"/>
    <s v="MB-34-0728/1 - P00381_2025"/>
    <s v="P00381_2025"/>
    <s v="Maintenance équipement - année 2025"/>
    <m/>
    <m/>
    <m/>
    <n v="14455.52"/>
    <x v="1"/>
    <m/>
    <n v="14455.52"/>
    <n v="0"/>
  </r>
  <r>
    <s v="ABX464"/>
    <m/>
    <s v="LAB"/>
    <s v="Aude G"/>
    <s v="EPPENDORF"/>
    <s v="Q24000704599 - P00388_2025"/>
    <s v="P00388_2025"/>
    <s v="Consommable Labo"/>
    <m/>
    <s v="INV 10098279"/>
    <d v="2025-09-01T00:00:00"/>
    <n v="2164.8000000000002"/>
    <x v="1"/>
    <n v="2164.8000000000002"/>
    <n v="0"/>
    <n v="2164.8000000000002"/>
  </r>
  <r>
    <s v="ABX464"/>
    <m/>
    <s v="LAB"/>
    <s v="Aude G"/>
    <s v="CNRS"/>
    <s v="RHEM-Adv-S1-2025-ABIVAX - P00389_2025"/>
    <s v="P00389_2025"/>
    <s v="Expertise analyse RHEM"/>
    <m/>
    <s v="INV 90823675"/>
    <d v="2025-09-02T00:00:00"/>
    <n v="1280"/>
    <x v="1"/>
    <n v="1280"/>
    <n v="0"/>
    <n v="1280"/>
  </r>
  <r>
    <s v="CD202"/>
    <m/>
    <s v="CLI"/>
    <s v="Julien"/>
    <s v="CELLCARTA"/>
    <s v="O-12856_ABX464-202_v3.0 - P00012_2024 + P00417_2025 (CO1)"/>
    <s v="P00012_2024 + P00417_2025"/>
    <s v="Mir124 CD202"/>
    <m/>
    <s v="INV 20252640 + INV 20254309 + INV 20260029"/>
    <s v="22/08/2025 + 29/12/2025+23/01/2026"/>
    <n v="1057864"/>
    <x v="1"/>
    <n v="162614.82999999999"/>
    <n v="895249.17"/>
    <n v="162614.82999999999"/>
  </r>
  <r>
    <s v="ABX464"/>
    <m/>
    <s v="LAB"/>
    <s v="Aude G"/>
    <s v="CREATIVE BIOLABS"/>
    <s v="CBLA080725-YL1C-DSS - P00386_2025"/>
    <s v="P00386_2025"/>
    <s v="In vivo efficacity evaluation in rats colitis model - 80% non refundable"/>
    <m/>
    <s v="INV CBLA080725-YL1C-DSS"/>
    <d v="2025-08-26T00:00:00"/>
    <n v="85210.400000000009"/>
    <x v="3"/>
    <n v="85210.4"/>
    <n v="1.4551915228366852E-11"/>
    <n v="85210.4"/>
  </r>
  <r>
    <s v="ABX464"/>
    <m/>
    <s v="LAB"/>
    <s v="Aude G"/>
    <s v="CREATIVE BIOLABS"/>
    <s v="CBLA080725-YL1C-DSS - P00386_2025"/>
    <s v="P00386_2025"/>
    <s v="In vivo efficacity evaluation in rats colitis model - 20% on final report"/>
    <m/>
    <s v="INV CBLA080725-YL1C-DSS-2"/>
    <d v="2025-12-11T00:00:00"/>
    <n v="21302.600000000002"/>
    <x v="3"/>
    <n v="21302.6"/>
    <n v="3.637978807091713E-12"/>
    <n v="21302.6"/>
  </r>
  <r>
    <s v="ABX464"/>
    <m/>
    <s v="CLI"/>
    <s v="Caroline Lee"/>
    <s v="PHARMARON INC"/>
    <s v="PH-ABVX-MC-2025-02 - MSA_25050_W3 - P00400_2025"/>
    <s v="P00400_2025"/>
    <s v="1H-NMR, 13C-NMR, and 2D-NMR analyses"/>
    <m/>
    <s v="INV 1190540"/>
    <d v="2025-08-25T00:00:00"/>
    <n v="1200"/>
    <x v="3"/>
    <n v="1200"/>
    <n v="0"/>
    <n v="1200"/>
  </r>
  <r>
    <s v="ABX464"/>
    <m/>
    <s v="CLI"/>
    <s v="Caroline Lee"/>
    <s v="PHARMARON INC"/>
    <s v="PH-ABVX-PK-2025-01v7 - MSA_25050_W4 + A1 - P00401_2025"/>
    <s v="P00401_2025"/>
    <s v="PK studies in mouse, rat and cynomol"/>
    <m/>
    <s v="INV 1204767"/>
    <d v="2025-12-23T00:00:00"/>
    <n v="59450"/>
    <x v="3"/>
    <n v="59450"/>
    <n v="0"/>
    <n v="59450"/>
  </r>
  <r>
    <s v="ABX464"/>
    <m/>
    <s v="CLI"/>
    <s v="Caroline Lee"/>
    <s v="PHARMARON INC"/>
    <s v="PH-ABVX-ADME-2025-01v2 -MSA_25050_W8 (ancien W9) - P00407_2025"/>
    <s v="P00407_2025"/>
    <s v="Lysosomal stability assay"/>
    <m/>
    <m/>
    <m/>
    <n v="11100"/>
    <x v="3"/>
    <m/>
    <n v="11100"/>
    <n v="0"/>
  </r>
  <r>
    <s v="ABX464"/>
    <m/>
    <s v="CLI"/>
    <s v="Caroline Lee"/>
    <s v="PHARMARON INC"/>
    <s v="PH-ABVX-ADME-2025-02v2 - MSA_25050_W9A1 - P00409_2025"/>
    <s v="P00409_2025"/>
    <s v="Caco-2 permeability"/>
    <m/>
    <m/>
    <m/>
    <n v="13314"/>
    <x v="3"/>
    <m/>
    <n v="13314"/>
    <n v="0"/>
  </r>
  <r>
    <s v="ABX464"/>
    <m/>
    <s v="CLI"/>
    <s v="Caroline Lee"/>
    <s v="PHARMARON INC"/>
    <s v="PH-ABVX-ADME-2025-03 - MSA_25050_W10 - P00410_2025"/>
    <s v="P00410_2025"/>
    <s v="UGT Inhibition"/>
    <m/>
    <s v="INV 1205481"/>
    <d v="2025-12-29T00:00:00"/>
    <n v="8900"/>
    <x v="3"/>
    <n v="8900"/>
    <n v="0"/>
    <n v="8900"/>
  </r>
  <r>
    <s v="ABX464"/>
    <m/>
    <s v="CLI"/>
    <s v="Caroline Lee"/>
    <s v="PHARMARON INC"/>
    <s v="PH-ABVX-PK-2025-02 - MSA_25050_W11 + A1 - P00411_2025"/>
    <s v="P00411_2025"/>
    <s v="Rabit PK"/>
    <m/>
    <s v="INV  1204771"/>
    <d v="2025-12-23T00:00:00"/>
    <n v="12650"/>
    <x v="3"/>
    <n v="12650"/>
    <n v="0"/>
    <n v="12650"/>
  </r>
  <r>
    <s v="ABX464"/>
    <m/>
    <s v="CMC"/>
    <s v="Saadia"/>
    <s v="MICROMERITICS"/>
    <s v="Abivax 08-12-25 - P00377_2025"/>
    <s v="P00377_2025"/>
    <s v="Specific surface test"/>
    <m/>
    <s v="INV PSI030537"/>
    <d v="2025-08-29T00:00:00"/>
    <n v="12979.9"/>
    <x v="3"/>
    <n v="12979.9"/>
    <n v="0"/>
    <n v="12979.9"/>
  </r>
  <r>
    <s v="ABX464"/>
    <m/>
    <s v="CLI"/>
    <s v="Caroline Lee"/>
    <s v="PHARMARON LLC"/>
    <s v="MSA_25050_W7 - USL-46877 - P00405_2025"/>
    <s v="P00405_2025"/>
    <s v="Regulatory/NDA-enabling ADME studies"/>
    <m/>
    <s v="INV 25ABIVP3 (deposit) + INV-PA-12821 + INV-PA-12841 (PTC) + INV -PA-12926"/>
    <s v="23/08/2025 + 29/10/2025 + 31/10/2025 + 28/11/2025"/>
    <n v="30280"/>
    <x v="3"/>
    <n v="32643.29"/>
    <n v="0"/>
    <n v="32643.29"/>
  </r>
  <r>
    <s v="ABX464"/>
    <m/>
    <s v="CLI"/>
    <s v="Caroline Lee"/>
    <s v="PHARMARON LLC"/>
    <s v="MSA_25050_W6 - USL-40094-R1 - P00404_2025"/>
    <s v="P00404_2025"/>
    <s v="Regulatory/NDA-enabling ADME studies"/>
    <m/>
    <s v="INV 25ABIVP2 (deposit) + INV-PA-12820"/>
    <s v="23/08/2025 + 29/10/2025"/>
    <n v="38640"/>
    <x v="3"/>
    <n v="38640"/>
    <n v="0"/>
    <n v="38640"/>
  </r>
  <r>
    <s v="ABX464"/>
    <m/>
    <s v="CLI"/>
    <s v="Caroline Lee"/>
    <s v="PHARMARON LLC"/>
    <s v="MSA_25050_W6A1 - USL-40094-R1 - P00552_2025"/>
    <s v="P00552_2025"/>
    <s v="Regulatory/NDA-enabling ADME studies - Amdt1"/>
    <m/>
    <s v="INV-PA-13089"/>
    <d v="2026-01-20T00:00:00"/>
    <n v="29200"/>
    <x v="3"/>
    <n v="29200"/>
    <n v="0"/>
    <n v="29200"/>
  </r>
  <r>
    <s v="ABX464"/>
    <m/>
    <s v="CLI"/>
    <s v="Caroline Lee"/>
    <s v="PHARMARON UK LDT"/>
    <s v="MSA_25050_W5 - PHM236981 - W5 - P00402_2025"/>
    <s v="P00402_2025"/>
    <s v="PK studie in minipig"/>
    <m/>
    <s v="INV 28371 + INV 29570"/>
    <s v="07/10/2025 + 23/12/2025"/>
    <n v="24872"/>
    <x v="2"/>
    <n v="24872"/>
    <n v="0"/>
    <n v="24872"/>
  </r>
  <r>
    <s v="ABX464"/>
    <m/>
    <s v="CLI"/>
    <s v="Caroline Lee"/>
    <s v="PHARMARON UK LDT"/>
    <s v="MSA_25050_W5 - PHM236981 - W5A1"/>
    <m/>
    <s v="PK studie in minipig"/>
    <m/>
    <s v="INV 28372"/>
    <d v="2025-10-07T00:00:00"/>
    <n v="2700"/>
    <x v="2"/>
    <n v="2700"/>
    <n v="0"/>
    <n v="2700"/>
  </r>
  <r>
    <s v="ABX464"/>
    <m/>
    <s v="CLI"/>
    <s v="Caroline Lee"/>
    <s v="BIOIVT - XenoTech"/>
    <s v="SC258068"/>
    <m/>
    <s v="Transporter Subsrate Assessment"/>
    <m/>
    <s v="INV SI16000003449 + INV SI16000003524"/>
    <s v="31/08/2025 + 18/11/2025"/>
    <n v="96491"/>
    <x v="3"/>
    <n v="96491"/>
    <n v="0"/>
    <n v="96491"/>
  </r>
  <r>
    <s v="NOTAPP"/>
    <m/>
    <s v="MED"/>
    <s v="Phuong T"/>
    <s v="PELOTON ADVANTAGE LLC"/>
    <s v="2025-01 - P00399_2025"/>
    <s v="P00399_2025"/>
    <s v="UEG 2025 Symposium Support"/>
    <m/>
    <s v="INV I005-105897 + INV I005-106751"/>
    <s v="15/10/2025 + 22/12/2025"/>
    <n v="90000"/>
    <x v="3"/>
    <n v="70810.89"/>
    <n v="19189.11"/>
    <n v="70810.89"/>
  </r>
  <r>
    <s v="UC110"/>
    <m/>
    <s v="CMC"/>
    <s v="Thanh-Huong"/>
    <s v="QUOTIENT NOTTINGHAM"/>
    <s v="QSC302430_SOW2_CO3 - P00380_2025"/>
    <s v="P00380_2025"/>
    <s v="Dissolution test minitab - June 2025 - 8 dissolutions"/>
    <m/>
    <s v="INV SIN006328"/>
    <d v="2025-09-08T00:00:00"/>
    <n v="39554"/>
    <x v="2"/>
    <n v="39554"/>
    <n v="0"/>
    <n v="39554"/>
  </r>
  <r>
    <s v="UC110"/>
    <m/>
    <s v="CMC"/>
    <s v="Thanh-Huong"/>
    <s v="QUOTIENT NOTTINGHAM"/>
    <s v="QSC302430_SOW2_CO3 - P00380_2025"/>
    <s v="P00380_2025"/>
    <s v="Dissolution test minitab - July 2025 - 6 dissolutions"/>
    <m/>
    <s v="INV SIN006327"/>
    <d v="2025-09-08T00:00:00"/>
    <n v="29726"/>
    <x v="2"/>
    <n v="29726"/>
    <n v="0"/>
    <n v="29726"/>
  </r>
  <r>
    <s v="UC110"/>
    <m/>
    <s v="CMC"/>
    <s v="Thanh-Huong"/>
    <s v="QUOTIENT NOTTINGHAM"/>
    <s v="QSC302430_SOW2_CO3 - P00380_2025"/>
    <s v="P00380_2025"/>
    <s v="Dissolution test minitab - August 2025 - 2 dissolutions"/>
    <m/>
    <s v="INV SIN006327"/>
    <d v="2025-09-08T00:00:00"/>
    <n v="9298"/>
    <x v="2"/>
    <n v="9298"/>
    <n v="0"/>
    <n v="9298"/>
  </r>
  <r>
    <s v="UC110"/>
    <m/>
    <s v="CMC"/>
    <s v="Thanh-Huong"/>
    <s v="QUOTIENT NOTTINGHAM"/>
    <s v="QSC302430_SOW2_CO3 - P00380_2025"/>
    <s v="P00380_2025"/>
    <s v="Dissolution test minitab - September 2025 - 2 dissolutions"/>
    <m/>
    <s v="INV SIN006555 - SCR000358"/>
    <s v="30/09/2025 - 09/10/2025"/>
    <n v="9298"/>
    <x v="2"/>
    <n v="0"/>
    <n v="9298"/>
    <n v="0"/>
  </r>
  <r>
    <s v="UC110"/>
    <m/>
    <s v="CMC"/>
    <s v="Thanh-Huong"/>
    <s v="QUOTIENT NOTTINGHAM"/>
    <s v="QSC302430_SOW2_CO3 - P00380_2025"/>
    <s v="P00380_2025"/>
    <s v="Dissolution test minitab - October 2025 - 4 dissolutions"/>
    <m/>
    <m/>
    <m/>
    <n v="19513"/>
    <x v="2"/>
    <m/>
    <n v="19513"/>
    <n v="0"/>
  </r>
  <r>
    <s v="UC110"/>
    <m/>
    <s v="CMC"/>
    <s v="Thanh-Huong"/>
    <s v="QUOTIENT NOTTINGHAM"/>
    <s v="QSC302430_SOW2_CO3 - P00380_2025"/>
    <s v="P00380_2025"/>
    <s v="Dissolution test minitab - November 2025 - 2 dissolutions"/>
    <m/>
    <m/>
    <m/>
    <n v="9298"/>
    <x v="2"/>
    <m/>
    <n v="9298"/>
    <n v="0"/>
  </r>
  <r>
    <s v="UC110"/>
    <m/>
    <s v="CMC"/>
    <s v="Thanh-Huong"/>
    <s v="QUOTIENT NOTTINGHAM"/>
    <s v="QSC302430_SOW2_CO3 - P00380_2025"/>
    <s v="P00380_2025"/>
    <s v="Dissolution test minitab - December 2025 - 2 dissolutions"/>
    <m/>
    <m/>
    <m/>
    <n v="9298"/>
    <x v="2"/>
    <m/>
    <n v="9298"/>
    <n v="0"/>
  </r>
  <r>
    <s v="UC110"/>
    <m/>
    <s v="CMC"/>
    <s v="Thanh-Huong"/>
    <s v="QUOTIENT NOTTINGHAM"/>
    <s v="QSC302430_SOW2_CO3 - P00380_2025"/>
    <s v="P00380_2025"/>
    <s v="Dissolution test minitab - January 2026 - 2 dissolutions"/>
    <m/>
    <m/>
    <m/>
    <n v="9298"/>
    <x v="2"/>
    <m/>
    <n v="9298"/>
    <n v="0"/>
  </r>
  <r>
    <s v="ABX464"/>
    <m/>
    <s v="CMC"/>
    <s v="Saadia"/>
    <s v="MICROMERITICS"/>
    <s v="Abivax 09-05-25 - P00396_2025"/>
    <s v="P00396_2025"/>
    <s v="Specific surface test"/>
    <m/>
    <s v="INV PSI030844"/>
    <d v="2025-09-17T00:00:00"/>
    <n v="14798.7"/>
    <x v="3"/>
    <n v="14798.7"/>
    <n v="0"/>
    <n v="14798.7"/>
  </r>
  <r>
    <s v="ABX464"/>
    <m/>
    <s v="CMC"/>
    <s v="Saadia"/>
    <s v="SEQENS"/>
    <s v="WO100#2025 - P00378_2025"/>
    <s v="P00378_2025"/>
    <s v="Residual nitrite control in cellulose"/>
    <m/>
    <s v="INV 00010 25002409 RI"/>
    <d v="2025-10-13T00:00:00"/>
    <n v="9375"/>
    <x v="1"/>
    <n v="9375"/>
    <n v="0"/>
    <n v="9375"/>
  </r>
  <r>
    <s v="ABX464"/>
    <m/>
    <s v="CMC"/>
    <s v="Adrien K"/>
    <s v="CHARLES RIVER NETHERLAND"/>
    <s v="OPP-396677 - CRL-32069829 - P00370_2025"/>
    <s v="P00370_2025"/>
    <s v="QSAR studies on 8 structures"/>
    <m/>
    <s v="INV 47050588"/>
    <d v="2025-10-07T00:00:00"/>
    <n v="13608"/>
    <x v="1"/>
    <n v="4082.4"/>
    <n v="9525.6"/>
    <n v="4082.4"/>
  </r>
  <r>
    <s v="ABX464"/>
    <m/>
    <s v="LAB"/>
    <s v="Aude G"/>
    <s v="MILTENYI"/>
    <s v="7104858-00 - P00412_2025"/>
    <s v="P00412_2025"/>
    <s v="Consommable Labo"/>
    <m/>
    <s v="INV 1032508225"/>
    <d v="2025-09-15T00:00:00"/>
    <n v="3000"/>
    <x v="1"/>
    <n v="3000"/>
    <n v="0"/>
    <n v="3000"/>
  </r>
  <r>
    <s v="ABX464"/>
    <m/>
    <s v="CMC"/>
    <s v="Saadia"/>
    <s v="JETPHARMA"/>
    <s v="25100290 - P00379_2025"/>
    <s v="P00379_2025"/>
    <s v="Milling triams and PSD analysis"/>
    <m/>
    <s v="INV 25100399"/>
    <d v="2025-09-24T00:00:00"/>
    <n v="86400"/>
    <x v="4"/>
    <n v="87394.8"/>
    <n v="0"/>
    <n v="87394.8"/>
  </r>
  <r>
    <s v="UC105"/>
    <m/>
    <s v="CLI"/>
    <s v="Trang N"/>
    <s v="IRON MOUTAIN"/>
    <s v="006Hr00001QCb8KIAT - P00403_2025"/>
    <s v="P00403_2025"/>
    <s v="Paper investigator Site File archiving China"/>
    <m/>
    <m/>
    <m/>
    <n v="8837.6"/>
    <x v="1"/>
    <m/>
    <n v="8837.6"/>
    <n v="0"/>
  </r>
  <r>
    <s v="ABX464"/>
    <m/>
    <s v="CMC"/>
    <s v="Sunil S / Jerome"/>
    <s v="THERMO FISHER TORONTO - PATHEON"/>
    <s v="ABIVAX CAPSULES ORDER - P00383_2025"/>
    <s v="P00383_2025"/>
    <s v="Refacturation matières consommables - Yellow &amp; Blue opaque hard gelatine"/>
    <m/>
    <s v="INV 90787388"/>
    <d v="2025-12-15T00:00:00"/>
    <n v="10199.06"/>
    <x v="3"/>
    <n v="10607.02"/>
    <n v="0"/>
    <n v="10607.02"/>
  </r>
  <r>
    <s v="ABX464"/>
    <m/>
    <s v="CMC"/>
    <s v="Sunil S / Jerome"/>
    <s v="THERMO FISHER TORONTO - PATHEON"/>
    <s v="ABIVAX BLISTERING TOOLING - P00387_2025"/>
    <s v="P00387_2025"/>
    <s v="Refacturation matières consommables - ABIVAX Blistering Tooling"/>
    <m/>
    <m/>
    <m/>
    <n v="90487.75"/>
    <x v="3"/>
    <m/>
    <n v="90487.75"/>
    <n v="0"/>
  </r>
  <r>
    <s v="NOTAPP"/>
    <m/>
    <s v="ANA"/>
    <s v="David D"/>
    <s v="TRINITY"/>
    <s v="SRV_25090_W5 - P00368_2025"/>
    <s v="P00368_2025"/>
    <s v="Quick HCP demand and Payor PMR"/>
    <m/>
    <s v="INV 37447 + INV 37785"/>
    <s v="11/08/2025 + 08/09/2025"/>
    <n v="150000"/>
    <x v="3"/>
    <n v="150000"/>
    <n v="0"/>
    <n v="150000"/>
  </r>
  <r>
    <s v="NOTAPP"/>
    <m/>
    <s v="MAC"/>
    <s v="Marcus"/>
    <s v="TRINITY"/>
    <s v="SRV_25090_W6 - P00392_2025"/>
    <s v="P00392_2025"/>
    <s v="Global P&amp;MA Strategy Refresh"/>
    <m/>
    <s v="INV 37784 + INV 38084 + INV 38557"/>
    <s v="08/09/2025 + 29/09/2025 +31/10/2025"/>
    <n v="299000"/>
    <x v="3"/>
    <n v="299000"/>
    <n v="0"/>
    <n v="299000"/>
  </r>
  <r>
    <s v="ABX464"/>
    <m/>
    <s v="CMC"/>
    <s v="Adrien K"/>
    <s v="DELPHARM REIMS"/>
    <s v="DDR 2025 071 V2.0 - P00397_2025"/>
    <s v="P00397_2025"/>
    <s v="Mis Manufacturing (sous et sur granulation)"/>
    <m/>
    <s v="INV 0106/26 + INV 0105/26 + INV 0114/26 +INV 0169/26 +INV 0276/26"/>
    <s v="10/09/2025 + 10/09/2025 + 11/09/2025 + 30/09/2025 +20/11/2025"/>
    <n v="35900"/>
    <x v="1"/>
    <n v="34750"/>
    <n v="1150"/>
    <n v="34750"/>
  </r>
  <r>
    <s v="ABX464"/>
    <m/>
    <s v="CMC"/>
    <s v="Saadia"/>
    <s v="JETPHARMA"/>
    <s v="54 SA - P00414_2025"/>
    <s v="P00414_2025"/>
    <s v="PSD analysis &amp; Morphology"/>
    <m/>
    <s v="INV 25100430  +INV 25100431 + INV 25100482 +INV 25100480 + INV 25100511 +INV 25100520"/>
    <s v="14/10/2025+17/11/2025 + 11/12/2025 + 10/12/2025 +15/12/2025"/>
    <n v="15250"/>
    <x v="4"/>
    <n v="6550"/>
    <n v="8700"/>
    <n v="6550"/>
  </r>
  <r>
    <s v="ABX464"/>
    <m/>
    <s v="CMC"/>
    <s v="Saadia"/>
    <s v="ARTMOLECULE"/>
    <s v="P2412021 - P00415_2025"/>
    <s v="P00415_2025"/>
    <s v="Synthèse de métabolites de ABX464"/>
    <m/>
    <s v="INV 32444 + INV 32455 + INV 32472"/>
    <s v="15/09/2025 + 27/10/2025+15/12/2025"/>
    <n v="17285"/>
    <x v="1"/>
    <n v="17200"/>
    <n v="85"/>
    <n v="17200"/>
  </r>
  <r>
    <s v="ABX464"/>
    <m/>
    <s v="CMC"/>
    <s v="Saadia"/>
    <s v="ARTMOLECULE"/>
    <s v="P2508291 - P00415_2025"/>
    <s v="P00415_2025"/>
    <s v="Reanalysis 12 compounds HPLC"/>
    <m/>
    <s v="INV 32446"/>
    <d v="2025-09-12T00:00:00"/>
    <n v="3800"/>
    <x v="1"/>
    <n v="3800"/>
    <n v="0"/>
    <n v="3800"/>
  </r>
  <r>
    <s v="NOTAPP"/>
    <m/>
    <s v="LAB"/>
    <s v="Aude G"/>
    <s v="LIFE TECHNOLOGIES"/>
    <s v="Web - P00419_2025"/>
    <s v="P00419_2025"/>
    <s v="Consommable Labo"/>
    <m/>
    <s v="INV 2044873 RI + INV 2044614"/>
    <s v="17/09/2025 + 16/09/2025"/>
    <n v="1932.8"/>
    <x v="1"/>
    <n v="1932.8"/>
    <n v="0"/>
    <n v="1932.8"/>
  </r>
  <r>
    <s v="NOTAPP"/>
    <m/>
    <s v="LAB"/>
    <s v="Aude G"/>
    <s v="JACKSON LABORATORIES"/>
    <s v="Q189152 - P00422_2025"/>
    <s v="P00422_2025"/>
    <s v="Souris modifiées"/>
    <m/>
    <s v="INV PIN235532 +INV PIN234958"/>
    <s v="31/12/2025 + 31/12/2025"/>
    <n v="15137.2"/>
    <x v="3"/>
    <n v="10652.4"/>
    <n v="4484.8000000000011"/>
    <n v="10652.4"/>
  </r>
  <r>
    <s v="ABX464"/>
    <m/>
    <s v="LAB"/>
    <s v="Aude G"/>
    <s v="BIOLEGEND"/>
    <s v="1xEB180925-NC-ABV - P00424_2025"/>
    <s v="P00424_2025"/>
    <s v="Consommable Labo"/>
    <m/>
    <s v="INV EUSI373613"/>
    <s v="20/11/202("/>
    <n v="300.8"/>
    <x v="1"/>
    <n v="300.8"/>
    <n v="0"/>
    <n v="300.8"/>
  </r>
  <r>
    <s v="ABX464"/>
    <m/>
    <s v="LAB"/>
    <s v="Aude G"/>
    <s v="BIOLEGEND"/>
    <s v="CLPX250917-NC-A - P00423_2025"/>
    <s v="P00423_2025"/>
    <s v="Consommable Labo"/>
    <m/>
    <s v="INV EUSI370354 + INV EUSI373294"/>
    <s v="07/11/2025 + 20/11/2025"/>
    <n v="6160"/>
    <x v="1"/>
    <n v="6160"/>
    <n v="0"/>
    <n v="6160"/>
  </r>
  <r>
    <s v="ABX464"/>
    <m/>
    <s v="LAB"/>
    <s v="Aude G"/>
    <s v="QIAGEN"/>
    <s v="250919FR01978097MP - P00428_2025"/>
    <s v="P00425_2025"/>
    <s v="Consommable Labo"/>
    <m/>
    <s v="INV 940585545 + INV 940585420 + INV 916000596"/>
    <s v="30/09/2025 + 29/09/2025 + 15/10/2025"/>
    <n v="7949.55"/>
    <x v="1"/>
    <n v="7924.5499999999993"/>
    <n v="0"/>
    <n v="7924.5499999999993"/>
  </r>
  <r>
    <s v="NOTAPP"/>
    <m/>
    <s v="LAB"/>
    <s v="Aude G"/>
    <s v="OCEASOFT"/>
    <s v="QTOC217083 - P00429_2025"/>
    <s v="P00429_2025"/>
    <s v="Licence annuelle OCEAlert + OCEAView - 05/08/2025 au 04/08/2026"/>
    <m/>
    <s v="INV INVOC1020647"/>
    <d v="2025-10-06T00:00:00"/>
    <n v="562.79999999999995"/>
    <x v="1"/>
    <n v="562.79999999999995"/>
    <n v="0"/>
    <n v="562.79999999999995"/>
  </r>
  <r>
    <s v="NOTAPP"/>
    <m/>
    <s v="ANA"/>
    <s v="David D"/>
    <s v="TRINITY"/>
    <s v="SRV_25090_W7 - P00413_2025"/>
    <s v="P00413_2025"/>
    <s v="Global HCP Demand Study"/>
    <m/>
    <s v="INV 38090 + INV 39033"/>
    <s v="29/09/2025 + 25/11/2025"/>
    <n v="453975"/>
    <x v="3"/>
    <n v="302650"/>
    <n v="151325"/>
    <n v="302650"/>
  </r>
  <r>
    <s v="ABX464"/>
    <m/>
    <s v="CMC"/>
    <s v="Sunil S / Jerome"/>
    <s v="THERMO FISHER CORK"/>
    <s v="COS-5-A-CRKA-335410-R3 CO n°10 - P00418_2025"/>
    <s v="P00418_2025"/>
    <s v="Stability Study for the DS Demonstration"/>
    <m/>
    <s v="INV 900132793"/>
    <d v="2025-10-08T00:00:00"/>
    <n v="63000"/>
    <x v="1"/>
    <n v="63000"/>
    <n v="0"/>
    <n v="6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9A0E8-959B-4C68-91DF-4C0ED3D6FA3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>
  <location ref="A3:B60" firstHeaderRow="1" firstDataRow="1" firstDataCol="1" rowPageCount="1" colPageCount="1"/>
  <pivotFields count="18">
    <pivotField showAll="0"/>
    <pivotField axis="axisRow" showAll="0">
      <items count="49">
        <item x="15"/>
        <item m="1" x="46"/>
        <item x="9"/>
        <item m="1" x="41"/>
        <item x="1"/>
        <item m="1" x="47"/>
        <item x="18"/>
        <item x="28"/>
        <item x="30"/>
        <item x="40"/>
        <item x="20"/>
        <item x="27"/>
        <item m="1" x="45"/>
        <item m="1" x="43"/>
        <item x="17"/>
        <item x="14"/>
        <item m="1" x="44"/>
        <item x="29"/>
        <item x="16"/>
        <item x="2"/>
        <item x="39"/>
        <item x="26"/>
        <item x="4"/>
        <item x="21"/>
        <item m="1" x="42"/>
        <item x="0"/>
        <item x="19"/>
        <item x="11"/>
        <item x="5"/>
        <item x="37"/>
        <item x="32"/>
        <item x="31"/>
        <item x="12"/>
        <item x="3"/>
        <item x="33"/>
        <item x="38"/>
        <item x="8"/>
        <item x="13"/>
        <item x="6"/>
        <item x="7"/>
        <item x="10"/>
        <item x="22"/>
        <item x="23"/>
        <item x="24"/>
        <item x="25"/>
        <item x="34"/>
        <item x="35"/>
        <item x="36"/>
        <item t="default"/>
      </items>
    </pivotField>
    <pivotField showAll="0"/>
    <pivotField axis="axisPage" multipleItemSelectionAllowed="1" showAll="0">
      <items count="13">
        <item h="1" x="5"/>
        <item h="1" x="2"/>
        <item m="1" x="11"/>
        <item x="3"/>
        <item h="1" m="1" x="10"/>
        <item h="1" x="0"/>
        <item h="1" x="4"/>
        <item h="1" x="6"/>
        <item h="1" x="8"/>
        <item h="1" x="1"/>
        <item h="1" x="7"/>
        <item h="1" x="9"/>
        <item t="default"/>
      </items>
    </pivotField>
    <pivotField showAll="0"/>
    <pivotField axis="axisRow" showAll="0">
      <items count="161">
        <item x="0"/>
        <item m="1" x="135"/>
        <item x="2"/>
        <item m="1" x="141"/>
        <item m="1" x="153"/>
        <item x="8"/>
        <item m="1" x="152"/>
        <item m="1" x="149"/>
        <item m="1" x="123"/>
        <item x="9"/>
        <item x="10"/>
        <item m="1" x="81"/>
        <item m="1" x="87"/>
        <item m="1" x="125"/>
        <item m="1" x="91"/>
        <item x="13"/>
        <item x="15"/>
        <item x="20"/>
        <item x="22"/>
        <item x="23"/>
        <item x="25"/>
        <item x="28"/>
        <item m="1" x="103"/>
        <item x="31"/>
        <item m="1" x="138"/>
        <item m="1" x="142"/>
        <item m="1" x="159"/>
        <item m="1" x="154"/>
        <item m="1" x="77"/>
        <item m="1" x="75"/>
        <item m="1" x="133"/>
        <item x="38"/>
        <item m="1" x="92"/>
        <item m="1" x="88"/>
        <item x="41"/>
        <item x="42"/>
        <item m="1" x="113"/>
        <item m="1" x="90"/>
        <item x="46"/>
        <item x="48"/>
        <item x="49"/>
        <item x="50"/>
        <item x="51"/>
        <item m="1" x="101"/>
        <item m="1" x="99"/>
        <item x="52"/>
        <item x="56"/>
        <item x="57"/>
        <item x="59"/>
        <item x="62"/>
        <item m="1" x="79"/>
        <item m="1" x="136"/>
        <item x="63"/>
        <item x="64"/>
        <item x="65"/>
        <item m="1" x="130"/>
        <item x="67"/>
        <item m="1" x="144"/>
        <item x="68"/>
        <item m="1" x="121"/>
        <item x="69"/>
        <item x="70"/>
        <item m="1" x="89"/>
        <item m="1" x="128"/>
        <item m="1" x="96"/>
        <item m="1" x="122"/>
        <item x="71"/>
        <item m="1" x="97"/>
        <item m="1" x="105"/>
        <item m="1" x="150"/>
        <item m="1" x="143"/>
        <item m="1" x="146"/>
        <item m="1" x="106"/>
        <item m="1" x="129"/>
        <item m="1" x="104"/>
        <item m="1" x="109"/>
        <item m="1" x="126"/>
        <item m="1" x="132"/>
        <item m="1" x="116"/>
        <item m="1" x="115"/>
        <item m="1" x="107"/>
        <item m="1" x="120"/>
        <item m="1" x="110"/>
        <item m="1" x="98"/>
        <item m="1" x="139"/>
        <item m="1" x="93"/>
        <item m="1" x="83"/>
        <item m="1" x="100"/>
        <item m="1" x="82"/>
        <item m="1" x="140"/>
        <item m="1" x="108"/>
        <item m="1" x="124"/>
        <item m="1" x="74"/>
        <item m="1" x="111"/>
        <item m="1" x="145"/>
        <item m="1" x="117"/>
        <item m="1" x="134"/>
        <item m="1" x="80"/>
        <item m="1" x="94"/>
        <item m="1" x="119"/>
        <item m="1" x="151"/>
        <item m="1" x="76"/>
        <item m="1" x="156"/>
        <item m="1" x="78"/>
        <item m="1" x="137"/>
        <item m="1" x="112"/>
        <item m="1" x="158"/>
        <item m="1" x="157"/>
        <item m="1" x="95"/>
        <item m="1" x="114"/>
        <item m="1" x="118"/>
        <item m="1" x="86"/>
        <item m="1" x="155"/>
        <item m="1" x="84"/>
        <item m="1" x="85"/>
        <item m="1" x="148"/>
        <item m="1" x="127"/>
        <item m="1" x="102"/>
        <item m="1" x="131"/>
        <item m="1" x="147"/>
        <item x="1"/>
        <item x="3"/>
        <item x="4"/>
        <item x="5"/>
        <item x="6"/>
        <item x="7"/>
        <item x="11"/>
        <item x="12"/>
        <item x="14"/>
        <item x="16"/>
        <item x="17"/>
        <item x="18"/>
        <item x="19"/>
        <item x="21"/>
        <item x="24"/>
        <item x="26"/>
        <item x="27"/>
        <item x="29"/>
        <item x="30"/>
        <item x="32"/>
        <item x="33"/>
        <item x="34"/>
        <item x="35"/>
        <item x="36"/>
        <item x="37"/>
        <item x="39"/>
        <item x="40"/>
        <item x="43"/>
        <item x="44"/>
        <item x="45"/>
        <item x="47"/>
        <item x="53"/>
        <item x="54"/>
        <item x="55"/>
        <item x="58"/>
        <item x="60"/>
        <item x="61"/>
        <item x="66"/>
        <item x="72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5"/>
  </rowFields>
  <rowItems count="57">
    <i>
      <x/>
    </i>
    <i r="1">
      <x v="54"/>
    </i>
    <i r="1">
      <x v="157"/>
    </i>
    <i>
      <x v="2"/>
    </i>
    <i r="1">
      <x v="17"/>
    </i>
    <i r="1">
      <x v="41"/>
    </i>
    <i>
      <x v="4"/>
    </i>
    <i r="1">
      <x v="9"/>
    </i>
    <i r="1">
      <x v="10"/>
    </i>
    <i r="1">
      <x v="35"/>
    </i>
    <i r="1">
      <x v="38"/>
    </i>
    <i r="1">
      <x v="39"/>
    </i>
    <i r="1">
      <x v="40"/>
    </i>
    <i r="1">
      <x v="49"/>
    </i>
    <i r="1">
      <x v="52"/>
    </i>
    <i r="1">
      <x v="125"/>
    </i>
    <i r="1">
      <x v="127"/>
    </i>
    <i r="1">
      <x v="135"/>
    </i>
    <i r="1">
      <x v="140"/>
    </i>
    <i r="1">
      <x v="146"/>
    </i>
    <i r="1">
      <x v="150"/>
    </i>
    <i r="1">
      <x v="152"/>
    </i>
    <i r="1">
      <x v="154"/>
    </i>
    <i>
      <x v="11"/>
    </i>
    <i r="1">
      <x v="35"/>
    </i>
    <i>
      <x v="17"/>
    </i>
    <i r="1">
      <x v="35"/>
    </i>
    <i>
      <x v="19"/>
    </i>
    <i r="1">
      <x v="40"/>
    </i>
    <i r="1">
      <x v="140"/>
    </i>
    <i>
      <x v="28"/>
    </i>
    <i r="1">
      <x v="35"/>
    </i>
    <i>
      <x v="30"/>
    </i>
    <i r="1">
      <x v="35"/>
    </i>
    <i>
      <x v="33"/>
    </i>
    <i r="1">
      <x v="35"/>
    </i>
    <i>
      <x v="34"/>
    </i>
    <i r="1">
      <x v="35"/>
    </i>
    <i>
      <x v="36"/>
    </i>
    <i r="1">
      <x v="35"/>
    </i>
    <i r="1">
      <x v="124"/>
    </i>
    <i>
      <x v="37"/>
    </i>
    <i r="1">
      <x v="35"/>
    </i>
    <i r="1">
      <x v="159"/>
    </i>
    <i>
      <x v="39"/>
    </i>
    <i r="1">
      <x v="124"/>
    </i>
    <i>
      <x v="40"/>
    </i>
    <i r="1">
      <x v="35"/>
    </i>
    <i>
      <x v="41"/>
    </i>
    <i r="1">
      <x v="35"/>
    </i>
    <i>
      <x v="42"/>
    </i>
    <i r="1">
      <x v="35"/>
    </i>
    <i>
      <x v="43"/>
    </i>
    <i r="1">
      <x v="35"/>
    </i>
    <i>
      <x v="47"/>
    </i>
    <i r="1">
      <x v="49"/>
    </i>
    <i t="grand">
      <x/>
    </i>
  </rowItems>
  <colItems count="1">
    <i/>
  </colItems>
  <pageFields count="1">
    <pageField fld="3" hier="-1"/>
  </pageFields>
  <dataFields count="1">
    <dataField name="Somme de To be expected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B1886-5128-43B1-A59F-DD6A9EC64F93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2:E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m="1" x="6"/>
        <item x="0"/>
        <item x="5"/>
        <item x="4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To be expected" fld="14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61" dT="2019-09-27T14:11:36.01" personId="{5D722C66-54CD-4724-BA14-4D3175BC75F6}" id="{1C787CCD-2E1F-4284-A508-17EF212E034B}">
    <text>A contester</text>
  </threadedComment>
  <threadedComment ref="P261" dT="2019-10-07T13:38:44.47" personId="{5D722C66-54CD-4724-BA14-4D3175BC75F6}" id="{31B5B856-C9A7-455E-8E4A-4F6F6D0AA6B1}" parentId="{1C787CCD-2E1F-4284-A508-17EF212E034B}">
    <text>OK vu avce PG</text>
  </threadedComment>
  <threadedComment ref="P557" dT="2021-01-27T11:06:20.02" personId="{5D722C66-54CD-4724-BA14-4D3175BC75F6}" id="{5ABB7477-4DFA-4D98-93AB-E2BF129B3A0A}">
    <text>Prix plus élévé car demande de sortie accélérée des résultats</text>
  </threadedComment>
  <threadedComment ref="P1011" dT="2019-09-24T11:48:47.96" personId="{5D722C66-54CD-4724-BA14-4D3175BC75F6}" id="{DB5DE2AE-0673-43DB-8EA1-A3BB08627EDD}">
    <text>En l'absence de la facture d'Upfront et au vu de l'arrivée des factures de PTC mensuelle : je saisi ici les dépenses jusqu'a clarification</text>
  </threadedComment>
  <threadedComment ref="P1011" dT="2020-09-18T12:36:34.51" personId="{5D722C66-54CD-4724-BA14-4D3175BC75F6}" id="{8330D423-F4A8-4E79-94C9-A654D1E9E254}" parentId="{DB5DE2AE-0673-43DB-8EA1-A3BB08627EDD}">
    <text>OK tout est rentré dans l'ordre</text>
  </threadedComment>
  <threadedComment ref="J1021" dT="2019-11-18T14:11:15.07" personId="{5D722C66-54CD-4724-BA14-4D3175BC75F6}" id="{1CCEBC2D-C9A0-45CD-8CB2-AF9B1FABEEB9}">
    <text>An upfronrpayrnent of 10% of Passthrough Fees will 1w charged to Sponsor upon execution cf tise Work Order</text>
  </threadedComment>
  <threadedComment ref="J1022" dT="2019-11-18T14:12:27.93" personId="{5D722C66-54CD-4724-BA14-4D3175BC75F6}" id="{FACF3784-7392-4545-99AF-FBB13BF92254}">
    <text>An upfront payment of 10% of investigator Fees wilI be charged to Sponsor upon completion of the First Patient
Screened.</text>
  </threadedComment>
  <threadedComment ref="L1419" dT="2020-05-04T12:33:04.45" personId="{5D722C66-54CD-4724-BA14-4D3175BC75F6}" id="{303131F7-24DB-4F81-8EC2-B599DBF01A3C}">
    <text>CR a venir</text>
  </threadedComment>
  <threadedComment ref="M1649" dT="2020-03-12T17:06:19.41" personId="{5D722C66-54CD-4724-BA14-4D3175BC75F6}" id="{E52FF052-A65E-48AA-B83A-664A59F5B4DD}">
    <text>Facture reçue tardivement (le 12/03/2020)</text>
  </threadedComment>
  <threadedComment ref="O1872" dT="2024-02-26T15:34:56.38" personId="{C1B774C4-2BDC-47FE-A14C-957866F51E96}" id="{8F746389-72AA-4098-84BD-7DE8E390F9B7}">
    <text>GBP</text>
  </threadedComment>
  <threadedComment ref="O2045" dT="2025-03-17T13:12:24.64" personId="{45AC7402-4E01-4AD5-877A-0E611978BA60}" id="{53AC5CC0-C1AC-4C65-9DED-C03807612778}">
    <text>Sera facturé en USD</text>
  </threadedComment>
  <threadedComment ref="O2045" dT="2025-04-16T14:53:41.72" personId="{45AC7402-4E01-4AD5-877A-0E611978BA60}" id="{9AE6B2A1-2D36-49DC-AEA8-B470AC9816DE}" parentId="{53AC5CC0-C1AC-4C65-9DED-C03807612778}">
    <text>Plus besoin</text>
  </threadedComment>
  <threadedComment ref="O2046" dT="2025-03-17T13:18:20.32" personId="{45AC7402-4E01-4AD5-877A-0E611978BA60}" id="{9BCA7924-986F-4579-AB92-803570A0F9C4}">
    <text>Serra facturé en USD</text>
  </threadedComment>
  <threadedComment ref="O2174" dT="2025-03-17T13:12:24.64" personId="{45AC7402-4E01-4AD5-877A-0E611978BA60}" id="{5A3D92EC-EF2D-4C84-9B24-B2E7E0B5713A}">
    <text>Sera facturé en CAD vu avec eux</text>
  </threadedComment>
  <threadedComment ref="O2174" dT="2025-10-13T07:57:13.61" personId="{45AC7402-4E01-4AD5-877A-0E611978BA60}" id="{869C2518-DBBC-46FE-BEBF-BD2CC378F451}" parentId="{5A3D92EC-EF2D-4C84-9B24-B2E7E0B5713A}">
    <text>Finalement pas - vu avec Sunil au moment de la réception de la facture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27" dT="2020-01-30T12:41:09.02" personId="{5D722C66-54CD-4724-BA14-4D3175BC75F6}" id="{41CD3D2B-1F1D-45E1-86F6-11F11ABC45BE}">
    <text>Mis a zero après reception de la "dernière" facture la n°11</text>
  </threadedComment>
  <threadedComment ref="Q128" dT="2020-01-30T12:41:13.46" personId="{5D722C66-54CD-4724-BA14-4D3175BC75F6}" id="{3158BF4B-9590-49DB-9257-78A9C911AD79}">
    <text>Mis a zero après reception de la "dernière" facture la n°11</text>
  </threadedComment>
  <threadedComment ref="M181" dT="2019-11-15T16:12:00.33" personId="{5D722C66-54CD-4724-BA14-4D3175BC75F6}" id="{04E41DFC-2028-4D5D-8BD9-23F1FFA4BA3E}">
    <text>INV reçue : saisie, peut-être constée ? Voir avec PC Novembre 2019</text>
  </threadedComment>
  <threadedComment ref="M308" dT="2019-07-24T13:10:05.52" personId="{5D722C66-54CD-4724-BA14-4D3175BC75F6}" id="{76E6A83A-92AE-4A8D-9F0F-380BE6B74B7C}">
    <text>En réalité la facture est datée de mai mais DS me l'a envoyé en juillet post cloture</text>
  </threadedComment>
  <threadedComment ref="M310" dT="2019-07-24T13:10:10.54" personId="{5D722C66-54CD-4724-BA14-4D3175BC75F6}" id="{44635072-6A41-4A25-AF3F-AD92390D15E2}">
    <text>En réalité la facture est datée de mai mais DS me l'a envoyé en juillet post cloture</text>
  </threadedComment>
  <threadedComment ref="M312" dT="2019-07-24T13:10:15.75" personId="{5D722C66-54CD-4724-BA14-4D3175BC75F6}" id="{8DB6210C-0102-47A6-AF5D-FBA10F5779D6}">
    <text>En réalité la facture est datée de mai mais DS me l'a envoyé en juillet post cloture</text>
  </threadedComment>
  <threadedComment ref="P405" dT="2019-04-04T16:09:16.95" personId="{5D722C66-54CD-4724-BA14-4D3175BC75F6}" id="{D459DA01-0803-410D-9CD7-BA64628A110B}">
    <text>Se sont trompé dans le prix : prix du T3M</text>
  </threadedComment>
  <threadedComment ref="P406" dT="2019-07-03T12:42:01.15" personId="{5D722C66-54CD-4724-BA14-4D3175BC75F6}" id="{2D1E8470-4015-43BD-A1C1-4B9C073AFD81}">
    <text>Se sont trompé</text>
  </threadedComment>
  <threadedComment ref="N474" dT="2020-02-06T10:43:42.45" personId="{5D722C66-54CD-4724-BA14-4D3175BC75F6}" id="{4ED47604-758F-4233-9DDA-F13938AF7177}">
    <text>Reduit à 25k€ au lieu de 300k€</text>
  </threadedComment>
  <threadedComment ref="N475" dT="2020-02-06T10:43:55.82" personId="{5D722C66-54CD-4724-BA14-4D3175BC75F6}" id="{C1E05FD2-2218-4335-A022-70A73D5771B9}">
    <text>Reduit à 25k€ au lieu de 300k€</text>
  </threadedComment>
  <threadedComment ref="N476" dT="2020-02-06T10:43:59.86" personId="{5D722C66-54CD-4724-BA14-4D3175BC75F6}" id="{31FC7085-1628-41F2-BFD2-0FF4CB4B0C24}">
    <text>Reduit à 25k€ au lieu de 300k€</text>
  </threadedComment>
  <threadedComment ref="N477" dT="2020-02-06T10:44:23.00" personId="{5D722C66-54CD-4724-BA14-4D3175BC75F6}" id="{EB13DFC6-8EED-4DE6-A52F-B9C94A1E3900}">
    <text>a réajuster selon</text>
  </threadedComment>
  <threadedComment ref="N478" dT="2020-02-06T10:44:28.14" personId="{5D722C66-54CD-4724-BA14-4D3175BC75F6}" id="{29BD14F9-6E1E-4263-BF37-AB0B60355BA6}">
    <text>a réajuster selon</text>
  </threadedComment>
  <threadedComment ref="N479" dT="2020-02-06T10:44:32.03" personId="{5D722C66-54CD-4724-BA14-4D3175BC75F6}" id="{C2959CE6-CCED-40FC-ADBD-DA8F4322FD55}">
    <text>a réajuster selon</text>
  </threadedComment>
  <threadedComment ref="J874" dT="2019-09-27T09:20:18.49" personId="{5D722C66-54CD-4724-BA14-4D3175BC75F6}" id="{4AFA0B4E-A47B-4D1C-9017-40D1E062D522}">
    <text>Will be invoice with the next installment</text>
  </threadedComment>
  <threadedComment ref="N885" dT="2019-12-05T11:16:32.43" personId="{5D722C66-54CD-4724-BA14-4D3175BC75F6}" id="{876D5E42-CB72-47C0-8F02-A098354385C6}">
    <text>Vu avec AP : va être un peu au dessus</text>
  </threadedComment>
  <threadedComment ref="J888" dT="2019-09-27T09:20:18.49" personId="{5D722C66-54CD-4724-BA14-4D3175BC75F6}" id="{1D4916A3-1C11-4888-AD5B-12B484C3D59B}">
    <text>Will be invoice with the next installment</text>
  </threadedComment>
  <threadedComment ref="N1063" dT="2020-10-15T08:08:25.83" personId="{5D722C66-54CD-4724-BA14-4D3175BC75F6}" id="{A2D98FFE-3657-4FD2-90EC-8581711B55A0}">
    <text>Voir avec Paul si ce starup fee est celui de la LOI</text>
  </threadedComment>
  <threadedComment ref="N1063" dT="2020-11-13T17:24:33.74" personId="{5D722C66-54CD-4724-BA14-4D3175BC75F6}" id="{9830611E-A0F0-428D-B820-E315C562BA0C}" parentId="{A2D98FFE-3657-4FD2-90EC-8581711B55A0}">
    <text>OUI</text>
  </threadedComment>
  <threadedComment ref="M1447" dT="2019-07-24T14:00:01.14" personId="{5D722C66-54CD-4724-BA14-4D3175BC75F6}" id="{F4C4E90F-33A9-409B-A1C3-7FCE830CDC6B}">
    <text>C'etait prévu pour Oct 2019 selon DS/ selon l'engage : c'est arrivé en Juillet</text>
  </threadedComment>
  <threadedComment ref="P1737" dT="2021-07-08T12:41:27.00" personId="{5D722C66-54CD-4724-BA14-4D3175BC75F6}" id="{8AA41A46-2FFA-4955-A1D0-F96316ACF0C0}">
    <text>Avoir a recevoir de 2 500 €</text>
  </threadedComment>
  <threadedComment ref="P1737" dT="2021-07-26T10:02:17.43" personId="{5D722C66-54CD-4724-BA14-4D3175BC75F6}" id="{7645F345-C557-4605-A9A9-0C6ABF014806}" parentId="{8AA41A46-2FFA-4955-A1D0-F96316ACF0C0}">
    <text>Reçu le 23/07/2021</text>
  </threadedComment>
  <threadedComment ref="L1762" dT="2021-04-16T14:59:19.99" personId="{5D722C66-54CD-4724-BA14-4D3175BC75F6}" id="{F60B2EFD-F7B6-4B82-924C-F4927D32E658}">
    <text>Mise ici car je pense qu'il y a une erreure dans le libellé du Milestone</text>
  </threadedComment>
  <threadedComment ref="N2647" dT="2020-11-16T09:44:22.23" personId="{5D722C66-54CD-4724-BA14-4D3175BC75F6}" id="{4E114E74-81FC-4AEA-B7BA-82257D9CA1D4}">
    <text>Prix revu par PCAS car pris en charge par Fisher. Cf Mail du 16/11/2020</text>
  </threadedComment>
  <threadedComment ref="N2653" dT="2020-11-16T09:44:22.23" personId="{5D722C66-54CD-4724-BA14-4D3175BC75F6}" id="{4151026D-682A-4CFE-A2C8-3C48C707B2BC}">
    <text>Prix revu par PCAS car pris en charge par Fisher. Cf Mail du 16/11/2020</text>
  </threadedComment>
  <threadedComment ref="N2659" dT="2020-11-16T09:44:22.23" personId="{5D722C66-54CD-4724-BA14-4D3175BC75F6}" id="{8C9F2793-ADF0-4C93-BF58-2D8B894B58D4}">
    <text>Prix revu par PCAS car pris en charge par Fisher. Cf Mail du 16/11/2020</text>
  </threadedComment>
  <threadedComment ref="N2802" dT="2021-09-13T07:54:37.12" personId="{5D722C66-54CD-4724-BA14-4D3175BC75F6}" id="{AE96D92D-2BD7-49F0-B877-2E73E13F6D38}">
    <text>Inclu dans le MSA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B76C-F6AA-4D7B-9D50-F144B6CFCC5C}">
  <sheetPr>
    <tabColor rgb="FF00B050"/>
  </sheetPr>
  <dimension ref="A1:G60"/>
  <sheetViews>
    <sheetView topLeftCell="C1" workbookViewId="0">
      <selection activeCell="G3" sqref="G3"/>
    </sheetView>
  </sheetViews>
  <sheetFormatPr baseColWidth="10" defaultRowHeight="15" x14ac:dyDescent="0.25"/>
  <cols>
    <col min="1" max="1" width="30.5703125" hidden="1" customWidth="1"/>
    <col min="2" max="2" width="24.7109375" hidden="1" customWidth="1"/>
    <col min="3" max="3" width="9.7109375" customWidth="1"/>
    <col min="4" max="4" width="21" bestFit="1" customWidth="1"/>
    <col min="5" max="5" width="24.7109375" bestFit="1" customWidth="1"/>
    <col min="6" max="480" width="23.85546875" bestFit="1" customWidth="1"/>
    <col min="481" max="481" width="12.5703125" bestFit="1" customWidth="1"/>
  </cols>
  <sheetData>
    <row r="1" spans="1:7" x14ac:dyDescent="0.25">
      <c r="A1" s="6" t="s">
        <v>5</v>
      </c>
      <c r="B1" t="s">
        <v>0</v>
      </c>
    </row>
    <row r="2" spans="1:7" x14ac:dyDescent="0.25">
      <c r="D2" s="6" t="s">
        <v>3785</v>
      </c>
      <c r="E2" t="s">
        <v>3784</v>
      </c>
      <c r="F2" s="506" t="s">
        <v>12549</v>
      </c>
      <c r="G2" t="s">
        <v>13964</v>
      </c>
    </row>
    <row r="3" spans="1:7" x14ac:dyDescent="0.25">
      <c r="A3" s="6" t="s">
        <v>3785</v>
      </c>
      <c r="B3" t="s">
        <v>3784</v>
      </c>
      <c r="D3" s="1" t="s">
        <v>16</v>
      </c>
      <c r="E3" s="507">
        <v>18450</v>
      </c>
      <c r="F3" s="510">
        <f>GETPIVOTDATA("To be expected",$D$2,"Currency","AUD")/G3</f>
        <v>10364.004044489384</v>
      </c>
      <c r="G3" s="508">
        <v>1.7802</v>
      </c>
    </row>
    <row r="4" spans="1:7" x14ac:dyDescent="0.25">
      <c r="A4" s="1" t="s">
        <v>2421</v>
      </c>
      <c r="B4">
        <v>45193.630000000019</v>
      </c>
      <c r="D4" s="1" t="s">
        <v>225</v>
      </c>
      <c r="E4" s="507">
        <v>50790.64</v>
      </c>
      <c r="F4" s="510">
        <f t="shared" ref="F4:F8" si="0">GETPIVOTDATA("To be expected",$D$2,"Currency","AUD")/G4</f>
        <v>11379.055137535464</v>
      </c>
      <c r="G4" s="508">
        <v>1.6214</v>
      </c>
    </row>
    <row r="5" spans="1:7" x14ac:dyDescent="0.25">
      <c r="A5" s="231" t="s">
        <v>1616</v>
      </c>
      <c r="B5">
        <v>44257.630000000019</v>
      </c>
      <c r="D5" s="1" t="s">
        <v>337</v>
      </c>
      <c r="E5" s="507">
        <v>44737.7</v>
      </c>
      <c r="F5" s="510">
        <f t="shared" si="0"/>
        <v>19745.29109589041</v>
      </c>
      <c r="G5" s="508">
        <v>0.93440000000000001</v>
      </c>
    </row>
    <row r="6" spans="1:7" x14ac:dyDescent="0.25">
      <c r="A6" s="231" t="s">
        <v>6570</v>
      </c>
      <c r="B6">
        <v>936</v>
      </c>
      <c r="D6" s="1" t="s">
        <v>15</v>
      </c>
      <c r="E6" s="507">
        <v>144887289.31266674</v>
      </c>
      <c r="F6" s="510">
        <f>GETPIVOTDATA("To be expected",$D$2,"Currency","EUROS")</f>
        <v>144887289.31266674</v>
      </c>
    </row>
    <row r="7" spans="1:7" x14ac:dyDescent="0.25">
      <c r="A7" s="1" t="s">
        <v>2427</v>
      </c>
      <c r="B7">
        <v>32300</v>
      </c>
      <c r="D7" s="1" t="s">
        <v>341</v>
      </c>
      <c r="E7" s="507">
        <v>558843.48</v>
      </c>
      <c r="F7" s="510">
        <f t="shared" si="0"/>
        <v>21187.413872301331</v>
      </c>
      <c r="G7" s="508">
        <v>0.87080000000000002</v>
      </c>
    </row>
    <row r="8" spans="1:7" x14ac:dyDescent="0.25">
      <c r="A8" s="231" t="s">
        <v>5056</v>
      </c>
      <c r="B8">
        <v>32300</v>
      </c>
      <c r="D8" s="1" t="s">
        <v>276</v>
      </c>
      <c r="E8" s="507">
        <v>10832867.438333336</v>
      </c>
      <c r="F8" s="510">
        <f t="shared" si="0"/>
        <v>15720.858895705522</v>
      </c>
      <c r="G8" s="508">
        <v>1.1736</v>
      </c>
    </row>
    <row r="9" spans="1:7" x14ac:dyDescent="0.25">
      <c r="A9" s="231" t="s">
        <v>340</v>
      </c>
      <c r="B9">
        <v>0</v>
      </c>
      <c r="D9" s="1" t="s">
        <v>101</v>
      </c>
      <c r="E9" s="507">
        <v>156392978.57100007</v>
      </c>
      <c r="F9" s="509">
        <f>SUM(F3:F8)</f>
        <v>144965685.93571267</v>
      </c>
    </row>
    <row r="10" spans="1:7" x14ac:dyDescent="0.25">
      <c r="A10" s="1" t="s">
        <v>2450</v>
      </c>
      <c r="B10">
        <v>1525555.1099999999</v>
      </c>
    </row>
    <row r="11" spans="1:7" x14ac:dyDescent="0.25">
      <c r="A11" s="231" t="s">
        <v>5780</v>
      </c>
      <c r="B11">
        <v>1032.1600000000001</v>
      </c>
    </row>
    <row r="12" spans="1:7" x14ac:dyDescent="0.25">
      <c r="A12" s="231" t="s">
        <v>92</v>
      </c>
      <c r="B12">
        <v>33251.699999999997</v>
      </c>
    </row>
    <row r="13" spans="1:7" x14ac:dyDescent="0.25">
      <c r="A13" s="231" t="s">
        <v>509</v>
      </c>
      <c r="B13">
        <v>103477.48</v>
      </c>
    </row>
    <row r="14" spans="1:7" x14ac:dyDescent="0.25">
      <c r="A14" s="231" t="s">
        <v>99</v>
      </c>
      <c r="B14">
        <v>184693</v>
      </c>
    </row>
    <row r="15" spans="1:7" x14ac:dyDescent="0.25">
      <c r="A15" s="231" t="s">
        <v>5405</v>
      </c>
      <c r="B15">
        <v>22420</v>
      </c>
    </row>
    <row r="16" spans="1:7" x14ac:dyDescent="0.25">
      <c r="A16" s="231" t="s">
        <v>3687</v>
      </c>
      <c r="B16">
        <v>368822</v>
      </c>
    </row>
    <row r="17" spans="1:2" x14ac:dyDescent="0.25">
      <c r="A17" s="231" t="s">
        <v>132</v>
      </c>
      <c r="B17">
        <v>12330</v>
      </c>
    </row>
    <row r="18" spans="1:2" x14ac:dyDescent="0.25">
      <c r="A18" s="231" t="s">
        <v>6028</v>
      </c>
      <c r="B18">
        <v>820</v>
      </c>
    </row>
    <row r="19" spans="1:2" x14ac:dyDescent="0.25">
      <c r="A19" s="231" t="s">
        <v>10270</v>
      </c>
      <c r="B19">
        <v>600</v>
      </c>
    </row>
    <row r="20" spans="1:2" x14ac:dyDescent="0.25">
      <c r="A20" s="231" t="s">
        <v>9639</v>
      </c>
      <c r="B20">
        <v>1540</v>
      </c>
    </row>
    <row r="21" spans="1:2" x14ac:dyDescent="0.25">
      <c r="A21" s="231" t="s">
        <v>7415</v>
      </c>
      <c r="B21">
        <v>265000</v>
      </c>
    </row>
    <row r="22" spans="1:2" x14ac:dyDescent="0.25">
      <c r="A22" s="231" t="s">
        <v>6474</v>
      </c>
      <c r="B22">
        <v>765</v>
      </c>
    </row>
    <row r="23" spans="1:2" x14ac:dyDescent="0.25">
      <c r="A23" s="231" t="s">
        <v>7493</v>
      </c>
      <c r="B23">
        <v>0</v>
      </c>
    </row>
    <row r="24" spans="1:2" x14ac:dyDescent="0.25">
      <c r="A24" s="231" t="s">
        <v>6365</v>
      </c>
      <c r="B24">
        <v>529328.77</v>
      </c>
    </row>
    <row r="25" spans="1:2" x14ac:dyDescent="0.25">
      <c r="A25" s="231" t="s">
        <v>10624</v>
      </c>
      <c r="B25">
        <v>0</v>
      </c>
    </row>
    <row r="26" spans="1:2" x14ac:dyDescent="0.25">
      <c r="A26" s="231" t="s">
        <v>9643</v>
      </c>
      <c r="B26">
        <v>1475</v>
      </c>
    </row>
    <row r="27" spans="1:2" x14ac:dyDescent="0.25">
      <c r="A27" s="1" t="s">
        <v>3484</v>
      </c>
      <c r="B27">
        <v>1136.7400000000025</v>
      </c>
    </row>
    <row r="28" spans="1:2" x14ac:dyDescent="0.25">
      <c r="A28" s="231" t="s">
        <v>509</v>
      </c>
      <c r="B28">
        <v>1136.7400000000025</v>
      </c>
    </row>
    <row r="29" spans="1:2" x14ac:dyDescent="0.25">
      <c r="A29" s="1" t="s">
        <v>4628</v>
      </c>
      <c r="B29">
        <v>25635.769999999997</v>
      </c>
    </row>
    <row r="30" spans="1:2" x14ac:dyDescent="0.25">
      <c r="A30" s="231" t="s">
        <v>509</v>
      </c>
      <c r="B30">
        <v>25635.769999999997</v>
      </c>
    </row>
    <row r="31" spans="1:2" x14ac:dyDescent="0.25">
      <c r="A31" s="1" t="s">
        <v>158</v>
      </c>
      <c r="B31">
        <v>3402</v>
      </c>
    </row>
    <row r="32" spans="1:2" x14ac:dyDescent="0.25">
      <c r="A32" s="231" t="s">
        <v>3687</v>
      </c>
      <c r="B32">
        <v>0</v>
      </c>
    </row>
    <row r="33" spans="1:2" x14ac:dyDescent="0.25">
      <c r="A33" s="231" t="s">
        <v>6474</v>
      </c>
      <c r="B33">
        <v>3402</v>
      </c>
    </row>
    <row r="34" spans="1:2" x14ac:dyDescent="0.25">
      <c r="A34" s="1" t="s">
        <v>2459</v>
      </c>
      <c r="B34">
        <v>24783.859999999997</v>
      </c>
    </row>
    <row r="35" spans="1:2" x14ac:dyDescent="0.25">
      <c r="A35" s="231" t="s">
        <v>509</v>
      </c>
      <c r="B35">
        <v>24783.859999999997</v>
      </c>
    </row>
    <row r="36" spans="1:2" x14ac:dyDescent="0.25">
      <c r="A36" s="1" t="s">
        <v>2458</v>
      </c>
      <c r="B36">
        <v>0</v>
      </c>
    </row>
    <row r="37" spans="1:2" x14ac:dyDescent="0.25">
      <c r="A37" s="231" t="s">
        <v>509</v>
      </c>
      <c r="B37">
        <v>0</v>
      </c>
    </row>
    <row r="38" spans="1:2" x14ac:dyDescent="0.25">
      <c r="A38" s="1" t="s">
        <v>6267</v>
      </c>
      <c r="B38">
        <v>50102.530000000261</v>
      </c>
    </row>
    <row r="39" spans="1:2" x14ac:dyDescent="0.25">
      <c r="A39" s="231" t="s">
        <v>509</v>
      </c>
      <c r="B39">
        <v>50102.530000000261</v>
      </c>
    </row>
    <row r="40" spans="1:2" x14ac:dyDescent="0.25">
      <c r="A40" s="1" t="s">
        <v>5793</v>
      </c>
      <c r="B40">
        <v>11789</v>
      </c>
    </row>
    <row r="41" spans="1:2" x14ac:dyDescent="0.25">
      <c r="A41" s="231" t="s">
        <v>509</v>
      </c>
      <c r="B41">
        <v>11789</v>
      </c>
    </row>
    <row r="42" spans="1:2" x14ac:dyDescent="0.25">
      <c r="A42" s="1" t="s">
        <v>6047</v>
      </c>
      <c r="B42">
        <v>6267494.75</v>
      </c>
    </row>
    <row r="43" spans="1:2" x14ac:dyDescent="0.25">
      <c r="A43" s="231" t="s">
        <v>509</v>
      </c>
      <c r="B43">
        <v>5315</v>
      </c>
    </row>
    <row r="44" spans="1:2" x14ac:dyDescent="0.25">
      <c r="A44" s="231" t="s">
        <v>9318</v>
      </c>
      <c r="B44">
        <v>6262179.75</v>
      </c>
    </row>
    <row r="45" spans="1:2" x14ac:dyDescent="0.25">
      <c r="A45" s="1" t="s">
        <v>5792</v>
      </c>
      <c r="B45">
        <v>208049.85666666663</v>
      </c>
    </row>
    <row r="46" spans="1:2" x14ac:dyDescent="0.25">
      <c r="A46" s="231" t="s">
        <v>509</v>
      </c>
      <c r="B46">
        <v>156207.51999999996</v>
      </c>
    </row>
    <row r="47" spans="1:2" x14ac:dyDescent="0.25">
      <c r="A47" s="231" t="s">
        <v>7208</v>
      </c>
      <c r="B47">
        <v>51842.33666666667</v>
      </c>
    </row>
    <row r="48" spans="1:2" x14ac:dyDescent="0.25">
      <c r="A48" s="1" t="s">
        <v>8972</v>
      </c>
      <c r="B48">
        <v>302538.71000000008</v>
      </c>
    </row>
    <row r="49" spans="1:2" x14ac:dyDescent="0.25">
      <c r="A49" s="231" t="s">
        <v>9318</v>
      </c>
      <c r="B49">
        <v>302538.71000000008</v>
      </c>
    </row>
    <row r="50" spans="1:2" x14ac:dyDescent="0.25">
      <c r="A50" s="1" t="s">
        <v>8584</v>
      </c>
      <c r="B50">
        <v>7193.9699999999993</v>
      </c>
    </row>
    <row r="51" spans="1:2" x14ac:dyDescent="0.25">
      <c r="A51" s="231" t="s">
        <v>509</v>
      </c>
      <c r="B51">
        <v>7193.9699999999993</v>
      </c>
    </row>
    <row r="52" spans="1:2" x14ac:dyDescent="0.25">
      <c r="A52" s="1" t="s">
        <v>10733</v>
      </c>
      <c r="B52">
        <v>17178.629999999997</v>
      </c>
    </row>
    <row r="53" spans="1:2" x14ac:dyDescent="0.25">
      <c r="A53" s="231" t="s">
        <v>509</v>
      </c>
      <c r="B53">
        <v>17178.629999999997</v>
      </c>
    </row>
    <row r="54" spans="1:2" x14ac:dyDescent="0.25">
      <c r="A54" s="1" t="s">
        <v>6675</v>
      </c>
      <c r="B54">
        <v>50153.119999999879</v>
      </c>
    </row>
    <row r="55" spans="1:2" x14ac:dyDescent="0.25">
      <c r="A55" s="231" t="s">
        <v>509</v>
      </c>
      <c r="B55">
        <v>50153.119999999879</v>
      </c>
    </row>
    <row r="56" spans="1:2" x14ac:dyDescent="0.25">
      <c r="A56" s="1" t="s">
        <v>7372</v>
      </c>
      <c r="B56">
        <v>0</v>
      </c>
    </row>
    <row r="57" spans="1:2" x14ac:dyDescent="0.25">
      <c r="A57" s="231" t="s">
        <v>509</v>
      </c>
      <c r="B57">
        <v>0</v>
      </c>
    </row>
    <row r="58" spans="1:2" x14ac:dyDescent="0.25">
      <c r="A58" s="1" t="s">
        <v>7235</v>
      </c>
      <c r="B58">
        <v>0</v>
      </c>
    </row>
    <row r="59" spans="1:2" x14ac:dyDescent="0.25">
      <c r="A59" s="231" t="s">
        <v>132</v>
      </c>
      <c r="B59">
        <v>0</v>
      </c>
    </row>
    <row r="60" spans="1:2" x14ac:dyDescent="0.25">
      <c r="A60" s="1" t="s">
        <v>101</v>
      </c>
      <c r="B60">
        <v>8572507.6766666677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T3068"/>
  <sheetViews>
    <sheetView tabSelected="1" zoomScale="80" zoomScaleNormal="80" workbookViewId="0">
      <pane xSplit="8" ySplit="2" topLeftCell="J2679" activePane="bottomRight" state="frozen"/>
      <selection pane="topRight" activeCell="G1" sqref="G1"/>
      <selection pane="bottomLeft" activeCell="A3" sqref="A3"/>
      <selection pane="bottomRight" activeCell="K2681" sqref="K2681"/>
    </sheetView>
  </sheetViews>
  <sheetFormatPr baseColWidth="10" defaultColWidth="11.5703125" defaultRowHeight="15.75" x14ac:dyDescent="0.25"/>
  <cols>
    <col min="1" max="1" width="6.140625" customWidth="1"/>
    <col min="2" max="2" width="8.140625" style="5" customWidth="1"/>
    <col min="3" max="3" width="9.28515625" style="4" customWidth="1"/>
    <col min="4" max="4" width="7.5703125" style="4" customWidth="1"/>
    <col min="5" max="5" width="6.42578125" style="5" customWidth="1"/>
    <col min="6" max="6" width="17.28515625" style="5" customWidth="1"/>
    <col min="7" max="7" width="28.5703125" style="146" customWidth="1"/>
    <col min="8" max="8" width="54.28515625" style="7" customWidth="1"/>
    <col min="9" max="9" width="17.85546875" style="7" customWidth="1"/>
    <col min="10" max="10" width="57.7109375" style="5" customWidth="1"/>
    <col min="11" max="11" width="18.42578125" style="5" customWidth="1"/>
    <col min="12" max="12" width="28.7109375" style="5" customWidth="1"/>
    <col min="13" max="13" width="28.28515625" style="7" customWidth="1"/>
    <col min="14" max="14" width="26.140625" style="45" customWidth="1"/>
    <col min="15" max="15" width="13.7109375" style="4" customWidth="1"/>
    <col min="16" max="16" width="18.140625" style="45" bestFit="1" customWidth="1"/>
    <col min="17" max="17" width="28.28515625" style="45" bestFit="1" customWidth="1"/>
    <col min="18" max="18" width="26" style="118" bestFit="1" customWidth="1"/>
    <col min="19" max="19" width="32" style="5" customWidth="1"/>
    <col min="20" max="20" width="88.85546875" style="5" bestFit="1" customWidth="1"/>
  </cols>
  <sheetData>
    <row r="1" spans="1:19" ht="16.5" customHeight="1" x14ac:dyDescent="0.25">
      <c r="F1" s="115"/>
      <c r="M1" s="8"/>
      <c r="N1" s="45">
        <f>SUBTOTAL(9,N$3:N$3068)</f>
        <v>4992899.3</v>
      </c>
      <c r="O1" s="3"/>
      <c r="Q1" s="45">
        <f>SUBTOTAL(9,Q$3:Q$3068)</f>
        <v>3977545.77</v>
      </c>
      <c r="R1" s="45">
        <f>SUBTOTAL(9,R$3:R$3068)</f>
        <v>1025853.53</v>
      </c>
      <c r="S1" s="45">
        <f>+Q1+R1-N1</f>
        <v>10500</v>
      </c>
    </row>
    <row r="2" spans="1:19" ht="13.5" customHeight="1" x14ac:dyDescent="0.25">
      <c r="A2" t="s">
        <v>6090</v>
      </c>
      <c r="B2" s="5" t="s">
        <v>429</v>
      </c>
      <c r="C2" s="9" t="s">
        <v>6467</v>
      </c>
      <c r="D2" s="9" t="s">
        <v>4558</v>
      </c>
      <c r="E2" s="10" t="s">
        <v>5</v>
      </c>
      <c r="F2" s="10" t="s">
        <v>9730</v>
      </c>
      <c r="G2" s="11" t="s">
        <v>6</v>
      </c>
      <c r="H2" s="11" t="s">
        <v>32</v>
      </c>
      <c r="I2" s="11" t="s">
        <v>7830</v>
      </c>
      <c r="J2" s="10" t="s">
        <v>7</v>
      </c>
      <c r="K2" s="11" t="s">
        <v>8</v>
      </c>
      <c r="L2" s="500" t="s">
        <v>1879</v>
      </c>
      <c r="M2" s="500" t="s">
        <v>1857</v>
      </c>
      <c r="N2" s="87" t="s">
        <v>9</v>
      </c>
      <c r="O2" s="9" t="s">
        <v>14</v>
      </c>
      <c r="P2" s="87" t="s">
        <v>18</v>
      </c>
      <c r="Q2" s="87" t="s">
        <v>34</v>
      </c>
      <c r="R2" s="184" t="s">
        <v>33</v>
      </c>
      <c r="S2" s="117" t="s">
        <v>448</v>
      </c>
    </row>
    <row r="3" spans="1:19" hidden="1" x14ac:dyDescent="0.25">
      <c r="A3" t="s">
        <v>6753</v>
      </c>
      <c r="B3" s="5" t="s">
        <v>12228</v>
      </c>
      <c r="C3" s="4" t="s">
        <v>192</v>
      </c>
      <c r="E3" s="5" t="s">
        <v>10</v>
      </c>
      <c r="G3" s="146" t="s">
        <v>11</v>
      </c>
      <c r="H3" s="7" t="s">
        <v>922</v>
      </c>
      <c r="J3" s="5" t="s">
        <v>702</v>
      </c>
      <c r="M3" s="66" t="s">
        <v>701</v>
      </c>
      <c r="N3" s="45">
        <v>17100</v>
      </c>
      <c r="O3" s="4" t="s">
        <v>16</v>
      </c>
      <c r="P3" s="4"/>
      <c r="Q3" s="3">
        <f t="shared" ref="Q3:Q8" si="0">IF(P3="en cours",N3,IF(P3="OK",0,IF(N3-P3&lt;0,0,N3-P3)))</f>
        <v>17100</v>
      </c>
      <c r="R3" s="3">
        <f t="shared" ref="R3:R10" si="1">IF(P3="OK",N3-Q3,IF(P3="en cours",N3-Q3,P3))</f>
        <v>0</v>
      </c>
      <c r="S3" s="5" t="s">
        <v>1346</v>
      </c>
    </row>
    <row r="4" spans="1:19" hidden="1" x14ac:dyDescent="0.25">
      <c r="A4" t="s">
        <v>6753</v>
      </c>
      <c r="B4" s="5" t="s">
        <v>12228</v>
      </c>
      <c r="C4" s="4" t="s">
        <v>192</v>
      </c>
      <c r="E4" s="5" t="s">
        <v>10</v>
      </c>
      <c r="G4" s="146" t="s">
        <v>11</v>
      </c>
      <c r="H4" s="7" t="s">
        <v>269</v>
      </c>
      <c r="J4" s="5" t="s">
        <v>195</v>
      </c>
      <c r="M4" s="13"/>
      <c r="N4" s="45">
        <f>1500*0.9</f>
        <v>1350</v>
      </c>
      <c r="O4" s="4" t="s">
        <v>16</v>
      </c>
      <c r="P4" s="4"/>
      <c r="Q4" s="3">
        <f t="shared" si="0"/>
        <v>1350</v>
      </c>
      <c r="R4" s="3">
        <f t="shared" si="1"/>
        <v>0</v>
      </c>
      <c r="S4" s="5" t="s">
        <v>1343</v>
      </c>
    </row>
    <row r="5" spans="1:19" hidden="1" x14ac:dyDescent="0.25">
      <c r="B5" s="5" t="s">
        <v>12271</v>
      </c>
      <c r="C5" s="4" t="s">
        <v>2450</v>
      </c>
      <c r="E5" s="5" t="s">
        <v>7137</v>
      </c>
      <c r="G5" s="146" t="s">
        <v>8491</v>
      </c>
      <c r="H5" s="7" t="s">
        <v>7738</v>
      </c>
      <c r="I5" s="7" t="s">
        <v>8287</v>
      </c>
      <c r="J5" s="5" t="s">
        <v>7739</v>
      </c>
      <c r="L5" s="5" t="s">
        <v>7803</v>
      </c>
      <c r="M5" s="12">
        <v>45041</v>
      </c>
      <c r="N5" s="45">
        <v>5367.5</v>
      </c>
      <c r="O5" s="4" t="s">
        <v>15</v>
      </c>
      <c r="P5" s="45">
        <f>3971.5</f>
        <v>3971.5</v>
      </c>
      <c r="Q5" s="45">
        <f t="shared" si="0"/>
        <v>1396</v>
      </c>
      <c r="R5" s="3">
        <f t="shared" si="1"/>
        <v>3971.5</v>
      </c>
    </row>
    <row r="6" spans="1:19" hidden="1" x14ac:dyDescent="0.25">
      <c r="B6" s="5" t="s">
        <v>12271</v>
      </c>
      <c r="C6" s="4" t="s">
        <v>158</v>
      </c>
      <c r="E6" s="5" t="s">
        <v>7137</v>
      </c>
      <c r="G6" s="146" t="s">
        <v>8491</v>
      </c>
      <c r="H6" s="7" t="s">
        <v>8692</v>
      </c>
      <c r="I6" s="7" t="s">
        <v>8693</v>
      </c>
      <c r="J6" s="5" t="s">
        <v>8694</v>
      </c>
      <c r="L6" s="5" t="s">
        <v>9403</v>
      </c>
      <c r="M6" s="12" t="s">
        <v>9404</v>
      </c>
      <c r="N6" s="45">
        <v>5286.76</v>
      </c>
      <c r="O6" s="4" t="s">
        <v>15</v>
      </c>
      <c r="P6" s="45">
        <f>4118.76+444</f>
        <v>4562.76</v>
      </c>
      <c r="Q6" s="45">
        <f t="shared" si="0"/>
        <v>724</v>
      </c>
      <c r="R6" s="3">
        <f t="shared" si="1"/>
        <v>4562.76</v>
      </c>
    </row>
    <row r="7" spans="1:19" hidden="1" x14ac:dyDescent="0.25">
      <c r="B7" s="5" t="s">
        <v>12271</v>
      </c>
      <c r="C7" s="4" t="s">
        <v>2450</v>
      </c>
      <c r="E7" s="5" t="s">
        <v>7137</v>
      </c>
      <c r="G7" s="146" t="s">
        <v>8491</v>
      </c>
      <c r="H7" s="7" t="s">
        <v>8773</v>
      </c>
      <c r="I7" s="7" t="s">
        <v>8774</v>
      </c>
      <c r="J7" s="5" t="s">
        <v>8775</v>
      </c>
      <c r="L7" s="5" t="s">
        <v>9165</v>
      </c>
      <c r="M7" s="12">
        <v>45259</v>
      </c>
      <c r="N7" s="45">
        <v>11168</v>
      </c>
      <c r="O7" s="4" t="s">
        <v>15</v>
      </c>
      <c r="P7" s="45">
        <v>10067.469999999999</v>
      </c>
      <c r="Q7" s="45">
        <f t="shared" si="0"/>
        <v>1100.5300000000007</v>
      </c>
      <c r="R7" s="25">
        <f t="shared" si="1"/>
        <v>10067.469999999999</v>
      </c>
    </row>
    <row r="8" spans="1:19" hidden="1" x14ac:dyDescent="0.25">
      <c r="B8" s="5" t="s">
        <v>12271</v>
      </c>
      <c r="C8" s="4" t="s">
        <v>2450</v>
      </c>
      <c r="E8" s="5" t="s">
        <v>7137</v>
      </c>
      <c r="G8" s="146" t="s">
        <v>8491</v>
      </c>
      <c r="H8" s="7" t="s">
        <v>8856</v>
      </c>
      <c r="I8" s="7" t="s">
        <v>8857</v>
      </c>
      <c r="J8" s="5" t="s">
        <v>8858</v>
      </c>
      <c r="L8" s="5" t="s">
        <v>9164</v>
      </c>
      <c r="M8" s="12">
        <v>45260</v>
      </c>
      <c r="N8" s="45">
        <v>4980.5</v>
      </c>
      <c r="O8" s="4" t="s">
        <v>15</v>
      </c>
      <c r="P8" s="45">
        <v>4282.5</v>
      </c>
      <c r="Q8" s="45">
        <f t="shared" si="0"/>
        <v>698</v>
      </c>
      <c r="R8" s="3">
        <f t="shared" si="1"/>
        <v>4282.5</v>
      </c>
    </row>
    <row r="9" spans="1:19" hidden="1" x14ac:dyDescent="0.25">
      <c r="B9" s="5" t="s">
        <v>12271</v>
      </c>
      <c r="C9" s="4" t="s">
        <v>2450</v>
      </c>
      <c r="E9" s="5" t="s">
        <v>7137</v>
      </c>
      <c r="G9" s="146" t="s">
        <v>9338</v>
      </c>
      <c r="H9" s="7" t="s">
        <v>9345</v>
      </c>
      <c r="I9" s="7" t="s">
        <v>9346</v>
      </c>
      <c r="J9" s="5" t="s">
        <v>9347</v>
      </c>
      <c r="N9" s="45">
        <v>1424.5</v>
      </c>
      <c r="O9" s="4" t="s">
        <v>15</v>
      </c>
      <c r="Q9" s="45">
        <f t="shared" ref="Q9:Q22" si="2">IF(P9="en cours",N9,IF(P9="OK",0,IF(N9-P9&lt;0,0,N9-P9)))</f>
        <v>1424.5</v>
      </c>
      <c r="R9" s="3">
        <f t="shared" si="1"/>
        <v>0</v>
      </c>
    </row>
    <row r="10" spans="1:19" hidden="1" x14ac:dyDescent="0.25">
      <c r="A10" t="s">
        <v>6753</v>
      </c>
      <c r="B10" s="5" t="s">
        <v>12228</v>
      </c>
      <c r="C10" s="4" t="s">
        <v>2450</v>
      </c>
      <c r="E10" s="5" t="s">
        <v>75</v>
      </c>
      <c r="G10" s="146" t="s">
        <v>239</v>
      </c>
      <c r="H10" s="7" t="s">
        <v>434</v>
      </c>
      <c r="J10" s="7" t="s">
        <v>325</v>
      </c>
      <c r="K10" s="7"/>
      <c r="L10" s="7"/>
      <c r="N10" s="45">
        <v>1900</v>
      </c>
      <c r="O10" s="4" t="s">
        <v>15</v>
      </c>
      <c r="P10" s="4"/>
      <c r="Q10" s="3">
        <f t="shared" si="2"/>
        <v>1900</v>
      </c>
      <c r="R10" s="3">
        <f t="shared" si="1"/>
        <v>0</v>
      </c>
    </row>
    <row r="11" spans="1:19" hidden="1" x14ac:dyDescent="0.25">
      <c r="B11" s="21" t="s">
        <v>395</v>
      </c>
      <c r="C11" s="22" t="s">
        <v>6267</v>
      </c>
      <c r="D11" s="22"/>
      <c r="E11" s="21" t="s">
        <v>75</v>
      </c>
      <c r="F11" s="21"/>
      <c r="G11" s="147" t="s">
        <v>10232</v>
      </c>
      <c r="H11" s="23" t="s">
        <v>7654</v>
      </c>
      <c r="I11" s="23" t="s">
        <v>8274</v>
      </c>
      <c r="J11" s="21" t="s">
        <v>7655</v>
      </c>
      <c r="K11" s="21"/>
      <c r="L11" s="21" t="s">
        <v>9367</v>
      </c>
      <c r="M11" s="26" t="s">
        <v>9368</v>
      </c>
      <c r="N11" s="44">
        <v>10550</v>
      </c>
      <c r="O11" s="22" t="s">
        <v>15</v>
      </c>
      <c r="P11" s="44">
        <f>(5185-2719)+2286+3085+5371+5371</f>
        <v>18579</v>
      </c>
      <c r="Q11" s="44">
        <f t="shared" si="2"/>
        <v>0</v>
      </c>
      <c r="R11" s="24">
        <f>IF(P11="OK",N11-Q11,IF(P11="en cours",N11-Q11,P11))</f>
        <v>18579</v>
      </c>
    </row>
    <row r="12" spans="1:19" hidden="1" x14ac:dyDescent="0.25">
      <c r="C12" s="4" t="s">
        <v>6267</v>
      </c>
      <c r="E12" s="5" t="s">
        <v>75</v>
      </c>
      <c r="F12" s="5" t="s">
        <v>9767</v>
      </c>
      <c r="G12" s="146" t="s">
        <v>10232</v>
      </c>
      <c r="H12" s="7" t="s">
        <v>13561</v>
      </c>
      <c r="I12" s="7" t="s">
        <v>13562</v>
      </c>
      <c r="J12" s="5" t="s">
        <v>7650</v>
      </c>
      <c r="L12" s="5" t="s">
        <v>13559</v>
      </c>
      <c r="M12" s="532" t="s">
        <v>13558</v>
      </c>
      <c r="N12" s="45">
        <f>1114410+54914+251507+191150+57505.5</f>
        <v>1669486.5</v>
      </c>
      <c r="O12" s="4" t="s">
        <v>15</v>
      </c>
      <c r="P12" s="45">
        <f>7500+37000+3688.42+3837.54+3700+27689.26+7050+3950+5168+31007+50520.79+54128.61+52061.5+41285.45+35679.4+54365.31+82400+436017.06+90123.41+78746.89+52876.5+2800+56424.5+73974.23+109826.1+117532.5+104641.93+11531.31+6052.5+8000+5776</f>
        <v>1655354.2100000002</v>
      </c>
      <c r="Q12" s="45">
        <f t="shared" si="2"/>
        <v>14132.289999999804</v>
      </c>
      <c r="R12" s="3">
        <f>IF(P12="OK",N12-Q12,IF(P12="en cours",N12-Q12,P12))</f>
        <v>1655354.2100000002</v>
      </c>
    </row>
    <row r="13" spans="1:19" hidden="1" x14ac:dyDescent="0.25">
      <c r="B13" s="21" t="s">
        <v>395</v>
      </c>
      <c r="C13" s="22" t="s">
        <v>6267</v>
      </c>
      <c r="D13" s="22"/>
      <c r="E13" s="21" t="s">
        <v>75</v>
      </c>
      <c r="F13" s="21"/>
      <c r="G13" s="147" t="s">
        <v>10232</v>
      </c>
      <c r="H13" s="23" t="s">
        <v>7017</v>
      </c>
      <c r="I13" s="23" t="s">
        <v>8183</v>
      </c>
      <c r="J13" s="21" t="s">
        <v>7651</v>
      </c>
      <c r="K13" s="21"/>
      <c r="L13" s="21" t="s">
        <v>7336</v>
      </c>
      <c r="M13" s="26" t="s">
        <v>7337</v>
      </c>
      <c r="N13" s="44">
        <v>65715</v>
      </c>
      <c r="O13" s="22" t="s">
        <v>15</v>
      </c>
      <c r="P13" s="44">
        <f>30000+1089+9473.5+25152.5</f>
        <v>65715</v>
      </c>
      <c r="Q13" s="44">
        <f t="shared" si="2"/>
        <v>0</v>
      </c>
      <c r="R13" s="24">
        <f>IF(P13="OK",N13-Q13,IF(P13="en cours",N13-Q13,P13))</f>
        <v>65715</v>
      </c>
    </row>
    <row r="14" spans="1:19" hidden="1" x14ac:dyDescent="0.25">
      <c r="B14" s="21" t="s">
        <v>395</v>
      </c>
      <c r="C14" s="22" t="s">
        <v>6267</v>
      </c>
      <c r="D14" s="22"/>
      <c r="E14" s="21" t="s">
        <v>75</v>
      </c>
      <c r="F14" s="21"/>
      <c r="G14" s="147" t="s">
        <v>10232</v>
      </c>
      <c r="H14" s="23" t="s">
        <v>7371</v>
      </c>
      <c r="I14" s="23" t="s">
        <v>8229</v>
      </c>
      <c r="J14" s="21" t="s">
        <v>7652</v>
      </c>
      <c r="K14" s="21"/>
      <c r="L14" s="21" t="s">
        <v>8812</v>
      </c>
      <c r="M14" s="26" t="s">
        <v>8813</v>
      </c>
      <c r="N14" s="44">
        <v>73987</v>
      </c>
      <c r="O14" s="22" t="s">
        <v>15</v>
      </c>
      <c r="P14" s="44">
        <f>52567+3915+14786+2719</f>
        <v>73987</v>
      </c>
      <c r="Q14" s="44">
        <f t="shared" si="2"/>
        <v>0</v>
      </c>
      <c r="R14" s="24">
        <f>IF(P14="OK",N14-Q14,IF(P14="en cours",N14-Q14,P14))</f>
        <v>73987</v>
      </c>
    </row>
    <row r="15" spans="1:19" hidden="1" x14ac:dyDescent="0.25">
      <c r="B15" s="21" t="s">
        <v>395</v>
      </c>
      <c r="C15" s="22" t="s">
        <v>6267</v>
      </c>
      <c r="D15" s="22"/>
      <c r="E15" s="21" t="s">
        <v>75</v>
      </c>
      <c r="F15" s="21"/>
      <c r="G15" s="147" t="s">
        <v>10232</v>
      </c>
      <c r="H15" s="23" t="s">
        <v>9685</v>
      </c>
      <c r="I15" s="23" t="s">
        <v>9686</v>
      </c>
      <c r="J15" s="21" t="s">
        <v>9687</v>
      </c>
      <c r="K15" s="21"/>
      <c r="L15" s="21" t="s">
        <v>13486</v>
      </c>
      <c r="M15" s="26" t="s">
        <v>13487</v>
      </c>
      <c r="N15" s="44">
        <v>67916</v>
      </c>
      <c r="O15" s="22" t="s">
        <v>15</v>
      </c>
      <c r="P15" s="44">
        <f>8662.7+4915+8795+27225.5+6086+3671+3671+3671+3671+2671</f>
        <v>73039.199999999997</v>
      </c>
      <c r="Q15" s="24">
        <f t="shared" si="2"/>
        <v>0</v>
      </c>
      <c r="R15" s="24">
        <f>IF(P15="OK",N15-Q15,IF(P15="en cours",N15-Q15,P15))</f>
        <v>73039.199999999997</v>
      </c>
      <c r="S15" s="5" t="s">
        <v>9688</v>
      </c>
    </row>
    <row r="16" spans="1:19" hidden="1" x14ac:dyDescent="0.25">
      <c r="B16" s="21" t="s">
        <v>395</v>
      </c>
      <c r="C16" s="22" t="s">
        <v>1940</v>
      </c>
      <c r="D16" s="22"/>
      <c r="E16" s="21" t="s">
        <v>10</v>
      </c>
      <c r="F16" s="21"/>
      <c r="G16" s="147" t="s">
        <v>10232</v>
      </c>
      <c r="H16" s="23" t="s">
        <v>3761</v>
      </c>
      <c r="I16" s="23" t="s">
        <v>7966</v>
      </c>
      <c r="J16" s="21" t="s">
        <v>4338</v>
      </c>
      <c r="K16" s="120"/>
      <c r="L16" s="21" t="s">
        <v>5666</v>
      </c>
      <c r="M16" s="26" t="s">
        <v>5667</v>
      </c>
      <c r="N16" s="44">
        <f>(68144-28275)/3</f>
        <v>13289.666666666666</v>
      </c>
      <c r="O16" s="22" t="s">
        <v>15</v>
      </c>
      <c r="P16" s="44">
        <f>2297.73+5843.2+6245+5330</f>
        <v>19715.93</v>
      </c>
      <c r="Q16" s="24">
        <f t="shared" si="2"/>
        <v>0</v>
      </c>
      <c r="R16" s="24">
        <f t="shared" ref="R16:R41" si="3">IF(P16="OK",N16-Q16,IF(P16="en cours",N16-Q16,P16))</f>
        <v>19715.93</v>
      </c>
    </row>
    <row r="17" spans="2:19" hidden="1" x14ac:dyDescent="0.25">
      <c r="C17" s="4" t="s">
        <v>1940</v>
      </c>
      <c r="E17" s="5" t="s">
        <v>10</v>
      </c>
      <c r="G17" s="146" t="s">
        <v>10232</v>
      </c>
      <c r="H17" s="7" t="s">
        <v>3761</v>
      </c>
      <c r="I17" s="7" t="s">
        <v>7966</v>
      </c>
      <c r="J17" s="5" t="s">
        <v>4340</v>
      </c>
      <c r="K17" s="13">
        <v>44256</v>
      </c>
      <c r="L17" s="5" t="s">
        <v>4335</v>
      </c>
      <c r="M17" s="12">
        <v>44223</v>
      </c>
      <c r="N17" s="45">
        <f>(46465-24725)/3</f>
        <v>7246.666666666667</v>
      </c>
      <c r="O17" s="4" t="s">
        <v>15</v>
      </c>
      <c r="P17" s="45">
        <v>4946.66</v>
      </c>
      <c r="Q17" s="45">
        <f t="shared" si="2"/>
        <v>2300.0066666666671</v>
      </c>
      <c r="R17" s="3">
        <f t="shared" si="3"/>
        <v>4946.66</v>
      </c>
    </row>
    <row r="18" spans="2:19" hidden="1" x14ac:dyDescent="0.25">
      <c r="B18" s="21" t="s">
        <v>395</v>
      </c>
      <c r="C18" s="22" t="s">
        <v>2459</v>
      </c>
      <c r="D18" s="22"/>
      <c r="E18" s="21" t="s">
        <v>75</v>
      </c>
      <c r="F18" s="21"/>
      <c r="G18" s="147" t="s">
        <v>10232</v>
      </c>
      <c r="H18" s="23" t="s">
        <v>4811</v>
      </c>
      <c r="I18" s="23" t="s">
        <v>8029</v>
      </c>
      <c r="J18" s="21" t="s">
        <v>4812</v>
      </c>
      <c r="K18" s="47"/>
      <c r="L18" s="21" t="s">
        <v>4958</v>
      </c>
      <c r="M18" s="26">
        <v>44316</v>
      </c>
      <c r="N18" s="44">
        <f>109000</f>
        <v>109000</v>
      </c>
      <c r="O18" s="22" t="s">
        <v>15</v>
      </c>
      <c r="P18" s="44" t="s">
        <v>19</v>
      </c>
      <c r="Q18" s="24">
        <f t="shared" si="2"/>
        <v>0</v>
      </c>
      <c r="R18" s="24">
        <f t="shared" si="3"/>
        <v>109000</v>
      </c>
    </row>
    <row r="19" spans="2:19" hidden="1" x14ac:dyDescent="0.25">
      <c r="C19" s="4" t="s">
        <v>2459</v>
      </c>
      <c r="E19" s="5" t="s">
        <v>75</v>
      </c>
      <c r="G19" s="146" t="s">
        <v>10232</v>
      </c>
      <c r="H19" s="7" t="s">
        <v>4811</v>
      </c>
      <c r="I19" s="7" t="s">
        <v>8029</v>
      </c>
      <c r="J19" s="5" t="s">
        <v>4813</v>
      </c>
      <c r="L19" s="5" t="s">
        <v>6054</v>
      </c>
      <c r="M19" s="12" t="s">
        <v>6055</v>
      </c>
      <c r="N19" s="45">
        <f>197381-109000</f>
        <v>88381</v>
      </c>
      <c r="O19" s="4" t="s">
        <v>15</v>
      </c>
      <c r="P19" s="45">
        <f>42985+9500+15309</f>
        <v>67794</v>
      </c>
      <c r="Q19" s="45">
        <f t="shared" si="2"/>
        <v>20587</v>
      </c>
      <c r="R19" s="3">
        <f t="shared" si="3"/>
        <v>67794</v>
      </c>
    </row>
    <row r="20" spans="2:19" hidden="1" x14ac:dyDescent="0.25">
      <c r="B20" s="21" t="s">
        <v>395</v>
      </c>
      <c r="C20" s="22" t="s">
        <v>7408</v>
      </c>
      <c r="D20" s="22"/>
      <c r="E20" s="21" t="s">
        <v>75</v>
      </c>
      <c r="F20" s="21"/>
      <c r="G20" s="147" t="s">
        <v>12409</v>
      </c>
      <c r="H20" s="23" t="s">
        <v>8718</v>
      </c>
      <c r="I20" s="23"/>
      <c r="J20" s="21" t="s">
        <v>8401</v>
      </c>
      <c r="K20" s="21"/>
      <c r="L20" s="21" t="s">
        <v>8981</v>
      </c>
      <c r="M20" s="26">
        <v>45145</v>
      </c>
      <c r="N20" s="44">
        <v>25395</v>
      </c>
      <c r="O20" s="22" t="s">
        <v>15</v>
      </c>
      <c r="P20" s="44">
        <v>25395</v>
      </c>
      <c r="Q20" s="44">
        <f t="shared" si="2"/>
        <v>0</v>
      </c>
      <c r="R20" s="24">
        <f t="shared" si="3"/>
        <v>25395</v>
      </c>
    </row>
    <row r="21" spans="2:19" hidden="1" x14ac:dyDescent="0.25">
      <c r="B21" s="21" t="s">
        <v>395</v>
      </c>
      <c r="C21" s="22" t="s">
        <v>7408</v>
      </c>
      <c r="D21" s="22"/>
      <c r="E21" s="21" t="s">
        <v>75</v>
      </c>
      <c r="F21" s="21"/>
      <c r="G21" s="147" t="s">
        <v>12409</v>
      </c>
      <c r="H21" s="23" t="s">
        <v>8718</v>
      </c>
      <c r="I21" s="23"/>
      <c r="J21" s="21" t="s">
        <v>8719</v>
      </c>
      <c r="K21" s="21"/>
      <c r="L21" s="21" t="s">
        <v>8981</v>
      </c>
      <c r="M21" s="26">
        <v>45145</v>
      </c>
      <c r="N21" s="44">
        <v>25395</v>
      </c>
      <c r="O21" s="22" t="s">
        <v>15</v>
      </c>
      <c r="P21" s="44">
        <v>25395</v>
      </c>
      <c r="Q21" s="44">
        <f t="shared" si="2"/>
        <v>0</v>
      </c>
      <c r="R21" s="24">
        <f t="shared" si="3"/>
        <v>25395</v>
      </c>
    </row>
    <row r="22" spans="2:19" hidden="1" x14ac:dyDescent="0.25">
      <c r="B22" s="21" t="s">
        <v>395</v>
      </c>
      <c r="C22" s="22" t="s">
        <v>7408</v>
      </c>
      <c r="D22" s="22"/>
      <c r="E22" s="21" t="s">
        <v>75</v>
      </c>
      <c r="F22" s="21"/>
      <c r="G22" s="147" t="s">
        <v>12409</v>
      </c>
      <c r="H22" s="23" t="s">
        <v>8718</v>
      </c>
      <c r="I22" s="23"/>
      <c r="J22" s="21" t="s">
        <v>8720</v>
      </c>
      <c r="K22" s="21"/>
      <c r="L22" s="21" t="s">
        <v>9113</v>
      </c>
      <c r="M22" s="26">
        <v>45246</v>
      </c>
      <c r="N22" s="44">
        <v>133648.5</v>
      </c>
      <c r="O22" s="22" t="s">
        <v>15</v>
      </c>
      <c r="P22" s="44">
        <f>133648.5</f>
        <v>133648.5</v>
      </c>
      <c r="Q22" s="44">
        <f t="shared" si="2"/>
        <v>0</v>
      </c>
      <c r="R22" s="24">
        <f t="shared" si="3"/>
        <v>133648.5</v>
      </c>
    </row>
    <row r="23" spans="2:19" hidden="1" x14ac:dyDescent="0.25">
      <c r="B23" s="21" t="s">
        <v>395</v>
      </c>
      <c r="C23" s="22" t="s">
        <v>7408</v>
      </c>
      <c r="D23" s="22"/>
      <c r="E23" s="21" t="s">
        <v>75</v>
      </c>
      <c r="F23" s="21"/>
      <c r="G23" s="147" t="s">
        <v>12409</v>
      </c>
      <c r="H23" s="23" t="s">
        <v>8718</v>
      </c>
      <c r="I23" s="23"/>
      <c r="J23" s="21" t="s">
        <v>8721</v>
      </c>
      <c r="K23" s="21"/>
      <c r="L23" s="21" t="s">
        <v>9113</v>
      </c>
      <c r="M23" s="26">
        <v>45246</v>
      </c>
      <c r="N23" s="44">
        <v>133648.5</v>
      </c>
      <c r="O23" s="22" t="s">
        <v>15</v>
      </c>
      <c r="P23" s="44">
        <v>133648.5</v>
      </c>
      <c r="Q23" s="44">
        <f t="shared" ref="Q23:Q41" si="4">IF(P23="en cours",N23,IF(P23="OK",0,IF(N23-P23&lt;0,0,N23-P23)))</f>
        <v>0</v>
      </c>
      <c r="R23" s="24">
        <f t="shared" si="3"/>
        <v>133648.5</v>
      </c>
    </row>
    <row r="24" spans="2:19" hidden="1" x14ac:dyDescent="0.25">
      <c r="B24" s="21" t="s">
        <v>395</v>
      </c>
      <c r="C24" s="22" t="s">
        <v>7408</v>
      </c>
      <c r="D24" s="22"/>
      <c r="E24" s="21" t="s">
        <v>75</v>
      </c>
      <c r="F24" s="21"/>
      <c r="G24" s="147" t="s">
        <v>12409</v>
      </c>
      <c r="H24" s="23" t="s">
        <v>8718</v>
      </c>
      <c r="I24" s="23"/>
      <c r="J24" s="21" t="s">
        <v>8722</v>
      </c>
      <c r="K24" s="21"/>
      <c r="L24" s="21" t="s">
        <v>9397</v>
      </c>
      <c r="M24" s="26">
        <v>45292</v>
      </c>
      <c r="N24" s="44">
        <v>133648.5</v>
      </c>
      <c r="O24" s="22" t="s">
        <v>15</v>
      </c>
      <c r="P24" s="44">
        <v>133648.5</v>
      </c>
      <c r="Q24" s="44">
        <f t="shared" si="4"/>
        <v>0</v>
      </c>
      <c r="R24" s="24">
        <f t="shared" si="3"/>
        <v>133648.5</v>
      </c>
    </row>
    <row r="25" spans="2:19" hidden="1" x14ac:dyDescent="0.25">
      <c r="B25" s="21" t="s">
        <v>395</v>
      </c>
      <c r="C25" s="22" t="s">
        <v>7408</v>
      </c>
      <c r="D25" s="22"/>
      <c r="E25" s="21" t="s">
        <v>75</v>
      </c>
      <c r="F25" s="21"/>
      <c r="G25" s="147" t="s">
        <v>12409</v>
      </c>
      <c r="H25" s="23" t="s">
        <v>8718</v>
      </c>
      <c r="I25" s="23"/>
      <c r="J25" s="21" t="s">
        <v>8723</v>
      </c>
      <c r="K25" s="21"/>
      <c r="L25" s="21" t="s">
        <v>12272</v>
      </c>
      <c r="M25" s="26">
        <v>45373</v>
      </c>
      <c r="N25" s="44">
        <v>133648.5</v>
      </c>
      <c r="O25" s="22" t="s">
        <v>15</v>
      </c>
      <c r="P25" s="44">
        <v>133648.5</v>
      </c>
      <c r="Q25" s="44">
        <f t="shared" si="4"/>
        <v>0</v>
      </c>
      <c r="R25" s="24">
        <f t="shared" si="3"/>
        <v>133648.5</v>
      </c>
    </row>
    <row r="26" spans="2:19" hidden="1" x14ac:dyDescent="0.25">
      <c r="B26" s="21" t="s">
        <v>395</v>
      </c>
      <c r="C26" s="22" t="s">
        <v>7408</v>
      </c>
      <c r="D26" s="22"/>
      <c r="E26" s="21" t="s">
        <v>75</v>
      </c>
      <c r="F26" s="21"/>
      <c r="G26" s="147" t="s">
        <v>12409</v>
      </c>
      <c r="H26" s="23" t="s">
        <v>8718</v>
      </c>
      <c r="I26" s="23"/>
      <c r="J26" s="21" t="s">
        <v>8724</v>
      </c>
      <c r="K26" s="21"/>
      <c r="L26" s="21" t="s">
        <v>12410</v>
      </c>
      <c r="M26" s="26">
        <v>45881</v>
      </c>
      <c r="N26" s="44">
        <v>15000</v>
      </c>
      <c r="O26" s="22" t="s">
        <v>15</v>
      </c>
      <c r="P26" s="44">
        <v>15000</v>
      </c>
      <c r="Q26" s="44">
        <f t="shared" si="4"/>
        <v>0</v>
      </c>
      <c r="R26" s="24">
        <f t="shared" si="3"/>
        <v>15000</v>
      </c>
    </row>
    <row r="27" spans="2:19" hidden="1" x14ac:dyDescent="0.25">
      <c r="C27" s="4" t="s">
        <v>8972</v>
      </c>
      <c r="E27" s="5" t="s">
        <v>0</v>
      </c>
      <c r="F27" s="5" t="s">
        <v>9749</v>
      </c>
      <c r="G27" s="146" t="s">
        <v>10270</v>
      </c>
      <c r="H27" s="7" t="s">
        <v>13514</v>
      </c>
      <c r="I27" s="7" t="s">
        <v>13513</v>
      </c>
      <c r="J27" s="5" t="s">
        <v>9382</v>
      </c>
      <c r="L27" s="5" t="s">
        <v>14391</v>
      </c>
      <c r="M27" s="12" t="s">
        <v>14392</v>
      </c>
      <c r="N27" s="45">
        <f>700710.55+41989</f>
        <v>742699.55</v>
      </c>
      <c r="O27" s="4" t="s">
        <v>341</v>
      </c>
      <c r="P27" s="45">
        <f>21286.6+41366.09+57157.88+31510.8+(4457.35+12666.5+51246.9)+34673.21+ 20673.4+34653.39+2395.79+3490.17+3574.24+9061.4 + 9770.7+12334.45+10779.74+15766.46+10477.72+10829.05+10719.64+57003.27+78983.3+76481.72+38183.66+68554.2</f>
        <v>728097.63</v>
      </c>
      <c r="Q27" s="3">
        <f t="shared" si="4"/>
        <v>14601.920000000042</v>
      </c>
      <c r="R27" s="3">
        <f t="shared" si="3"/>
        <v>728097.63</v>
      </c>
    </row>
    <row r="28" spans="2:19" hidden="1" x14ac:dyDescent="0.25">
      <c r="C28" s="4" t="s">
        <v>6047</v>
      </c>
      <c r="E28" s="5" t="s">
        <v>0</v>
      </c>
      <c r="F28" s="5" t="s">
        <v>9749</v>
      </c>
      <c r="G28" s="146" t="s">
        <v>9318</v>
      </c>
      <c r="H28" s="7" t="s">
        <v>10271</v>
      </c>
      <c r="I28" s="7" t="s">
        <v>10201</v>
      </c>
      <c r="J28" s="5" t="s">
        <v>10202</v>
      </c>
      <c r="L28" s="5" t="s">
        <v>14393</v>
      </c>
      <c r="M28" s="12" t="s">
        <v>14394</v>
      </c>
      <c r="N28" s="45">
        <v>7009308.1600000001</v>
      </c>
      <c r="O28" s="4" t="s">
        <v>15</v>
      </c>
      <c r="P28" s="45">
        <f>5268.77+2424.34+11801.27+4578.62+5890.96+1389.16+3169.62+22726.21+81087.19+122721.9+232992.8+133487.02+119590.55+121890.94 + 101548.98+134678.91+201461.56+112953.82+118691.58</f>
        <v>1538354.2000000002</v>
      </c>
      <c r="Q28" s="3">
        <f t="shared" si="4"/>
        <v>5470953.96</v>
      </c>
      <c r="R28" s="3">
        <f t="shared" si="3"/>
        <v>1538354.2000000002</v>
      </c>
      <c r="S28" s="5" t="s">
        <v>10372</v>
      </c>
    </row>
    <row r="29" spans="2:19" hidden="1" x14ac:dyDescent="0.25">
      <c r="C29" s="4" t="s">
        <v>2450</v>
      </c>
      <c r="E29" s="5" t="s">
        <v>0</v>
      </c>
      <c r="F29" s="5" t="s">
        <v>9749</v>
      </c>
      <c r="G29" s="146" t="s">
        <v>9318</v>
      </c>
      <c r="H29" s="7" t="s">
        <v>9519</v>
      </c>
      <c r="I29" s="7" t="s">
        <v>9520</v>
      </c>
      <c r="J29" s="5" t="s">
        <v>10269</v>
      </c>
      <c r="L29" s="5" t="s">
        <v>9799</v>
      </c>
      <c r="M29" s="7" t="s">
        <v>9800</v>
      </c>
      <c r="N29" s="45">
        <v>18290</v>
      </c>
      <c r="O29" s="4" t="s">
        <v>15</v>
      </c>
      <c r="P29" s="45">
        <f>17690</f>
        <v>17690</v>
      </c>
      <c r="Q29" s="45">
        <f t="shared" si="4"/>
        <v>600</v>
      </c>
      <c r="R29" s="3">
        <f t="shared" si="3"/>
        <v>17690</v>
      </c>
    </row>
    <row r="30" spans="2:19" hidden="1" x14ac:dyDescent="0.25">
      <c r="B30" s="21" t="s">
        <v>395</v>
      </c>
      <c r="C30" s="22" t="s">
        <v>2450</v>
      </c>
      <c r="D30" s="22"/>
      <c r="E30" s="21" t="s">
        <v>0</v>
      </c>
      <c r="F30" s="21" t="s">
        <v>9749</v>
      </c>
      <c r="G30" s="147" t="s">
        <v>10270</v>
      </c>
      <c r="H30" s="23" t="s">
        <v>9695</v>
      </c>
      <c r="I30" s="23" t="s">
        <v>9696</v>
      </c>
      <c r="J30" s="21" t="s">
        <v>10269</v>
      </c>
      <c r="K30" s="21"/>
      <c r="L30" s="21" t="s">
        <v>10268</v>
      </c>
      <c r="M30" s="26">
        <v>45503</v>
      </c>
      <c r="N30" s="44">
        <v>13760</v>
      </c>
      <c r="O30" s="22" t="s">
        <v>15</v>
      </c>
      <c r="P30" s="44">
        <v>13760</v>
      </c>
      <c r="Q30" s="24">
        <f t="shared" si="4"/>
        <v>0</v>
      </c>
      <c r="R30" s="24">
        <f t="shared" si="3"/>
        <v>13760</v>
      </c>
    </row>
    <row r="31" spans="2:19" hidden="1" x14ac:dyDescent="0.25">
      <c r="B31" s="21" t="s">
        <v>395</v>
      </c>
      <c r="C31" s="22" t="s">
        <v>2450</v>
      </c>
      <c r="D31" s="22"/>
      <c r="E31" s="21" t="s">
        <v>3234</v>
      </c>
      <c r="F31" s="21"/>
      <c r="G31" s="147" t="s">
        <v>3235</v>
      </c>
      <c r="H31" s="23" t="s">
        <v>3236</v>
      </c>
      <c r="I31" s="23"/>
      <c r="J31" s="21" t="s">
        <v>3238</v>
      </c>
      <c r="K31" s="120"/>
      <c r="L31" s="21" t="s">
        <v>3248</v>
      </c>
      <c r="M31" s="26">
        <v>43982</v>
      </c>
      <c r="N31" s="44">
        <v>11000</v>
      </c>
      <c r="O31" s="22" t="s">
        <v>276</v>
      </c>
      <c r="P31" s="22" t="s">
        <v>19</v>
      </c>
      <c r="Q31" s="44">
        <f t="shared" si="4"/>
        <v>0</v>
      </c>
      <c r="R31" s="116">
        <f t="shared" si="3"/>
        <v>11000</v>
      </c>
    </row>
    <row r="32" spans="2:19" hidden="1" x14ac:dyDescent="0.25">
      <c r="B32" s="21" t="s">
        <v>395</v>
      </c>
      <c r="C32" s="22" t="s">
        <v>2450</v>
      </c>
      <c r="D32" s="22"/>
      <c r="E32" s="21" t="s">
        <v>3234</v>
      </c>
      <c r="F32" s="21"/>
      <c r="G32" s="147" t="s">
        <v>3235</v>
      </c>
      <c r="H32" s="23" t="s">
        <v>3236</v>
      </c>
      <c r="I32" s="23"/>
      <c r="J32" s="21" t="s">
        <v>3237</v>
      </c>
      <c r="K32" s="120"/>
      <c r="L32" s="21" t="s">
        <v>3425</v>
      </c>
      <c r="M32" s="26">
        <v>44004</v>
      </c>
      <c r="N32" s="44">
        <v>10750</v>
      </c>
      <c r="O32" s="22" t="s">
        <v>276</v>
      </c>
      <c r="P32" s="22" t="s">
        <v>19</v>
      </c>
      <c r="Q32" s="44">
        <f t="shared" si="4"/>
        <v>0</v>
      </c>
      <c r="R32" s="116">
        <f t="shared" si="3"/>
        <v>10750</v>
      </c>
    </row>
    <row r="33" spans="1:18" hidden="1" x14ac:dyDescent="0.25">
      <c r="B33" s="21" t="s">
        <v>395</v>
      </c>
      <c r="C33" s="22" t="s">
        <v>2450</v>
      </c>
      <c r="D33" s="22"/>
      <c r="E33" s="21" t="s">
        <v>3234</v>
      </c>
      <c r="F33" s="21"/>
      <c r="G33" s="147" t="s">
        <v>3235</v>
      </c>
      <c r="H33" s="23" t="s">
        <v>3236</v>
      </c>
      <c r="I33" s="23"/>
      <c r="J33" s="21" t="s">
        <v>3426</v>
      </c>
      <c r="K33" s="120"/>
      <c r="L33" s="21" t="s">
        <v>3898</v>
      </c>
      <c r="M33" s="26">
        <v>44124</v>
      </c>
      <c r="N33" s="44">
        <v>10750</v>
      </c>
      <c r="O33" s="22" t="s">
        <v>276</v>
      </c>
      <c r="P33" s="22" t="s">
        <v>19</v>
      </c>
      <c r="Q33" s="44">
        <f t="shared" si="4"/>
        <v>0</v>
      </c>
      <c r="R33" s="116">
        <f t="shared" si="3"/>
        <v>10750</v>
      </c>
    </row>
    <row r="34" spans="1:18" hidden="1" x14ac:dyDescent="0.25">
      <c r="B34" s="5" t="s">
        <v>12273</v>
      </c>
      <c r="C34" s="4" t="s">
        <v>2450</v>
      </c>
      <c r="E34" s="5" t="s">
        <v>3234</v>
      </c>
      <c r="G34" s="146" t="s">
        <v>3235</v>
      </c>
      <c r="H34" s="7" t="s">
        <v>3236</v>
      </c>
      <c r="J34" s="5" t="s">
        <v>3427</v>
      </c>
      <c r="K34" s="13">
        <v>44075</v>
      </c>
      <c r="N34" s="45">
        <v>7250</v>
      </c>
      <c r="O34" s="4" t="s">
        <v>276</v>
      </c>
      <c r="P34" s="4"/>
      <c r="Q34" s="45">
        <f t="shared" si="4"/>
        <v>7250</v>
      </c>
      <c r="R34" s="25">
        <f t="shared" si="3"/>
        <v>0</v>
      </c>
    </row>
    <row r="35" spans="1:18" hidden="1" x14ac:dyDescent="0.25">
      <c r="B35" s="5" t="s">
        <v>12273</v>
      </c>
      <c r="C35" s="4" t="s">
        <v>2450</v>
      </c>
      <c r="E35" s="5" t="s">
        <v>3234</v>
      </c>
      <c r="G35" s="146" t="s">
        <v>3235</v>
      </c>
      <c r="H35" s="7" t="s">
        <v>3236</v>
      </c>
      <c r="J35" s="5" t="s">
        <v>3239</v>
      </c>
      <c r="K35" s="13">
        <v>44075</v>
      </c>
      <c r="N35" s="45">
        <v>2500</v>
      </c>
      <c r="O35" s="4" t="s">
        <v>276</v>
      </c>
      <c r="P35" s="4"/>
      <c r="Q35" s="45">
        <f t="shared" si="4"/>
        <v>2500</v>
      </c>
      <c r="R35" s="25">
        <f t="shared" si="3"/>
        <v>0</v>
      </c>
    </row>
    <row r="36" spans="1:18" hidden="1" x14ac:dyDescent="0.25">
      <c r="B36" s="21" t="s">
        <v>395</v>
      </c>
      <c r="C36" s="22" t="s">
        <v>2450</v>
      </c>
      <c r="D36" s="22"/>
      <c r="E36" s="21" t="s">
        <v>3234</v>
      </c>
      <c r="F36" s="21"/>
      <c r="G36" s="147" t="s">
        <v>3235</v>
      </c>
      <c r="H36" s="23" t="s">
        <v>3236</v>
      </c>
      <c r="I36" s="23"/>
      <c r="J36" s="21" t="s">
        <v>3240</v>
      </c>
      <c r="K36" s="120">
        <v>44105</v>
      </c>
      <c r="L36" s="21"/>
      <c r="M36" s="23"/>
      <c r="N36" s="44">
        <v>0</v>
      </c>
      <c r="O36" s="22" t="s">
        <v>276</v>
      </c>
      <c r="P36" s="22"/>
      <c r="Q36" s="44">
        <f t="shared" si="4"/>
        <v>0</v>
      </c>
      <c r="R36" s="116">
        <f t="shared" si="3"/>
        <v>0</v>
      </c>
    </row>
    <row r="37" spans="1:18" hidden="1" x14ac:dyDescent="0.25">
      <c r="B37" s="21" t="s">
        <v>395</v>
      </c>
      <c r="C37" s="22" t="s">
        <v>2450</v>
      </c>
      <c r="D37" s="22"/>
      <c r="E37" s="21" t="s">
        <v>3234</v>
      </c>
      <c r="F37" s="21"/>
      <c r="G37" s="147" t="s">
        <v>3235</v>
      </c>
      <c r="H37" s="23" t="s">
        <v>3236</v>
      </c>
      <c r="I37" s="23"/>
      <c r="J37" s="21" t="s">
        <v>3241</v>
      </c>
      <c r="K37" s="120">
        <v>44105</v>
      </c>
      <c r="L37" s="21"/>
      <c r="M37" s="23"/>
      <c r="N37" s="44">
        <v>0</v>
      </c>
      <c r="O37" s="22" t="s">
        <v>276</v>
      </c>
      <c r="P37" s="22"/>
      <c r="Q37" s="44">
        <f t="shared" si="4"/>
        <v>0</v>
      </c>
      <c r="R37" s="116">
        <f t="shared" si="3"/>
        <v>0</v>
      </c>
    </row>
    <row r="38" spans="1:18" hidden="1" x14ac:dyDescent="0.25">
      <c r="B38" s="21" t="s">
        <v>395</v>
      </c>
      <c r="C38" s="22" t="s">
        <v>2450</v>
      </c>
      <c r="D38" s="22"/>
      <c r="E38" s="21" t="s">
        <v>3234</v>
      </c>
      <c r="F38" s="21"/>
      <c r="G38" s="147" t="s">
        <v>3235</v>
      </c>
      <c r="H38" s="23" t="s">
        <v>3236</v>
      </c>
      <c r="I38" s="23"/>
      <c r="J38" s="21" t="s">
        <v>3242</v>
      </c>
      <c r="K38" s="120">
        <v>44105</v>
      </c>
      <c r="L38" s="21"/>
      <c r="M38" s="23"/>
      <c r="N38" s="44">
        <v>0</v>
      </c>
      <c r="O38" s="22" t="s">
        <v>276</v>
      </c>
      <c r="P38" s="22"/>
      <c r="Q38" s="44">
        <f t="shared" si="4"/>
        <v>0</v>
      </c>
      <c r="R38" s="116">
        <f t="shared" si="3"/>
        <v>0</v>
      </c>
    </row>
    <row r="39" spans="1:18" hidden="1" x14ac:dyDescent="0.25">
      <c r="B39" s="21" t="s">
        <v>395</v>
      </c>
      <c r="C39" s="22" t="s">
        <v>2450</v>
      </c>
      <c r="D39" s="22"/>
      <c r="E39" s="21" t="s">
        <v>3234</v>
      </c>
      <c r="F39" s="21"/>
      <c r="G39" s="147" t="s">
        <v>3235</v>
      </c>
      <c r="H39" s="23" t="s">
        <v>3236</v>
      </c>
      <c r="I39" s="23"/>
      <c r="J39" s="21" t="s">
        <v>3243</v>
      </c>
      <c r="K39" s="120"/>
      <c r="L39" s="21"/>
      <c r="M39" s="23"/>
      <c r="N39" s="44">
        <v>0</v>
      </c>
      <c r="O39" s="22" t="s">
        <v>276</v>
      </c>
      <c r="P39" s="22"/>
      <c r="Q39" s="44">
        <f t="shared" si="4"/>
        <v>0</v>
      </c>
      <c r="R39" s="116">
        <f t="shared" si="3"/>
        <v>0</v>
      </c>
    </row>
    <row r="40" spans="1:18" hidden="1" x14ac:dyDescent="0.25">
      <c r="B40" s="21" t="s">
        <v>395</v>
      </c>
      <c r="C40" s="22" t="s">
        <v>2427</v>
      </c>
      <c r="D40" s="22"/>
      <c r="E40" s="21" t="s">
        <v>3234</v>
      </c>
      <c r="F40" s="21"/>
      <c r="G40" s="147" t="s">
        <v>3235</v>
      </c>
      <c r="H40" s="23" t="s">
        <v>3765</v>
      </c>
      <c r="I40" s="23"/>
      <c r="J40" s="21" t="s">
        <v>3767</v>
      </c>
      <c r="K40" s="13"/>
      <c r="L40" s="21" t="s">
        <v>3768</v>
      </c>
      <c r="M40" s="26">
        <v>44103</v>
      </c>
      <c r="N40" s="44">
        <v>3000</v>
      </c>
      <c r="O40" s="22" t="s">
        <v>276</v>
      </c>
      <c r="P40" s="22" t="s">
        <v>19</v>
      </c>
      <c r="Q40" s="24">
        <f t="shared" si="4"/>
        <v>0</v>
      </c>
      <c r="R40" s="116">
        <f t="shared" si="3"/>
        <v>3000</v>
      </c>
    </row>
    <row r="41" spans="1:18" hidden="1" x14ac:dyDescent="0.25">
      <c r="B41" s="5" t="s">
        <v>12273</v>
      </c>
      <c r="C41" s="4" t="s">
        <v>2427</v>
      </c>
      <c r="E41" s="5" t="s">
        <v>3234</v>
      </c>
      <c r="G41" s="146" t="s">
        <v>3235</v>
      </c>
      <c r="H41" s="7" t="s">
        <v>3765</v>
      </c>
      <c r="J41" s="5" t="s">
        <v>3766</v>
      </c>
      <c r="K41" s="13">
        <v>44136</v>
      </c>
      <c r="N41" s="45">
        <v>3000</v>
      </c>
      <c r="O41" s="4" t="s">
        <v>276</v>
      </c>
      <c r="P41" s="4"/>
      <c r="Q41" s="24">
        <f t="shared" si="4"/>
        <v>3000</v>
      </c>
      <c r="R41" s="25">
        <f t="shared" si="3"/>
        <v>0</v>
      </c>
    </row>
    <row r="42" spans="1:18" hidden="1" x14ac:dyDescent="0.25">
      <c r="B42" s="5" t="s">
        <v>12275</v>
      </c>
      <c r="C42" s="4" t="s">
        <v>2450</v>
      </c>
      <c r="E42" s="5" t="s">
        <v>0</v>
      </c>
      <c r="G42" s="146" t="s">
        <v>5780</v>
      </c>
      <c r="H42" s="7" t="s">
        <v>3869</v>
      </c>
      <c r="I42" s="7" t="s">
        <v>7977</v>
      </c>
      <c r="J42" s="5" t="s">
        <v>5938</v>
      </c>
      <c r="K42" s="13">
        <v>44561</v>
      </c>
      <c r="L42" s="5" t="s">
        <v>5939</v>
      </c>
      <c r="M42" s="12">
        <v>44476</v>
      </c>
      <c r="N42" s="45">
        <v>2992</v>
      </c>
      <c r="O42" s="4" t="s">
        <v>341</v>
      </c>
      <c r="P42" s="4">
        <v>1959.84</v>
      </c>
      <c r="Q42" s="3">
        <f t="shared" ref="Q42:Q48" si="5">IF(P42="en cours",N42,IF(P42="OK",0,IF(N42-P42&lt;0,0,N42-P42)))</f>
        <v>1032.1600000000001</v>
      </c>
      <c r="R42" s="3">
        <f t="shared" ref="R42:R46" si="6">IF(P42="OK",N42-Q42,IF(P42="en cours",M42-Q42,P42))</f>
        <v>1959.84</v>
      </c>
    </row>
    <row r="43" spans="1:18" hidden="1" x14ac:dyDescent="0.25">
      <c r="A43" t="s">
        <v>6753</v>
      </c>
      <c r="B43" s="21" t="s">
        <v>395</v>
      </c>
      <c r="C43" s="22" t="s">
        <v>2450</v>
      </c>
      <c r="D43" s="22"/>
      <c r="E43" s="21" t="s">
        <v>0</v>
      </c>
      <c r="F43" s="21"/>
      <c r="G43" s="147" t="s">
        <v>5780</v>
      </c>
      <c r="H43" s="23" t="s">
        <v>3869</v>
      </c>
      <c r="I43" s="23" t="s">
        <v>7977</v>
      </c>
      <c r="J43" s="21" t="s">
        <v>3878</v>
      </c>
      <c r="K43" s="120"/>
      <c r="L43" s="21" t="s">
        <v>4011</v>
      </c>
      <c r="M43" s="26">
        <v>44145</v>
      </c>
      <c r="N43" s="44">
        <f>0.35*15966</f>
        <v>5588.0999999999995</v>
      </c>
      <c r="O43" s="22" t="s">
        <v>341</v>
      </c>
      <c r="P43" s="22" t="s">
        <v>19</v>
      </c>
      <c r="Q43" s="24">
        <f t="shared" si="5"/>
        <v>0</v>
      </c>
      <c r="R43" s="24">
        <f t="shared" si="6"/>
        <v>5588.0999999999995</v>
      </c>
    </row>
    <row r="44" spans="1:18" hidden="1" x14ac:dyDescent="0.25">
      <c r="A44" t="s">
        <v>6753</v>
      </c>
      <c r="B44" s="21" t="s">
        <v>1541</v>
      </c>
      <c r="C44" s="22" t="s">
        <v>2450</v>
      </c>
      <c r="D44" s="22"/>
      <c r="E44" s="21" t="s">
        <v>0</v>
      </c>
      <c r="F44" s="21"/>
      <c r="G44" s="147" t="s">
        <v>5780</v>
      </c>
      <c r="H44" s="23" t="s">
        <v>3869</v>
      </c>
      <c r="I44" s="23" t="s">
        <v>7977</v>
      </c>
      <c r="J44" s="21" t="s">
        <v>4608</v>
      </c>
      <c r="K44" s="120"/>
      <c r="L44" s="21"/>
      <c r="M44" s="26"/>
      <c r="N44" s="204">
        <v>0</v>
      </c>
      <c r="O44" s="22" t="s">
        <v>341</v>
      </c>
      <c r="P44" s="22"/>
      <c r="Q44" s="24">
        <f t="shared" si="5"/>
        <v>0</v>
      </c>
      <c r="R44" s="24">
        <f t="shared" si="6"/>
        <v>0</v>
      </c>
    </row>
    <row r="45" spans="1:18" hidden="1" x14ac:dyDescent="0.25">
      <c r="A45" t="s">
        <v>6753</v>
      </c>
      <c r="B45" s="21" t="s">
        <v>395</v>
      </c>
      <c r="C45" s="22" t="s">
        <v>2450</v>
      </c>
      <c r="D45" s="22"/>
      <c r="E45" s="21" t="s">
        <v>0</v>
      </c>
      <c r="F45" s="21"/>
      <c r="G45" s="147" t="s">
        <v>5780</v>
      </c>
      <c r="H45" s="23" t="s">
        <v>3869</v>
      </c>
      <c r="I45" s="23" t="s">
        <v>7977</v>
      </c>
      <c r="J45" s="21" t="s">
        <v>3879</v>
      </c>
      <c r="K45" s="120"/>
      <c r="L45" s="21" t="s">
        <v>4011</v>
      </c>
      <c r="M45" s="26">
        <v>44145</v>
      </c>
      <c r="N45" s="44">
        <f>0.35*15240</f>
        <v>5334</v>
      </c>
      <c r="O45" s="22" t="s">
        <v>341</v>
      </c>
      <c r="P45" s="22" t="s">
        <v>19</v>
      </c>
      <c r="Q45" s="24">
        <f t="shared" si="5"/>
        <v>0</v>
      </c>
      <c r="R45" s="24">
        <f t="shared" si="6"/>
        <v>5334</v>
      </c>
    </row>
    <row r="46" spans="1:18" hidden="1" x14ac:dyDescent="0.25">
      <c r="A46" t="s">
        <v>6753</v>
      </c>
      <c r="B46" s="21" t="s">
        <v>1541</v>
      </c>
      <c r="C46" s="22" t="s">
        <v>2450</v>
      </c>
      <c r="D46" s="22"/>
      <c r="E46" s="21" t="s">
        <v>0</v>
      </c>
      <c r="F46" s="21"/>
      <c r="G46" s="147" t="s">
        <v>5780</v>
      </c>
      <c r="H46" s="23" t="s">
        <v>3869</v>
      </c>
      <c r="I46" s="23" t="s">
        <v>7977</v>
      </c>
      <c r="J46" s="21" t="s">
        <v>4609</v>
      </c>
      <c r="K46" s="120"/>
      <c r="L46" s="21"/>
      <c r="M46" s="26"/>
      <c r="N46" s="204">
        <v>0</v>
      </c>
      <c r="O46" s="22" t="s">
        <v>341</v>
      </c>
      <c r="P46" s="22"/>
      <c r="Q46" s="24">
        <f t="shared" si="5"/>
        <v>0</v>
      </c>
      <c r="R46" s="24">
        <f t="shared" si="6"/>
        <v>0</v>
      </c>
    </row>
    <row r="47" spans="1:18" hidden="1" x14ac:dyDescent="0.25">
      <c r="B47" s="21" t="s">
        <v>395</v>
      </c>
      <c r="C47" s="22" t="s">
        <v>2450</v>
      </c>
      <c r="D47" s="22"/>
      <c r="E47" s="21" t="s">
        <v>0</v>
      </c>
      <c r="F47" s="21"/>
      <c r="G47" s="147" t="s">
        <v>92</v>
      </c>
      <c r="H47" s="23" t="s">
        <v>9234</v>
      </c>
      <c r="I47" s="23" t="s">
        <v>9235</v>
      </c>
      <c r="J47" s="21" t="s">
        <v>9236</v>
      </c>
      <c r="K47" s="21"/>
      <c r="L47" s="21" t="s">
        <v>12699</v>
      </c>
      <c r="M47" s="26" t="s">
        <v>12700</v>
      </c>
      <c r="N47" s="44">
        <v>36485</v>
      </c>
      <c r="O47" s="22" t="s">
        <v>15</v>
      </c>
      <c r="P47" s="44">
        <f>10920+10920+14560</f>
        <v>36400</v>
      </c>
      <c r="Q47" s="44">
        <v>0</v>
      </c>
      <c r="R47" s="24">
        <f t="shared" ref="R47:R65" si="7">IF(P47="OK",N47-Q47,IF(P47="en cours",N47-Q47,P47))</f>
        <v>36400</v>
      </c>
    </row>
    <row r="48" spans="1:18" hidden="1" x14ac:dyDescent="0.25">
      <c r="B48" s="21" t="s">
        <v>395</v>
      </c>
      <c r="C48" s="22" t="s">
        <v>2450</v>
      </c>
      <c r="D48" s="22"/>
      <c r="E48" s="21" t="s">
        <v>0</v>
      </c>
      <c r="F48" s="21"/>
      <c r="G48" s="147" t="s">
        <v>92</v>
      </c>
      <c r="H48" s="23" t="s">
        <v>9619</v>
      </c>
      <c r="I48" s="23" t="s">
        <v>9620</v>
      </c>
      <c r="J48" s="165" t="s">
        <v>9236</v>
      </c>
      <c r="K48" s="21"/>
      <c r="L48" s="21" t="s">
        <v>12697</v>
      </c>
      <c r="M48" s="26" t="s">
        <v>12698</v>
      </c>
      <c r="N48" s="44">
        <v>16800</v>
      </c>
      <c r="O48" s="22" t="s">
        <v>15</v>
      </c>
      <c r="P48" s="44">
        <f>5040+11760</f>
        <v>16800</v>
      </c>
      <c r="Q48" s="24">
        <f t="shared" si="5"/>
        <v>0</v>
      </c>
      <c r="R48" s="24">
        <f t="shared" si="7"/>
        <v>16800</v>
      </c>
    </row>
    <row r="49" spans="1:18" hidden="1" x14ac:dyDescent="0.25">
      <c r="B49" s="21" t="s">
        <v>395</v>
      </c>
      <c r="C49" s="22" t="s">
        <v>2450</v>
      </c>
      <c r="D49" s="22"/>
      <c r="E49" s="21" t="s">
        <v>0</v>
      </c>
      <c r="F49" s="21" t="s">
        <v>9823</v>
      </c>
      <c r="G49" s="147" t="s">
        <v>92</v>
      </c>
      <c r="H49" s="23" t="s">
        <v>9850</v>
      </c>
      <c r="I49" s="23" t="s">
        <v>9851</v>
      </c>
      <c r="J49" s="21" t="s">
        <v>9852</v>
      </c>
      <c r="K49" s="21"/>
      <c r="L49" s="21" t="s">
        <v>12703</v>
      </c>
      <c r="M49" s="26">
        <v>45399</v>
      </c>
      <c r="N49" s="44">
        <v>2759.1</v>
      </c>
      <c r="O49" s="22" t="s">
        <v>15</v>
      </c>
      <c r="P49" s="44">
        <f>2759.1</f>
        <v>2759.1</v>
      </c>
      <c r="Q49" s="24">
        <f t="shared" ref="Q49:Q51" si="8">IF(P49="en cours",N49,IF(P49="OK",0,IF(N49-P49&lt;0,0,N49-P49)))</f>
        <v>0</v>
      </c>
      <c r="R49" s="24">
        <f t="shared" si="7"/>
        <v>2759.1</v>
      </c>
    </row>
    <row r="50" spans="1:18" hidden="1" x14ac:dyDescent="0.25">
      <c r="B50" s="21" t="s">
        <v>395</v>
      </c>
      <c r="C50" s="22" t="s">
        <v>2450</v>
      </c>
      <c r="D50" s="22"/>
      <c r="E50" s="21" t="s">
        <v>0</v>
      </c>
      <c r="F50" s="21" t="s">
        <v>9823</v>
      </c>
      <c r="G50" s="147" t="s">
        <v>92</v>
      </c>
      <c r="H50" s="23" t="s">
        <v>9853</v>
      </c>
      <c r="I50" s="23" t="s">
        <v>9854</v>
      </c>
      <c r="J50" s="21" t="s">
        <v>9855</v>
      </c>
      <c r="K50" s="21"/>
      <c r="L50" s="21" t="s">
        <v>12702</v>
      </c>
      <c r="M50" s="26">
        <v>45399</v>
      </c>
      <c r="N50" s="44">
        <v>2005.4</v>
      </c>
      <c r="O50" s="22" t="s">
        <v>15</v>
      </c>
      <c r="P50" s="44">
        <v>2005.4</v>
      </c>
      <c r="Q50" s="24">
        <f t="shared" si="8"/>
        <v>0</v>
      </c>
      <c r="R50" s="24">
        <f t="shared" si="7"/>
        <v>2005.4</v>
      </c>
    </row>
    <row r="51" spans="1:18" hidden="1" x14ac:dyDescent="0.25">
      <c r="B51" s="21" t="s">
        <v>395</v>
      </c>
      <c r="C51" s="22" t="s">
        <v>2450</v>
      </c>
      <c r="D51" s="22"/>
      <c r="E51" s="21" t="s">
        <v>0</v>
      </c>
      <c r="F51" s="21" t="s">
        <v>9823</v>
      </c>
      <c r="G51" s="147" t="s">
        <v>92</v>
      </c>
      <c r="H51" s="23" t="s">
        <v>9869</v>
      </c>
      <c r="I51" s="23" t="s">
        <v>9870</v>
      </c>
      <c r="J51" s="21" t="s">
        <v>9871</v>
      </c>
      <c r="K51" s="21"/>
      <c r="L51" s="21" t="s">
        <v>12701</v>
      </c>
      <c r="M51" s="26">
        <v>45393</v>
      </c>
      <c r="N51" s="44">
        <v>2082.1999999999998</v>
      </c>
      <c r="O51" s="22" t="s">
        <v>15</v>
      </c>
      <c r="P51" s="44">
        <v>2082.1999999999998</v>
      </c>
      <c r="Q51" s="24">
        <f t="shared" si="8"/>
        <v>0</v>
      </c>
      <c r="R51" s="24">
        <f t="shared" si="7"/>
        <v>2082.1999999999998</v>
      </c>
    </row>
    <row r="52" spans="1:18" hidden="1" x14ac:dyDescent="0.25">
      <c r="A52" t="s">
        <v>6386</v>
      </c>
      <c r="B52" s="21" t="s">
        <v>395</v>
      </c>
      <c r="C52" s="22" t="s">
        <v>7408</v>
      </c>
      <c r="D52" s="22"/>
      <c r="E52" s="21" t="s">
        <v>75</v>
      </c>
      <c r="F52" s="21"/>
      <c r="G52" s="147" t="s">
        <v>8343</v>
      </c>
      <c r="H52" s="23" t="s">
        <v>8344</v>
      </c>
      <c r="I52" s="23"/>
      <c r="J52" s="21" t="s">
        <v>9036</v>
      </c>
      <c r="K52" s="21"/>
      <c r="L52" s="21" t="s">
        <v>8435</v>
      </c>
      <c r="M52" s="26">
        <v>45077</v>
      </c>
      <c r="N52" s="44">
        <v>47000</v>
      </c>
      <c r="O52" s="22" t="s">
        <v>15</v>
      </c>
      <c r="P52" s="44">
        <f>47000</f>
        <v>47000</v>
      </c>
      <c r="Q52" s="44">
        <f t="shared" ref="Q52:Q68" si="9">IF(P52="en cours",N52,IF(P52="OK",0,IF(N52-P52&lt;0,0,N52-P52)))</f>
        <v>0</v>
      </c>
      <c r="R52" s="24">
        <f t="shared" si="7"/>
        <v>47000</v>
      </c>
    </row>
    <row r="53" spans="1:18" hidden="1" x14ac:dyDescent="0.25">
      <c r="A53" t="s">
        <v>6386</v>
      </c>
      <c r="B53" s="21" t="s">
        <v>395</v>
      </c>
      <c r="C53" s="22" t="s">
        <v>7408</v>
      </c>
      <c r="D53" s="22"/>
      <c r="E53" s="21" t="s">
        <v>75</v>
      </c>
      <c r="F53" s="21"/>
      <c r="G53" s="147" t="s">
        <v>8343</v>
      </c>
      <c r="H53" s="23" t="s">
        <v>8344</v>
      </c>
      <c r="I53" s="23"/>
      <c r="J53" s="21" t="s">
        <v>9040</v>
      </c>
      <c r="K53" s="21"/>
      <c r="L53" s="21" t="s">
        <v>9042</v>
      </c>
      <c r="M53" s="26">
        <v>45198</v>
      </c>
      <c r="N53" s="44">
        <v>44000</v>
      </c>
      <c r="O53" s="22" t="s">
        <v>15</v>
      </c>
      <c r="P53" s="44">
        <v>44000</v>
      </c>
      <c r="Q53" s="44">
        <f t="shared" si="9"/>
        <v>0</v>
      </c>
      <c r="R53" s="24">
        <f t="shared" si="7"/>
        <v>44000</v>
      </c>
    </row>
    <row r="54" spans="1:18" hidden="1" x14ac:dyDescent="0.25">
      <c r="A54" t="s">
        <v>6386</v>
      </c>
      <c r="B54" s="21" t="s">
        <v>395</v>
      </c>
      <c r="C54" s="22" t="s">
        <v>7408</v>
      </c>
      <c r="D54" s="22"/>
      <c r="E54" s="21" t="s">
        <v>75</v>
      </c>
      <c r="F54" s="21"/>
      <c r="G54" s="147" t="s">
        <v>8343</v>
      </c>
      <c r="H54" s="23" t="s">
        <v>8344</v>
      </c>
      <c r="I54" s="23"/>
      <c r="J54" s="21" t="s">
        <v>9037</v>
      </c>
      <c r="K54" s="47"/>
      <c r="L54" s="21" t="s">
        <v>9941</v>
      </c>
      <c r="M54" s="26">
        <v>45380</v>
      </c>
      <c r="N54" s="44">
        <v>44000</v>
      </c>
      <c r="O54" s="22" t="s">
        <v>15</v>
      </c>
      <c r="P54" s="44">
        <v>44000</v>
      </c>
      <c r="Q54" s="44">
        <f t="shared" si="9"/>
        <v>0</v>
      </c>
      <c r="R54" s="44">
        <f t="shared" si="7"/>
        <v>44000</v>
      </c>
    </row>
    <row r="55" spans="1:18" hidden="1" x14ac:dyDescent="0.25">
      <c r="A55" t="s">
        <v>6386</v>
      </c>
      <c r="B55" s="21" t="s">
        <v>395</v>
      </c>
      <c r="C55" s="22" t="s">
        <v>7408</v>
      </c>
      <c r="D55" s="22"/>
      <c r="E55" s="21" t="s">
        <v>75</v>
      </c>
      <c r="F55" s="21"/>
      <c r="G55" s="147" t="s">
        <v>8343</v>
      </c>
      <c r="H55" s="23" t="s">
        <v>8344</v>
      </c>
      <c r="I55" s="23"/>
      <c r="J55" s="21" t="s">
        <v>9038</v>
      </c>
      <c r="K55" s="47"/>
      <c r="L55" s="21" t="s">
        <v>9887</v>
      </c>
      <c r="M55" s="26">
        <v>45440</v>
      </c>
      <c r="N55" s="44">
        <v>44000</v>
      </c>
      <c r="O55" s="22" t="s">
        <v>15</v>
      </c>
      <c r="P55" s="44">
        <v>44000</v>
      </c>
      <c r="Q55" s="44">
        <f t="shared" si="9"/>
        <v>0</v>
      </c>
      <c r="R55" s="44">
        <f t="shared" si="7"/>
        <v>44000</v>
      </c>
    </row>
    <row r="56" spans="1:18" hidden="1" x14ac:dyDescent="0.25">
      <c r="A56" t="s">
        <v>6386</v>
      </c>
      <c r="B56" s="21" t="s">
        <v>395</v>
      </c>
      <c r="C56" s="22" t="s">
        <v>7408</v>
      </c>
      <c r="D56" s="22"/>
      <c r="E56" s="21" t="s">
        <v>75</v>
      </c>
      <c r="F56" s="21" t="s">
        <v>9790</v>
      </c>
      <c r="G56" s="147" t="s">
        <v>8343</v>
      </c>
      <c r="H56" s="23" t="s">
        <v>9944</v>
      </c>
      <c r="I56" s="23"/>
      <c r="J56" s="21" t="s">
        <v>9039</v>
      </c>
      <c r="K56" s="47"/>
      <c r="L56" s="21" t="s">
        <v>10688</v>
      </c>
      <c r="M56" s="26">
        <v>45535</v>
      </c>
      <c r="N56" s="44">
        <v>65000</v>
      </c>
      <c r="O56" s="22" t="s">
        <v>15</v>
      </c>
      <c r="P56" s="44">
        <v>65000</v>
      </c>
      <c r="Q56" s="24">
        <f t="shared" si="9"/>
        <v>0</v>
      </c>
      <c r="R56" s="24">
        <f t="shared" si="7"/>
        <v>65000</v>
      </c>
    </row>
    <row r="57" spans="1:18" hidden="1" x14ac:dyDescent="0.25">
      <c r="A57" t="s">
        <v>6386</v>
      </c>
      <c r="B57" s="21" t="s">
        <v>395</v>
      </c>
      <c r="C57" s="22" t="s">
        <v>7408</v>
      </c>
      <c r="D57" s="22"/>
      <c r="E57" s="21" t="s">
        <v>75</v>
      </c>
      <c r="F57" s="21" t="s">
        <v>9790</v>
      </c>
      <c r="G57" s="147" t="s">
        <v>8343</v>
      </c>
      <c r="H57" s="23" t="s">
        <v>9944</v>
      </c>
      <c r="I57" s="23"/>
      <c r="J57" s="21" t="s">
        <v>9312</v>
      </c>
      <c r="K57" s="47"/>
      <c r="L57" s="21" t="s">
        <v>10689</v>
      </c>
      <c r="M57" s="26">
        <v>45596</v>
      </c>
      <c r="N57" s="44">
        <v>65000</v>
      </c>
      <c r="O57" s="22" t="s">
        <v>15</v>
      </c>
      <c r="P57" s="44">
        <v>65000</v>
      </c>
      <c r="Q57" s="24">
        <f t="shared" si="9"/>
        <v>0</v>
      </c>
      <c r="R57" s="24">
        <f t="shared" si="7"/>
        <v>65000</v>
      </c>
    </row>
    <row r="58" spans="1:18" hidden="1" x14ac:dyDescent="0.25">
      <c r="A58" t="s">
        <v>6386</v>
      </c>
      <c r="B58" s="21" t="s">
        <v>395</v>
      </c>
      <c r="C58" s="22" t="s">
        <v>7408</v>
      </c>
      <c r="D58" s="22"/>
      <c r="E58" s="21" t="s">
        <v>75</v>
      </c>
      <c r="F58" s="21" t="s">
        <v>9790</v>
      </c>
      <c r="G58" s="147" t="s">
        <v>8343</v>
      </c>
      <c r="H58" s="23" t="s">
        <v>9944</v>
      </c>
      <c r="I58" s="23"/>
      <c r="J58" s="21" t="s">
        <v>9041</v>
      </c>
      <c r="K58" s="47"/>
      <c r="L58" s="21" t="s">
        <v>10861</v>
      </c>
      <c r="M58" s="26">
        <v>45636</v>
      </c>
      <c r="N58" s="44">
        <v>12500</v>
      </c>
      <c r="O58" s="22" t="s">
        <v>15</v>
      </c>
      <c r="P58" s="44">
        <v>12500</v>
      </c>
      <c r="Q58" s="24">
        <f t="shared" si="9"/>
        <v>0</v>
      </c>
      <c r="R58" s="24">
        <f t="shared" si="7"/>
        <v>12500</v>
      </c>
    </row>
    <row r="59" spans="1:18" hidden="1" x14ac:dyDescent="0.25">
      <c r="C59" s="4" t="s">
        <v>7408</v>
      </c>
      <c r="E59" s="5" t="s">
        <v>75</v>
      </c>
      <c r="F59" s="5" t="s">
        <v>9790</v>
      </c>
      <c r="G59" s="146" t="s">
        <v>8343</v>
      </c>
      <c r="H59" s="7" t="s">
        <v>9944</v>
      </c>
      <c r="J59" s="5" t="s">
        <v>12279</v>
      </c>
      <c r="K59" s="115">
        <v>45688</v>
      </c>
      <c r="M59" s="12"/>
      <c r="N59" s="45">
        <v>12131.5</v>
      </c>
      <c r="O59" s="4" t="s">
        <v>15</v>
      </c>
      <c r="Q59" s="45">
        <f t="shared" si="9"/>
        <v>12131.5</v>
      </c>
      <c r="R59" s="45">
        <f t="shared" si="7"/>
        <v>0</v>
      </c>
    </row>
    <row r="60" spans="1:18" hidden="1" x14ac:dyDescent="0.25">
      <c r="A60" t="s">
        <v>6753</v>
      </c>
      <c r="B60" s="21" t="s">
        <v>395</v>
      </c>
      <c r="C60" s="22" t="s">
        <v>8584</v>
      </c>
      <c r="D60" s="22"/>
      <c r="E60" s="21" t="s">
        <v>75</v>
      </c>
      <c r="F60" s="21"/>
      <c r="G60" s="147" t="s">
        <v>8343</v>
      </c>
      <c r="H60" s="23" t="s">
        <v>8785</v>
      </c>
      <c r="I60" s="23" t="s">
        <v>8786</v>
      </c>
      <c r="J60" s="21" t="s">
        <v>9043</v>
      </c>
      <c r="K60" s="21"/>
      <c r="L60" s="21" t="s">
        <v>9035</v>
      </c>
      <c r="M60" s="26">
        <v>45187</v>
      </c>
      <c r="N60" s="44">
        <v>39856.550000000003</v>
      </c>
      <c r="O60" s="22" t="s">
        <v>15</v>
      </c>
      <c r="P60" s="44">
        <f>39856.55</f>
        <v>39856.550000000003</v>
      </c>
      <c r="Q60" s="44">
        <f t="shared" si="9"/>
        <v>0</v>
      </c>
      <c r="R60" s="44">
        <f t="shared" si="7"/>
        <v>39856.550000000003</v>
      </c>
    </row>
    <row r="61" spans="1:18" hidden="1" x14ac:dyDescent="0.25">
      <c r="A61" t="s">
        <v>6753</v>
      </c>
      <c r="B61" s="21" t="s">
        <v>395</v>
      </c>
      <c r="C61" s="22" t="s">
        <v>8584</v>
      </c>
      <c r="D61" s="22"/>
      <c r="E61" s="21" t="s">
        <v>75</v>
      </c>
      <c r="F61" s="21"/>
      <c r="G61" s="147" t="s">
        <v>8343</v>
      </c>
      <c r="H61" s="23" t="s">
        <v>10556</v>
      </c>
      <c r="I61" s="23" t="s">
        <v>8786</v>
      </c>
      <c r="J61" s="21" t="s">
        <v>9044</v>
      </c>
      <c r="K61" s="47"/>
      <c r="L61" s="21" t="s">
        <v>10551</v>
      </c>
      <c r="M61" s="26">
        <v>45380</v>
      </c>
      <c r="N61" s="44">
        <v>59784.82</v>
      </c>
      <c r="O61" s="22" t="s">
        <v>15</v>
      </c>
      <c r="P61" s="44">
        <v>59784.83</v>
      </c>
      <c r="Q61" s="44">
        <f t="shared" si="9"/>
        <v>0</v>
      </c>
      <c r="R61" s="44">
        <f t="shared" si="7"/>
        <v>59784.83</v>
      </c>
    </row>
    <row r="62" spans="1:18" hidden="1" x14ac:dyDescent="0.25">
      <c r="A62" t="s">
        <v>6753</v>
      </c>
      <c r="B62" s="21" t="s">
        <v>395</v>
      </c>
      <c r="C62" s="22" t="s">
        <v>8584</v>
      </c>
      <c r="D62" s="22"/>
      <c r="E62" s="21" t="s">
        <v>75</v>
      </c>
      <c r="F62" s="21"/>
      <c r="G62" s="147" t="s">
        <v>8343</v>
      </c>
      <c r="H62" s="23" t="s">
        <v>10555</v>
      </c>
      <c r="I62" s="23" t="s">
        <v>8786</v>
      </c>
      <c r="J62" s="21" t="s">
        <v>10552</v>
      </c>
      <c r="K62" s="47"/>
      <c r="L62" s="21" t="s">
        <v>10580</v>
      </c>
      <c r="M62" s="26">
        <v>45565</v>
      </c>
      <c r="N62" s="44">
        <v>44000</v>
      </c>
      <c r="O62" s="22" t="s">
        <v>15</v>
      </c>
      <c r="P62" s="44">
        <v>44000</v>
      </c>
      <c r="Q62" s="44">
        <f t="shared" si="9"/>
        <v>0</v>
      </c>
      <c r="R62" s="44">
        <f t="shared" si="7"/>
        <v>44000</v>
      </c>
    </row>
    <row r="63" spans="1:18" hidden="1" x14ac:dyDescent="0.25">
      <c r="A63" t="s">
        <v>6753</v>
      </c>
      <c r="B63" s="21" t="s">
        <v>395</v>
      </c>
      <c r="C63" s="22" t="s">
        <v>8584</v>
      </c>
      <c r="D63" s="22"/>
      <c r="E63" s="21" t="s">
        <v>75</v>
      </c>
      <c r="F63" s="21"/>
      <c r="G63" s="147" t="s">
        <v>8343</v>
      </c>
      <c r="H63" s="23" t="s">
        <v>10555</v>
      </c>
      <c r="I63" s="23" t="s">
        <v>8786</v>
      </c>
      <c r="J63" s="21" t="s">
        <v>10553</v>
      </c>
      <c r="K63" s="47"/>
      <c r="L63" s="21" t="s">
        <v>10580</v>
      </c>
      <c r="M63" s="26">
        <v>45565</v>
      </c>
      <c r="N63" s="44">
        <v>66000</v>
      </c>
      <c r="O63" s="22" t="s">
        <v>15</v>
      </c>
      <c r="P63" s="44">
        <v>66000</v>
      </c>
      <c r="Q63" s="44">
        <f t="shared" si="9"/>
        <v>0</v>
      </c>
      <c r="R63" s="44">
        <f t="shared" si="7"/>
        <v>66000</v>
      </c>
    </row>
    <row r="64" spans="1:18" hidden="1" x14ac:dyDescent="0.25">
      <c r="A64" t="s">
        <v>6753</v>
      </c>
      <c r="B64" s="21" t="s">
        <v>395</v>
      </c>
      <c r="C64" s="22" t="s">
        <v>8584</v>
      </c>
      <c r="D64" s="22"/>
      <c r="E64" s="21" t="s">
        <v>75</v>
      </c>
      <c r="F64" s="21"/>
      <c r="G64" s="147" t="s">
        <v>8343</v>
      </c>
      <c r="H64" s="23" t="s">
        <v>10555</v>
      </c>
      <c r="I64" s="23" t="s">
        <v>8786</v>
      </c>
      <c r="J64" s="21" t="s">
        <v>10554</v>
      </c>
      <c r="K64" s="47"/>
      <c r="L64" s="21" t="s">
        <v>11590</v>
      </c>
      <c r="M64" s="26">
        <v>45747</v>
      </c>
      <c r="N64" s="44">
        <v>30000</v>
      </c>
      <c r="O64" s="22" t="s">
        <v>15</v>
      </c>
      <c r="P64" s="44">
        <v>30000</v>
      </c>
      <c r="Q64" s="44">
        <f t="shared" si="9"/>
        <v>0</v>
      </c>
      <c r="R64" s="44">
        <f t="shared" si="7"/>
        <v>30000</v>
      </c>
    </row>
    <row r="65" spans="1:19" hidden="1" x14ac:dyDescent="0.25">
      <c r="A65" t="s">
        <v>6753</v>
      </c>
      <c r="B65" s="21" t="s">
        <v>395</v>
      </c>
      <c r="C65" s="22" t="s">
        <v>8584</v>
      </c>
      <c r="D65" s="22"/>
      <c r="E65" s="21" t="s">
        <v>75</v>
      </c>
      <c r="F65" s="21"/>
      <c r="G65" s="147" t="s">
        <v>8343</v>
      </c>
      <c r="H65" s="23" t="s">
        <v>10555</v>
      </c>
      <c r="I65" s="23" t="s">
        <v>11591</v>
      </c>
      <c r="J65" s="21" t="s">
        <v>9045</v>
      </c>
      <c r="K65" s="47"/>
      <c r="L65" s="21" t="s">
        <v>11952</v>
      </c>
      <c r="M65" s="26">
        <v>45808</v>
      </c>
      <c r="N65" s="44">
        <f>7224.37-1280</f>
        <v>5944.37</v>
      </c>
      <c r="O65" s="22" t="s">
        <v>15</v>
      </c>
      <c r="P65" s="44">
        <f>5944.37</f>
        <v>5944.37</v>
      </c>
      <c r="Q65" s="44">
        <f t="shared" si="9"/>
        <v>0</v>
      </c>
      <c r="R65" s="44">
        <f t="shared" si="7"/>
        <v>5944.37</v>
      </c>
      <c r="S65" s="5" t="s">
        <v>11953</v>
      </c>
    </row>
    <row r="66" spans="1:19" hidden="1" x14ac:dyDescent="0.25">
      <c r="A66" t="s">
        <v>6753</v>
      </c>
      <c r="B66" s="21" t="s">
        <v>395</v>
      </c>
      <c r="C66" s="22" t="s">
        <v>7408</v>
      </c>
      <c r="D66" s="22"/>
      <c r="E66" s="21" t="s">
        <v>75</v>
      </c>
      <c r="F66" s="21" t="s">
        <v>9790</v>
      </c>
      <c r="G66" s="147" t="s">
        <v>8343</v>
      </c>
      <c r="H66" s="23" t="s">
        <v>9942</v>
      </c>
      <c r="I66" s="23"/>
      <c r="J66" s="21" t="s">
        <v>9311</v>
      </c>
      <c r="K66" s="47"/>
      <c r="L66" s="21" t="s">
        <v>9943</v>
      </c>
      <c r="M66" s="26">
        <v>45322</v>
      </c>
      <c r="N66" s="44">
        <v>10160</v>
      </c>
      <c r="O66" s="22" t="s">
        <v>15</v>
      </c>
      <c r="P66" s="44">
        <v>10160</v>
      </c>
      <c r="Q66" s="24">
        <f t="shared" si="9"/>
        <v>0</v>
      </c>
      <c r="R66" s="24">
        <f t="shared" ref="R66:R127" si="10">IF(P66="OK",N66-Q66,IF(P66="en cours",N66-Q66,P66))</f>
        <v>10160</v>
      </c>
    </row>
    <row r="67" spans="1:19" hidden="1" x14ac:dyDescent="0.25">
      <c r="A67" t="s">
        <v>6753</v>
      </c>
      <c r="B67" s="21" t="s">
        <v>395</v>
      </c>
      <c r="C67" s="22" t="s">
        <v>7408</v>
      </c>
      <c r="D67" s="22"/>
      <c r="E67" s="21" t="s">
        <v>75</v>
      </c>
      <c r="F67" s="21" t="s">
        <v>9790</v>
      </c>
      <c r="G67" s="147" t="s">
        <v>8343</v>
      </c>
      <c r="H67" s="23" t="s">
        <v>9944</v>
      </c>
      <c r="I67" s="23"/>
      <c r="J67" s="21" t="s">
        <v>9311</v>
      </c>
      <c r="K67" s="47"/>
      <c r="L67" s="21" t="s">
        <v>9945</v>
      </c>
      <c r="M67" s="26">
        <v>45471</v>
      </c>
      <c r="N67" s="44">
        <v>44000</v>
      </c>
      <c r="O67" s="22" t="s">
        <v>15</v>
      </c>
      <c r="P67" s="44">
        <v>44000</v>
      </c>
      <c r="Q67" s="24">
        <f t="shared" si="9"/>
        <v>0</v>
      </c>
      <c r="R67" s="24">
        <f t="shared" si="10"/>
        <v>44000</v>
      </c>
    </row>
    <row r="68" spans="1:19" hidden="1" x14ac:dyDescent="0.25">
      <c r="A68" t="s">
        <v>6753</v>
      </c>
      <c r="B68" s="21" t="s">
        <v>395</v>
      </c>
      <c r="C68" s="22" t="s">
        <v>7408</v>
      </c>
      <c r="D68" s="22"/>
      <c r="E68" s="21" t="s">
        <v>75</v>
      </c>
      <c r="F68" s="21" t="s">
        <v>9790</v>
      </c>
      <c r="G68" s="147" t="s">
        <v>8343</v>
      </c>
      <c r="H68" s="23" t="s">
        <v>9942</v>
      </c>
      <c r="I68" s="23"/>
      <c r="J68" s="21" t="s">
        <v>9037</v>
      </c>
      <c r="K68" s="47"/>
      <c r="L68" s="21" t="s">
        <v>9941</v>
      </c>
      <c r="M68" s="26">
        <v>45380</v>
      </c>
      <c r="N68" s="44">
        <v>10160</v>
      </c>
      <c r="O68" s="22" t="s">
        <v>15</v>
      </c>
      <c r="P68" s="44">
        <v>10160</v>
      </c>
      <c r="Q68" s="24">
        <f t="shared" si="9"/>
        <v>0</v>
      </c>
      <c r="R68" s="24">
        <f t="shared" si="10"/>
        <v>10160</v>
      </c>
    </row>
    <row r="69" spans="1:19" hidden="1" x14ac:dyDescent="0.25">
      <c r="A69" t="s">
        <v>6753</v>
      </c>
      <c r="B69" s="21" t="s">
        <v>395</v>
      </c>
      <c r="C69" s="22" t="s">
        <v>7408</v>
      </c>
      <c r="D69" s="22"/>
      <c r="E69" s="21" t="s">
        <v>75</v>
      </c>
      <c r="F69" s="21" t="s">
        <v>9790</v>
      </c>
      <c r="G69" s="147" t="s">
        <v>8343</v>
      </c>
      <c r="H69" s="23" t="s">
        <v>9942</v>
      </c>
      <c r="I69" s="23"/>
      <c r="J69" s="21" t="s">
        <v>9038</v>
      </c>
      <c r="K69" s="47"/>
      <c r="L69" s="21" t="s">
        <v>9887</v>
      </c>
      <c r="M69" s="26">
        <v>45440</v>
      </c>
      <c r="N69" s="44">
        <v>10160</v>
      </c>
      <c r="O69" s="22" t="s">
        <v>15</v>
      </c>
      <c r="P69" s="44">
        <v>10160</v>
      </c>
      <c r="Q69" s="24">
        <f t="shared" ref="Q69:Q84" si="11">IF(P69="en cours",N69,IF(P69="OK",0,IF(N69-P69&lt;0,0,N69-P69)))</f>
        <v>0</v>
      </c>
      <c r="R69" s="24">
        <f t="shared" si="10"/>
        <v>10160</v>
      </c>
    </row>
    <row r="70" spans="1:19" hidden="1" x14ac:dyDescent="0.25">
      <c r="A70" t="s">
        <v>6753</v>
      </c>
      <c r="B70" s="21" t="s">
        <v>395</v>
      </c>
      <c r="C70" s="22" t="s">
        <v>8584</v>
      </c>
      <c r="D70" s="22"/>
      <c r="E70" s="21" t="s">
        <v>75</v>
      </c>
      <c r="F70" s="21"/>
      <c r="G70" s="147" t="s">
        <v>8343</v>
      </c>
      <c r="H70" s="23" t="s">
        <v>9521</v>
      </c>
      <c r="I70" s="23" t="s">
        <v>9522</v>
      </c>
      <c r="J70" s="21" t="s">
        <v>9523</v>
      </c>
      <c r="K70" s="47"/>
      <c r="L70" s="21" t="s">
        <v>9570</v>
      </c>
      <c r="M70" s="26">
        <v>45351</v>
      </c>
      <c r="N70" s="44">
        <v>5963</v>
      </c>
      <c r="O70" s="22" t="s">
        <v>15</v>
      </c>
      <c r="P70" s="44">
        <v>5963</v>
      </c>
      <c r="Q70" s="44">
        <f t="shared" si="11"/>
        <v>0</v>
      </c>
      <c r="R70" s="24">
        <f t="shared" si="10"/>
        <v>5963</v>
      </c>
    </row>
    <row r="71" spans="1:19" hidden="1" x14ac:dyDescent="0.25">
      <c r="A71" t="s">
        <v>6753</v>
      </c>
      <c r="B71" s="21" t="s">
        <v>395</v>
      </c>
      <c r="C71" s="22" t="s">
        <v>8584</v>
      </c>
      <c r="D71" s="22"/>
      <c r="E71" s="21" t="s">
        <v>75</v>
      </c>
      <c r="F71" s="21"/>
      <c r="G71" s="147" t="s">
        <v>8343</v>
      </c>
      <c r="H71" s="23" t="s">
        <v>9521</v>
      </c>
      <c r="I71" s="23" t="s">
        <v>9522</v>
      </c>
      <c r="J71" s="21" t="s">
        <v>9524</v>
      </c>
      <c r="K71" s="47"/>
      <c r="L71" s="21"/>
      <c r="M71" s="23"/>
      <c r="N71" s="44">
        <v>0</v>
      </c>
      <c r="O71" s="22" t="s">
        <v>15</v>
      </c>
      <c r="P71" s="44"/>
      <c r="Q71" s="44">
        <f t="shared" si="11"/>
        <v>0</v>
      </c>
      <c r="R71" s="24">
        <f t="shared" si="10"/>
        <v>0</v>
      </c>
      <c r="S71" s="5" t="s">
        <v>10557</v>
      </c>
    </row>
    <row r="72" spans="1:19" hidden="1" x14ac:dyDescent="0.25">
      <c r="A72" t="s">
        <v>6753</v>
      </c>
      <c r="B72" s="21" t="s">
        <v>395</v>
      </c>
      <c r="C72" s="22" t="s">
        <v>8584</v>
      </c>
      <c r="D72" s="22"/>
      <c r="E72" s="21" t="s">
        <v>75</v>
      </c>
      <c r="F72" s="21"/>
      <c r="G72" s="147" t="s">
        <v>8343</v>
      </c>
      <c r="H72" s="23" t="s">
        <v>9521</v>
      </c>
      <c r="I72" s="23" t="s">
        <v>9522</v>
      </c>
      <c r="J72" s="21" t="s">
        <v>9525</v>
      </c>
      <c r="K72" s="47"/>
      <c r="L72" s="21"/>
      <c r="M72" s="23"/>
      <c r="N72" s="44">
        <v>0</v>
      </c>
      <c r="O72" s="22" t="s">
        <v>15</v>
      </c>
      <c r="P72" s="44"/>
      <c r="Q72" s="44">
        <f t="shared" si="11"/>
        <v>0</v>
      </c>
      <c r="R72" s="24">
        <f t="shared" si="10"/>
        <v>0</v>
      </c>
      <c r="S72" s="5" t="s">
        <v>10557</v>
      </c>
    </row>
    <row r="73" spans="1:19" hidden="1" x14ac:dyDescent="0.25">
      <c r="B73" s="5" t="s">
        <v>12278</v>
      </c>
      <c r="C73" s="4" t="s">
        <v>2450</v>
      </c>
      <c r="E73" s="5" t="s">
        <v>7137</v>
      </c>
      <c r="G73" s="146" t="s">
        <v>9639</v>
      </c>
      <c r="H73" s="7" t="s">
        <v>9640</v>
      </c>
      <c r="I73" s="7" t="s">
        <v>9641</v>
      </c>
      <c r="J73" s="5" t="s">
        <v>9642</v>
      </c>
      <c r="N73" s="45">
        <v>7700</v>
      </c>
      <c r="O73" s="4" t="s">
        <v>276</v>
      </c>
      <c r="Q73" s="3">
        <f t="shared" si="11"/>
        <v>7700</v>
      </c>
      <c r="R73" s="3">
        <f t="shared" si="10"/>
        <v>0</v>
      </c>
    </row>
    <row r="74" spans="1:19" hidden="1" x14ac:dyDescent="0.25">
      <c r="B74" s="5" t="s">
        <v>12278</v>
      </c>
      <c r="C74" s="4" t="s">
        <v>2450</v>
      </c>
      <c r="E74" s="5" t="s">
        <v>0</v>
      </c>
      <c r="G74" s="146" t="s">
        <v>9639</v>
      </c>
      <c r="H74" s="7" t="s">
        <v>9692</v>
      </c>
      <c r="I74" s="7" t="s">
        <v>9691</v>
      </c>
      <c r="J74" s="5" t="s">
        <v>9693</v>
      </c>
      <c r="N74" s="45">
        <v>1540</v>
      </c>
      <c r="O74" s="4" t="s">
        <v>276</v>
      </c>
      <c r="Q74" s="3">
        <f t="shared" si="11"/>
        <v>1540</v>
      </c>
      <c r="R74" s="3">
        <f t="shared" si="10"/>
        <v>0</v>
      </c>
      <c r="S74" s="5" t="s">
        <v>9694</v>
      </c>
    </row>
    <row r="75" spans="1:19" hidden="1" x14ac:dyDescent="0.25">
      <c r="A75" t="s">
        <v>6386</v>
      </c>
      <c r="B75" s="21" t="s">
        <v>395</v>
      </c>
      <c r="C75" s="22" t="s">
        <v>2457</v>
      </c>
      <c r="D75" s="22"/>
      <c r="E75" s="21" t="s">
        <v>75</v>
      </c>
      <c r="F75" s="21"/>
      <c r="G75" s="147" t="s">
        <v>253</v>
      </c>
      <c r="H75" s="23" t="s">
        <v>2705</v>
      </c>
      <c r="I75" s="23"/>
      <c r="J75" s="21" t="s">
        <v>2706</v>
      </c>
      <c r="K75" s="120"/>
      <c r="L75" s="21" t="s">
        <v>2820</v>
      </c>
      <c r="M75" s="26">
        <v>43861</v>
      </c>
      <c r="N75" s="44">
        <f>15589/3</f>
        <v>5196.333333333333</v>
      </c>
      <c r="O75" s="22" t="s">
        <v>15</v>
      </c>
      <c r="P75" s="22" t="s">
        <v>19</v>
      </c>
      <c r="Q75" s="24">
        <f t="shared" si="11"/>
        <v>0</v>
      </c>
      <c r="R75" s="24">
        <f t="shared" si="10"/>
        <v>5196.333333333333</v>
      </c>
    </row>
    <row r="76" spans="1:19" hidden="1" x14ac:dyDescent="0.25">
      <c r="A76" t="s">
        <v>6386</v>
      </c>
      <c r="B76" s="21" t="s">
        <v>395</v>
      </c>
      <c r="C76" s="22" t="s">
        <v>2457</v>
      </c>
      <c r="D76" s="22"/>
      <c r="E76" s="21" t="s">
        <v>75</v>
      </c>
      <c r="F76" s="21"/>
      <c r="G76" s="147" t="s">
        <v>253</v>
      </c>
      <c r="H76" s="23" t="s">
        <v>2705</v>
      </c>
      <c r="I76" s="23"/>
      <c r="J76" s="21" t="s">
        <v>2707</v>
      </c>
      <c r="K76" s="120"/>
      <c r="L76" s="21" t="s">
        <v>3009</v>
      </c>
      <c r="M76" s="26">
        <v>43890</v>
      </c>
      <c r="N76" s="44">
        <f>5071/3</f>
        <v>1690.3333333333333</v>
      </c>
      <c r="O76" s="22" t="s">
        <v>15</v>
      </c>
      <c r="P76" s="22" t="s">
        <v>19</v>
      </c>
      <c r="Q76" s="24">
        <f t="shared" si="11"/>
        <v>0</v>
      </c>
      <c r="R76" s="24">
        <f t="shared" si="10"/>
        <v>1690.3333333333333</v>
      </c>
    </row>
    <row r="77" spans="1:19" hidden="1" x14ac:dyDescent="0.25">
      <c r="A77" t="s">
        <v>6386</v>
      </c>
      <c r="B77" s="21" t="s">
        <v>395</v>
      </c>
      <c r="C77" s="22" t="s">
        <v>2457</v>
      </c>
      <c r="D77" s="22"/>
      <c r="E77" s="21" t="s">
        <v>75</v>
      </c>
      <c r="F77" s="21"/>
      <c r="G77" s="147" t="s">
        <v>253</v>
      </c>
      <c r="H77" s="23" t="s">
        <v>2705</v>
      </c>
      <c r="I77" s="23"/>
      <c r="J77" s="21" t="s">
        <v>2708</v>
      </c>
      <c r="K77" s="120">
        <v>43983</v>
      </c>
      <c r="L77" s="21"/>
      <c r="M77" s="26"/>
      <c r="N77" s="44">
        <f>(1096+640)/3</f>
        <v>578.66666666666663</v>
      </c>
      <c r="O77" s="22" t="s">
        <v>15</v>
      </c>
      <c r="P77" s="22"/>
      <c r="Q77" s="24">
        <v>0</v>
      </c>
      <c r="R77" s="24">
        <f t="shared" si="10"/>
        <v>0</v>
      </c>
    </row>
    <row r="78" spans="1:19" hidden="1" x14ac:dyDescent="0.25">
      <c r="A78" t="s">
        <v>6386</v>
      </c>
      <c r="B78" s="21" t="s">
        <v>395</v>
      </c>
      <c r="C78" s="22" t="s">
        <v>2457</v>
      </c>
      <c r="D78" s="22"/>
      <c r="E78" s="21" t="s">
        <v>75</v>
      </c>
      <c r="F78" s="21"/>
      <c r="G78" s="147" t="s">
        <v>253</v>
      </c>
      <c r="H78" s="23" t="s">
        <v>2705</v>
      </c>
      <c r="I78" s="23"/>
      <c r="J78" s="21" t="s">
        <v>2709</v>
      </c>
      <c r="K78" s="120"/>
      <c r="L78" s="21" t="s">
        <v>3071</v>
      </c>
      <c r="M78" s="26" t="s">
        <v>3070</v>
      </c>
      <c r="N78" s="44">
        <f>(3740+12487)/3</f>
        <v>5409</v>
      </c>
      <c r="O78" s="22" t="s">
        <v>15</v>
      </c>
      <c r="P78" s="22">
        <f>748+374+(748+3539)</f>
        <v>5409</v>
      </c>
      <c r="Q78" s="44">
        <f t="shared" si="11"/>
        <v>0</v>
      </c>
      <c r="R78" s="24">
        <f t="shared" si="10"/>
        <v>5409</v>
      </c>
    </row>
    <row r="79" spans="1:19" hidden="1" x14ac:dyDescent="0.25">
      <c r="A79" t="s">
        <v>6386</v>
      </c>
      <c r="B79" s="21" t="s">
        <v>395</v>
      </c>
      <c r="C79" s="22" t="s">
        <v>2457</v>
      </c>
      <c r="D79" s="22"/>
      <c r="E79" s="21" t="s">
        <v>75</v>
      </c>
      <c r="F79" s="21"/>
      <c r="G79" s="147" t="s">
        <v>253</v>
      </c>
      <c r="H79" s="23" t="s">
        <v>2705</v>
      </c>
      <c r="I79" s="23"/>
      <c r="J79" s="21" t="s">
        <v>2706</v>
      </c>
      <c r="K79" s="120"/>
      <c r="L79" s="21" t="s">
        <v>2820</v>
      </c>
      <c r="M79" s="26">
        <v>43861</v>
      </c>
      <c r="N79" s="44">
        <f>15589/3</f>
        <v>5196.333333333333</v>
      </c>
      <c r="O79" s="22" t="s">
        <v>15</v>
      </c>
      <c r="P79" s="22" t="s">
        <v>19</v>
      </c>
      <c r="Q79" s="24">
        <f t="shared" si="11"/>
        <v>0</v>
      </c>
      <c r="R79" s="24">
        <f t="shared" si="10"/>
        <v>5196.333333333333</v>
      </c>
    </row>
    <row r="80" spans="1:19" hidden="1" x14ac:dyDescent="0.25">
      <c r="A80" t="s">
        <v>6386</v>
      </c>
      <c r="B80" s="21" t="s">
        <v>395</v>
      </c>
      <c r="C80" s="22" t="s">
        <v>2457</v>
      </c>
      <c r="D80" s="22"/>
      <c r="E80" s="21" t="s">
        <v>75</v>
      </c>
      <c r="F80" s="21"/>
      <c r="G80" s="147" t="s">
        <v>253</v>
      </c>
      <c r="H80" s="23" t="s">
        <v>2705</v>
      </c>
      <c r="I80" s="23"/>
      <c r="J80" s="21" t="s">
        <v>2707</v>
      </c>
      <c r="K80" s="120"/>
      <c r="L80" s="21" t="s">
        <v>3009</v>
      </c>
      <c r="M80" s="26">
        <v>43890</v>
      </c>
      <c r="N80" s="44">
        <f>5071/3</f>
        <v>1690.3333333333333</v>
      </c>
      <c r="O80" s="22" t="s">
        <v>15</v>
      </c>
      <c r="P80" s="22" t="s">
        <v>19</v>
      </c>
      <c r="Q80" s="24">
        <f t="shared" si="11"/>
        <v>0</v>
      </c>
      <c r="R80" s="24">
        <f t="shared" si="10"/>
        <v>1690.3333333333333</v>
      </c>
    </row>
    <row r="81" spans="1:18" hidden="1" x14ac:dyDescent="0.25">
      <c r="A81" t="s">
        <v>6386</v>
      </c>
      <c r="B81" s="21" t="s">
        <v>395</v>
      </c>
      <c r="C81" s="22" t="s">
        <v>2457</v>
      </c>
      <c r="D81" s="22"/>
      <c r="E81" s="21" t="s">
        <v>75</v>
      </c>
      <c r="F81" s="21"/>
      <c r="G81" s="147" t="s">
        <v>253</v>
      </c>
      <c r="H81" s="23" t="s">
        <v>2705</v>
      </c>
      <c r="I81" s="23"/>
      <c r="J81" s="21" t="s">
        <v>2708</v>
      </c>
      <c r="K81" s="120">
        <v>43983</v>
      </c>
      <c r="L81" s="21" t="s">
        <v>3245</v>
      </c>
      <c r="M81" s="26" t="s">
        <v>3246</v>
      </c>
      <c r="N81" s="44">
        <f>(1096+640)/3</f>
        <v>578.66666666666663</v>
      </c>
      <c r="O81" s="22" t="s">
        <v>15</v>
      </c>
      <c r="P81" s="22">
        <f>411+137</f>
        <v>548</v>
      </c>
      <c r="Q81" s="24">
        <v>0</v>
      </c>
      <c r="R81" s="24">
        <f t="shared" si="10"/>
        <v>548</v>
      </c>
    </row>
    <row r="82" spans="1:18" hidden="1" x14ac:dyDescent="0.25">
      <c r="A82" t="s">
        <v>6386</v>
      </c>
      <c r="B82" s="21" t="s">
        <v>395</v>
      </c>
      <c r="C82" s="22" t="s">
        <v>2457</v>
      </c>
      <c r="D82" s="22"/>
      <c r="E82" s="21" t="s">
        <v>75</v>
      </c>
      <c r="F82" s="21"/>
      <c r="G82" s="147" t="s">
        <v>253</v>
      </c>
      <c r="H82" s="23" t="s">
        <v>2705</v>
      </c>
      <c r="I82" s="23"/>
      <c r="J82" s="21" t="s">
        <v>2709</v>
      </c>
      <c r="K82" s="120"/>
      <c r="L82" s="21" t="s">
        <v>3069</v>
      </c>
      <c r="M82" s="26">
        <v>43921</v>
      </c>
      <c r="N82" s="44">
        <f>(3740+12487)/3</f>
        <v>5409</v>
      </c>
      <c r="O82" s="22" t="s">
        <v>15</v>
      </c>
      <c r="P82" s="22">
        <v>5409</v>
      </c>
      <c r="Q82" s="44">
        <f t="shared" si="11"/>
        <v>0</v>
      </c>
      <c r="R82" s="24">
        <f t="shared" si="10"/>
        <v>5409</v>
      </c>
    </row>
    <row r="83" spans="1:18" hidden="1" x14ac:dyDescent="0.25">
      <c r="A83" t="s">
        <v>6386</v>
      </c>
      <c r="B83" s="21" t="s">
        <v>395</v>
      </c>
      <c r="C83" s="22" t="s">
        <v>2457</v>
      </c>
      <c r="D83" s="22"/>
      <c r="E83" s="21" t="s">
        <v>75</v>
      </c>
      <c r="F83" s="21"/>
      <c r="G83" s="147" t="s">
        <v>253</v>
      </c>
      <c r="H83" s="23" t="s">
        <v>2705</v>
      </c>
      <c r="I83" s="23"/>
      <c r="J83" s="21" t="s">
        <v>2706</v>
      </c>
      <c r="K83" s="120"/>
      <c r="L83" s="21" t="s">
        <v>2820</v>
      </c>
      <c r="M83" s="26">
        <v>43861</v>
      </c>
      <c r="N83" s="44">
        <f>15589/3</f>
        <v>5196.333333333333</v>
      </c>
      <c r="O83" s="22" t="s">
        <v>15</v>
      </c>
      <c r="P83" s="22" t="s">
        <v>19</v>
      </c>
      <c r="Q83" s="24">
        <f t="shared" si="11"/>
        <v>0</v>
      </c>
      <c r="R83" s="24">
        <f t="shared" si="10"/>
        <v>5196.333333333333</v>
      </c>
    </row>
    <row r="84" spans="1:18" hidden="1" x14ac:dyDescent="0.25">
      <c r="A84" t="s">
        <v>6386</v>
      </c>
      <c r="B84" s="21" t="s">
        <v>395</v>
      </c>
      <c r="C84" s="22" t="s">
        <v>2457</v>
      </c>
      <c r="D84" s="22"/>
      <c r="E84" s="21" t="s">
        <v>75</v>
      </c>
      <c r="F84" s="21"/>
      <c r="G84" s="147" t="s">
        <v>253</v>
      </c>
      <c r="H84" s="23" t="s">
        <v>2705</v>
      </c>
      <c r="I84" s="23"/>
      <c r="J84" s="21" t="s">
        <v>2707</v>
      </c>
      <c r="K84" s="120"/>
      <c r="L84" s="21" t="s">
        <v>3009</v>
      </c>
      <c r="M84" s="26">
        <v>43890</v>
      </c>
      <c r="N84" s="44">
        <f>5071/3</f>
        <v>1690.3333333333333</v>
      </c>
      <c r="O84" s="22" t="s">
        <v>15</v>
      </c>
      <c r="P84" s="22" t="s">
        <v>19</v>
      </c>
      <c r="Q84" s="24">
        <f t="shared" si="11"/>
        <v>0</v>
      </c>
      <c r="R84" s="24">
        <f t="shared" si="10"/>
        <v>1690.3333333333333</v>
      </c>
    </row>
    <row r="85" spans="1:18" hidden="1" x14ac:dyDescent="0.25">
      <c r="A85" t="s">
        <v>6386</v>
      </c>
      <c r="B85" s="21" t="s">
        <v>395</v>
      </c>
      <c r="C85" s="22" t="s">
        <v>2457</v>
      </c>
      <c r="D85" s="22"/>
      <c r="E85" s="21" t="s">
        <v>75</v>
      </c>
      <c r="F85" s="21"/>
      <c r="G85" s="147" t="s">
        <v>253</v>
      </c>
      <c r="H85" s="23" t="s">
        <v>2705</v>
      </c>
      <c r="I85" s="23"/>
      <c r="J85" s="21" t="s">
        <v>2708</v>
      </c>
      <c r="K85" s="120"/>
      <c r="L85" s="21" t="s">
        <v>3069</v>
      </c>
      <c r="M85" s="26">
        <v>43921</v>
      </c>
      <c r="N85" s="44">
        <f>(1096+640)/3</f>
        <v>578.66666666666663</v>
      </c>
      <c r="O85" s="22" t="s">
        <v>15</v>
      </c>
      <c r="P85" s="22">
        <v>571</v>
      </c>
      <c r="Q85" s="24">
        <v>0</v>
      </c>
      <c r="R85" s="24">
        <f t="shared" si="10"/>
        <v>571</v>
      </c>
    </row>
    <row r="86" spans="1:18" hidden="1" x14ac:dyDescent="0.25">
      <c r="A86" t="s">
        <v>6386</v>
      </c>
      <c r="B86" s="21" t="s">
        <v>395</v>
      </c>
      <c r="C86" s="22" t="s">
        <v>2457</v>
      </c>
      <c r="D86" s="22"/>
      <c r="E86" s="21" t="s">
        <v>75</v>
      </c>
      <c r="F86" s="21"/>
      <c r="G86" s="147" t="s">
        <v>253</v>
      </c>
      <c r="H86" s="23" t="s">
        <v>2705</v>
      </c>
      <c r="I86" s="23"/>
      <c r="J86" s="21" t="s">
        <v>2709</v>
      </c>
      <c r="K86" s="120">
        <v>43983</v>
      </c>
      <c r="L86" s="21" t="s">
        <v>3596</v>
      </c>
      <c r="M86" s="26" t="s">
        <v>3597</v>
      </c>
      <c r="N86" s="44">
        <f>(3740+12487)/3</f>
        <v>5409</v>
      </c>
      <c r="O86" s="22" t="s">
        <v>15</v>
      </c>
      <c r="P86" s="22">
        <f>3539+374+374+374</f>
        <v>4661</v>
      </c>
      <c r="Q86" s="24">
        <v>0</v>
      </c>
      <c r="R86" s="24">
        <f t="shared" si="10"/>
        <v>4661</v>
      </c>
    </row>
    <row r="87" spans="1:18" hidden="1" x14ac:dyDescent="0.25">
      <c r="A87" t="s">
        <v>6386</v>
      </c>
      <c r="B87" s="21" t="s">
        <v>395</v>
      </c>
      <c r="C87" s="22" t="s">
        <v>2457</v>
      </c>
      <c r="D87" s="22"/>
      <c r="E87" s="21" t="s">
        <v>75</v>
      </c>
      <c r="F87" s="21"/>
      <c r="G87" s="147" t="s">
        <v>253</v>
      </c>
      <c r="H87" s="23" t="s">
        <v>2705</v>
      </c>
      <c r="I87" s="23"/>
      <c r="J87" s="21" t="s">
        <v>3595</v>
      </c>
      <c r="K87" s="120"/>
      <c r="L87" s="21" t="s">
        <v>3594</v>
      </c>
      <c r="M87" s="26">
        <v>44043</v>
      </c>
      <c r="N87" s="44">
        <v>50</v>
      </c>
      <c r="O87" s="22" t="s">
        <v>15</v>
      </c>
      <c r="P87" s="22" t="s">
        <v>19</v>
      </c>
      <c r="Q87" s="24">
        <f t="shared" ref="Q87:Q117" si="12">IF(P87="en cours",N87,IF(P87="OK",0,IF(N87-P87&lt;0,0,N87-P87)))</f>
        <v>0</v>
      </c>
      <c r="R87" s="24">
        <f t="shared" si="10"/>
        <v>50</v>
      </c>
    </row>
    <row r="88" spans="1:18" hidden="1" x14ac:dyDescent="0.25">
      <c r="A88" t="s">
        <v>6386</v>
      </c>
      <c r="B88" s="21" t="s">
        <v>395</v>
      </c>
      <c r="C88" s="22" t="s">
        <v>2457</v>
      </c>
      <c r="D88" s="22"/>
      <c r="E88" s="21" t="s">
        <v>75</v>
      </c>
      <c r="F88" s="21"/>
      <c r="G88" s="147" t="s">
        <v>253</v>
      </c>
      <c r="H88" s="23" t="s">
        <v>2705</v>
      </c>
      <c r="I88" s="23"/>
      <c r="J88" s="21" t="s">
        <v>2710</v>
      </c>
      <c r="K88" s="120"/>
      <c r="L88" s="21" t="s">
        <v>2820</v>
      </c>
      <c r="M88" s="26">
        <v>43861</v>
      </c>
      <c r="N88" s="44">
        <v>292</v>
      </c>
      <c r="O88" s="22" t="s">
        <v>15</v>
      </c>
      <c r="P88" s="22" t="s">
        <v>19</v>
      </c>
      <c r="Q88" s="24">
        <f t="shared" si="12"/>
        <v>0</v>
      </c>
      <c r="R88" s="24">
        <f t="shared" si="10"/>
        <v>292</v>
      </c>
    </row>
    <row r="89" spans="1:18" hidden="1" x14ac:dyDescent="0.25">
      <c r="A89" t="s">
        <v>6386</v>
      </c>
      <c r="B89" s="21" t="s">
        <v>395</v>
      </c>
      <c r="C89" s="22" t="s">
        <v>2457</v>
      </c>
      <c r="D89" s="22"/>
      <c r="E89" s="21" t="s">
        <v>75</v>
      </c>
      <c r="F89" s="21"/>
      <c r="G89" s="147" t="s">
        <v>253</v>
      </c>
      <c r="H89" s="23" t="s">
        <v>2705</v>
      </c>
      <c r="I89" s="23"/>
      <c r="J89" s="21" t="s">
        <v>2710</v>
      </c>
      <c r="K89" s="120"/>
      <c r="L89" s="21" t="s">
        <v>3069</v>
      </c>
      <c r="M89" s="26">
        <v>43921</v>
      </c>
      <c r="N89" s="44">
        <v>292</v>
      </c>
      <c r="O89" s="22" t="s">
        <v>15</v>
      </c>
      <c r="P89" s="22" t="s">
        <v>19</v>
      </c>
      <c r="Q89" s="24">
        <f t="shared" si="12"/>
        <v>0</v>
      </c>
      <c r="R89" s="24">
        <f t="shared" si="10"/>
        <v>292</v>
      </c>
    </row>
    <row r="90" spans="1:18" hidden="1" x14ac:dyDescent="0.25">
      <c r="A90" t="s">
        <v>6386</v>
      </c>
      <c r="B90" s="21" t="s">
        <v>395</v>
      </c>
      <c r="C90" s="22" t="s">
        <v>2457</v>
      </c>
      <c r="D90" s="22"/>
      <c r="E90" s="21" t="s">
        <v>75</v>
      </c>
      <c r="F90" s="21"/>
      <c r="G90" s="147" t="s">
        <v>253</v>
      </c>
      <c r="H90" s="23" t="s">
        <v>2705</v>
      </c>
      <c r="I90" s="23"/>
      <c r="J90" s="21" t="s">
        <v>2710</v>
      </c>
      <c r="K90" s="120"/>
      <c r="L90" s="21" t="s">
        <v>3069</v>
      </c>
      <c r="M90" s="26">
        <v>43921</v>
      </c>
      <c r="N90" s="44">
        <v>292</v>
      </c>
      <c r="O90" s="22" t="s">
        <v>15</v>
      </c>
      <c r="P90" s="22" t="s">
        <v>19</v>
      </c>
      <c r="Q90" s="24">
        <f t="shared" si="12"/>
        <v>0</v>
      </c>
      <c r="R90" s="24">
        <f t="shared" si="10"/>
        <v>292</v>
      </c>
    </row>
    <row r="91" spans="1:18" hidden="1" x14ac:dyDescent="0.25">
      <c r="A91" t="s">
        <v>6386</v>
      </c>
      <c r="B91" s="21" t="s">
        <v>395</v>
      </c>
      <c r="C91" s="22" t="s">
        <v>2457</v>
      </c>
      <c r="D91" s="22"/>
      <c r="E91" s="21" t="s">
        <v>75</v>
      </c>
      <c r="F91" s="21"/>
      <c r="G91" s="147" t="s">
        <v>253</v>
      </c>
      <c r="H91" s="23" t="s">
        <v>2705</v>
      </c>
      <c r="I91" s="23"/>
      <c r="J91" s="21" t="s">
        <v>2710</v>
      </c>
      <c r="K91" s="120"/>
      <c r="L91" s="21" t="s">
        <v>3147</v>
      </c>
      <c r="M91" s="26">
        <v>43951</v>
      </c>
      <c r="N91" s="44">
        <v>292</v>
      </c>
      <c r="O91" s="22" t="s">
        <v>15</v>
      </c>
      <c r="P91" s="22" t="s">
        <v>19</v>
      </c>
      <c r="Q91" s="24">
        <f t="shared" si="12"/>
        <v>0</v>
      </c>
      <c r="R91" s="24">
        <f t="shared" si="10"/>
        <v>292</v>
      </c>
    </row>
    <row r="92" spans="1:18" hidden="1" x14ac:dyDescent="0.25">
      <c r="A92" t="s">
        <v>6386</v>
      </c>
      <c r="B92" s="21" t="s">
        <v>395</v>
      </c>
      <c r="C92" s="22" t="s">
        <v>2457</v>
      </c>
      <c r="D92" s="22"/>
      <c r="E92" s="21" t="s">
        <v>75</v>
      </c>
      <c r="F92" s="21"/>
      <c r="G92" s="147" t="s">
        <v>253</v>
      </c>
      <c r="H92" s="23" t="s">
        <v>2705</v>
      </c>
      <c r="I92" s="23"/>
      <c r="J92" s="21" t="s">
        <v>2710</v>
      </c>
      <c r="K92" s="120"/>
      <c r="L92" s="21" t="s">
        <v>3244</v>
      </c>
      <c r="M92" s="26">
        <v>43982</v>
      </c>
      <c r="N92" s="44">
        <v>292</v>
      </c>
      <c r="O92" s="22" t="s">
        <v>15</v>
      </c>
      <c r="P92" s="22" t="s">
        <v>19</v>
      </c>
      <c r="Q92" s="24">
        <f t="shared" si="12"/>
        <v>0</v>
      </c>
      <c r="R92" s="24">
        <f t="shared" si="10"/>
        <v>292</v>
      </c>
    </row>
    <row r="93" spans="1:18" hidden="1" x14ac:dyDescent="0.25">
      <c r="A93" t="s">
        <v>6386</v>
      </c>
      <c r="B93" s="21" t="s">
        <v>395</v>
      </c>
      <c r="C93" s="22" t="s">
        <v>2457</v>
      </c>
      <c r="D93" s="22"/>
      <c r="E93" s="21" t="s">
        <v>75</v>
      </c>
      <c r="F93" s="21"/>
      <c r="G93" s="147" t="s">
        <v>253</v>
      </c>
      <c r="H93" s="23" t="s">
        <v>2705</v>
      </c>
      <c r="I93" s="23"/>
      <c r="J93" s="21" t="s">
        <v>2710</v>
      </c>
      <c r="K93" s="120"/>
      <c r="L93" s="21" t="s">
        <v>3443</v>
      </c>
      <c r="M93" s="26">
        <v>44012</v>
      </c>
      <c r="N93" s="44">
        <v>292</v>
      </c>
      <c r="O93" s="22" t="s">
        <v>15</v>
      </c>
      <c r="P93" s="22" t="s">
        <v>19</v>
      </c>
      <c r="Q93" s="24">
        <f t="shared" si="12"/>
        <v>0</v>
      </c>
      <c r="R93" s="24">
        <f t="shared" si="10"/>
        <v>292</v>
      </c>
    </row>
    <row r="94" spans="1:18" hidden="1" x14ac:dyDescent="0.25">
      <c r="A94" t="s">
        <v>6386</v>
      </c>
      <c r="B94" s="21" t="s">
        <v>395</v>
      </c>
      <c r="C94" s="22" t="s">
        <v>2457</v>
      </c>
      <c r="D94" s="22"/>
      <c r="E94" s="21" t="s">
        <v>75</v>
      </c>
      <c r="F94" s="21"/>
      <c r="G94" s="147" t="s">
        <v>253</v>
      </c>
      <c r="H94" s="23" t="s">
        <v>2705</v>
      </c>
      <c r="I94" s="23"/>
      <c r="J94" s="21" t="s">
        <v>2710</v>
      </c>
      <c r="K94" s="120"/>
      <c r="L94" s="21" t="s">
        <v>3594</v>
      </c>
      <c r="M94" s="26">
        <v>44043</v>
      </c>
      <c r="N94" s="44">
        <v>292</v>
      </c>
      <c r="O94" s="22" t="s">
        <v>15</v>
      </c>
      <c r="P94" s="22" t="s">
        <v>19</v>
      </c>
      <c r="Q94" s="24">
        <f t="shared" si="12"/>
        <v>0</v>
      </c>
      <c r="R94" s="24">
        <f t="shared" si="10"/>
        <v>292</v>
      </c>
    </row>
    <row r="95" spans="1:18" hidden="1" x14ac:dyDescent="0.25">
      <c r="A95" t="s">
        <v>6386</v>
      </c>
      <c r="B95" s="21" t="s">
        <v>395</v>
      </c>
      <c r="C95" s="22" t="s">
        <v>2457</v>
      </c>
      <c r="D95" s="22"/>
      <c r="E95" s="21" t="s">
        <v>75</v>
      </c>
      <c r="F95" s="21"/>
      <c r="G95" s="147" t="s">
        <v>253</v>
      </c>
      <c r="H95" s="23" t="s">
        <v>2705</v>
      </c>
      <c r="I95" s="23"/>
      <c r="J95" s="21" t="s">
        <v>2710</v>
      </c>
      <c r="K95" s="120"/>
      <c r="L95" s="21" t="s">
        <v>3640</v>
      </c>
      <c r="M95" s="26">
        <v>44074</v>
      </c>
      <c r="N95" s="44">
        <v>292</v>
      </c>
      <c r="O95" s="22" t="s">
        <v>15</v>
      </c>
      <c r="P95" s="22" t="s">
        <v>19</v>
      </c>
      <c r="Q95" s="24">
        <f t="shared" si="12"/>
        <v>0</v>
      </c>
      <c r="R95" s="24">
        <f t="shared" si="10"/>
        <v>292</v>
      </c>
    </row>
    <row r="96" spans="1:18" hidden="1" x14ac:dyDescent="0.25">
      <c r="A96" t="s">
        <v>6386</v>
      </c>
      <c r="B96" s="21" t="s">
        <v>395</v>
      </c>
      <c r="C96" s="22" t="s">
        <v>2457</v>
      </c>
      <c r="D96" s="22"/>
      <c r="E96" s="21" t="s">
        <v>75</v>
      </c>
      <c r="F96" s="21"/>
      <c r="G96" s="147" t="s">
        <v>253</v>
      </c>
      <c r="H96" s="23" t="s">
        <v>2705</v>
      </c>
      <c r="I96" s="23"/>
      <c r="J96" s="21" t="s">
        <v>2710</v>
      </c>
      <c r="K96" s="120"/>
      <c r="L96" s="21" t="s">
        <v>3771</v>
      </c>
      <c r="M96" s="26">
        <v>44104</v>
      </c>
      <c r="N96" s="44">
        <v>292</v>
      </c>
      <c r="O96" s="22" t="s">
        <v>15</v>
      </c>
      <c r="P96" s="22" t="s">
        <v>19</v>
      </c>
      <c r="Q96" s="24">
        <f t="shared" si="12"/>
        <v>0</v>
      </c>
      <c r="R96" s="24">
        <f t="shared" si="10"/>
        <v>292</v>
      </c>
    </row>
    <row r="97" spans="1:18" hidden="1" x14ac:dyDescent="0.25">
      <c r="A97" t="s">
        <v>6386</v>
      </c>
      <c r="B97" s="21" t="s">
        <v>395</v>
      </c>
      <c r="C97" s="22" t="s">
        <v>2457</v>
      </c>
      <c r="D97" s="22"/>
      <c r="E97" s="21" t="s">
        <v>75</v>
      </c>
      <c r="F97" s="21"/>
      <c r="G97" s="147" t="s">
        <v>253</v>
      </c>
      <c r="H97" s="23" t="s">
        <v>2705</v>
      </c>
      <c r="I97" s="23"/>
      <c r="J97" s="21" t="s">
        <v>2710</v>
      </c>
      <c r="K97" s="120"/>
      <c r="L97" s="21" t="s">
        <v>3922</v>
      </c>
      <c r="M97" s="26">
        <v>44135</v>
      </c>
      <c r="N97" s="44">
        <v>292</v>
      </c>
      <c r="O97" s="22" t="s">
        <v>15</v>
      </c>
      <c r="P97" s="22" t="s">
        <v>19</v>
      </c>
      <c r="Q97" s="24">
        <f t="shared" si="12"/>
        <v>0</v>
      </c>
      <c r="R97" s="24">
        <f t="shared" si="10"/>
        <v>292</v>
      </c>
    </row>
    <row r="98" spans="1:18" hidden="1" x14ac:dyDescent="0.25">
      <c r="A98" t="s">
        <v>6386</v>
      </c>
      <c r="B98" s="21" t="s">
        <v>395</v>
      </c>
      <c r="C98" s="22" t="s">
        <v>2457</v>
      </c>
      <c r="D98" s="22"/>
      <c r="E98" s="21" t="s">
        <v>75</v>
      </c>
      <c r="F98" s="21"/>
      <c r="G98" s="147" t="s">
        <v>253</v>
      </c>
      <c r="H98" s="23" t="s">
        <v>2705</v>
      </c>
      <c r="I98" s="23"/>
      <c r="J98" s="21" t="s">
        <v>2710</v>
      </c>
      <c r="K98" s="120"/>
      <c r="L98" s="21" t="s">
        <v>4083</v>
      </c>
      <c r="M98" s="26">
        <v>44165</v>
      </c>
      <c r="N98" s="44">
        <v>292</v>
      </c>
      <c r="O98" s="22" t="s">
        <v>15</v>
      </c>
      <c r="P98" s="22" t="s">
        <v>19</v>
      </c>
      <c r="Q98" s="24">
        <f t="shared" si="12"/>
        <v>0</v>
      </c>
      <c r="R98" s="24">
        <f t="shared" si="10"/>
        <v>292</v>
      </c>
    </row>
    <row r="99" spans="1:18" hidden="1" x14ac:dyDescent="0.25">
      <c r="A99" t="s">
        <v>6386</v>
      </c>
      <c r="B99" s="21" t="s">
        <v>395</v>
      </c>
      <c r="C99" s="22" t="s">
        <v>2457</v>
      </c>
      <c r="D99" s="22"/>
      <c r="E99" s="21" t="s">
        <v>75</v>
      </c>
      <c r="F99" s="21"/>
      <c r="G99" s="147" t="s">
        <v>253</v>
      </c>
      <c r="H99" s="23" t="s">
        <v>2705</v>
      </c>
      <c r="I99" s="23"/>
      <c r="J99" s="21" t="s">
        <v>2710</v>
      </c>
      <c r="K99" s="120"/>
      <c r="L99" s="21" t="s">
        <v>4661</v>
      </c>
      <c r="M99" s="26">
        <v>44196</v>
      </c>
      <c r="N99" s="44">
        <v>292</v>
      </c>
      <c r="O99" s="22" t="s">
        <v>15</v>
      </c>
      <c r="P99" s="22" t="s">
        <v>19</v>
      </c>
      <c r="Q99" s="24">
        <f t="shared" si="12"/>
        <v>0</v>
      </c>
      <c r="R99" s="24">
        <f t="shared" si="10"/>
        <v>292</v>
      </c>
    </row>
    <row r="100" spans="1:18" hidden="1" x14ac:dyDescent="0.25">
      <c r="A100" t="s">
        <v>6386</v>
      </c>
      <c r="B100" s="21" t="s">
        <v>395</v>
      </c>
      <c r="C100" s="22" t="s">
        <v>2457</v>
      </c>
      <c r="D100" s="22"/>
      <c r="E100" s="21" t="s">
        <v>75</v>
      </c>
      <c r="F100" s="21"/>
      <c r="G100" s="147" t="s">
        <v>253</v>
      </c>
      <c r="H100" s="23" t="s">
        <v>2705</v>
      </c>
      <c r="I100" s="23"/>
      <c r="J100" s="21" t="s">
        <v>2710</v>
      </c>
      <c r="K100" s="120"/>
      <c r="L100" s="21" t="s">
        <v>4662</v>
      </c>
      <c r="M100" s="26">
        <v>44227</v>
      </c>
      <c r="N100" s="44">
        <v>292</v>
      </c>
      <c r="O100" s="22" t="s">
        <v>15</v>
      </c>
      <c r="P100" s="22" t="s">
        <v>19</v>
      </c>
      <c r="Q100" s="24">
        <f t="shared" si="12"/>
        <v>0</v>
      </c>
      <c r="R100" s="24">
        <f t="shared" si="10"/>
        <v>292</v>
      </c>
    </row>
    <row r="101" spans="1:18" hidden="1" x14ac:dyDescent="0.25">
      <c r="A101" t="s">
        <v>6386</v>
      </c>
      <c r="B101" s="21" t="s">
        <v>395</v>
      </c>
      <c r="C101" s="22" t="s">
        <v>2457</v>
      </c>
      <c r="D101" s="22"/>
      <c r="E101" s="21" t="s">
        <v>75</v>
      </c>
      <c r="F101" s="21"/>
      <c r="G101" s="147" t="s">
        <v>253</v>
      </c>
      <c r="H101" s="23" t="s">
        <v>2705</v>
      </c>
      <c r="I101" s="23"/>
      <c r="J101" s="21" t="s">
        <v>2710</v>
      </c>
      <c r="K101" s="120"/>
      <c r="L101" s="21" t="s">
        <v>4523</v>
      </c>
      <c r="M101" s="26">
        <v>44255</v>
      </c>
      <c r="N101" s="44">
        <v>292</v>
      </c>
      <c r="O101" s="22" t="s">
        <v>15</v>
      </c>
      <c r="P101" s="22" t="s">
        <v>19</v>
      </c>
      <c r="Q101" s="24">
        <f t="shared" si="12"/>
        <v>0</v>
      </c>
      <c r="R101" s="24">
        <f t="shared" si="10"/>
        <v>292</v>
      </c>
    </row>
    <row r="102" spans="1:18" ht="15" hidden="1" customHeight="1" x14ac:dyDescent="0.25">
      <c r="A102" t="s">
        <v>6386</v>
      </c>
      <c r="B102" s="21" t="s">
        <v>395</v>
      </c>
      <c r="C102" s="22" t="s">
        <v>2457</v>
      </c>
      <c r="D102" s="22"/>
      <c r="E102" s="21" t="s">
        <v>75</v>
      </c>
      <c r="F102" s="21"/>
      <c r="G102" s="147" t="s">
        <v>253</v>
      </c>
      <c r="H102" s="23" t="s">
        <v>2705</v>
      </c>
      <c r="I102" s="23"/>
      <c r="J102" s="21" t="s">
        <v>2710</v>
      </c>
      <c r="K102" s="120"/>
      <c r="L102" s="21" t="s">
        <v>4677</v>
      </c>
      <c r="M102" s="26">
        <v>44286</v>
      </c>
      <c r="N102" s="44">
        <v>292</v>
      </c>
      <c r="O102" s="22" t="s">
        <v>15</v>
      </c>
      <c r="P102" s="22" t="s">
        <v>19</v>
      </c>
      <c r="Q102" s="24">
        <f t="shared" si="12"/>
        <v>0</v>
      </c>
      <c r="R102" s="24">
        <f t="shared" si="10"/>
        <v>292</v>
      </c>
    </row>
    <row r="103" spans="1:18" ht="14.25" hidden="1" customHeight="1" x14ac:dyDescent="0.25">
      <c r="A103" t="s">
        <v>6386</v>
      </c>
      <c r="B103" s="21" t="s">
        <v>395</v>
      </c>
      <c r="C103" s="22" t="s">
        <v>2457</v>
      </c>
      <c r="D103" s="22"/>
      <c r="E103" s="21" t="s">
        <v>75</v>
      </c>
      <c r="F103" s="21"/>
      <c r="G103" s="147" t="s">
        <v>253</v>
      </c>
      <c r="H103" s="23" t="s">
        <v>2705</v>
      </c>
      <c r="I103" s="23"/>
      <c r="J103" s="21" t="s">
        <v>2710</v>
      </c>
      <c r="K103" s="120"/>
      <c r="L103" s="21" t="s">
        <v>4945</v>
      </c>
      <c r="M103" s="26">
        <v>44316</v>
      </c>
      <c r="N103" s="44">
        <v>292</v>
      </c>
      <c r="O103" s="22" t="s">
        <v>15</v>
      </c>
      <c r="P103" s="22" t="s">
        <v>19</v>
      </c>
      <c r="Q103" s="24">
        <f t="shared" si="12"/>
        <v>0</v>
      </c>
      <c r="R103" s="24">
        <f t="shared" si="10"/>
        <v>292</v>
      </c>
    </row>
    <row r="104" spans="1:18" hidden="1" x14ac:dyDescent="0.25">
      <c r="A104" t="s">
        <v>6386</v>
      </c>
      <c r="B104" s="21" t="s">
        <v>395</v>
      </c>
      <c r="C104" s="22" t="s">
        <v>2457</v>
      </c>
      <c r="D104" s="22"/>
      <c r="E104" s="21" t="s">
        <v>75</v>
      </c>
      <c r="F104" s="21"/>
      <c r="G104" s="147" t="s">
        <v>253</v>
      </c>
      <c r="H104" s="23" t="s">
        <v>2705</v>
      </c>
      <c r="I104" s="23"/>
      <c r="J104" s="21" t="s">
        <v>2710</v>
      </c>
      <c r="K104" s="120"/>
      <c r="L104" s="21" t="s">
        <v>5127</v>
      </c>
      <c r="M104" s="26">
        <v>44347</v>
      </c>
      <c r="N104" s="44">
        <v>292</v>
      </c>
      <c r="O104" s="22" t="s">
        <v>15</v>
      </c>
      <c r="P104" s="22" t="s">
        <v>19</v>
      </c>
      <c r="Q104" s="24">
        <f t="shared" si="12"/>
        <v>0</v>
      </c>
      <c r="R104" s="24">
        <f t="shared" si="10"/>
        <v>292</v>
      </c>
    </row>
    <row r="105" spans="1:18" hidden="1" x14ac:dyDescent="0.25">
      <c r="A105" t="s">
        <v>6386</v>
      </c>
      <c r="B105" s="21" t="s">
        <v>395</v>
      </c>
      <c r="C105" s="22" t="s">
        <v>2457</v>
      </c>
      <c r="D105" s="22"/>
      <c r="E105" s="21" t="s">
        <v>75</v>
      </c>
      <c r="F105" s="21"/>
      <c r="G105" s="147" t="s">
        <v>253</v>
      </c>
      <c r="H105" s="23" t="s">
        <v>2705</v>
      </c>
      <c r="I105" s="23"/>
      <c r="J105" s="21" t="s">
        <v>2710</v>
      </c>
      <c r="K105" s="120"/>
      <c r="L105" s="21" t="s">
        <v>5321</v>
      </c>
      <c r="M105" s="26">
        <v>44377</v>
      </c>
      <c r="N105" s="44">
        <v>292</v>
      </c>
      <c r="O105" s="22" t="s">
        <v>15</v>
      </c>
      <c r="P105" s="22" t="s">
        <v>19</v>
      </c>
      <c r="Q105" s="24">
        <f t="shared" si="12"/>
        <v>0</v>
      </c>
      <c r="R105" s="24">
        <f t="shared" si="10"/>
        <v>292</v>
      </c>
    </row>
    <row r="106" spans="1:18" hidden="1" x14ac:dyDescent="0.25">
      <c r="A106" t="s">
        <v>6386</v>
      </c>
      <c r="B106" s="21" t="s">
        <v>395</v>
      </c>
      <c r="C106" s="22" t="s">
        <v>2457</v>
      </c>
      <c r="D106" s="22"/>
      <c r="E106" s="21" t="s">
        <v>75</v>
      </c>
      <c r="F106" s="21"/>
      <c r="G106" s="147" t="s">
        <v>253</v>
      </c>
      <c r="H106" s="23" t="s">
        <v>2705</v>
      </c>
      <c r="I106" s="23"/>
      <c r="J106" s="21" t="s">
        <v>2710</v>
      </c>
      <c r="K106" s="120"/>
      <c r="L106" s="21" t="s">
        <v>5570</v>
      </c>
      <c r="M106" s="26">
        <v>44408</v>
      </c>
      <c r="N106" s="44">
        <v>292</v>
      </c>
      <c r="O106" s="22" t="s">
        <v>15</v>
      </c>
      <c r="P106" s="22" t="s">
        <v>19</v>
      </c>
      <c r="Q106" s="24">
        <f t="shared" si="12"/>
        <v>0</v>
      </c>
      <c r="R106" s="24">
        <f t="shared" si="10"/>
        <v>292</v>
      </c>
    </row>
    <row r="107" spans="1:18" hidden="1" x14ac:dyDescent="0.25">
      <c r="A107" t="s">
        <v>6386</v>
      </c>
      <c r="B107" s="21" t="s">
        <v>395</v>
      </c>
      <c r="C107" s="22" t="s">
        <v>2457</v>
      </c>
      <c r="D107" s="22"/>
      <c r="E107" s="21" t="s">
        <v>75</v>
      </c>
      <c r="F107" s="21"/>
      <c r="G107" s="147" t="s">
        <v>253</v>
      </c>
      <c r="H107" s="23" t="s">
        <v>2705</v>
      </c>
      <c r="I107" s="23"/>
      <c r="J107" s="21" t="s">
        <v>2710</v>
      </c>
      <c r="K107" s="120"/>
      <c r="L107" s="21" t="s">
        <v>5689</v>
      </c>
      <c r="M107" s="26">
        <v>44439</v>
      </c>
      <c r="N107" s="44">
        <v>292</v>
      </c>
      <c r="O107" s="22" t="s">
        <v>15</v>
      </c>
      <c r="P107" s="22" t="s">
        <v>19</v>
      </c>
      <c r="Q107" s="24">
        <f t="shared" si="12"/>
        <v>0</v>
      </c>
      <c r="R107" s="24">
        <f t="shared" si="10"/>
        <v>292</v>
      </c>
    </row>
    <row r="108" spans="1:18" hidden="1" x14ac:dyDescent="0.25">
      <c r="A108" t="s">
        <v>6386</v>
      </c>
      <c r="B108" s="21" t="s">
        <v>395</v>
      </c>
      <c r="C108" s="22" t="s">
        <v>2457</v>
      </c>
      <c r="D108" s="22"/>
      <c r="E108" s="21" t="s">
        <v>75</v>
      </c>
      <c r="F108" s="21"/>
      <c r="G108" s="147" t="s">
        <v>253</v>
      </c>
      <c r="H108" s="23" t="s">
        <v>2705</v>
      </c>
      <c r="I108" s="23"/>
      <c r="J108" s="21" t="s">
        <v>2711</v>
      </c>
      <c r="K108" s="120"/>
      <c r="L108" s="21" t="s">
        <v>2820</v>
      </c>
      <c r="M108" s="26">
        <v>43861</v>
      </c>
      <c r="N108" s="44">
        <v>2034</v>
      </c>
      <c r="O108" s="22" t="s">
        <v>15</v>
      </c>
      <c r="P108" s="22" t="s">
        <v>19</v>
      </c>
      <c r="Q108" s="24">
        <f t="shared" si="12"/>
        <v>0</v>
      </c>
      <c r="R108" s="24">
        <f t="shared" si="10"/>
        <v>2034</v>
      </c>
    </row>
    <row r="109" spans="1:18" hidden="1" x14ac:dyDescent="0.25">
      <c r="A109" t="s">
        <v>6386</v>
      </c>
      <c r="B109" s="21" t="s">
        <v>395</v>
      </c>
      <c r="C109" s="22" t="s">
        <v>2457</v>
      </c>
      <c r="D109" s="22"/>
      <c r="E109" s="21" t="s">
        <v>75</v>
      </c>
      <c r="F109" s="21"/>
      <c r="G109" s="147" t="s">
        <v>253</v>
      </c>
      <c r="H109" s="23" t="s">
        <v>2705</v>
      </c>
      <c r="I109" s="23"/>
      <c r="J109" s="21" t="s">
        <v>2711</v>
      </c>
      <c r="K109" s="120"/>
      <c r="L109" s="21" t="s">
        <v>3008</v>
      </c>
      <c r="M109" s="26">
        <v>43859</v>
      </c>
      <c r="N109" s="44">
        <v>2034</v>
      </c>
      <c r="O109" s="22" t="s">
        <v>15</v>
      </c>
      <c r="P109" s="22" t="s">
        <v>19</v>
      </c>
      <c r="Q109" s="24">
        <f t="shared" si="12"/>
        <v>0</v>
      </c>
      <c r="R109" s="24">
        <f t="shared" si="10"/>
        <v>2034</v>
      </c>
    </row>
    <row r="110" spans="1:18" hidden="1" x14ac:dyDescent="0.25">
      <c r="A110" t="s">
        <v>6386</v>
      </c>
      <c r="B110" s="21" t="s">
        <v>395</v>
      </c>
      <c r="C110" s="22" t="s">
        <v>2457</v>
      </c>
      <c r="D110" s="22"/>
      <c r="E110" s="21" t="s">
        <v>75</v>
      </c>
      <c r="F110" s="21"/>
      <c r="G110" s="147" t="s">
        <v>253</v>
      </c>
      <c r="H110" s="23" t="s">
        <v>2705</v>
      </c>
      <c r="I110" s="23"/>
      <c r="J110" s="21" t="s">
        <v>2711</v>
      </c>
      <c r="K110" s="120"/>
      <c r="L110" s="21" t="s">
        <v>3069</v>
      </c>
      <c r="M110" s="26">
        <v>43921</v>
      </c>
      <c r="N110" s="44">
        <v>2034</v>
      </c>
      <c r="O110" s="22" t="s">
        <v>15</v>
      </c>
      <c r="P110" s="22" t="s">
        <v>19</v>
      </c>
      <c r="Q110" s="24">
        <f t="shared" si="12"/>
        <v>0</v>
      </c>
      <c r="R110" s="24">
        <f t="shared" si="10"/>
        <v>2034</v>
      </c>
    </row>
    <row r="111" spans="1:18" hidden="1" x14ac:dyDescent="0.25">
      <c r="A111" t="s">
        <v>6386</v>
      </c>
      <c r="B111" s="21" t="s">
        <v>395</v>
      </c>
      <c r="C111" s="22" t="s">
        <v>2457</v>
      </c>
      <c r="D111" s="22"/>
      <c r="E111" s="21" t="s">
        <v>75</v>
      </c>
      <c r="F111" s="21"/>
      <c r="G111" s="147" t="s">
        <v>253</v>
      </c>
      <c r="H111" s="23" t="s">
        <v>2705</v>
      </c>
      <c r="I111" s="23"/>
      <c r="J111" s="21" t="s">
        <v>2712</v>
      </c>
      <c r="K111" s="120"/>
      <c r="L111" s="21" t="s">
        <v>3147</v>
      </c>
      <c r="M111" s="26">
        <v>43951</v>
      </c>
      <c r="N111" s="44">
        <v>1350</v>
      </c>
      <c r="O111" s="22" t="s">
        <v>15</v>
      </c>
      <c r="P111" s="22" t="s">
        <v>19</v>
      </c>
      <c r="Q111" s="24">
        <f t="shared" si="12"/>
        <v>0</v>
      </c>
      <c r="R111" s="24">
        <f t="shared" si="10"/>
        <v>1350</v>
      </c>
    </row>
    <row r="112" spans="1:18" hidden="1" x14ac:dyDescent="0.25">
      <c r="A112" t="s">
        <v>6386</v>
      </c>
      <c r="B112" s="21" t="s">
        <v>395</v>
      </c>
      <c r="C112" s="22" t="s">
        <v>2457</v>
      </c>
      <c r="D112" s="22"/>
      <c r="E112" s="21" t="s">
        <v>75</v>
      </c>
      <c r="F112" s="21"/>
      <c r="G112" s="147" t="s">
        <v>253</v>
      </c>
      <c r="H112" s="23" t="s">
        <v>2705</v>
      </c>
      <c r="I112" s="23"/>
      <c r="J112" s="21" t="s">
        <v>2712</v>
      </c>
      <c r="K112" s="120"/>
      <c r="L112" s="21" t="s">
        <v>3244</v>
      </c>
      <c r="M112" s="26">
        <v>43982</v>
      </c>
      <c r="N112" s="44">
        <v>1350</v>
      </c>
      <c r="O112" s="22" t="s">
        <v>15</v>
      </c>
      <c r="P112" s="22" t="s">
        <v>19</v>
      </c>
      <c r="Q112" s="24">
        <f t="shared" si="12"/>
        <v>0</v>
      </c>
      <c r="R112" s="24">
        <f t="shared" si="10"/>
        <v>1350</v>
      </c>
    </row>
    <row r="113" spans="1:18" hidden="1" x14ac:dyDescent="0.25">
      <c r="A113" t="s">
        <v>6386</v>
      </c>
      <c r="B113" s="21" t="s">
        <v>395</v>
      </c>
      <c r="C113" s="22" t="s">
        <v>2457</v>
      </c>
      <c r="D113" s="22"/>
      <c r="E113" s="21" t="s">
        <v>75</v>
      </c>
      <c r="F113" s="21"/>
      <c r="G113" s="147" t="s">
        <v>253</v>
      </c>
      <c r="H113" s="23" t="s">
        <v>2705</v>
      </c>
      <c r="I113" s="23"/>
      <c r="J113" s="21" t="s">
        <v>2712</v>
      </c>
      <c r="K113" s="120"/>
      <c r="L113" s="21" t="s">
        <v>3443</v>
      </c>
      <c r="M113" s="26">
        <v>44012</v>
      </c>
      <c r="N113" s="44">
        <v>1350</v>
      </c>
      <c r="O113" s="22" t="s">
        <v>15</v>
      </c>
      <c r="P113" s="22" t="s">
        <v>19</v>
      </c>
      <c r="Q113" s="24">
        <f t="shared" si="12"/>
        <v>0</v>
      </c>
      <c r="R113" s="24">
        <f t="shared" si="10"/>
        <v>1350</v>
      </c>
    </row>
    <row r="114" spans="1:18" hidden="1" x14ac:dyDescent="0.25">
      <c r="A114" t="s">
        <v>6386</v>
      </c>
      <c r="B114" s="21" t="s">
        <v>395</v>
      </c>
      <c r="C114" s="22" t="s">
        <v>2457</v>
      </c>
      <c r="D114" s="22"/>
      <c r="E114" s="21" t="s">
        <v>75</v>
      </c>
      <c r="F114" s="21"/>
      <c r="G114" s="147" t="s">
        <v>253</v>
      </c>
      <c r="H114" s="23" t="s">
        <v>2705</v>
      </c>
      <c r="I114" s="23"/>
      <c r="J114" s="21" t="s">
        <v>2712</v>
      </c>
      <c r="K114" s="120"/>
      <c r="L114" s="21" t="s">
        <v>3594</v>
      </c>
      <c r="M114" s="26">
        <v>44043</v>
      </c>
      <c r="N114" s="44">
        <v>1350</v>
      </c>
      <c r="O114" s="22" t="s">
        <v>15</v>
      </c>
      <c r="P114" s="22" t="s">
        <v>19</v>
      </c>
      <c r="Q114" s="24">
        <f t="shared" si="12"/>
        <v>0</v>
      </c>
      <c r="R114" s="24">
        <f t="shared" si="10"/>
        <v>1350</v>
      </c>
    </row>
    <row r="115" spans="1:18" hidden="1" x14ac:dyDescent="0.25">
      <c r="A115" t="s">
        <v>6386</v>
      </c>
      <c r="B115" s="21" t="s">
        <v>395</v>
      </c>
      <c r="C115" s="22" t="s">
        <v>2457</v>
      </c>
      <c r="D115" s="22"/>
      <c r="E115" s="21" t="s">
        <v>75</v>
      </c>
      <c r="F115" s="21"/>
      <c r="G115" s="147" t="s">
        <v>253</v>
      </c>
      <c r="H115" s="23" t="s">
        <v>2705</v>
      </c>
      <c r="I115" s="23"/>
      <c r="J115" s="21" t="s">
        <v>2712</v>
      </c>
      <c r="K115" s="120"/>
      <c r="L115" s="21" t="s">
        <v>3640</v>
      </c>
      <c r="M115" s="26">
        <v>44074</v>
      </c>
      <c r="N115" s="44">
        <v>1350</v>
      </c>
      <c r="O115" s="22" t="s">
        <v>15</v>
      </c>
      <c r="P115" s="22" t="s">
        <v>19</v>
      </c>
      <c r="Q115" s="24">
        <f t="shared" si="12"/>
        <v>0</v>
      </c>
      <c r="R115" s="24">
        <f t="shared" si="10"/>
        <v>1350</v>
      </c>
    </row>
    <row r="116" spans="1:18" hidden="1" x14ac:dyDescent="0.25">
      <c r="A116" t="s">
        <v>6386</v>
      </c>
      <c r="B116" s="21" t="s">
        <v>395</v>
      </c>
      <c r="C116" s="22" t="s">
        <v>2457</v>
      </c>
      <c r="D116" s="22"/>
      <c r="E116" s="21" t="s">
        <v>75</v>
      </c>
      <c r="F116" s="21"/>
      <c r="G116" s="147" t="s">
        <v>253</v>
      </c>
      <c r="H116" s="23" t="s">
        <v>2705</v>
      </c>
      <c r="I116" s="23"/>
      <c r="J116" s="21" t="s">
        <v>2712</v>
      </c>
      <c r="K116" s="120"/>
      <c r="L116" s="21" t="s">
        <v>3771</v>
      </c>
      <c r="M116" s="26">
        <v>44104</v>
      </c>
      <c r="N116" s="44">
        <v>1350</v>
      </c>
      <c r="O116" s="22" t="s">
        <v>15</v>
      </c>
      <c r="P116" s="22" t="s">
        <v>19</v>
      </c>
      <c r="Q116" s="24">
        <f t="shared" si="12"/>
        <v>0</v>
      </c>
      <c r="R116" s="24">
        <f t="shared" si="10"/>
        <v>1350</v>
      </c>
    </row>
    <row r="117" spans="1:18" hidden="1" x14ac:dyDescent="0.25">
      <c r="A117" t="s">
        <v>6386</v>
      </c>
      <c r="B117" s="21" t="s">
        <v>395</v>
      </c>
      <c r="C117" s="22" t="s">
        <v>2457</v>
      </c>
      <c r="D117" s="22"/>
      <c r="E117" s="21" t="s">
        <v>75</v>
      </c>
      <c r="F117" s="21"/>
      <c r="G117" s="147" t="s">
        <v>253</v>
      </c>
      <c r="H117" s="23" t="s">
        <v>2705</v>
      </c>
      <c r="I117" s="23"/>
      <c r="J117" s="21" t="s">
        <v>2712</v>
      </c>
      <c r="K117" s="120"/>
      <c r="L117" s="21" t="s">
        <v>3922</v>
      </c>
      <c r="M117" s="26">
        <v>44135</v>
      </c>
      <c r="N117" s="44">
        <v>1350</v>
      </c>
      <c r="O117" s="22" t="s">
        <v>15</v>
      </c>
      <c r="P117" s="22" t="s">
        <v>19</v>
      </c>
      <c r="Q117" s="24">
        <f t="shared" si="12"/>
        <v>0</v>
      </c>
      <c r="R117" s="24">
        <f t="shared" si="10"/>
        <v>1350</v>
      </c>
    </row>
    <row r="118" spans="1:18" hidden="1" x14ac:dyDescent="0.25">
      <c r="A118" t="s">
        <v>6386</v>
      </c>
      <c r="B118" s="21" t="s">
        <v>395</v>
      </c>
      <c r="C118" s="22" t="s">
        <v>2457</v>
      </c>
      <c r="D118" s="22"/>
      <c r="E118" s="21" t="s">
        <v>75</v>
      </c>
      <c r="F118" s="21"/>
      <c r="G118" s="147" t="s">
        <v>253</v>
      </c>
      <c r="H118" s="23" t="s">
        <v>2705</v>
      </c>
      <c r="I118" s="23"/>
      <c r="J118" s="21" t="s">
        <v>2712</v>
      </c>
      <c r="K118" s="120"/>
      <c r="L118" s="21" t="s">
        <v>4083</v>
      </c>
      <c r="M118" s="26">
        <v>44165</v>
      </c>
      <c r="N118" s="44">
        <v>1350</v>
      </c>
      <c r="O118" s="22" t="s">
        <v>15</v>
      </c>
      <c r="P118" s="22" t="s">
        <v>19</v>
      </c>
      <c r="Q118" s="24">
        <f t="shared" ref="Q118:Q149" si="13">IF(P118="en cours",N118,IF(P118="OK",0,IF(N118-P118&lt;0,0,N118-P118)))</f>
        <v>0</v>
      </c>
      <c r="R118" s="24">
        <f t="shared" si="10"/>
        <v>1350</v>
      </c>
    </row>
    <row r="119" spans="1:18" hidden="1" x14ac:dyDescent="0.25">
      <c r="A119" t="s">
        <v>6386</v>
      </c>
      <c r="B119" s="21" t="s">
        <v>395</v>
      </c>
      <c r="C119" s="22" t="s">
        <v>2457</v>
      </c>
      <c r="D119" s="22"/>
      <c r="E119" s="21" t="s">
        <v>75</v>
      </c>
      <c r="F119" s="21"/>
      <c r="G119" s="147" t="s">
        <v>253</v>
      </c>
      <c r="H119" s="23" t="s">
        <v>2705</v>
      </c>
      <c r="I119" s="23"/>
      <c r="J119" s="21" t="s">
        <v>2712</v>
      </c>
      <c r="K119" s="120"/>
      <c r="L119" s="21" t="s">
        <v>4661</v>
      </c>
      <c r="M119" s="26" t="s">
        <v>4663</v>
      </c>
      <c r="N119" s="44">
        <v>1350</v>
      </c>
      <c r="O119" s="22" t="s">
        <v>15</v>
      </c>
      <c r="P119" s="22" t="s">
        <v>19</v>
      </c>
      <c r="Q119" s="24">
        <f t="shared" si="13"/>
        <v>0</v>
      </c>
      <c r="R119" s="24">
        <f t="shared" si="10"/>
        <v>1350</v>
      </c>
    </row>
    <row r="120" spans="1:18" hidden="1" x14ac:dyDescent="0.25">
      <c r="A120" t="s">
        <v>6386</v>
      </c>
      <c r="B120" s="21" t="s">
        <v>395</v>
      </c>
      <c r="C120" s="22" t="s">
        <v>2457</v>
      </c>
      <c r="D120" s="22"/>
      <c r="E120" s="21" t="s">
        <v>75</v>
      </c>
      <c r="F120" s="21"/>
      <c r="G120" s="147" t="s">
        <v>253</v>
      </c>
      <c r="H120" s="23" t="s">
        <v>2705</v>
      </c>
      <c r="I120" s="23"/>
      <c r="J120" s="21" t="s">
        <v>2712</v>
      </c>
      <c r="K120" s="120"/>
      <c r="L120" s="21" t="s">
        <v>4662</v>
      </c>
      <c r="M120" s="26">
        <v>44227</v>
      </c>
      <c r="N120" s="44">
        <v>1350</v>
      </c>
      <c r="O120" s="22" t="s">
        <v>15</v>
      </c>
      <c r="P120" s="22" t="s">
        <v>19</v>
      </c>
      <c r="Q120" s="24">
        <f t="shared" si="13"/>
        <v>0</v>
      </c>
      <c r="R120" s="24">
        <f t="shared" si="10"/>
        <v>1350</v>
      </c>
    </row>
    <row r="121" spans="1:18" hidden="1" x14ac:dyDescent="0.25">
      <c r="A121" t="s">
        <v>6386</v>
      </c>
      <c r="B121" s="21" t="s">
        <v>395</v>
      </c>
      <c r="C121" s="22" t="s">
        <v>2457</v>
      </c>
      <c r="D121" s="22"/>
      <c r="E121" s="21" t="s">
        <v>75</v>
      </c>
      <c r="F121" s="21"/>
      <c r="G121" s="147" t="s">
        <v>253</v>
      </c>
      <c r="H121" s="23" t="s">
        <v>2705</v>
      </c>
      <c r="I121" s="23"/>
      <c r="J121" s="21" t="s">
        <v>2712</v>
      </c>
      <c r="K121" s="120"/>
      <c r="L121" s="21" t="s">
        <v>4523</v>
      </c>
      <c r="M121" s="26">
        <v>44255</v>
      </c>
      <c r="N121" s="44">
        <v>1350</v>
      </c>
      <c r="O121" s="22" t="s">
        <v>15</v>
      </c>
      <c r="P121" s="22" t="s">
        <v>19</v>
      </c>
      <c r="Q121" s="24">
        <f t="shared" si="13"/>
        <v>0</v>
      </c>
      <c r="R121" s="24">
        <f t="shared" si="10"/>
        <v>1350</v>
      </c>
    </row>
    <row r="122" spans="1:18" hidden="1" x14ac:dyDescent="0.25">
      <c r="A122" t="s">
        <v>6386</v>
      </c>
      <c r="B122" s="21" t="s">
        <v>395</v>
      </c>
      <c r="C122" s="22" t="s">
        <v>2457</v>
      </c>
      <c r="D122" s="22"/>
      <c r="E122" s="21" t="s">
        <v>75</v>
      </c>
      <c r="F122" s="21"/>
      <c r="G122" s="147" t="s">
        <v>253</v>
      </c>
      <c r="H122" s="23" t="s">
        <v>2705</v>
      </c>
      <c r="I122" s="23"/>
      <c r="J122" s="21" t="s">
        <v>2712</v>
      </c>
      <c r="K122" s="120"/>
      <c r="L122" s="21" t="s">
        <v>4945</v>
      </c>
      <c r="M122" s="26">
        <v>44316</v>
      </c>
      <c r="N122" s="44">
        <v>1350</v>
      </c>
      <c r="O122" s="22" t="s">
        <v>15</v>
      </c>
      <c r="P122" s="22" t="s">
        <v>19</v>
      </c>
      <c r="Q122" s="24">
        <f t="shared" si="13"/>
        <v>0</v>
      </c>
      <c r="R122" s="24">
        <f t="shared" si="10"/>
        <v>1350</v>
      </c>
    </row>
    <row r="123" spans="1:18" hidden="1" x14ac:dyDescent="0.25">
      <c r="A123" t="s">
        <v>6386</v>
      </c>
      <c r="B123" s="21" t="s">
        <v>395</v>
      </c>
      <c r="C123" s="22" t="s">
        <v>2457</v>
      </c>
      <c r="D123" s="22"/>
      <c r="E123" s="21" t="s">
        <v>75</v>
      </c>
      <c r="F123" s="21"/>
      <c r="G123" s="147" t="s">
        <v>253</v>
      </c>
      <c r="H123" s="23" t="s">
        <v>2705</v>
      </c>
      <c r="I123" s="23"/>
      <c r="J123" s="21" t="s">
        <v>2712</v>
      </c>
      <c r="K123" s="120"/>
      <c r="L123" s="21" t="s">
        <v>5127</v>
      </c>
      <c r="M123" s="26">
        <v>44347</v>
      </c>
      <c r="N123" s="44">
        <v>1350</v>
      </c>
      <c r="O123" s="22" t="s">
        <v>15</v>
      </c>
      <c r="P123" s="22" t="s">
        <v>19</v>
      </c>
      <c r="Q123" s="24">
        <f t="shared" si="13"/>
        <v>0</v>
      </c>
      <c r="R123" s="24">
        <f t="shared" si="10"/>
        <v>1350</v>
      </c>
    </row>
    <row r="124" spans="1:18" hidden="1" x14ac:dyDescent="0.25">
      <c r="A124" t="s">
        <v>6386</v>
      </c>
      <c r="B124" s="21" t="s">
        <v>395</v>
      </c>
      <c r="C124" s="22" t="s">
        <v>2457</v>
      </c>
      <c r="D124" s="22"/>
      <c r="E124" s="21" t="s">
        <v>75</v>
      </c>
      <c r="F124" s="21"/>
      <c r="G124" s="147" t="s">
        <v>253</v>
      </c>
      <c r="H124" s="23" t="s">
        <v>2705</v>
      </c>
      <c r="I124" s="23"/>
      <c r="J124" s="21" t="s">
        <v>2712</v>
      </c>
      <c r="K124" s="120"/>
      <c r="L124" s="21" t="s">
        <v>5321</v>
      </c>
      <c r="M124" s="26">
        <v>44377</v>
      </c>
      <c r="N124" s="44">
        <v>1350</v>
      </c>
      <c r="O124" s="22" t="s">
        <v>15</v>
      </c>
      <c r="P124" s="22" t="s">
        <v>19</v>
      </c>
      <c r="Q124" s="24">
        <f t="shared" si="13"/>
        <v>0</v>
      </c>
      <c r="R124" s="24">
        <f t="shared" si="10"/>
        <v>1350</v>
      </c>
    </row>
    <row r="125" spans="1:18" hidden="1" x14ac:dyDescent="0.25">
      <c r="A125" t="s">
        <v>6386</v>
      </c>
      <c r="B125" s="21" t="s">
        <v>395</v>
      </c>
      <c r="C125" s="22" t="s">
        <v>2457</v>
      </c>
      <c r="D125" s="22"/>
      <c r="E125" s="21" t="s">
        <v>75</v>
      </c>
      <c r="F125" s="21"/>
      <c r="G125" s="147" t="s">
        <v>253</v>
      </c>
      <c r="H125" s="23" t="s">
        <v>2705</v>
      </c>
      <c r="I125" s="23"/>
      <c r="J125" s="21" t="s">
        <v>2712</v>
      </c>
      <c r="K125" s="120"/>
      <c r="L125" s="21" t="s">
        <v>5570</v>
      </c>
      <c r="M125" s="26">
        <v>44408</v>
      </c>
      <c r="N125" s="44">
        <v>1350</v>
      </c>
      <c r="O125" s="22" t="s">
        <v>15</v>
      </c>
      <c r="P125" s="22" t="s">
        <v>19</v>
      </c>
      <c r="Q125" s="24">
        <f t="shared" si="13"/>
        <v>0</v>
      </c>
      <c r="R125" s="24">
        <f t="shared" si="10"/>
        <v>1350</v>
      </c>
    </row>
    <row r="126" spans="1:18" hidden="1" x14ac:dyDescent="0.25">
      <c r="A126" t="s">
        <v>6386</v>
      </c>
      <c r="B126" s="21" t="s">
        <v>395</v>
      </c>
      <c r="C126" s="22" t="s">
        <v>2457</v>
      </c>
      <c r="D126" s="22"/>
      <c r="E126" s="21" t="s">
        <v>75</v>
      </c>
      <c r="F126" s="21"/>
      <c r="G126" s="147" t="s">
        <v>253</v>
      </c>
      <c r="H126" s="23" t="s">
        <v>2705</v>
      </c>
      <c r="I126" s="23"/>
      <c r="J126" s="21" t="s">
        <v>2712</v>
      </c>
      <c r="K126" s="120"/>
      <c r="L126" s="21" t="s">
        <v>5689</v>
      </c>
      <c r="M126" s="26">
        <v>44439</v>
      </c>
      <c r="N126" s="44">
        <v>1350</v>
      </c>
      <c r="O126" s="22" t="s">
        <v>15</v>
      </c>
      <c r="P126" s="22" t="s">
        <v>19</v>
      </c>
      <c r="Q126" s="24">
        <f t="shared" si="13"/>
        <v>0</v>
      </c>
      <c r="R126" s="24">
        <f t="shared" si="10"/>
        <v>1350</v>
      </c>
    </row>
    <row r="127" spans="1:18" hidden="1" x14ac:dyDescent="0.25">
      <c r="A127" t="s">
        <v>6386</v>
      </c>
      <c r="B127" s="21" t="s">
        <v>395</v>
      </c>
      <c r="C127" s="22" t="s">
        <v>2457</v>
      </c>
      <c r="D127" s="22"/>
      <c r="E127" s="21" t="s">
        <v>75</v>
      </c>
      <c r="F127" s="21"/>
      <c r="G127" s="147" t="s">
        <v>253</v>
      </c>
      <c r="H127" s="23" t="s">
        <v>2705</v>
      </c>
      <c r="I127" s="23"/>
      <c r="J127" s="21" t="s">
        <v>2712</v>
      </c>
      <c r="K127" s="120"/>
      <c r="L127" s="21" t="s">
        <v>5887</v>
      </c>
      <c r="M127" s="26">
        <v>44469</v>
      </c>
      <c r="N127" s="44">
        <v>1350</v>
      </c>
      <c r="O127" s="22" t="s">
        <v>15</v>
      </c>
      <c r="P127" s="22" t="s">
        <v>19</v>
      </c>
      <c r="Q127" s="24">
        <f t="shared" si="13"/>
        <v>0</v>
      </c>
      <c r="R127" s="24">
        <f t="shared" si="10"/>
        <v>1350</v>
      </c>
    </row>
    <row r="128" spans="1:18" hidden="1" x14ac:dyDescent="0.25">
      <c r="A128" t="s">
        <v>6386</v>
      </c>
      <c r="B128" s="21" t="s">
        <v>395</v>
      </c>
      <c r="C128" s="22" t="s">
        <v>2457</v>
      </c>
      <c r="D128" s="22"/>
      <c r="E128" s="21" t="s">
        <v>75</v>
      </c>
      <c r="F128" s="21"/>
      <c r="G128" s="147" t="s">
        <v>253</v>
      </c>
      <c r="H128" s="23" t="s">
        <v>2705</v>
      </c>
      <c r="I128" s="23"/>
      <c r="J128" s="21" t="s">
        <v>2712</v>
      </c>
      <c r="K128" s="120"/>
      <c r="L128" s="21" t="s">
        <v>6008</v>
      </c>
      <c r="M128" s="26">
        <v>44500</v>
      </c>
      <c r="N128" s="44">
        <v>1350</v>
      </c>
      <c r="O128" s="22" t="s">
        <v>15</v>
      </c>
      <c r="P128" s="22" t="s">
        <v>19</v>
      </c>
      <c r="Q128" s="24">
        <f t="shared" si="13"/>
        <v>0</v>
      </c>
      <c r="R128" s="24">
        <f t="shared" ref="R128:R191" si="14">IF(P128="OK",N128-Q128,IF(P128="en cours",N128-Q128,P128))</f>
        <v>1350</v>
      </c>
    </row>
    <row r="129" spans="1:18" hidden="1" x14ac:dyDescent="0.25">
      <c r="A129" t="s">
        <v>6386</v>
      </c>
      <c r="B129" s="21" t="s">
        <v>395</v>
      </c>
      <c r="C129" s="22" t="s">
        <v>2457</v>
      </c>
      <c r="D129" s="22"/>
      <c r="E129" s="21" t="s">
        <v>75</v>
      </c>
      <c r="F129" s="21"/>
      <c r="G129" s="147" t="s">
        <v>253</v>
      </c>
      <c r="H129" s="23" t="s">
        <v>2705</v>
      </c>
      <c r="I129" s="23"/>
      <c r="J129" s="21" t="s">
        <v>2712</v>
      </c>
      <c r="K129" s="120"/>
      <c r="L129" s="21" t="s">
        <v>6564</v>
      </c>
      <c r="M129" s="26">
        <v>44620</v>
      </c>
      <c r="N129" s="44">
        <v>1350</v>
      </c>
      <c r="O129" s="22" t="s">
        <v>15</v>
      </c>
      <c r="P129" s="22" t="s">
        <v>19</v>
      </c>
      <c r="Q129" s="24">
        <f t="shared" si="13"/>
        <v>0</v>
      </c>
      <c r="R129" s="24">
        <f t="shared" si="14"/>
        <v>1350</v>
      </c>
    </row>
    <row r="130" spans="1:18" hidden="1" x14ac:dyDescent="0.25">
      <c r="A130" t="s">
        <v>6386</v>
      </c>
      <c r="B130" s="21" t="s">
        <v>395</v>
      </c>
      <c r="C130" s="22" t="s">
        <v>2457</v>
      </c>
      <c r="D130" s="22"/>
      <c r="E130" s="21" t="s">
        <v>75</v>
      </c>
      <c r="F130" s="21"/>
      <c r="G130" s="147" t="s">
        <v>253</v>
      </c>
      <c r="H130" s="23" t="s">
        <v>2705</v>
      </c>
      <c r="I130" s="23"/>
      <c r="J130" s="21" t="s">
        <v>2713</v>
      </c>
      <c r="K130" s="120"/>
      <c r="L130" s="21" t="s">
        <v>3069</v>
      </c>
      <c r="M130" s="26">
        <v>43921</v>
      </c>
      <c r="N130" s="44">
        <v>3672</v>
      </c>
      <c r="O130" s="22" t="s">
        <v>15</v>
      </c>
      <c r="P130" s="22" t="s">
        <v>19</v>
      </c>
      <c r="Q130" s="24">
        <f t="shared" si="13"/>
        <v>0</v>
      </c>
      <c r="R130" s="24">
        <f t="shared" si="14"/>
        <v>3672</v>
      </c>
    </row>
    <row r="131" spans="1:18" hidden="1" x14ac:dyDescent="0.25">
      <c r="A131" t="s">
        <v>6386</v>
      </c>
      <c r="B131" s="21" t="s">
        <v>395</v>
      </c>
      <c r="C131" s="22" t="s">
        <v>2457</v>
      </c>
      <c r="D131" s="22"/>
      <c r="E131" s="21" t="s">
        <v>75</v>
      </c>
      <c r="F131" s="21"/>
      <c r="G131" s="147" t="s">
        <v>253</v>
      </c>
      <c r="H131" s="23" t="s">
        <v>2705</v>
      </c>
      <c r="I131" s="23"/>
      <c r="J131" s="21" t="s">
        <v>3148</v>
      </c>
      <c r="K131" s="120" t="s">
        <v>2714</v>
      </c>
      <c r="L131" s="21" t="s">
        <v>6206</v>
      </c>
      <c r="M131" s="26" t="s">
        <v>6207</v>
      </c>
      <c r="N131" s="44">
        <f>155*35</f>
        <v>5425</v>
      </c>
      <c r="O131" s="22" t="s">
        <v>15</v>
      </c>
      <c r="P131" s="22">
        <f>155+620+465+1860+620-155+465+465+620+775+310+155-155</f>
        <v>6200</v>
      </c>
      <c r="Q131" s="24">
        <f t="shared" si="13"/>
        <v>0</v>
      </c>
      <c r="R131" s="24">
        <f t="shared" si="14"/>
        <v>6200</v>
      </c>
    </row>
    <row r="132" spans="1:18" hidden="1" x14ac:dyDescent="0.25">
      <c r="A132" t="s">
        <v>6386</v>
      </c>
      <c r="B132" s="21" t="s">
        <v>395</v>
      </c>
      <c r="C132" s="22" t="s">
        <v>2457</v>
      </c>
      <c r="D132" s="22"/>
      <c r="E132" s="21" t="s">
        <v>75</v>
      </c>
      <c r="F132" s="21"/>
      <c r="G132" s="147" t="s">
        <v>253</v>
      </c>
      <c r="H132" s="23" t="s">
        <v>2705</v>
      </c>
      <c r="I132" s="23"/>
      <c r="J132" s="21" t="s">
        <v>2715</v>
      </c>
      <c r="K132" s="120"/>
      <c r="L132" s="21" t="s">
        <v>3443</v>
      </c>
      <c r="M132" s="26" t="s">
        <v>3444</v>
      </c>
      <c r="N132" s="44">
        <v>45980</v>
      </c>
      <c r="O132" s="22" t="s">
        <v>15</v>
      </c>
      <c r="P132" s="22" t="s">
        <v>19</v>
      </c>
      <c r="Q132" s="24">
        <f t="shared" si="13"/>
        <v>0</v>
      </c>
      <c r="R132" s="24">
        <f t="shared" si="14"/>
        <v>45980</v>
      </c>
    </row>
    <row r="133" spans="1:18" hidden="1" x14ac:dyDescent="0.25">
      <c r="A133" t="s">
        <v>6386</v>
      </c>
      <c r="B133" s="21" t="s">
        <v>395</v>
      </c>
      <c r="C133" s="22" t="s">
        <v>2457</v>
      </c>
      <c r="D133" s="22"/>
      <c r="E133" s="21" t="s">
        <v>75</v>
      </c>
      <c r="F133" s="21"/>
      <c r="G133" s="147" t="s">
        <v>253</v>
      </c>
      <c r="H133" s="23" t="s">
        <v>2705</v>
      </c>
      <c r="I133" s="23"/>
      <c r="J133" s="21" t="s">
        <v>2716</v>
      </c>
      <c r="K133" s="120"/>
      <c r="L133" s="21" t="s">
        <v>3594</v>
      </c>
      <c r="M133" s="26">
        <v>44043</v>
      </c>
      <c r="N133" s="44">
        <v>7755</v>
      </c>
      <c r="O133" s="22" t="s">
        <v>15</v>
      </c>
      <c r="P133" s="22" t="s">
        <v>19</v>
      </c>
      <c r="Q133" s="24">
        <f t="shared" si="13"/>
        <v>0</v>
      </c>
      <c r="R133" s="24">
        <f t="shared" si="14"/>
        <v>7755</v>
      </c>
    </row>
    <row r="134" spans="1:18" hidden="1" x14ac:dyDescent="0.25">
      <c r="A134" t="s">
        <v>6386</v>
      </c>
      <c r="B134" s="21" t="s">
        <v>395</v>
      </c>
      <c r="C134" s="22" t="s">
        <v>2457</v>
      </c>
      <c r="D134" s="22"/>
      <c r="E134" s="21" t="s">
        <v>75</v>
      </c>
      <c r="F134" s="21"/>
      <c r="G134" s="147" t="s">
        <v>253</v>
      </c>
      <c r="H134" s="23" t="s">
        <v>2705</v>
      </c>
      <c r="I134" s="23"/>
      <c r="J134" s="21" t="s">
        <v>2717</v>
      </c>
      <c r="K134" s="120"/>
      <c r="L134" s="21" t="s">
        <v>5690</v>
      </c>
      <c r="M134" s="26" t="s">
        <v>5691</v>
      </c>
      <c r="N134" s="44">
        <f>23*46</f>
        <v>1058</v>
      </c>
      <c r="O134" s="22" t="s">
        <v>15</v>
      </c>
      <c r="P134" s="22">
        <f>552-23+46+23+115+46+69+69+345</f>
        <v>1242</v>
      </c>
      <c r="Q134" s="24">
        <f t="shared" si="13"/>
        <v>0</v>
      </c>
      <c r="R134" s="24">
        <f t="shared" si="14"/>
        <v>1242</v>
      </c>
    </row>
    <row r="135" spans="1:18" hidden="1" x14ac:dyDescent="0.25">
      <c r="A135" t="s">
        <v>6386</v>
      </c>
      <c r="B135" s="21" t="s">
        <v>395</v>
      </c>
      <c r="C135" s="22" t="s">
        <v>2457</v>
      </c>
      <c r="D135" s="22"/>
      <c r="E135" s="21" t="s">
        <v>75</v>
      </c>
      <c r="F135" s="21"/>
      <c r="G135" s="147" t="s">
        <v>253</v>
      </c>
      <c r="H135" s="23" t="s">
        <v>2705</v>
      </c>
      <c r="I135" s="23"/>
      <c r="J135" s="21" t="s">
        <v>2718</v>
      </c>
      <c r="K135" s="120"/>
      <c r="L135" s="21" t="s">
        <v>5692</v>
      </c>
      <c r="M135" s="26" t="s">
        <v>5693</v>
      </c>
      <c r="N135" s="44">
        <f>14*34</f>
        <v>476</v>
      </c>
      <c r="O135" s="22" t="s">
        <v>15</v>
      </c>
      <c r="P135" s="22">
        <f>224+98+42+42+56+70+28</f>
        <v>560</v>
      </c>
      <c r="Q135" s="24">
        <f t="shared" si="13"/>
        <v>0</v>
      </c>
      <c r="R135" s="24">
        <f t="shared" si="14"/>
        <v>560</v>
      </c>
    </row>
    <row r="136" spans="1:18" hidden="1" x14ac:dyDescent="0.25">
      <c r="A136" t="s">
        <v>6386</v>
      </c>
      <c r="B136" s="21" t="s">
        <v>395</v>
      </c>
      <c r="C136" s="22" t="s">
        <v>2457</v>
      </c>
      <c r="D136" s="22"/>
      <c r="E136" s="21" t="s">
        <v>75</v>
      </c>
      <c r="F136" s="21"/>
      <c r="G136" s="147" t="s">
        <v>253</v>
      </c>
      <c r="H136" s="23" t="s">
        <v>2705</v>
      </c>
      <c r="I136" s="23"/>
      <c r="J136" s="21" t="s">
        <v>2719</v>
      </c>
      <c r="K136" s="120"/>
      <c r="L136" s="21" t="s">
        <v>2820</v>
      </c>
      <c r="M136" s="26">
        <v>43861</v>
      </c>
      <c r="N136" s="44">
        <v>529</v>
      </c>
      <c r="O136" s="22" t="s">
        <v>15</v>
      </c>
      <c r="P136" s="22" t="s">
        <v>19</v>
      </c>
      <c r="Q136" s="24">
        <f t="shared" si="13"/>
        <v>0</v>
      </c>
      <c r="R136" s="24">
        <f t="shared" si="14"/>
        <v>529</v>
      </c>
    </row>
    <row r="137" spans="1:18" hidden="1" x14ac:dyDescent="0.25">
      <c r="A137" t="s">
        <v>6386</v>
      </c>
      <c r="B137" s="21" t="s">
        <v>395</v>
      </c>
      <c r="C137" s="22" t="s">
        <v>2457</v>
      </c>
      <c r="D137" s="22"/>
      <c r="E137" s="21" t="s">
        <v>75</v>
      </c>
      <c r="F137" s="21"/>
      <c r="G137" s="147" t="s">
        <v>253</v>
      </c>
      <c r="H137" s="23" t="s">
        <v>2705</v>
      </c>
      <c r="I137" s="23"/>
      <c r="J137" s="21" t="s">
        <v>2719</v>
      </c>
      <c r="K137" s="120"/>
      <c r="L137" s="21" t="s">
        <v>3069</v>
      </c>
      <c r="M137" s="26">
        <v>43921</v>
      </c>
      <c r="N137" s="44">
        <v>529</v>
      </c>
      <c r="O137" s="22" t="s">
        <v>15</v>
      </c>
      <c r="P137" s="22" t="s">
        <v>19</v>
      </c>
      <c r="Q137" s="24">
        <f t="shared" si="13"/>
        <v>0</v>
      </c>
      <c r="R137" s="24">
        <f t="shared" si="14"/>
        <v>529</v>
      </c>
    </row>
    <row r="138" spans="1:18" hidden="1" x14ac:dyDescent="0.25">
      <c r="A138" t="s">
        <v>6386</v>
      </c>
      <c r="B138" s="21" t="s">
        <v>395</v>
      </c>
      <c r="C138" s="22" t="s">
        <v>2457</v>
      </c>
      <c r="D138" s="22"/>
      <c r="E138" s="21" t="s">
        <v>75</v>
      </c>
      <c r="F138" s="21"/>
      <c r="G138" s="147" t="s">
        <v>253</v>
      </c>
      <c r="H138" s="23" t="s">
        <v>2705</v>
      </c>
      <c r="I138" s="23"/>
      <c r="J138" s="21" t="s">
        <v>2719</v>
      </c>
      <c r="K138" s="120"/>
      <c r="L138" s="21" t="s">
        <v>3147</v>
      </c>
      <c r="M138" s="26">
        <v>43951</v>
      </c>
      <c r="N138" s="44">
        <v>529</v>
      </c>
      <c r="O138" s="22" t="s">
        <v>15</v>
      </c>
      <c r="P138" s="22" t="s">
        <v>19</v>
      </c>
      <c r="Q138" s="24">
        <f t="shared" si="13"/>
        <v>0</v>
      </c>
      <c r="R138" s="24">
        <f t="shared" si="14"/>
        <v>529</v>
      </c>
    </row>
    <row r="139" spans="1:18" hidden="1" x14ac:dyDescent="0.25">
      <c r="A139" t="s">
        <v>6386</v>
      </c>
      <c r="B139" s="21" t="s">
        <v>395</v>
      </c>
      <c r="C139" s="22" t="s">
        <v>2457</v>
      </c>
      <c r="D139" s="22"/>
      <c r="E139" s="21" t="s">
        <v>75</v>
      </c>
      <c r="F139" s="21"/>
      <c r="G139" s="147" t="s">
        <v>253</v>
      </c>
      <c r="H139" s="23" t="s">
        <v>2705</v>
      </c>
      <c r="I139" s="23"/>
      <c r="J139" s="21" t="s">
        <v>2719</v>
      </c>
      <c r="K139" s="120"/>
      <c r="L139" s="21" t="s">
        <v>3244</v>
      </c>
      <c r="M139" s="26">
        <v>43982</v>
      </c>
      <c r="N139" s="44">
        <v>529</v>
      </c>
      <c r="O139" s="22" t="s">
        <v>15</v>
      </c>
      <c r="P139" s="22" t="s">
        <v>19</v>
      </c>
      <c r="Q139" s="24">
        <f t="shared" si="13"/>
        <v>0</v>
      </c>
      <c r="R139" s="24">
        <f t="shared" si="14"/>
        <v>529</v>
      </c>
    </row>
    <row r="140" spans="1:18" hidden="1" x14ac:dyDescent="0.25">
      <c r="A140" t="s">
        <v>6386</v>
      </c>
      <c r="B140" s="21" t="s">
        <v>395</v>
      </c>
      <c r="C140" s="22" t="s">
        <v>2457</v>
      </c>
      <c r="D140" s="22"/>
      <c r="E140" s="21" t="s">
        <v>75</v>
      </c>
      <c r="F140" s="21"/>
      <c r="G140" s="147" t="s">
        <v>253</v>
      </c>
      <c r="H140" s="23" t="s">
        <v>2705</v>
      </c>
      <c r="I140" s="23"/>
      <c r="J140" s="21" t="s">
        <v>2719</v>
      </c>
      <c r="K140" s="120"/>
      <c r="L140" s="21" t="s">
        <v>3443</v>
      </c>
      <c r="M140" s="26" t="s">
        <v>3444</v>
      </c>
      <c r="N140" s="44">
        <v>529</v>
      </c>
      <c r="O140" s="22" t="s">
        <v>15</v>
      </c>
      <c r="P140" s="22" t="s">
        <v>19</v>
      </c>
      <c r="Q140" s="24">
        <f t="shared" si="13"/>
        <v>0</v>
      </c>
      <c r="R140" s="24">
        <f t="shared" si="14"/>
        <v>529</v>
      </c>
    </row>
    <row r="141" spans="1:18" hidden="1" x14ac:dyDescent="0.25">
      <c r="A141" t="s">
        <v>6386</v>
      </c>
      <c r="B141" s="21" t="s">
        <v>395</v>
      </c>
      <c r="C141" s="22" t="s">
        <v>2457</v>
      </c>
      <c r="D141" s="22"/>
      <c r="E141" s="21" t="s">
        <v>75</v>
      </c>
      <c r="F141" s="21"/>
      <c r="G141" s="147" t="s">
        <v>253</v>
      </c>
      <c r="H141" s="23" t="s">
        <v>2705</v>
      </c>
      <c r="I141" s="23"/>
      <c r="J141" s="21" t="s">
        <v>2719</v>
      </c>
      <c r="K141" s="120"/>
      <c r="L141" s="21" t="s">
        <v>3594</v>
      </c>
      <c r="M141" s="26">
        <v>44043</v>
      </c>
      <c r="N141" s="44">
        <v>529</v>
      </c>
      <c r="O141" s="22" t="s">
        <v>15</v>
      </c>
      <c r="P141" s="22" t="s">
        <v>19</v>
      </c>
      <c r="Q141" s="24">
        <f t="shared" si="13"/>
        <v>0</v>
      </c>
      <c r="R141" s="24">
        <f t="shared" si="14"/>
        <v>529</v>
      </c>
    </row>
    <row r="142" spans="1:18" hidden="1" x14ac:dyDescent="0.25">
      <c r="A142" t="s">
        <v>6386</v>
      </c>
      <c r="B142" s="21" t="s">
        <v>395</v>
      </c>
      <c r="C142" s="22" t="s">
        <v>2457</v>
      </c>
      <c r="D142" s="22"/>
      <c r="E142" s="21" t="s">
        <v>75</v>
      </c>
      <c r="F142" s="21"/>
      <c r="G142" s="147" t="s">
        <v>253</v>
      </c>
      <c r="H142" s="23" t="s">
        <v>2705</v>
      </c>
      <c r="I142" s="23"/>
      <c r="J142" s="21" t="s">
        <v>2719</v>
      </c>
      <c r="K142" s="120"/>
      <c r="L142" s="21" t="s">
        <v>3640</v>
      </c>
      <c r="M142" s="26">
        <v>44074</v>
      </c>
      <c r="N142" s="44">
        <v>529</v>
      </c>
      <c r="O142" s="22" t="s">
        <v>15</v>
      </c>
      <c r="P142" s="22" t="s">
        <v>19</v>
      </c>
      <c r="Q142" s="24">
        <f t="shared" si="13"/>
        <v>0</v>
      </c>
      <c r="R142" s="24">
        <f t="shared" si="14"/>
        <v>529</v>
      </c>
    </row>
    <row r="143" spans="1:18" hidden="1" x14ac:dyDescent="0.25">
      <c r="A143" t="s">
        <v>6386</v>
      </c>
      <c r="B143" s="21" t="s">
        <v>395</v>
      </c>
      <c r="C143" s="22" t="s">
        <v>2457</v>
      </c>
      <c r="D143" s="22"/>
      <c r="E143" s="21" t="s">
        <v>75</v>
      </c>
      <c r="F143" s="21"/>
      <c r="G143" s="147" t="s">
        <v>253</v>
      </c>
      <c r="H143" s="23" t="s">
        <v>2705</v>
      </c>
      <c r="I143" s="23"/>
      <c r="J143" s="21" t="s">
        <v>2719</v>
      </c>
      <c r="K143" s="120"/>
      <c r="L143" s="21" t="s">
        <v>3771</v>
      </c>
      <c r="M143" s="26">
        <v>44104</v>
      </c>
      <c r="N143" s="44">
        <v>529</v>
      </c>
      <c r="O143" s="22" t="s">
        <v>15</v>
      </c>
      <c r="P143" s="22" t="s">
        <v>19</v>
      </c>
      <c r="Q143" s="24">
        <f t="shared" si="13"/>
        <v>0</v>
      </c>
      <c r="R143" s="24">
        <f t="shared" si="14"/>
        <v>529</v>
      </c>
    </row>
    <row r="144" spans="1:18" hidden="1" x14ac:dyDescent="0.25">
      <c r="A144" t="s">
        <v>6386</v>
      </c>
      <c r="B144" s="21" t="s">
        <v>395</v>
      </c>
      <c r="C144" s="22" t="s">
        <v>2457</v>
      </c>
      <c r="D144" s="22"/>
      <c r="E144" s="21" t="s">
        <v>75</v>
      </c>
      <c r="F144" s="21"/>
      <c r="G144" s="147" t="s">
        <v>253</v>
      </c>
      <c r="H144" s="23" t="s">
        <v>2705</v>
      </c>
      <c r="I144" s="23"/>
      <c r="J144" s="21" t="s">
        <v>2719</v>
      </c>
      <c r="K144" s="120"/>
      <c r="L144" s="21" t="s">
        <v>3922</v>
      </c>
      <c r="M144" s="26">
        <v>44135</v>
      </c>
      <c r="N144" s="44">
        <v>529</v>
      </c>
      <c r="O144" s="22" t="s">
        <v>15</v>
      </c>
      <c r="P144" s="22" t="s">
        <v>19</v>
      </c>
      <c r="Q144" s="24">
        <f t="shared" si="13"/>
        <v>0</v>
      </c>
      <c r="R144" s="24">
        <f t="shared" si="14"/>
        <v>529</v>
      </c>
    </row>
    <row r="145" spans="1:18" hidden="1" x14ac:dyDescent="0.25">
      <c r="A145" t="s">
        <v>6386</v>
      </c>
      <c r="B145" s="21" t="s">
        <v>395</v>
      </c>
      <c r="C145" s="22" t="s">
        <v>2457</v>
      </c>
      <c r="D145" s="22"/>
      <c r="E145" s="21" t="s">
        <v>75</v>
      </c>
      <c r="F145" s="21"/>
      <c r="G145" s="147" t="s">
        <v>253</v>
      </c>
      <c r="H145" s="23" t="s">
        <v>2705</v>
      </c>
      <c r="I145" s="23"/>
      <c r="J145" s="21" t="s">
        <v>2719</v>
      </c>
      <c r="K145" s="120"/>
      <c r="L145" s="21" t="s">
        <v>4083</v>
      </c>
      <c r="M145" s="26">
        <v>44165</v>
      </c>
      <c r="N145" s="44">
        <v>529</v>
      </c>
      <c r="O145" s="22" t="s">
        <v>15</v>
      </c>
      <c r="P145" s="22" t="s">
        <v>19</v>
      </c>
      <c r="Q145" s="24">
        <f t="shared" si="13"/>
        <v>0</v>
      </c>
      <c r="R145" s="24">
        <f t="shared" si="14"/>
        <v>529</v>
      </c>
    </row>
    <row r="146" spans="1:18" hidden="1" x14ac:dyDescent="0.25">
      <c r="A146" t="s">
        <v>6386</v>
      </c>
      <c r="B146" s="21" t="s">
        <v>395</v>
      </c>
      <c r="C146" s="22" t="s">
        <v>2457</v>
      </c>
      <c r="D146" s="22"/>
      <c r="E146" s="21" t="s">
        <v>75</v>
      </c>
      <c r="F146" s="21"/>
      <c r="G146" s="147" t="s">
        <v>253</v>
      </c>
      <c r="H146" s="23" t="s">
        <v>2705</v>
      </c>
      <c r="I146" s="23"/>
      <c r="J146" s="21" t="s">
        <v>2719</v>
      </c>
      <c r="K146" s="120"/>
      <c r="L146" s="21" t="s">
        <v>4661</v>
      </c>
      <c r="M146" s="26">
        <v>44196</v>
      </c>
      <c r="N146" s="44">
        <v>529</v>
      </c>
      <c r="O146" s="22" t="s">
        <v>15</v>
      </c>
      <c r="P146" s="22" t="s">
        <v>19</v>
      </c>
      <c r="Q146" s="24">
        <f t="shared" si="13"/>
        <v>0</v>
      </c>
      <c r="R146" s="24">
        <f t="shared" si="14"/>
        <v>529</v>
      </c>
    </row>
    <row r="147" spans="1:18" hidden="1" x14ac:dyDescent="0.25">
      <c r="A147" t="s">
        <v>6386</v>
      </c>
      <c r="B147" s="21" t="s">
        <v>395</v>
      </c>
      <c r="C147" s="22" t="s">
        <v>2457</v>
      </c>
      <c r="D147" s="22"/>
      <c r="E147" s="21" t="s">
        <v>75</v>
      </c>
      <c r="F147" s="21"/>
      <c r="G147" s="147" t="s">
        <v>253</v>
      </c>
      <c r="H147" s="23" t="s">
        <v>2705</v>
      </c>
      <c r="I147" s="23"/>
      <c r="J147" s="21" t="s">
        <v>2719</v>
      </c>
      <c r="K147" s="120"/>
      <c r="L147" s="21" t="s">
        <v>4662</v>
      </c>
      <c r="M147" s="26">
        <v>44227</v>
      </c>
      <c r="N147" s="44">
        <v>529</v>
      </c>
      <c r="O147" s="22" t="s">
        <v>15</v>
      </c>
      <c r="P147" s="22" t="s">
        <v>19</v>
      </c>
      <c r="Q147" s="24">
        <f t="shared" si="13"/>
        <v>0</v>
      </c>
      <c r="R147" s="24">
        <f t="shared" si="14"/>
        <v>529</v>
      </c>
    </row>
    <row r="148" spans="1:18" hidden="1" x14ac:dyDescent="0.25">
      <c r="A148" t="s">
        <v>6386</v>
      </c>
      <c r="B148" s="21" t="s">
        <v>395</v>
      </c>
      <c r="C148" s="22" t="s">
        <v>2457</v>
      </c>
      <c r="D148" s="22"/>
      <c r="E148" s="21" t="s">
        <v>75</v>
      </c>
      <c r="F148" s="21"/>
      <c r="G148" s="147" t="s">
        <v>253</v>
      </c>
      <c r="H148" s="23" t="s">
        <v>2705</v>
      </c>
      <c r="I148" s="23"/>
      <c r="J148" s="21" t="s">
        <v>2719</v>
      </c>
      <c r="K148" s="120"/>
      <c r="L148" s="21" t="s">
        <v>4523</v>
      </c>
      <c r="M148" s="26">
        <v>44255</v>
      </c>
      <c r="N148" s="44">
        <v>529</v>
      </c>
      <c r="O148" s="22" t="s">
        <v>15</v>
      </c>
      <c r="P148" s="22" t="s">
        <v>19</v>
      </c>
      <c r="Q148" s="24">
        <f t="shared" si="13"/>
        <v>0</v>
      </c>
      <c r="R148" s="24">
        <f t="shared" si="14"/>
        <v>529</v>
      </c>
    </row>
    <row r="149" spans="1:18" hidden="1" x14ac:dyDescent="0.25">
      <c r="A149" t="s">
        <v>6386</v>
      </c>
      <c r="B149" s="21" t="s">
        <v>395</v>
      </c>
      <c r="C149" s="22" t="s">
        <v>2457</v>
      </c>
      <c r="D149" s="22"/>
      <c r="E149" s="21" t="s">
        <v>75</v>
      </c>
      <c r="F149" s="21"/>
      <c r="G149" s="147" t="s">
        <v>253</v>
      </c>
      <c r="H149" s="23" t="s">
        <v>2705</v>
      </c>
      <c r="I149" s="23"/>
      <c r="J149" s="21" t="s">
        <v>2719</v>
      </c>
      <c r="K149" s="120"/>
      <c r="L149" s="21" t="s">
        <v>4677</v>
      </c>
      <c r="M149" s="26">
        <v>44286</v>
      </c>
      <c r="N149" s="44">
        <v>529</v>
      </c>
      <c r="O149" s="22" t="s">
        <v>15</v>
      </c>
      <c r="P149" s="22" t="s">
        <v>19</v>
      </c>
      <c r="Q149" s="24">
        <f t="shared" si="13"/>
        <v>0</v>
      </c>
      <c r="R149" s="24">
        <f t="shared" si="14"/>
        <v>529</v>
      </c>
    </row>
    <row r="150" spans="1:18" hidden="1" x14ac:dyDescent="0.25">
      <c r="A150" t="s">
        <v>6386</v>
      </c>
      <c r="B150" s="21" t="s">
        <v>395</v>
      </c>
      <c r="C150" s="22" t="s">
        <v>2457</v>
      </c>
      <c r="D150" s="22"/>
      <c r="E150" s="21" t="s">
        <v>75</v>
      </c>
      <c r="F150" s="21"/>
      <c r="G150" s="147" t="s">
        <v>253</v>
      </c>
      <c r="H150" s="23" t="s">
        <v>2705</v>
      </c>
      <c r="I150" s="23"/>
      <c r="J150" s="21" t="s">
        <v>2719</v>
      </c>
      <c r="K150" s="120"/>
      <c r="L150" s="21" t="s">
        <v>4945</v>
      </c>
      <c r="M150" s="26">
        <v>44316</v>
      </c>
      <c r="N150" s="44">
        <v>529</v>
      </c>
      <c r="O150" s="22" t="s">
        <v>15</v>
      </c>
      <c r="P150" s="22" t="s">
        <v>19</v>
      </c>
      <c r="Q150" s="24">
        <f t="shared" ref="Q150:Q181" si="15">IF(P150="en cours",N150,IF(P150="OK",0,IF(N150-P150&lt;0,0,N150-P150)))</f>
        <v>0</v>
      </c>
      <c r="R150" s="24">
        <f t="shared" si="14"/>
        <v>529</v>
      </c>
    </row>
    <row r="151" spans="1:18" hidden="1" x14ac:dyDescent="0.25">
      <c r="A151" t="s">
        <v>6386</v>
      </c>
      <c r="B151" s="21" t="s">
        <v>395</v>
      </c>
      <c r="C151" s="22" t="s">
        <v>2457</v>
      </c>
      <c r="D151" s="22"/>
      <c r="E151" s="21" t="s">
        <v>75</v>
      </c>
      <c r="F151" s="21"/>
      <c r="G151" s="147" t="s">
        <v>253</v>
      </c>
      <c r="H151" s="23" t="s">
        <v>2705</v>
      </c>
      <c r="I151" s="23"/>
      <c r="J151" s="21" t="s">
        <v>2719</v>
      </c>
      <c r="K151" s="120"/>
      <c r="L151" s="21" t="s">
        <v>5127</v>
      </c>
      <c r="M151" s="26">
        <v>44347</v>
      </c>
      <c r="N151" s="44">
        <v>529</v>
      </c>
      <c r="O151" s="22" t="s">
        <v>15</v>
      </c>
      <c r="P151" s="22" t="s">
        <v>19</v>
      </c>
      <c r="Q151" s="24">
        <f t="shared" si="15"/>
        <v>0</v>
      </c>
      <c r="R151" s="24">
        <f t="shared" si="14"/>
        <v>529</v>
      </c>
    </row>
    <row r="152" spans="1:18" hidden="1" x14ac:dyDescent="0.25">
      <c r="A152" t="s">
        <v>6386</v>
      </c>
      <c r="B152" s="21" t="s">
        <v>395</v>
      </c>
      <c r="C152" s="22" t="s">
        <v>2457</v>
      </c>
      <c r="D152" s="22"/>
      <c r="E152" s="21" t="s">
        <v>75</v>
      </c>
      <c r="F152" s="21"/>
      <c r="G152" s="147" t="s">
        <v>253</v>
      </c>
      <c r="H152" s="23" t="s">
        <v>2705</v>
      </c>
      <c r="I152" s="23"/>
      <c r="J152" s="21" t="s">
        <v>2719</v>
      </c>
      <c r="K152" s="120"/>
      <c r="L152" s="21" t="s">
        <v>5321</v>
      </c>
      <c r="M152" s="26">
        <v>44377</v>
      </c>
      <c r="N152" s="44">
        <v>529</v>
      </c>
      <c r="O152" s="22" t="s">
        <v>15</v>
      </c>
      <c r="P152" s="22" t="s">
        <v>19</v>
      </c>
      <c r="Q152" s="24">
        <f t="shared" si="15"/>
        <v>0</v>
      </c>
      <c r="R152" s="24">
        <f t="shared" si="14"/>
        <v>529</v>
      </c>
    </row>
    <row r="153" spans="1:18" hidden="1" x14ac:dyDescent="0.25">
      <c r="A153" t="s">
        <v>6386</v>
      </c>
      <c r="B153" s="21" t="s">
        <v>395</v>
      </c>
      <c r="C153" s="22" t="s">
        <v>2457</v>
      </c>
      <c r="D153" s="22"/>
      <c r="E153" s="21" t="s">
        <v>75</v>
      </c>
      <c r="F153" s="21"/>
      <c r="G153" s="147" t="s">
        <v>253</v>
      </c>
      <c r="H153" s="23" t="s">
        <v>2705</v>
      </c>
      <c r="I153" s="23"/>
      <c r="J153" s="21" t="s">
        <v>2719</v>
      </c>
      <c r="K153" s="120"/>
      <c r="L153" s="21" t="s">
        <v>5570</v>
      </c>
      <c r="M153" s="26">
        <v>44408</v>
      </c>
      <c r="N153" s="44">
        <v>529</v>
      </c>
      <c r="O153" s="22" t="s">
        <v>15</v>
      </c>
      <c r="P153" s="22" t="s">
        <v>19</v>
      </c>
      <c r="Q153" s="24">
        <f t="shared" si="15"/>
        <v>0</v>
      </c>
      <c r="R153" s="24">
        <f t="shared" si="14"/>
        <v>529</v>
      </c>
    </row>
    <row r="154" spans="1:18" hidden="1" x14ac:dyDescent="0.25">
      <c r="A154" t="s">
        <v>6386</v>
      </c>
      <c r="B154" s="21" t="s">
        <v>395</v>
      </c>
      <c r="C154" s="22" t="s">
        <v>2457</v>
      </c>
      <c r="D154" s="22"/>
      <c r="E154" s="21" t="s">
        <v>75</v>
      </c>
      <c r="F154" s="21"/>
      <c r="G154" s="147" t="s">
        <v>253</v>
      </c>
      <c r="H154" s="23" t="s">
        <v>2705</v>
      </c>
      <c r="I154" s="23"/>
      <c r="J154" s="21" t="s">
        <v>2719</v>
      </c>
      <c r="K154" s="120"/>
      <c r="L154" s="21" t="s">
        <v>5689</v>
      </c>
      <c r="M154" s="26">
        <v>44439</v>
      </c>
      <c r="N154" s="44">
        <v>529</v>
      </c>
      <c r="O154" s="22" t="s">
        <v>15</v>
      </c>
      <c r="P154" s="22" t="s">
        <v>19</v>
      </c>
      <c r="Q154" s="24">
        <f t="shared" si="15"/>
        <v>0</v>
      </c>
      <c r="R154" s="24">
        <f t="shared" si="14"/>
        <v>529</v>
      </c>
    </row>
    <row r="155" spans="1:18" hidden="1" x14ac:dyDescent="0.25">
      <c r="A155" t="s">
        <v>6386</v>
      </c>
      <c r="B155" s="21" t="s">
        <v>395</v>
      </c>
      <c r="C155" s="22" t="s">
        <v>2457</v>
      </c>
      <c r="D155" s="22"/>
      <c r="E155" s="21" t="s">
        <v>75</v>
      </c>
      <c r="F155" s="21"/>
      <c r="G155" s="147" t="s">
        <v>253</v>
      </c>
      <c r="H155" s="23" t="s">
        <v>2705</v>
      </c>
      <c r="I155" s="23"/>
      <c r="J155" s="21" t="s">
        <v>2719</v>
      </c>
      <c r="K155" s="120"/>
      <c r="L155" s="21" t="s">
        <v>6208</v>
      </c>
      <c r="M155" s="26" t="s">
        <v>6209</v>
      </c>
      <c r="N155" s="44">
        <v>529</v>
      </c>
      <c r="O155" s="22" t="s">
        <v>15</v>
      </c>
      <c r="P155" s="22">
        <f>529+529+529-529</f>
        <v>1058</v>
      </c>
      <c r="Q155" s="24">
        <f t="shared" si="15"/>
        <v>0</v>
      </c>
      <c r="R155" s="24">
        <f t="shared" si="14"/>
        <v>1058</v>
      </c>
    </row>
    <row r="156" spans="1:18" hidden="1" x14ac:dyDescent="0.25">
      <c r="A156" t="s">
        <v>6386</v>
      </c>
      <c r="B156" s="21" t="s">
        <v>395</v>
      </c>
      <c r="C156" s="22" t="s">
        <v>2457</v>
      </c>
      <c r="D156" s="22"/>
      <c r="E156" s="21" t="s">
        <v>75</v>
      </c>
      <c r="F156" s="21"/>
      <c r="G156" s="147" t="s">
        <v>253</v>
      </c>
      <c r="H156" s="23" t="s">
        <v>2705</v>
      </c>
      <c r="I156" s="23"/>
      <c r="J156" s="21" t="s">
        <v>2720</v>
      </c>
      <c r="K156" s="120" t="s">
        <v>2721</v>
      </c>
      <c r="L156" s="21" t="s">
        <v>3594</v>
      </c>
      <c r="M156" s="26">
        <v>44043</v>
      </c>
      <c r="N156" s="44">
        <v>2349</v>
      </c>
      <c r="O156" s="22" t="s">
        <v>15</v>
      </c>
      <c r="P156" s="22" t="s">
        <v>19</v>
      </c>
      <c r="Q156" s="24">
        <f t="shared" si="15"/>
        <v>0</v>
      </c>
      <c r="R156" s="24">
        <f t="shared" si="14"/>
        <v>2349</v>
      </c>
    </row>
    <row r="157" spans="1:18" hidden="1" x14ac:dyDescent="0.25">
      <c r="A157" t="s">
        <v>6386</v>
      </c>
      <c r="B157" s="21" t="s">
        <v>395</v>
      </c>
      <c r="C157" s="22" t="s">
        <v>2457</v>
      </c>
      <c r="D157" s="22"/>
      <c r="E157" s="21" t="s">
        <v>75</v>
      </c>
      <c r="F157" s="21"/>
      <c r="G157" s="147" t="s">
        <v>253</v>
      </c>
      <c r="H157" s="23" t="s">
        <v>2705</v>
      </c>
      <c r="I157" s="23"/>
      <c r="J157" s="21" t="s">
        <v>2722</v>
      </c>
      <c r="K157" s="120" t="s">
        <v>2723</v>
      </c>
      <c r="L157" s="21" t="s">
        <v>3594</v>
      </c>
      <c r="M157" s="26">
        <v>44043</v>
      </c>
      <c r="N157" s="44">
        <v>6696</v>
      </c>
      <c r="O157" s="22" t="s">
        <v>15</v>
      </c>
      <c r="P157" s="22" t="s">
        <v>19</v>
      </c>
      <c r="Q157" s="24">
        <f t="shared" si="15"/>
        <v>0</v>
      </c>
      <c r="R157" s="24">
        <f t="shared" si="14"/>
        <v>6696</v>
      </c>
    </row>
    <row r="158" spans="1:18" hidden="1" x14ac:dyDescent="0.25">
      <c r="B158" s="5" t="s">
        <v>12280</v>
      </c>
      <c r="C158" s="4" t="s">
        <v>2457</v>
      </c>
      <c r="E158" s="5" t="s">
        <v>75</v>
      </c>
      <c r="G158" s="146" t="s">
        <v>253</v>
      </c>
      <c r="H158" s="7" t="s">
        <v>2705</v>
      </c>
      <c r="J158" s="5" t="s">
        <v>2724</v>
      </c>
      <c r="K158" s="13" t="s">
        <v>2725</v>
      </c>
      <c r="L158" s="5" t="s">
        <v>5571</v>
      </c>
      <c r="M158" s="12" t="s">
        <v>5572</v>
      </c>
      <c r="N158" s="45">
        <v>3832</v>
      </c>
      <c r="O158" s="4" t="s">
        <v>15</v>
      </c>
      <c r="P158" s="372">
        <f>958-958+958+958+958</f>
        <v>2874</v>
      </c>
      <c r="Q158" s="3">
        <f t="shared" si="15"/>
        <v>958</v>
      </c>
      <c r="R158" s="3">
        <f t="shared" si="14"/>
        <v>2874</v>
      </c>
    </row>
    <row r="159" spans="1:18" hidden="1" x14ac:dyDescent="0.25">
      <c r="B159" s="5" t="s">
        <v>12280</v>
      </c>
      <c r="C159" s="4" t="s">
        <v>2457</v>
      </c>
      <c r="E159" s="5" t="s">
        <v>75</v>
      </c>
      <c r="G159" s="146" t="s">
        <v>253</v>
      </c>
      <c r="H159" s="7" t="s">
        <v>2705</v>
      </c>
      <c r="J159" s="5" t="s">
        <v>2726</v>
      </c>
      <c r="K159" s="13" t="s">
        <v>2725</v>
      </c>
      <c r="L159" s="5" t="s">
        <v>3640</v>
      </c>
      <c r="M159" s="12">
        <v>44074</v>
      </c>
      <c r="N159" s="45">
        <v>4790</v>
      </c>
      <c r="O159" s="4" t="s">
        <v>15</v>
      </c>
      <c r="P159" s="372">
        <v>2395</v>
      </c>
      <c r="Q159" s="3">
        <f t="shared" si="15"/>
        <v>2395</v>
      </c>
      <c r="R159" s="3">
        <f t="shared" si="14"/>
        <v>2395</v>
      </c>
    </row>
    <row r="160" spans="1:18" hidden="1" x14ac:dyDescent="0.25">
      <c r="B160" s="5" t="s">
        <v>12280</v>
      </c>
      <c r="C160" s="4" t="s">
        <v>2457</v>
      </c>
      <c r="E160" s="5" t="s">
        <v>75</v>
      </c>
      <c r="G160" s="146" t="s">
        <v>253</v>
      </c>
      <c r="H160" s="7" t="s">
        <v>2705</v>
      </c>
      <c r="J160" s="5" t="s">
        <v>2727</v>
      </c>
      <c r="K160" s="13">
        <v>44440</v>
      </c>
      <c r="M160" s="12"/>
      <c r="N160" s="45">
        <v>8621</v>
      </c>
      <c r="O160" s="4" t="s">
        <v>15</v>
      </c>
      <c r="P160" s="372"/>
      <c r="Q160" s="3">
        <f t="shared" si="15"/>
        <v>8621</v>
      </c>
      <c r="R160" s="3">
        <f t="shared" si="14"/>
        <v>0</v>
      </c>
    </row>
    <row r="161" spans="1:18" hidden="1" x14ac:dyDescent="0.25">
      <c r="B161" s="5" t="s">
        <v>12280</v>
      </c>
      <c r="C161" s="4" t="s">
        <v>2457</v>
      </c>
      <c r="E161" s="5" t="s">
        <v>75</v>
      </c>
      <c r="G161" s="146" t="s">
        <v>253</v>
      </c>
      <c r="H161" s="7" t="s">
        <v>2705</v>
      </c>
      <c r="J161" s="5" t="s">
        <v>2728</v>
      </c>
      <c r="K161" s="13" t="s">
        <v>2411</v>
      </c>
      <c r="M161" s="12"/>
      <c r="N161" s="45">
        <v>2281</v>
      </c>
      <c r="O161" s="4" t="s">
        <v>15</v>
      </c>
      <c r="P161" s="372"/>
      <c r="Q161" s="3">
        <f t="shared" si="15"/>
        <v>2281</v>
      </c>
      <c r="R161" s="3">
        <f t="shared" si="14"/>
        <v>0</v>
      </c>
    </row>
    <row r="162" spans="1:18" hidden="1" x14ac:dyDescent="0.25">
      <c r="B162" s="5" t="s">
        <v>12280</v>
      </c>
      <c r="C162" s="4" t="s">
        <v>2457</v>
      </c>
      <c r="E162" s="5" t="s">
        <v>75</v>
      </c>
      <c r="G162" s="146" t="s">
        <v>253</v>
      </c>
      <c r="H162" s="7" t="s">
        <v>2705</v>
      </c>
      <c r="J162" s="5" t="s">
        <v>2729</v>
      </c>
      <c r="K162" s="13" t="s">
        <v>2411</v>
      </c>
      <c r="L162" s="5" t="s">
        <v>3147</v>
      </c>
      <c r="M162" s="26">
        <v>43951</v>
      </c>
      <c r="N162" s="45">
        <v>2704</v>
      </c>
      <c r="O162" s="4" t="s">
        <v>15</v>
      </c>
      <c r="P162" s="372">
        <v>72.97</v>
      </c>
      <c r="Q162" s="3">
        <f t="shared" si="15"/>
        <v>2631.03</v>
      </c>
      <c r="R162" s="3">
        <f t="shared" si="14"/>
        <v>72.97</v>
      </c>
    </row>
    <row r="163" spans="1:18" hidden="1" x14ac:dyDescent="0.25">
      <c r="B163" s="5" t="s">
        <v>12280</v>
      </c>
      <c r="C163" s="4" t="s">
        <v>2457</v>
      </c>
      <c r="E163" s="5" t="s">
        <v>75</v>
      </c>
      <c r="G163" s="146" t="s">
        <v>253</v>
      </c>
      <c r="H163" s="7" t="s">
        <v>2705</v>
      </c>
      <c r="J163" s="5" t="s">
        <v>2730</v>
      </c>
      <c r="K163" s="13" t="s">
        <v>2411</v>
      </c>
      <c r="M163" s="12"/>
      <c r="N163" s="45">
        <v>249</v>
      </c>
      <c r="O163" s="4" t="s">
        <v>15</v>
      </c>
      <c r="P163" s="372"/>
      <c r="Q163" s="3">
        <f t="shared" si="15"/>
        <v>249</v>
      </c>
      <c r="R163" s="3">
        <f t="shared" si="14"/>
        <v>0</v>
      </c>
    </row>
    <row r="164" spans="1:18" hidden="1" x14ac:dyDescent="0.25">
      <c r="B164" s="5" t="s">
        <v>12280</v>
      </c>
      <c r="C164" s="4" t="s">
        <v>2457</v>
      </c>
      <c r="E164" s="5" t="s">
        <v>75</v>
      </c>
      <c r="G164" s="146" t="s">
        <v>253</v>
      </c>
      <c r="H164" s="7" t="s">
        <v>2705</v>
      </c>
      <c r="J164" s="5" t="s">
        <v>2731</v>
      </c>
      <c r="K164" s="13"/>
      <c r="L164" s="5" t="s">
        <v>7172</v>
      </c>
      <c r="M164" s="12" t="s">
        <v>7173</v>
      </c>
      <c r="N164" s="45">
        <f>(137*34)+(137*12)</f>
        <v>6302</v>
      </c>
      <c r="O164" s="4" t="s">
        <v>15</v>
      </c>
      <c r="P164" s="372">
        <f>247.98+126.05+(123.59*4)+(258.55)+379.35+2412.96+142.63+142.49+147.8+1467.5+158.12</f>
        <v>5977.79</v>
      </c>
      <c r="Q164" s="3">
        <f t="shared" si="15"/>
        <v>324.21000000000004</v>
      </c>
      <c r="R164" s="3">
        <f t="shared" si="14"/>
        <v>5977.79</v>
      </c>
    </row>
    <row r="165" spans="1:18" hidden="1" x14ac:dyDescent="0.25">
      <c r="B165" s="5" t="s">
        <v>12280</v>
      </c>
      <c r="C165" s="4" t="s">
        <v>2457</v>
      </c>
      <c r="E165" s="5" t="s">
        <v>75</v>
      </c>
      <c r="G165" s="146" t="s">
        <v>253</v>
      </c>
      <c r="H165" s="7" t="s">
        <v>2705</v>
      </c>
      <c r="J165" s="5" t="s">
        <v>2732</v>
      </c>
      <c r="K165" s="13"/>
      <c r="L165" s="5" t="s">
        <v>3774</v>
      </c>
      <c r="M165" s="12">
        <v>44104</v>
      </c>
      <c r="N165" s="45">
        <f>456*6</f>
        <v>2736</v>
      </c>
      <c r="O165" s="4" t="s">
        <v>15</v>
      </c>
      <c r="P165" s="372">
        <v>2006.88</v>
      </c>
      <c r="Q165" s="3">
        <f t="shared" si="15"/>
        <v>729.11999999999989</v>
      </c>
      <c r="R165" s="3">
        <f t="shared" si="14"/>
        <v>2006.88</v>
      </c>
    </row>
    <row r="166" spans="1:18" hidden="1" x14ac:dyDescent="0.25">
      <c r="B166" s="5" t="s">
        <v>12280</v>
      </c>
      <c r="C166" s="4" t="s">
        <v>2457</v>
      </c>
      <c r="E166" s="5" t="s">
        <v>75</v>
      </c>
      <c r="G166" s="146" t="s">
        <v>253</v>
      </c>
      <c r="H166" s="7" t="s">
        <v>2705</v>
      </c>
      <c r="J166" s="5" t="s">
        <v>2733</v>
      </c>
      <c r="K166" s="13"/>
      <c r="L166" s="5" t="s">
        <v>3772</v>
      </c>
      <c r="M166" s="12" t="s">
        <v>3773</v>
      </c>
      <c r="N166" s="45">
        <f>456*5</f>
        <v>2280</v>
      </c>
      <c r="O166" s="4" t="s">
        <v>15</v>
      </c>
      <c r="P166" s="372">
        <f>447.8+1003.44</f>
        <v>1451.24</v>
      </c>
      <c r="Q166" s="3">
        <f t="shared" si="15"/>
        <v>828.76</v>
      </c>
      <c r="R166" s="3">
        <f t="shared" si="14"/>
        <v>1451.24</v>
      </c>
    </row>
    <row r="167" spans="1:18" hidden="1" x14ac:dyDescent="0.25">
      <c r="B167" s="5" t="s">
        <v>12280</v>
      </c>
      <c r="C167" s="4" t="s">
        <v>2457</v>
      </c>
      <c r="E167" s="5" t="s">
        <v>75</v>
      </c>
      <c r="G167" s="146" t="s">
        <v>253</v>
      </c>
      <c r="H167" s="7" t="s">
        <v>2705</v>
      </c>
      <c r="J167" s="5" t="s">
        <v>2734</v>
      </c>
      <c r="K167" s="13"/>
      <c r="M167" s="12"/>
      <c r="N167" s="45">
        <v>566</v>
      </c>
      <c r="O167" s="4" t="s">
        <v>15</v>
      </c>
      <c r="P167" s="4"/>
      <c r="Q167" s="3">
        <f t="shared" si="15"/>
        <v>566</v>
      </c>
      <c r="R167" s="3">
        <f t="shared" si="14"/>
        <v>0</v>
      </c>
    </row>
    <row r="168" spans="1:18" hidden="1" x14ac:dyDescent="0.25">
      <c r="A168" t="s">
        <v>6386</v>
      </c>
      <c r="B168" s="21" t="s">
        <v>395</v>
      </c>
      <c r="C168" s="22" t="s">
        <v>2457</v>
      </c>
      <c r="D168" s="22"/>
      <c r="E168" s="21" t="s">
        <v>75</v>
      </c>
      <c r="F168" s="21"/>
      <c r="G168" s="147" t="s">
        <v>253</v>
      </c>
      <c r="H168" s="23" t="s">
        <v>2705</v>
      </c>
      <c r="I168" s="23"/>
      <c r="J168" s="21" t="s">
        <v>2821</v>
      </c>
      <c r="K168" s="120"/>
      <c r="L168" s="21" t="s">
        <v>2761</v>
      </c>
      <c r="M168" s="26">
        <v>43853</v>
      </c>
      <c r="N168" s="44">
        <v>35500</v>
      </c>
      <c r="O168" s="22" t="s">
        <v>15</v>
      </c>
      <c r="P168" s="22" t="s">
        <v>19</v>
      </c>
      <c r="Q168" s="24">
        <f t="shared" si="15"/>
        <v>0</v>
      </c>
      <c r="R168" s="24">
        <f t="shared" si="14"/>
        <v>35500</v>
      </c>
    </row>
    <row r="169" spans="1:18" hidden="1" x14ac:dyDescent="0.25">
      <c r="A169" t="s">
        <v>6386</v>
      </c>
      <c r="B169" s="21" t="s">
        <v>395</v>
      </c>
      <c r="C169" s="22" t="s">
        <v>2457</v>
      </c>
      <c r="D169" s="22"/>
      <c r="E169" s="21" t="s">
        <v>75</v>
      </c>
      <c r="F169" s="21"/>
      <c r="G169" s="147" t="s">
        <v>253</v>
      </c>
      <c r="H169" s="23" t="s">
        <v>2705</v>
      </c>
      <c r="I169" s="23"/>
      <c r="J169" s="21" t="s">
        <v>2821</v>
      </c>
      <c r="K169" s="120"/>
      <c r="L169" s="21" t="s">
        <v>2761</v>
      </c>
      <c r="M169" s="26">
        <v>43853</v>
      </c>
      <c r="N169" s="44">
        <v>-35500</v>
      </c>
      <c r="O169" s="22" t="s">
        <v>15</v>
      </c>
      <c r="P169" s="22" t="s">
        <v>19</v>
      </c>
      <c r="Q169" s="24">
        <f t="shared" si="15"/>
        <v>0</v>
      </c>
      <c r="R169" s="24">
        <f t="shared" si="14"/>
        <v>-35500</v>
      </c>
    </row>
    <row r="170" spans="1:18" hidden="1" x14ac:dyDescent="0.25">
      <c r="A170" t="s">
        <v>6386</v>
      </c>
      <c r="B170" s="21" t="s">
        <v>395</v>
      </c>
      <c r="C170" s="22" t="s">
        <v>2457</v>
      </c>
      <c r="D170" s="22"/>
      <c r="E170" s="21" t="s">
        <v>75</v>
      </c>
      <c r="F170" s="21"/>
      <c r="G170" s="147" t="s">
        <v>253</v>
      </c>
      <c r="H170" s="23" t="s">
        <v>5963</v>
      </c>
      <c r="I170" s="23"/>
      <c r="J170" s="21" t="s">
        <v>5965</v>
      </c>
      <c r="K170" s="120"/>
      <c r="L170" s="21" t="s">
        <v>7170</v>
      </c>
      <c r="M170" s="26" t="s">
        <v>7171</v>
      </c>
      <c r="N170" s="44">
        <v>27544</v>
      </c>
      <c r="O170" s="22" t="s">
        <v>15</v>
      </c>
      <c r="P170" s="114">
        <f>3758+1835.55+2359.43+2548.91+2751-763.39+2799.11+3194.11-254.46-459+2932.2+10305.24</f>
        <v>31006.700000000004</v>
      </c>
      <c r="Q170" s="24">
        <f t="shared" si="15"/>
        <v>0</v>
      </c>
      <c r="R170" s="24">
        <f t="shared" si="14"/>
        <v>31006.700000000004</v>
      </c>
    </row>
    <row r="171" spans="1:18" hidden="1" x14ac:dyDescent="0.25">
      <c r="B171" s="5" t="s">
        <v>12280</v>
      </c>
      <c r="C171" s="4" t="s">
        <v>2457</v>
      </c>
      <c r="E171" s="5" t="s">
        <v>75</v>
      </c>
      <c r="G171" s="146" t="s">
        <v>253</v>
      </c>
      <c r="H171" s="7" t="s">
        <v>5963</v>
      </c>
      <c r="J171" s="5" t="s">
        <v>180</v>
      </c>
      <c r="K171" s="13"/>
      <c r="M171" s="12"/>
      <c r="N171" s="494">
        <v>-422</v>
      </c>
      <c r="O171" s="4" t="s">
        <v>15</v>
      </c>
      <c r="P171" s="4"/>
      <c r="Q171" s="3">
        <f t="shared" si="15"/>
        <v>0</v>
      </c>
      <c r="R171" s="3">
        <f t="shared" si="14"/>
        <v>0</v>
      </c>
    </row>
    <row r="172" spans="1:18" hidden="1" x14ac:dyDescent="0.25">
      <c r="B172" s="5" t="s">
        <v>12280</v>
      </c>
      <c r="C172" s="4" t="s">
        <v>2457</v>
      </c>
      <c r="E172" s="5" t="s">
        <v>75</v>
      </c>
      <c r="G172" s="146" t="s">
        <v>253</v>
      </c>
      <c r="H172" s="7" t="s">
        <v>5963</v>
      </c>
      <c r="J172" s="5" t="s">
        <v>5964</v>
      </c>
      <c r="K172" s="13"/>
      <c r="M172" s="12"/>
      <c r="N172" s="461">
        <v>2014</v>
      </c>
      <c r="O172" s="4" t="s">
        <v>15</v>
      </c>
      <c r="P172" s="4"/>
      <c r="Q172" s="3">
        <f t="shared" si="15"/>
        <v>2014</v>
      </c>
      <c r="R172" s="3">
        <f t="shared" si="14"/>
        <v>0</v>
      </c>
    </row>
    <row r="173" spans="1:18" hidden="1" x14ac:dyDescent="0.25">
      <c r="B173" s="21" t="s">
        <v>395</v>
      </c>
      <c r="C173" s="22" t="s">
        <v>2460</v>
      </c>
      <c r="D173" s="22"/>
      <c r="E173" s="21" t="s">
        <v>75</v>
      </c>
      <c r="F173" s="21"/>
      <c r="G173" s="147" t="s">
        <v>7115</v>
      </c>
      <c r="H173" s="23" t="s">
        <v>5747</v>
      </c>
      <c r="I173" s="23"/>
      <c r="J173" s="21" t="s">
        <v>7099</v>
      </c>
      <c r="K173" s="21"/>
      <c r="L173" s="21" t="s">
        <v>7100</v>
      </c>
      <c r="M173" s="26">
        <v>44825</v>
      </c>
      <c r="N173" s="215">
        <v>78174</v>
      </c>
      <c r="O173" s="22" t="s">
        <v>15</v>
      </c>
      <c r="P173" s="114">
        <v>78174</v>
      </c>
      <c r="Q173" s="24">
        <f t="shared" si="15"/>
        <v>0</v>
      </c>
      <c r="R173" s="24">
        <f t="shared" si="14"/>
        <v>78174</v>
      </c>
    </row>
    <row r="174" spans="1:18" hidden="1" x14ac:dyDescent="0.25">
      <c r="B174" s="5" t="s">
        <v>12280</v>
      </c>
      <c r="C174" s="4" t="s">
        <v>2460</v>
      </c>
      <c r="E174" s="5" t="s">
        <v>75</v>
      </c>
      <c r="G174" s="146" t="s">
        <v>7115</v>
      </c>
      <c r="H174" s="7" t="s">
        <v>5747</v>
      </c>
      <c r="J174" s="5" t="s">
        <v>7099</v>
      </c>
      <c r="L174" s="5" t="s">
        <v>10483</v>
      </c>
      <c r="M174" s="12">
        <v>45535</v>
      </c>
      <c r="N174" s="461">
        <f>-78174</f>
        <v>-78174</v>
      </c>
      <c r="O174" s="4" t="s">
        <v>15</v>
      </c>
      <c r="P174" s="122">
        <f>-5053.05</f>
        <v>-5053.05</v>
      </c>
      <c r="Q174" s="3">
        <f t="shared" si="15"/>
        <v>0</v>
      </c>
      <c r="R174" s="3">
        <f t="shared" si="14"/>
        <v>-5053.05</v>
      </c>
    </row>
    <row r="175" spans="1:18" hidden="1" x14ac:dyDescent="0.25">
      <c r="B175" s="21" t="s">
        <v>395</v>
      </c>
      <c r="C175" s="22" t="s">
        <v>2460</v>
      </c>
      <c r="D175" s="22"/>
      <c r="E175" s="21" t="s">
        <v>75</v>
      </c>
      <c r="F175" s="21"/>
      <c r="G175" s="147" t="s">
        <v>7115</v>
      </c>
      <c r="H175" s="23" t="s">
        <v>5747</v>
      </c>
      <c r="I175" s="23"/>
      <c r="J175" s="21" t="s">
        <v>5748</v>
      </c>
      <c r="K175" s="21"/>
      <c r="L175" s="21" t="s">
        <v>7101</v>
      </c>
      <c r="M175" s="26">
        <v>44825</v>
      </c>
      <c r="N175" s="215">
        <v>8441</v>
      </c>
      <c r="O175" s="22" t="s">
        <v>15</v>
      </c>
      <c r="P175" s="114">
        <f>8441</f>
        <v>8441</v>
      </c>
      <c r="Q175" s="24">
        <f t="shared" si="15"/>
        <v>0</v>
      </c>
      <c r="R175" s="24">
        <f t="shared" si="14"/>
        <v>8441</v>
      </c>
    </row>
    <row r="176" spans="1:18" hidden="1" x14ac:dyDescent="0.25">
      <c r="B176" s="21" t="s">
        <v>395</v>
      </c>
      <c r="C176" s="22" t="s">
        <v>2460</v>
      </c>
      <c r="D176" s="22"/>
      <c r="E176" s="21" t="s">
        <v>75</v>
      </c>
      <c r="F176" s="21"/>
      <c r="G176" s="147" t="s">
        <v>7115</v>
      </c>
      <c r="H176" s="23" t="s">
        <v>5747</v>
      </c>
      <c r="I176" s="23"/>
      <c r="J176" s="21" t="s">
        <v>5752</v>
      </c>
      <c r="K176" s="21"/>
      <c r="L176" s="21" t="s">
        <v>7101</v>
      </c>
      <c r="M176" s="26">
        <v>44825</v>
      </c>
      <c r="N176" s="215">
        <v>4221</v>
      </c>
      <c r="O176" s="22" t="s">
        <v>15</v>
      </c>
      <c r="P176" s="114">
        <f>4221</f>
        <v>4221</v>
      </c>
      <c r="Q176" s="24">
        <f t="shared" si="15"/>
        <v>0</v>
      </c>
      <c r="R176" s="24">
        <f t="shared" si="14"/>
        <v>4221</v>
      </c>
    </row>
    <row r="177" spans="2:18" hidden="1" x14ac:dyDescent="0.25">
      <c r="B177" s="21" t="s">
        <v>395</v>
      </c>
      <c r="C177" s="22" t="s">
        <v>2460</v>
      </c>
      <c r="D177" s="22"/>
      <c r="E177" s="21" t="s">
        <v>75</v>
      </c>
      <c r="F177" s="21"/>
      <c r="G177" s="147" t="s">
        <v>7115</v>
      </c>
      <c r="H177" s="23" t="s">
        <v>5747</v>
      </c>
      <c r="I177" s="23"/>
      <c r="J177" s="21" t="s">
        <v>5753</v>
      </c>
      <c r="K177" s="21"/>
      <c r="L177" s="21" t="s">
        <v>7133</v>
      </c>
      <c r="M177" s="26" t="s">
        <v>7134</v>
      </c>
      <c r="N177" s="215">
        <v>15456</v>
      </c>
      <c r="O177" s="22" t="s">
        <v>15</v>
      </c>
      <c r="P177" s="114">
        <f>15456-4704</f>
        <v>10752</v>
      </c>
      <c r="Q177" s="24">
        <f t="shared" si="15"/>
        <v>4704</v>
      </c>
      <c r="R177" s="24">
        <f t="shared" si="14"/>
        <v>10752</v>
      </c>
    </row>
    <row r="178" spans="2:18" hidden="1" x14ac:dyDescent="0.25">
      <c r="B178" s="5" t="s">
        <v>12280</v>
      </c>
      <c r="C178" s="4" t="s">
        <v>2460</v>
      </c>
      <c r="E178" s="5" t="s">
        <v>75</v>
      </c>
      <c r="G178" s="146" t="s">
        <v>7115</v>
      </c>
      <c r="H178" s="7" t="s">
        <v>5747</v>
      </c>
      <c r="J178" s="5" t="s">
        <v>5749</v>
      </c>
      <c r="L178" s="5" t="s">
        <v>8597</v>
      </c>
      <c r="M178" s="12" t="s">
        <v>8598</v>
      </c>
      <c r="N178" s="461">
        <v>7180</v>
      </c>
      <c r="O178" s="4" t="s">
        <v>15</v>
      </c>
      <c r="P178" s="122">
        <f>359+1436</f>
        <v>1795</v>
      </c>
      <c r="Q178" s="3">
        <f t="shared" si="15"/>
        <v>5385</v>
      </c>
      <c r="R178" s="3">
        <f t="shared" si="14"/>
        <v>1795</v>
      </c>
    </row>
    <row r="179" spans="2:18" hidden="1" x14ac:dyDescent="0.25">
      <c r="B179" s="5" t="s">
        <v>12280</v>
      </c>
      <c r="C179" s="4" t="s">
        <v>2460</v>
      </c>
      <c r="E179" s="5" t="s">
        <v>75</v>
      </c>
      <c r="G179" s="146" t="s">
        <v>7115</v>
      </c>
      <c r="H179" s="7" t="s">
        <v>5747</v>
      </c>
      <c r="J179" s="5" t="s">
        <v>5750</v>
      </c>
      <c r="N179" s="461">
        <v>5060</v>
      </c>
      <c r="O179" s="4" t="s">
        <v>15</v>
      </c>
      <c r="P179" s="122"/>
      <c r="Q179" s="3">
        <f t="shared" si="15"/>
        <v>5060</v>
      </c>
      <c r="R179" s="3">
        <f t="shared" si="14"/>
        <v>0</v>
      </c>
    </row>
    <row r="180" spans="2:18" hidden="1" x14ac:dyDescent="0.25">
      <c r="B180" s="21" t="s">
        <v>395</v>
      </c>
      <c r="C180" s="22" t="s">
        <v>2460</v>
      </c>
      <c r="D180" s="22"/>
      <c r="E180" s="21" t="s">
        <v>75</v>
      </c>
      <c r="F180" s="21"/>
      <c r="G180" s="147" t="s">
        <v>7115</v>
      </c>
      <c r="H180" s="23" t="s">
        <v>5747</v>
      </c>
      <c r="I180" s="23"/>
      <c r="J180" s="21" t="s">
        <v>5751</v>
      </c>
      <c r="K180" s="21"/>
      <c r="L180" s="21" t="s">
        <v>7101</v>
      </c>
      <c r="M180" s="26">
        <v>44825</v>
      </c>
      <c r="N180" s="215">
        <v>19255</v>
      </c>
      <c r="O180" s="22" t="s">
        <v>15</v>
      </c>
      <c r="P180" s="114">
        <v>19255</v>
      </c>
      <c r="Q180" s="24">
        <f t="shared" si="15"/>
        <v>0</v>
      </c>
      <c r="R180" s="24">
        <f t="shared" si="14"/>
        <v>19255</v>
      </c>
    </row>
    <row r="181" spans="2:18" hidden="1" x14ac:dyDescent="0.25">
      <c r="B181" s="21" t="s">
        <v>395</v>
      </c>
      <c r="C181" s="22" t="s">
        <v>2460</v>
      </c>
      <c r="D181" s="22"/>
      <c r="E181" s="21" t="s">
        <v>75</v>
      </c>
      <c r="F181" s="21"/>
      <c r="G181" s="147" t="s">
        <v>7115</v>
      </c>
      <c r="H181" s="23" t="s">
        <v>5747</v>
      </c>
      <c r="I181" s="23"/>
      <c r="J181" s="21" t="s">
        <v>5754</v>
      </c>
      <c r="K181" s="21"/>
      <c r="L181" s="21" t="s">
        <v>7101</v>
      </c>
      <c r="M181" s="26">
        <v>44825</v>
      </c>
      <c r="N181" s="215">
        <v>6647</v>
      </c>
      <c r="O181" s="22" t="s">
        <v>15</v>
      </c>
      <c r="P181" s="114">
        <f>6647</f>
        <v>6647</v>
      </c>
      <c r="Q181" s="24">
        <f t="shared" si="15"/>
        <v>0</v>
      </c>
      <c r="R181" s="24">
        <f t="shared" si="14"/>
        <v>6647</v>
      </c>
    </row>
    <row r="182" spans="2:18" hidden="1" x14ac:dyDescent="0.25">
      <c r="B182" s="5" t="s">
        <v>12280</v>
      </c>
      <c r="C182" s="4" t="s">
        <v>2460</v>
      </c>
      <c r="E182" s="5" t="s">
        <v>75</v>
      </c>
      <c r="G182" s="146" t="s">
        <v>7115</v>
      </c>
      <c r="H182" s="7" t="s">
        <v>5747</v>
      </c>
      <c r="J182" s="5" t="s">
        <v>5755</v>
      </c>
      <c r="L182" s="5" t="s">
        <v>7102</v>
      </c>
      <c r="M182" s="12" t="s">
        <v>7103</v>
      </c>
      <c r="N182" s="461">
        <v>6348</v>
      </c>
      <c r="O182" s="4" t="s">
        <v>15</v>
      </c>
      <c r="P182" s="122">
        <f>(92+3036+460+552+184)+92</f>
        <v>4416</v>
      </c>
      <c r="Q182" s="3">
        <f t="shared" ref="Q182:Q203" si="16">IF(P182="en cours",N182,IF(P182="OK",0,IF(N182-P182&lt;0,0,N182-P182)))</f>
        <v>1932</v>
      </c>
      <c r="R182" s="3">
        <f t="shared" si="14"/>
        <v>4416</v>
      </c>
    </row>
    <row r="183" spans="2:18" hidden="1" x14ac:dyDescent="0.25">
      <c r="B183" s="21" t="s">
        <v>395</v>
      </c>
      <c r="C183" s="22" t="s">
        <v>2460</v>
      </c>
      <c r="D183" s="22"/>
      <c r="E183" s="21" t="s">
        <v>75</v>
      </c>
      <c r="F183" s="21"/>
      <c r="G183" s="147" t="s">
        <v>7115</v>
      </c>
      <c r="H183" s="23" t="s">
        <v>5747</v>
      </c>
      <c r="I183" s="23"/>
      <c r="J183" s="21" t="s">
        <v>5756</v>
      </c>
      <c r="K183" s="21"/>
      <c r="L183" s="21" t="s">
        <v>7101</v>
      </c>
      <c r="M183" s="26">
        <v>44825</v>
      </c>
      <c r="N183" s="215">
        <v>13776</v>
      </c>
      <c r="O183" s="22" t="s">
        <v>15</v>
      </c>
      <c r="P183" s="114">
        <f>4592+2296+2296+2296+2296</f>
        <v>13776</v>
      </c>
      <c r="Q183" s="24">
        <f t="shared" si="16"/>
        <v>0</v>
      </c>
      <c r="R183" s="24">
        <f t="shared" si="14"/>
        <v>13776</v>
      </c>
    </row>
    <row r="184" spans="2:18" hidden="1" x14ac:dyDescent="0.25">
      <c r="B184" s="5" t="s">
        <v>12280</v>
      </c>
      <c r="C184" s="4" t="s">
        <v>2460</v>
      </c>
      <c r="E184" s="5" t="s">
        <v>75</v>
      </c>
      <c r="G184" s="146" t="s">
        <v>7115</v>
      </c>
      <c r="H184" s="7" t="s">
        <v>5747</v>
      </c>
      <c r="J184" s="5" t="s">
        <v>5757</v>
      </c>
      <c r="L184" s="5" t="s">
        <v>9408</v>
      </c>
      <c r="M184" s="12" t="s">
        <v>9470</v>
      </c>
      <c r="N184" s="461">
        <v>20128</v>
      </c>
      <c r="O184" s="4" t="s">
        <v>15</v>
      </c>
      <c r="P184" s="122">
        <f>(1258+1258)+1258+1258+1258+2516+1258+1258+1258+1258</f>
        <v>13838</v>
      </c>
      <c r="Q184" s="3">
        <f t="shared" si="16"/>
        <v>6290</v>
      </c>
      <c r="R184" s="3">
        <f t="shared" si="14"/>
        <v>13838</v>
      </c>
    </row>
    <row r="185" spans="2:18" hidden="1" x14ac:dyDescent="0.25">
      <c r="B185" s="21" t="s">
        <v>395</v>
      </c>
      <c r="C185" s="22" t="s">
        <v>2460</v>
      </c>
      <c r="D185" s="22"/>
      <c r="E185" s="21" t="s">
        <v>75</v>
      </c>
      <c r="F185" s="21"/>
      <c r="G185" s="147" t="s">
        <v>7115</v>
      </c>
      <c r="H185" s="23" t="s">
        <v>5747</v>
      </c>
      <c r="I185" s="23"/>
      <c r="J185" s="21" t="s">
        <v>5758</v>
      </c>
      <c r="K185" s="21"/>
      <c r="L185" s="21" t="s">
        <v>7101</v>
      </c>
      <c r="M185" s="26">
        <v>44825</v>
      </c>
      <c r="N185" s="215">
        <v>20208</v>
      </c>
      <c r="O185" s="22" t="s">
        <v>15</v>
      </c>
      <c r="P185" s="114">
        <f>(10104+3368+3368+3368)</f>
        <v>20208</v>
      </c>
      <c r="Q185" s="24">
        <f t="shared" si="16"/>
        <v>0</v>
      </c>
      <c r="R185" s="24">
        <f t="shared" si="14"/>
        <v>20208</v>
      </c>
    </row>
    <row r="186" spans="2:18" hidden="1" x14ac:dyDescent="0.25">
      <c r="B186" s="5" t="s">
        <v>12280</v>
      </c>
      <c r="C186" s="4" t="s">
        <v>2460</v>
      </c>
      <c r="E186" s="5" t="s">
        <v>75</v>
      </c>
      <c r="G186" s="146" t="s">
        <v>7115</v>
      </c>
      <c r="H186" s="7" t="s">
        <v>5747</v>
      </c>
      <c r="J186" s="5" t="s">
        <v>5759</v>
      </c>
      <c r="L186" s="5" t="s">
        <v>9467</v>
      </c>
      <c r="M186" s="12" t="s">
        <v>9468</v>
      </c>
      <c r="N186" s="461">
        <v>34650</v>
      </c>
      <c r="O186" s="4" t="s">
        <v>15</v>
      </c>
      <c r="P186" s="122">
        <f>(1925+1925+1925)+1925+1925+1925+1925+1925+1925+1925+1925+1925+1925+1925+1925</f>
        <v>28875</v>
      </c>
      <c r="Q186" s="3">
        <f t="shared" si="16"/>
        <v>5775</v>
      </c>
      <c r="R186" s="3">
        <f t="shared" si="14"/>
        <v>28875</v>
      </c>
    </row>
    <row r="187" spans="2:18" hidden="1" x14ac:dyDescent="0.25">
      <c r="B187" s="21" t="s">
        <v>395</v>
      </c>
      <c r="C187" s="22" t="s">
        <v>2460</v>
      </c>
      <c r="D187" s="22"/>
      <c r="E187" s="21" t="s">
        <v>75</v>
      </c>
      <c r="F187" s="21"/>
      <c r="G187" s="147" t="s">
        <v>7115</v>
      </c>
      <c r="H187" s="23" t="s">
        <v>5747</v>
      </c>
      <c r="I187" s="23"/>
      <c r="J187" s="21" t="s">
        <v>5760</v>
      </c>
      <c r="K187" s="21"/>
      <c r="L187" s="21" t="s">
        <v>7101</v>
      </c>
      <c r="M187" s="26">
        <v>44825</v>
      </c>
      <c r="N187" s="215">
        <v>12134</v>
      </c>
      <c r="O187" s="22" t="s">
        <v>15</v>
      </c>
      <c r="P187" s="114">
        <v>12134</v>
      </c>
      <c r="Q187" s="24">
        <f t="shared" si="16"/>
        <v>0</v>
      </c>
      <c r="R187" s="24">
        <f t="shared" si="14"/>
        <v>12134</v>
      </c>
    </row>
    <row r="188" spans="2:18" hidden="1" x14ac:dyDescent="0.25">
      <c r="B188" s="5" t="s">
        <v>12280</v>
      </c>
      <c r="C188" s="4" t="s">
        <v>2460</v>
      </c>
      <c r="E188" s="5" t="s">
        <v>75</v>
      </c>
      <c r="G188" s="146" t="s">
        <v>7115</v>
      </c>
      <c r="H188" s="7" t="s">
        <v>5747</v>
      </c>
      <c r="J188" s="5" t="s">
        <v>5761</v>
      </c>
      <c r="L188" s="5" t="s">
        <v>9469</v>
      </c>
      <c r="M188" s="12" t="s">
        <v>9470</v>
      </c>
      <c r="N188" s="461">
        <v>8162</v>
      </c>
      <c r="O188" s="4" t="s">
        <v>15</v>
      </c>
      <c r="P188" s="122">
        <f>(371+742+371+371+371+371)+371+371+371+371+371+371+371+371+371</f>
        <v>5936</v>
      </c>
      <c r="Q188" s="3">
        <f t="shared" si="16"/>
        <v>2226</v>
      </c>
      <c r="R188" s="3">
        <f t="shared" si="14"/>
        <v>5936</v>
      </c>
    </row>
    <row r="189" spans="2:18" hidden="1" x14ac:dyDescent="0.25">
      <c r="B189" s="5" t="s">
        <v>12280</v>
      </c>
      <c r="C189" s="4" t="s">
        <v>2460</v>
      </c>
      <c r="E189" s="5" t="s">
        <v>75</v>
      </c>
      <c r="G189" s="146" t="s">
        <v>7115</v>
      </c>
      <c r="H189" s="7" t="s">
        <v>5747</v>
      </c>
      <c r="J189" s="5" t="s">
        <v>5762</v>
      </c>
      <c r="L189" s="5" t="s">
        <v>9469</v>
      </c>
      <c r="M189" s="12" t="s">
        <v>9470</v>
      </c>
      <c r="N189" s="461">
        <v>28968</v>
      </c>
      <c r="O189" s="4" t="s">
        <v>15</v>
      </c>
      <c r="P189" s="122">
        <f>(1020+272+136+476+1088+1700+272)+952+884+1224+340+680+340+884+1020+612</f>
        <v>11900</v>
      </c>
      <c r="Q189" s="3">
        <f t="shared" si="16"/>
        <v>17068</v>
      </c>
      <c r="R189" s="3">
        <f t="shared" si="14"/>
        <v>11900</v>
      </c>
    </row>
    <row r="190" spans="2:18" ht="16.5" hidden="1" thickBot="1" x14ac:dyDescent="0.3">
      <c r="B190" s="21" t="s">
        <v>395</v>
      </c>
      <c r="C190" s="22" t="s">
        <v>2460</v>
      </c>
      <c r="D190" s="22"/>
      <c r="E190" s="21" t="s">
        <v>75</v>
      </c>
      <c r="F190" s="21"/>
      <c r="G190" s="147" t="s">
        <v>7115</v>
      </c>
      <c r="H190" s="23" t="s">
        <v>5747</v>
      </c>
      <c r="I190" s="23"/>
      <c r="J190" s="21" t="s">
        <v>5763</v>
      </c>
      <c r="K190" s="21"/>
      <c r="L190" s="21" t="s">
        <v>7101</v>
      </c>
      <c r="M190" s="26">
        <v>44825</v>
      </c>
      <c r="N190" s="460">
        <v>14624</v>
      </c>
      <c r="O190" s="22" t="s">
        <v>15</v>
      </c>
      <c r="P190" s="114">
        <v>14624</v>
      </c>
      <c r="Q190" s="24">
        <f t="shared" si="16"/>
        <v>0</v>
      </c>
      <c r="R190" s="24">
        <f t="shared" si="14"/>
        <v>14624</v>
      </c>
    </row>
    <row r="191" spans="2:18" hidden="1" x14ac:dyDescent="0.25">
      <c r="B191" s="21" t="s">
        <v>395</v>
      </c>
      <c r="C191" s="22" t="s">
        <v>2460</v>
      </c>
      <c r="D191" s="22"/>
      <c r="E191" s="21" t="s">
        <v>75</v>
      </c>
      <c r="F191" s="21"/>
      <c r="G191" s="147" t="s">
        <v>7115</v>
      </c>
      <c r="H191" s="23" t="s">
        <v>5747</v>
      </c>
      <c r="I191" s="23"/>
      <c r="J191" s="21" t="s">
        <v>5764</v>
      </c>
      <c r="K191" s="21"/>
      <c r="L191" s="21" t="s">
        <v>7101</v>
      </c>
      <c r="M191" s="26">
        <v>44825</v>
      </c>
      <c r="N191" s="44">
        <v>15194</v>
      </c>
      <c r="O191" s="22" t="s">
        <v>15</v>
      </c>
      <c r="P191" s="114">
        <v>15194</v>
      </c>
      <c r="Q191" s="24">
        <f t="shared" si="16"/>
        <v>0</v>
      </c>
      <c r="R191" s="24">
        <f t="shared" si="14"/>
        <v>15194</v>
      </c>
    </row>
    <row r="192" spans="2:18" hidden="1" x14ac:dyDescent="0.25">
      <c r="B192" s="21" t="s">
        <v>395</v>
      </c>
      <c r="C192" s="22" t="s">
        <v>2460</v>
      </c>
      <c r="D192" s="22"/>
      <c r="E192" s="21" t="s">
        <v>75</v>
      </c>
      <c r="F192" s="21"/>
      <c r="G192" s="147" t="s">
        <v>7115</v>
      </c>
      <c r="H192" s="23" t="s">
        <v>5747</v>
      </c>
      <c r="I192" s="23"/>
      <c r="J192" s="21" t="s">
        <v>5765</v>
      </c>
      <c r="K192" s="21"/>
      <c r="L192" s="21" t="s">
        <v>7101</v>
      </c>
      <c r="M192" s="26">
        <v>44825</v>
      </c>
      <c r="N192" s="44">
        <v>3461</v>
      </c>
      <c r="O192" s="22" t="s">
        <v>15</v>
      </c>
      <c r="P192" s="114">
        <v>3461</v>
      </c>
      <c r="Q192" s="24">
        <f t="shared" si="16"/>
        <v>0</v>
      </c>
      <c r="R192" s="24">
        <f t="shared" ref="R192:R244" si="17">IF(P192="OK",N192-Q192,IF(P192="en cours",N192-Q192,P192))</f>
        <v>3461</v>
      </c>
    </row>
    <row r="193" spans="2:19" hidden="1" x14ac:dyDescent="0.25">
      <c r="B193" s="21" t="s">
        <v>395</v>
      </c>
      <c r="C193" s="22" t="s">
        <v>2460</v>
      </c>
      <c r="D193" s="22"/>
      <c r="E193" s="21" t="s">
        <v>75</v>
      </c>
      <c r="F193" s="21"/>
      <c r="G193" s="147" t="s">
        <v>7115</v>
      </c>
      <c r="H193" s="23" t="s">
        <v>5747</v>
      </c>
      <c r="I193" s="23"/>
      <c r="J193" s="21" t="s">
        <v>5766</v>
      </c>
      <c r="K193" s="21"/>
      <c r="L193" s="21" t="s">
        <v>7101</v>
      </c>
      <c r="M193" s="26">
        <v>44825</v>
      </c>
      <c r="N193" s="44">
        <v>5141</v>
      </c>
      <c r="O193" s="22" t="s">
        <v>15</v>
      </c>
      <c r="P193" s="114">
        <v>5141</v>
      </c>
      <c r="Q193" s="24">
        <f t="shared" si="16"/>
        <v>0</v>
      </c>
      <c r="R193" s="24">
        <f t="shared" si="17"/>
        <v>5141</v>
      </c>
    </row>
    <row r="194" spans="2:19" hidden="1" x14ac:dyDescent="0.25">
      <c r="B194" s="21" t="s">
        <v>395</v>
      </c>
      <c r="C194" s="22" t="s">
        <v>2460</v>
      </c>
      <c r="D194" s="22"/>
      <c r="E194" s="21" t="s">
        <v>75</v>
      </c>
      <c r="F194" s="21"/>
      <c r="G194" s="147" t="s">
        <v>7115</v>
      </c>
      <c r="H194" s="23" t="s">
        <v>5747</v>
      </c>
      <c r="I194" s="23"/>
      <c r="J194" s="21" t="s">
        <v>5767</v>
      </c>
      <c r="K194" s="21"/>
      <c r="L194" s="21" t="s">
        <v>7101</v>
      </c>
      <c r="M194" s="26">
        <v>44825</v>
      </c>
      <c r="N194" s="44">
        <v>2321</v>
      </c>
      <c r="O194" s="22" t="s">
        <v>15</v>
      </c>
      <c r="P194" s="114">
        <v>2321</v>
      </c>
      <c r="Q194" s="24">
        <f t="shared" si="16"/>
        <v>0</v>
      </c>
      <c r="R194" s="24">
        <f t="shared" si="17"/>
        <v>2321</v>
      </c>
    </row>
    <row r="195" spans="2:19" hidden="1" x14ac:dyDescent="0.25">
      <c r="B195" s="5" t="s">
        <v>12280</v>
      </c>
      <c r="C195" s="4" t="s">
        <v>2460</v>
      </c>
      <c r="E195" s="5" t="s">
        <v>75</v>
      </c>
      <c r="G195" s="146" t="s">
        <v>7115</v>
      </c>
      <c r="H195" s="7" t="s">
        <v>5747</v>
      </c>
      <c r="J195" s="5" t="s">
        <v>5768</v>
      </c>
      <c r="L195" s="5" t="s">
        <v>9469</v>
      </c>
      <c r="M195" s="12" t="s">
        <v>9470</v>
      </c>
      <c r="N195" s="494">
        <v>95904</v>
      </c>
      <c r="O195" s="4" t="s">
        <v>15</v>
      </c>
      <c r="P195" s="122">
        <f>(1998+2664+8991)+666+3330+1998+3996+5328+2997+4995+8991+666</f>
        <v>46620</v>
      </c>
      <c r="Q195" s="3">
        <f t="shared" si="16"/>
        <v>49284</v>
      </c>
      <c r="R195" s="3">
        <f t="shared" si="17"/>
        <v>46620</v>
      </c>
    </row>
    <row r="196" spans="2:19" hidden="1" x14ac:dyDescent="0.25">
      <c r="B196" s="5" t="s">
        <v>12280</v>
      </c>
      <c r="C196" s="4" t="s">
        <v>2460</v>
      </c>
      <c r="E196" s="5" t="s">
        <v>75</v>
      </c>
      <c r="G196" s="146" t="s">
        <v>7115</v>
      </c>
      <c r="H196" s="7" t="s">
        <v>5747</v>
      </c>
      <c r="J196" s="5" t="s">
        <v>6136</v>
      </c>
      <c r="L196" s="5" t="s">
        <v>9471</v>
      </c>
      <c r="M196" s="12" t="s">
        <v>9472</v>
      </c>
      <c r="N196" s="461">
        <v>4320</v>
      </c>
      <c r="O196" s="4" t="s">
        <v>15</v>
      </c>
      <c r="P196" s="122">
        <f>795+180+240+225+225+405+30</f>
        <v>2100</v>
      </c>
      <c r="Q196" s="3">
        <f t="shared" si="16"/>
        <v>2220</v>
      </c>
      <c r="R196" s="3">
        <f t="shared" si="17"/>
        <v>2100</v>
      </c>
    </row>
    <row r="197" spans="2:19" hidden="1" x14ac:dyDescent="0.25">
      <c r="B197" s="5" t="s">
        <v>12280</v>
      </c>
      <c r="C197" s="4" t="s">
        <v>2460</v>
      </c>
      <c r="E197" s="5" t="s">
        <v>75</v>
      </c>
      <c r="G197" s="146" t="s">
        <v>7115</v>
      </c>
      <c r="H197" s="7" t="s">
        <v>5747</v>
      </c>
      <c r="J197" s="5" t="s">
        <v>5769</v>
      </c>
      <c r="L197" s="5" t="s">
        <v>7766</v>
      </c>
      <c r="M197" s="12">
        <v>45016</v>
      </c>
      <c r="N197" s="461">
        <v>13320</v>
      </c>
      <c r="O197" s="4" t="s">
        <v>15</v>
      </c>
      <c r="P197" s="122">
        <v>2664</v>
      </c>
      <c r="Q197" s="3">
        <f t="shared" si="16"/>
        <v>10656</v>
      </c>
      <c r="R197" s="3">
        <f t="shared" si="17"/>
        <v>2664</v>
      </c>
    </row>
    <row r="198" spans="2:19" hidden="1" x14ac:dyDescent="0.25">
      <c r="B198" s="5" t="s">
        <v>12280</v>
      </c>
      <c r="C198" s="4" t="s">
        <v>2460</v>
      </c>
      <c r="E198" s="5" t="s">
        <v>75</v>
      </c>
      <c r="G198" s="146" t="s">
        <v>7115</v>
      </c>
      <c r="H198" s="7" t="s">
        <v>5747</v>
      </c>
      <c r="J198" s="5" t="s">
        <v>5770</v>
      </c>
      <c r="L198" s="5" t="s">
        <v>9469</v>
      </c>
      <c r="M198" s="12" t="s">
        <v>9470</v>
      </c>
      <c r="N198" s="461">
        <v>26752</v>
      </c>
      <c r="O198" s="4" t="s">
        <v>15</v>
      </c>
      <c r="P198" s="122">
        <f>(1216+2432+1216+1216+1216)+1216+1216+1216+1216+1216+1216+1216+1216+1216</f>
        <v>18240</v>
      </c>
      <c r="Q198" s="3">
        <f t="shared" si="16"/>
        <v>8512</v>
      </c>
      <c r="R198" s="3">
        <f t="shared" si="17"/>
        <v>18240</v>
      </c>
    </row>
    <row r="199" spans="2:19" hidden="1" x14ac:dyDescent="0.25">
      <c r="B199" s="21" t="s">
        <v>395</v>
      </c>
      <c r="C199" s="22" t="s">
        <v>2460</v>
      </c>
      <c r="D199" s="22"/>
      <c r="E199" s="21" t="s">
        <v>75</v>
      </c>
      <c r="F199" s="21"/>
      <c r="G199" s="147" t="s">
        <v>7115</v>
      </c>
      <c r="H199" s="23" t="s">
        <v>5747</v>
      </c>
      <c r="I199" s="23"/>
      <c r="J199" s="21" t="s">
        <v>5771</v>
      </c>
      <c r="K199" s="21"/>
      <c r="L199" s="21" t="s">
        <v>7556</v>
      </c>
      <c r="M199" s="23" t="s">
        <v>7557</v>
      </c>
      <c r="N199" s="215">
        <v>2174</v>
      </c>
      <c r="O199" s="22" t="s">
        <v>15</v>
      </c>
      <c r="P199" s="114">
        <f>2174</f>
        <v>2174</v>
      </c>
      <c r="Q199" s="24">
        <f t="shared" si="16"/>
        <v>0</v>
      </c>
      <c r="R199" s="24">
        <f t="shared" si="17"/>
        <v>2174</v>
      </c>
    </row>
    <row r="200" spans="2:19" hidden="1" x14ac:dyDescent="0.25">
      <c r="B200" s="21" t="s">
        <v>395</v>
      </c>
      <c r="C200" s="22" t="s">
        <v>2460</v>
      </c>
      <c r="D200" s="22"/>
      <c r="E200" s="21" t="s">
        <v>75</v>
      </c>
      <c r="F200" s="21"/>
      <c r="G200" s="147" t="s">
        <v>7115</v>
      </c>
      <c r="H200" s="23" t="s">
        <v>5747</v>
      </c>
      <c r="I200" s="23"/>
      <c r="J200" s="21" t="s">
        <v>5772</v>
      </c>
      <c r="K200" s="21"/>
      <c r="L200" s="21" t="s">
        <v>9473</v>
      </c>
      <c r="M200" s="26" t="s">
        <v>9407</v>
      </c>
      <c r="N200" s="215">
        <v>5761</v>
      </c>
      <c r="O200" s="22" t="s">
        <v>15</v>
      </c>
      <c r="P200" s="114">
        <v>5761</v>
      </c>
      <c r="Q200" s="24">
        <f t="shared" si="16"/>
        <v>0</v>
      </c>
      <c r="R200" s="24">
        <f t="shared" si="17"/>
        <v>5761</v>
      </c>
    </row>
    <row r="201" spans="2:19" ht="16.5" hidden="1" thickBot="1" x14ac:dyDescent="0.3">
      <c r="B201" s="21" t="s">
        <v>395</v>
      </c>
      <c r="C201" s="22" t="s">
        <v>2460</v>
      </c>
      <c r="D201" s="22"/>
      <c r="E201" s="21" t="s">
        <v>75</v>
      </c>
      <c r="F201" s="21"/>
      <c r="G201" s="147" t="s">
        <v>7115</v>
      </c>
      <c r="H201" s="23" t="s">
        <v>5747</v>
      </c>
      <c r="I201" s="23"/>
      <c r="J201" s="21" t="s">
        <v>5773</v>
      </c>
      <c r="K201" s="21"/>
      <c r="L201" s="21" t="s">
        <v>9473</v>
      </c>
      <c r="M201" s="23" t="s">
        <v>9407</v>
      </c>
      <c r="N201" s="460">
        <v>5630</v>
      </c>
      <c r="O201" s="22" t="s">
        <v>15</v>
      </c>
      <c r="P201" s="114">
        <f>5630</f>
        <v>5630</v>
      </c>
      <c r="Q201" s="24">
        <f t="shared" si="16"/>
        <v>0</v>
      </c>
      <c r="R201" s="24">
        <f t="shared" si="17"/>
        <v>5630</v>
      </c>
    </row>
    <row r="202" spans="2:19" hidden="1" x14ac:dyDescent="0.25">
      <c r="B202" s="21" t="s">
        <v>395</v>
      </c>
      <c r="C202" s="22" t="s">
        <v>2460</v>
      </c>
      <c r="D202" s="22"/>
      <c r="E202" s="21" t="s">
        <v>75</v>
      </c>
      <c r="F202" s="21"/>
      <c r="G202" s="147" t="s">
        <v>7115</v>
      </c>
      <c r="H202" s="23" t="s">
        <v>5747</v>
      </c>
      <c r="I202" s="23"/>
      <c r="J202" s="21" t="s">
        <v>5774</v>
      </c>
      <c r="K202" s="21"/>
      <c r="L202" s="21" t="s">
        <v>10484</v>
      </c>
      <c r="M202" s="26" t="s">
        <v>10485</v>
      </c>
      <c r="N202" s="44">
        <v>1140</v>
      </c>
      <c r="O202" s="22" t="s">
        <v>15</v>
      </c>
      <c r="P202" s="114">
        <f>1140+5319</f>
        <v>6459</v>
      </c>
      <c r="Q202" s="24">
        <f t="shared" si="16"/>
        <v>0</v>
      </c>
      <c r="R202" s="24">
        <f t="shared" si="17"/>
        <v>6459</v>
      </c>
    </row>
    <row r="203" spans="2:19" hidden="1" x14ac:dyDescent="0.25">
      <c r="B203" s="21" t="s">
        <v>395</v>
      </c>
      <c r="C203" s="22" t="s">
        <v>2460</v>
      </c>
      <c r="D203" s="22"/>
      <c r="E203" s="21" t="s">
        <v>75</v>
      </c>
      <c r="F203" s="21"/>
      <c r="G203" s="147" t="s">
        <v>7115</v>
      </c>
      <c r="H203" s="23" t="s">
        <v>5747</v>
      </c>
      <c r="I203" s="23"/>
      <c r="J203" s="21" t="s">
        <v>5775</v>
      </c>
      <c r="K203" s="21"/>
      <c r="L203" s="21" t="s">
        <v>8599</v>
      </c>
      <c r="M203" s="23" t="s">
        <v>8600</v>
      </c>
      <c r="N203" s="44">
        <v>5065</v>
      </c>
      <c r="O203" s="22" t="s">
        <v>15</v>
      </c>
      <c r="P203" s="114">
        <v>5065</v>
      </c>
      <c r="Q203" s="24">
        <f t="shared" si="16"/>
        <v>0</v>
      </c>
      <c r="R203" s="24">
        <f t="shared" si="17"/>
        <v>5065</v>
      </c>
    </row>
    <row r="204" spans="2:19" hidden="1" x14ac:dyDescent="0.25">
      <c r="B204" s="5" t="s">
        <v>12280</v>
      </c>
      <c r="C204" s="4" t="s">
        <v>2460</v>
      </c>
      <c r="E204" s="5" t="s">
        <v>75</v>
      </c>
      <c r="G204" s="146" t="s">
        <v>7115</v>
      </c>
      <c r="H204" s="7" t="s">
        <v>5747</v>
      </c>
      <c r="J204" s="5" t="s">
        <v>5776</v>
      </c>
      <c r="L204" s="5" t="s">
        <v>7131</v>
      </c>
      <c r="M204" s="12" t="s">
        <v>7132</v>
      </c>
      <c r="N204" s="45">
        <v>-20572</v>
      </c>
      <c r="O204" s="4" t="s">
        <v>15</v>
      </c>
      <c r="P204" s="122">
        <f>-9100.2-324-449.2-204.15</f>
        <v>-10077.550000000001</v>
      </c>
      <c r="Q204" s="3">
        <f>N204-P204</f>
        <v>-10494.449999999999</v>
      </c>
      <c r="R204" s="3">
        <f t="shared" si="17"/>
        <v>-10077.550000000001</v>
      </c>
    </row>
    <row r="205" spans="2:19" hidden="1" x14ac:dyDescent="0.25">
      <c r="B205" s="5" t="s">
        <v>12280</v>
      </c>
      <c r="C205" s="4" t="s">
        <v>2460</v>
      </c>
      <c r="E205" s="5" t="s">
        <v>75</v>
      </c>
      <c r="G205" s="146" t="s">
        <v>7115</v>
      </c>
      <c r="H205" s="7" t="s">
        <v>5747</v>
      </c>
      <c r="J205" s="5" t="s">
        <v>180</v>
      </c>
      <c r="N205" s="45">
        <v>9656</v>
      </c>
      <c r="O205" s="4" t="s">
        <v>15</v>
      </c>
      <c r="P205" s="4"/>
      <c r="Q205" s="3">
        <f t="shared" ref="Q205:Q236" si="18">IF(P205="en cours",N205,IF(P205="OK",0,IF(N205-P205&lt;0,0,N205-P205)))</f>
        <v>9656</v>
      </c>
      <c r="R205" s="3">
        <f t="shared" si="17"/>
        <v>0</v>
      </c>
    </row>
    <row r="206" spans="2:19" hidden="1" x14ac:dyDescent="0.25">
      <c r="B206" s="21" t="s">
        <v>395</v>
      </c>
      <c r="C206" s="22" t="s">
        <v>5792</v>
      </c>
      <c r="D206" s="22"/>
      <c r="E206" s="21" t="s">
        <v>75</v>
      </c>
      <c r="F206" s="21"/>
      <c r="G206" s="147" t="s">
        <v>7115</v>
      </c>
      <c r="H206" s="165" t="s">
        <v>6278</v>
      </c>
      <c r="I206" s="165" t="s">
        <v>8115</v>
      </c>
      <c r="J206" s="21" t="s">
        <v>7099</v>
      </c>
      <c r="K206" s="21"/>
      <c r="L206" s="21" t="s">
        <v>7104</v>
      </c>
      <c r="M206" s="26">
        <v>44825</v>
      </c>
      <c r="N206" s="44">
        <v>60262</v>
      </c>
      <c r="O206" s="22" t="s">
        <v>15</v>
      </c>
      <c r="P206" s="24">
        <v>60262</v>
      </c>
      <c r="Q206" s="24">
        <f t="shared" si="18"/>
        <v>0</v>
      </c>
      <c r="R206" s="24">
        <f t="shared" si="17"/>
        <v>60262</v>
      </c>
      <c r="S206" s="5" t="s">
        <v>6129</v>
      </c>
    </row>
    <row r="207" spans="2:19" hidden="1" x14ac:dyDescent="0.25">
      <c r="B207" s="21" t="s">
        <v>395</v>
      </c>
      <c r="C207" s="22" t="s">
        <v>5792</v>
      </c>
      <c r="D207" s="22"/>
      <c r="E207" s="21" t="s">
        <v>75</v>
      </c>
      <c r="F207" s="21"/>
      <c r="G207" s="147" t="s">
        <v>7115</v>
      </c>
      <c r="H207" s="165" t="s">
        <v>6278</v>
      </c>
      <c r="I207" s="165" t="s">
        <v>8115</v>
      </c>
      <c r="J207" s="21" t="s">
        <v>7099</v>
      </c>
      <c r="K207" s="21"/>
      <c r="L207" s="21"/>
      <c r="M207" s="26"/>
      <c r="N207" s="44">
        <v>-60262</v>
      </c>
      <c r="O207" s="22" t="s">
        <v>15</v>
      </c>
      <c r="P207" s="24"/>
      <c r="Q207" s="24">
        <f t="shared" si="18"/>
        <v>0</v>
      </c>
      <c r="R207" s="24">
        <f t="shared" si="17"/>
        <v>0</v>
      </c>
      <c r="S207" s="5" t="s">
        <v>6129</v>
      </c>
    </row>
    <row r="208" spans="2:19" hidden="1" x14ac:dyDescent="0.25">
      <c r="B208" s="21" t="s">
        <v>395</v>
      </c>
      <c r="C208" s="22" t="s">
        <v>5792</v>
      </c>
      <c r="D208" s="22"/>
      <c r="E208" s="21" t="s">
        <v>75</v>
      </c>
      <c r="F208" s="21"/>
      <c r="G208" s="147" t="s">
        <v>7115</v>
      </c>
      <c r="H208" s="165" t="s">
        <v>6278</v>
      </c>
      <c r="I208" s="165" t="s">
        <v>8115</v>
      </c>
      <c r="J208" s="21" t="s">
        <v>6099</v>
      </c>
      <c r="K208" s="21"/>
      <c r="L208" s="21" t="s">
        <v>7105</v>
      </c>
      <c r="M208" s="26">
        <v>44825</v>
      </c>
      <c r="N208" s="44">
        <v>6472</v>
      </c>
      <c r="O208" s="22" t="s">
        <v>15</v>
      </c>
      <c r="P208" s="24">
        <v>6472</v>
      </c>
      <c r="Q208" s="24">
        <f t="shared" si="18"/>
        <v>0</v>
      </c>
      <c r="R208" s="24">
        <f t="shared" si="17"/>
        <v>6472</v>
      </c>
      <c r="S208" s="5" t="s">
        <v>6129</v>
      </c>
    </row>
    <row r="209" spans="2:19" hidden="1" x14ac:dyDescent="0.25">
      <c r="B209" s="21" t="s">
        <v>395</v>
      </c>
      <c r="C209" s="22" t="s">
        <v>5792</v>
      </c>
      <c r="D209" s="22"/>
      <c r="E209" s="21" t="s">
        <v>75</v>
      </c>
      <c r="F209" s="21"/>
      <c r="G209" s="147" t="s">
        <v>7115</v>
      </c>
      <c r="H209" s="165" t="s">
        <v>6278</v>
      </c>
      <c r="I209" s="165" t="s">
        <v>8115</v>
      </c>
      <c r="J209" s="21" t="s">
        <v>6100</v>
      </c>
      <c r="K209" s="21"/>
      <c r="L209" s="21" t="s">
        <v>7105</v>
      </c>
      <c r="M209" s="26">
        <v>44825</v>
      </c>
      <c r="N209" s="44">
        <v>4315</v>
      </c>
      <c r="O209" s="22" t="s">
        <v>15</v>
      </c>
      <c r="P209" s="24">
        <v>4315</v>
      </c>
      <c r="Q209" s="24">
        <f t="shared" si="18"/>
        <v>0</v>
      </c>
      <c r="R209" s="24">
        <f t="shared" si="17"/>
        <v>4315</v>
      </c>
      <c r="S209" s="5" t="s">
        <v>6129</v>
      </c>
    </row>
    <row r="210" spans="2:19" hidden="1" x14ac:dyDescent="0.25">
      <c r="C210" s="4" t="s">
        <v>5792</v>
      </c>
      <c r="E210" s="5" t="s">
        <v>75</v>
      </c>
      <c r="G210" s="146" t="s">
        <v>7115</v>
      </c>
      <c r="H210" t="s">
        <v>6278</v>
      </c>
      <c r="I210" t="s">
        <v>8115</v>
      </c>
      <c r="J210" s="5" t="s">
        <v>6101</v>
      </c>
      <c r="L210" s="5" t="s">
        <v>7105</v>
      </c>
      <c r="M210" s="12">
        <v>44825</v>
      </c>
      <c r="N210" s="45">
        <v>18549</v>
      </c>
      <c r="O210" s="4" t="s">
        <v>15</v>
      </c>
      <c r="P210" s="3">
        <f>2290</f>
        <v>2290</v>
      </c>
      <c r="Q210" s="3">
        <f t="shared" si="18"/>
        <v>16259</v>
      </c>
      <c r="R210" s="3">
        <f t="shared" si="17"/>
        <v>2290</v>
      </c>
      <c r="S210" s="5" t="s">
        <v>6129</v>
      </c>
    </row>
    <row r="211" spans="2:19" hidden="1" x14ac:dyDescent="0.25">
      <c r="C211" s="4" t="s">
        <v>5792</v>
      </c>
      <c r="E211" s="5" t="s">
        <v>75</v>
      </c>
      <c r="G211" s="146" t="s">
        <v>7115</v>
      </c>
      <c r="H211" t="s">
        <v>6278</v>
      </c>
      <c r="I211" t="s">
        <v>8115</v>
      </c>
      <c r="J211" s="5" t="s">
        <v>6102</v>
      </c>
      <c r="N211" s="45">
        <v>1835</v>
      </c>
      <c r="O211" s="4" t="s">
        <v>15</v>
      </c>
      <c r="P211" s="3"/>
      <c r="Q211" s="3">
        <f t="shared" si="18"/>
        <v>1835</v>
      </c>
      <c r="R211" s="3">
        <f t="shared" si="17"/>
        <v>0</v>
      </c>
      <c r="S211" s="5" t="s">
        <v>6129</v>
      </c>
    </row>
    <row r="212" spans="2:19" hidden="1" x14ac:dyDescent="0.25">
      <c r="B212" s="21" t="s">
        <v>395</v>
      </c>
      <c r="C212" s="22" t="s">
        <v>5792</v>
      </c>
      <c r="D212" s="22"/>
      <c r="E212" s="21" t="s">
        <v>75</v>
      </c>
      <c r="F212" s="21"/>
      <c r="G212" s="147" t="s">
        <v>7115</v>
      </c>
      <c r="H212" s="165" t="s">
        <v>6278</v>
      </c>
      <c r="I212" s="165" t="s">
        <v>8115</v>
      </c>
      <c r="J212" s="21" t="s">
        <v>6103</v>
      </c>
      <c r="K212" s="21"/>
      <c r="L212" s="21" t="s">
        <v>7105</v>
      </c>
      <c r="M212" s="26">
        <v>44825</v>
      </c>
      <c r="N212" s="44">
        <v>5436</v>
      </c>
      <c r="O212" s="22" t="s">
        <v>15</v>
      </c>
      <c r="P212" s="24">
        <v>5436</v>
      </c>
      <c r="Q212" s="24">
        <f t="shared" si="18"/>
        <v>0</v>
      </c>
      <c r="R212" s="24">
        <f t="shared" si="17"/>
        <v>5436</v>
      </c>
      <c r="S212" s="5" t="s">
        <v>6129</v>
      </c>
    </row>
    <row r="213" spans="2:19" hidden="1" x14ac:dyDescent="0.25">
      <c r="C213" s="4" t="s">
        <v>5792</v>
      </c>
      <c r="E213" s="5" t="s">
        <v>75</v>
      </c>
      <c r="G213" s="146" t="s">
        <v>7115</v>
      </c>
      <c r="H213" t="s">
        <v>6278</v>
      </c>
      <c r="I213" t="s">
        <v>8115</v>
      </c>
      <c r="J213" s="5" t="s">
        <v>6104</v>
      </c>
      <c r="L213" s="5" t="s">
        <v>7105</v>
      </c>
      <c r="M213" s="12">
        <v>44825</v>
      </c>
      <c r="N213" s="45">
        <v>7614</v>
      </c>
      <c r="O213" s="4" t="s">
        <v>15</v>
      </c>
      <c r="P213" s="3">
        <f>(564+282)</f>
        <v>846</v>
      </c>
      <c r="Q213" s="3">
        <f t="shared" si="18"/>
        <v>6768</v>
      </c>
      <c r="R213" s="3">
        <f t="shared" si="17"/>
        <v>846</v>
      </c>
      <c r="S213" s="5" t="s">
        <v>6129</v>
      </c>
    </row>
    <row r="214" spans="2:19" hidden="1" x14ac:dyDescent="0.25">
      <c r="B214" s="21" t="s">
        <v>395</v>
      </c>
      <c r="C214" s="22" t="s">
        <v>5792</v>
      </c>
      <c r="D214" s="22"/>
      <c r="E214" s="21" t="s">
        <v>75</v>
      </c>
      <c r="F214" s="21"/>
      <c r="G214" s="147" t="s">
        <v>7115</v>
      </c>
      <c r="H214" s="165" t="s">
        <v>6278</v>
      </c>
      <c r="I214" s="165" t="s">
        <v>8115</v>
      </c>
      <c r="J214" s="21" t="s">
        <v>6105</v>
      </c>
      <c r="K214" s="21"/>
      <c r="L214" s="21" t="s">
        <v>7105</v>
      </c>
      <c r="M214" s="26">
        <v>44825</v>
      </c>
      <c r="N214" s="44">
        <v>6342</v>
      </c>
      <c r="O214" s="22" t="s">
        <v>15</v>
      </c>
      <c r="P214" s="24">
        <v>6342</v>
      </c>
      <c r="Q214" s="24">
        <f t="shared" si="18"/>
        <v>0</v>
      </c>
      <c r="R214" s="24">
        <f t="shared" si="17"/>
        <v>6342</v>
      </c>
      <c r="S214" s="5" t="s">
        <v>6129</v>
      </c>
    </row>
    <row r="215" spans="2:19" hidden="1" x14ac:dyDescent="0.25">
      <c r="C215" s="4" t="s">
        <v>5792</v>
      </c>
      <c r="E215" s="5" t="s">
        <v>75</v>
      </c>
      <c r="G215" s="146" t="s">
        <v>7115</v>
      </c>
      <c r="H215" t="s">
        <v>14423</v>
      </c>
      <c r="I215" t="s">
        <v>14424</v>
      </c>
      <c r="J215" s="170" t="s">
        <v>6106</v>
      </c>
      <c r="L215" s="5" t="s">
        <v>14340</v>
      </c>
      <c r="M215" s="12" t="s">
        <v>13972</v>
      </c>
      <c r="N215" s="45">
        <f>70350+33768</f>
        <v>104118</v>
      </c>
      <c r="O215" s="4" t="s">
        <v>15</v>
      </c>
      <c r="P215" s="3">
        <f>(1407+1407)+1407+1407+1407+1407+1407+1407+1407+1407+1407+1407+1407+1407+1407+1407+1407+1407+1407+1407+1407+1407+1407+1407+1407+1407+1407+1407+1407+1407+1407+1407+1407+1407+1407+1407+1407+4063.41+1407+1407+1407+1407+1407+1407+1407+1407+1407+1407+1407</f>
        <v>71599.41</v>
      </c>
      <c r="Q215" s="3">
        <f t="shared" si="18"/>
        <v>32518.589999999997</v>
      </c>
      <c r="R215" s="3">
        <f t="shared" si="17"/>
        <v>71599.41</v>
      </c>
      <c r="S215" s="5" t="s">
        <v>6129</v>
      </c>
    </row>
    <row r="216" spans="2:19" hidden="1" x14ac:dyDescent="0.25">
      <c r="B216" s="21" t="s">
        <v>395</v>
      </c>
      <c r="C216" s="22" t="s">
        <v>5792</v>
      </c>
      <c r="D216" s="22"/>
      <c r="E216" s="21" t="s">
        <v>75</v>
      </c>
      <c r="F216" s="21"/>
      <c r="G216" s="147" t="s">
        <v>7115</v>
      </c>
      <c r="H216" s="165" t="s">
        <v>6278</v>
      </c>
      <c r="I216" s="165" t="s">
        <v>8115</v>
      </c>
      <c r="J216" s="21" t="s">
        <v>6107</v>
      </c>
      <c r="K216" s="21"/>
      <c r="L216" s="21" t="s">
        <v>7105</v>
      </c>
      <c r="M216" s="26">
        <v>44825</v>
      </c>
      <c r="N216" s="44">
        <v>9923</v>
      </c>
      <c r="O216" s="22" t="s">
        <v>15</v>
      </c>
      <c r="P216" s="24">
        <f>9923</f>
        <v>9923</v>
      </c>
      <c r="Q216" s="24">
        <f t="shared" si="18"/>
        <v>0</v>
      </c>
      <c r="R216" s="24">
        <f t="shared" si="17"/>
        <v>9923</v>
      </c>
      <c r="S216" s="5" t="s">
        <v>6129</v>
      </c>
    </row>
    <row r="217" spans="2:19" hidden="1" x14ac:dyDescent="0.25">
      <c r="C217" s="4" t="s">
        <v>5792</v>
      </c>
      <c r="E217" s="5" t="s">
        <v>75</v>
      </c>
      <c r="G217" s="146" t="s">
        <v>7115</v>
      </c>
      <c r="H217" t="s">
        <v>14423</v>
      </c>
      <c r="I217" t="s">
        <v>14424</v>
      </c>
      <c r="J217" s="170" t="s">
        <v>14425</v>
      </c>
      <c r="L217" s="5" t="s">
        <v>14344</v>
      </c>
      <c r="M217" s="12" t="s">
        <v>14345</v>
      </c>
      <c r="N217" s="45">
        <f>31671+17280</f>
        <v>48951</v>
      </c>
      <c r="O217" s="4" t="s">
        <v>15</v>
      </c>
      <c r="P217" s="3">
        <f>(621+621+621)+621+621+621+621+621+621+621+621+621+621+621+621+621+621+621+62+621+621+621+621+621+621+621+621+621+621+621+621+621+621+621+621+621+621+621+621+621+621+621+621+621+621+621+621+621+621</f>
        <v>29870</v>
      </c>
      <c r="Q217" s="3">
        <f t="shared" si="18"/>
        <v>19081</v>
      </c>
      <c r="R217" s="3">
        <f t="shared" si="17"/>
        <v>29870</v>
      </c>
      <c r="S217" s="5" t="s">
        <v>6129</v>
      </c>
    </row>
    <row r="218" spans="2:19" hidden="1" x14ac:dyDescent="0.25">
      <c r="C218" s="4" t="s">
        <v>5792</v>
      </c>
      <c r="E218" s="5" t="s">
        <v>75</v>
      </c>
      <c r="G218" s="146" t="s">
        <v>7115</v>
      </c>
      <c r="H218" t="s">
        <v>6278</v>
      </c>
      <c r="I218" t="s">
        <v>8115</v>
      </c>
      <c r="J218" s="170" t="s">
        <v>6108</v>
      </c>
      <c r="L218" s="5" t="s">
        <v>14341</v>
      </c>
      <c r="M218" s="12" t="s">
        <v>14346</v>
      </c>
      <c r="N218" s="45">
        <v>83148</v>
      </c>
      <c r="O218" s="4" t="s">
        <v>15</v>
      </c>
      <c r="P218" s="3">
        <f>(52+260)+572+676+364+572+416+312+260+416+832+52+1612+936+52+1040+728+572+468+312+1404+780+988+988+1300+1092+1092+1092+780+520+1040+676+1716+520+520+624+832+1352+780+572+624+1040+676+780+416+728+988</f>
        <v>34424</v>
      </c>
      <c r="Q218" s="3">
        <f t="shared" si="18"/>
        <v>48724</v>
      </c>
      <c r="R218" s="3">
        <f t="shared" si="17"/>
        <v>34424</v>
      </c>
      <c r="S218" s="5" t="s">
        <v>6129</v>
      </c>
    </row>
    <row r="219" spans="2:19" hidden="1" x14ac:dyDescent="0.25">
      <c r="B219" s="21" t="s">
        <v>395</v>
      </c>
      <c r="C219" s="22" t="s">
        <v>5792</v>
      </c>
      <c r="D219" s="22"/>
      <c r="E219" s="21" t="s">
        <v>75</v>
      </c>
      <c r="F219" s="21"/>
      <c r="G219" s="147" t="s">
        <v>7115</v>
      </c>
      <c r="H219" s="165" t="s">
        <v>6278</v>
      </c>
      <c r="I219" s="165" t="s">
        <v>8115</v>
      </c>
      <c r="J219" s="21" t="s">
        <v>6109</v>
      </c>
      <c r="K219" s="21"/>
      <c r="L219" s="21" t="s">
        <v>7105</v>
      </c>
      <c r="M219" s="26">
        <v>44825</v>
      </c>
      <c r="N219" s="44">
        <v>11960</v>
      </c>
      <c r="O219" s="22" t="s">
        <v>15</v>
      </c>
      <c r="P219" s="24">
        <v>11960</v>
      </c>
      <c r="Q219" s="24">
        <f t="shared" si="18"/>
        <v>0</v>
      </c>
      <c r="R219" s="24">
        <f t="shared" si="17"/>
        <v>11960</v>
      </c>
      <c r="S219" s="5" t="s">
        <v>6129</v>
      </c>
    </row>
    <row r="220" spans="2:19" hidden="1" x14ac:dyDescent="0.25">
      <c r="C220" s="4" t="s">
        <v>5792</v>
      </c>
      <c r="E220" s="5" t="s">
        <v>75</v>
      </c>
      <c r="G220" s="146" t="s">
        <v>7115</v>
      </c>
      <c r="H220" t="s">
        <v>14423</v>
      </c>
      <c r="I220" t="s">
        <v>14424</v>
      </c>
      <c r="J220" s="170" t="s">
        <v>6110</v>
      </c>
      <c r="L220" s="5" t="s">
        <v>14342</v>
      </c>
      <c r="M220" s="12" t="s">
        <v>14347</v>
      </c>
      <c r="N220" s="45">
        <f>13209+7200</f>
        <v>20409</v>
      </c>
      <c r="O220" s="4" t="s">
        <v>15</v>
      </c>
      <c r="P220" s="3">
        <f>(259+259+259)+259+259+259+259+259+259+259+259+259+259+259+259+259+259+259+259+259+259+259+259+259+259+259+259+259+259+259+259+259+259+259+259+259+259+259+259+259+259+259+259+259+259+259+259+259+259</f>
        <v>12691</v>
      </c>
      <c r="Q220" s="3">
        <f t="shared" si="18"/>
        <v>7718</v>
      </c>
      <c r="R220" s="3">
        <f t="shared" si="17"/>
        <v>12691</v>
      </c>
      <c r="S220" s="5" t="s">
        <v>6129</v>
      </c>
    </row>
    <row r="221" spans="2:19" hidden="1" x14ac:dyDescent="0.25">
      <c r="C221" s="4" t="s">
        <v>5792</v>
      </c>
      <c r="E221" s="5" t="s">
        <v>75</v>
      </c>
      <c r="G221" s="146" t="s">
        <v>7115</v>
      </c>
      <c r="H221" t="s">
        <v>14423</v>
      </c>
      <c r="I221" t="s">
        <v>14424</v>
      </c>
      <c r="J221" s="170" t="s">
        <v>6111</v>
      </c>
      <c r="L221" s="5" t="s">
        <v>14343</v>
      </c>
      <c r="M221" s="12" t="s">
        <v>14348</v>
      </c>
      <c r="N221" s="45">
        <f>18921+10320</f>
        <v>29241</v>
      </c>
      <c r="O221" s="4" t="s">
        <v>15</v>
      </c>
      <c r="P221" s="3">
        <f>(371+371)+371+371+371+371+371+371+371+371+371+371+371+371+371+371+371+371+371+371+371+371+371+371+371+371+371+371+371+371+371+371+371+371+371+371+371+371+371+371+371+371+371+371+371+371+371</f>
        <v>17437</v>
      </c>
      <c r="Q221" s="3">
        <f t="shared" si="18"/>
        <v>11804</v>
      </c>
      <c r="R221" s="3">
        <f t="shared" si="17"/>
        <v>17437</v>
      </c>
      <c r="S221" s="5" t="s">
        <v>6129</v>
      </c>
    </row>
    <row r="222" spans="2:19" hidden="1" x14ac:dyDescent="0.25">
      <c r="C222" s="4" t="s">
        <v>5792</v>
      </c>
      <c r="E222" s="5" t="s">
        <v>75</v>
      </c>
      <c r="G222" s="146" t="s">
        <v>7115</v>
      </c>
      <c r="H222" t="s">
        <v>6278</v>
      </c>
      <c r="I222" t="s">
        <v>8115</v>
      </c>
      <c r="J222" s="5" t="s">
        <v>6112</v>
      </c>
      <c r="N222" s="45">
        <v>2222</v>
      </c>
      <c r="O222" s="4" t="s">
        <v>15</v>
      </c>
      <c r="P222" s="3"/>
      <c r="Q222" s="3">
        <f t="shared" si="18"/>
        <v>2222</v>
      </c>
      <c r="R222" s="3">
        <f t="shared" si="17"/>
        <v>0</v>
      </c>
      <c r="S222" s="5" t="s">
        <v>6129</v>
      </c>
    </row>
    <row r="223" spans="2:19" hidden="1" x14ac:dyDescent="0.25">
      <c r="B223" s="21" t="s">
        <v>395</v>
      </c>
      <c r="C223" s="22" t="s">
        <v>5792</v>
      </c>
      <c r="D223" s="22"/>
      <c r="E223" s="21" t="s">
        <v>75</v>
      </c>
      <c r="F223" s="21"/>
      <c r="G223" s="147" t="s">
        <v>7115</v>
      </c>
      <c r="H223" s="165" t="s">
        <v>6278</v>
      </c>
      <c r="I223" s="165" t="s">
        <v>8115</v>
      </c>
      <c r="J223" s="21" t="s">
        <v>6113</v>
      </c>
      <c r="K223" s="21"/>
      <c r="L223" s="21" t="s">
        <v>11592</v>
      </c>
      <c r="M223" s="26">
        <v>45747</v>
      </c>
      <c r="N223" s="44">
        <v>5889</v>
      </c>
      <c r="O223" s="22" t="s">
        <v>15</v>
      </c>
      <c r="P223" s="24">
        <v>5889</v>
      </c>
      <c r="Q223" s="24">
        <f t="shared" si="18"/>
        <v>0</v>
      </c>
      <c r="R223" s="24">
        <f t="shared" si="17"/>
        <v>5889</v>
      </c>
      <c r="S223" s="5" t="s">
        <v>6129</v>
      </c>
    </row>
    <row r="224" spans="2:19" hidden="1" x14ac:dyDescent="0.25">
      <c r="C224" s="4" t="s">
        <v>5792</v>
      </c>
      <c r="E224" s="5" t="s">
        <v>75</v>
      </c>
      <c r="G224" s="146" t="s">
        <v>7115</v>
      </c>
      <c r="H224" t="s">
        <v>6278</v>
      </c>
      <c r="I224" t="s">
        <v>8115</v>
      </c>
      <c r="J224" s="5" t="s">
        <v>5775</v>
      </c>
      <c r="N224" s="45">
        <v>3452</v>
      </c>
      <c r="O224" s="4" t="s">
        <v>15</v>
      </c>
      <c r="P224" s="3"/>
      <c r="Q224" s="3">
        <f t="shared" si="18"/>
        <v>3452</v>
      </c>
      <c r="R224" s="3">
        <f t="shared" si="17"/>
        <v>0</v>
      </c>
      <c r="S224" s="5" t="s">
        <v>6129</v>
      </c>
    </row>
    <row r="225" spans="2:19" hidden="1" x14ac:dyDescent="0.25">
      <c r="C225" s="4" t="s">
        <v>5792</v>
      </c>
      <c r="E225" s="5" t="s">
        <v>75</v>
      </c>
      <c r="G225" s="146" t="s">
        <v>7115</v>
      </c>
      <c r="H225" t="s">
        <v>6278</v>
      </c>
      <c r="I225" t="s">
        <v>8115</v>
      </c>
      <c r="J225" s="5" t="s">
        <v>6114</v>
      </c>
      <c r="N225" s="45">
        <v>2157</v>
      </c>
      <c r="O225" s="4" t="s">
        <v>15</v>
      </c>
      <c r="P225" s="3"/>
      <c r="Q225" s="3">
        <f t="shared" si="18"/>
        <v>2157</v>
      </c>
      <c r="R225" s="3">
        <f t="shared" si="17"/>
        <v>0</v>
      </c>
      <c r="S225" s="5" t="s">
        <v>6129</v>
      </c>
    </row>
    <row r="226" spans="2:19" hidden="1" x14ac:dyDescent="0.25">
      <c r="C226" s="4" t="s">
        <v>5792</v>
      </c>
      <c r="E226" s="5" t="s">
        <v>75</v>
      </c>
      <c r="G226" s="146" t="s">
        <v>7115</v>
      </c>
      <c r="H226" t="s">
        <v>6278</v>
      </c>
      <c r="I226" t="s">
        <v>8115</v>
      </c>
      <c r="J226" s="5" t="s">
        <v>6115</v>
      </c>
      <c r="N226" s="45">
        <v>5505</v>
      </c>
      <c r="O226" s="4" t="s">
        <v>15</v>
      </c>
      <c r="P226" s="3"/>
      <c r="Q226" s="3">
        <f t="shared" si="18"/>
        <v>5505</v>
      </c>
      <c r="R226" s="3">
        <f t="shared" si="17"/>
        <v>0</v>
      </c>
      <c r="S226" s="5" t="s">
        <v>6129</v>
      </c>
    </row>
    <row r="227" spans="2:19" hidden="1" x14ac:dyDescent="0.25">
      <c r="C227" s="4" t="s">
        <v>5792</v>
      </c>
      <c r="E227" s="5" t="s">
        <v>75</v>
      </c>
      <c r="G227" s="146" t="s">
        <v>7115</v>
      </c>
      <c r="H227" t="s">
        <v>6278</v>
      </c>
      <c r="I227" t="s">
        <v>8115</v>
      </c>
      <c r="J227" s="5" t="s">
        <v>6116</v>
      </c>
      <c r="N227" s="45">
        <v>5180</v>
      </c>
      <c r="O227" s="4" t="s">
        <v>15</v>
      </c>
      <c r="P227" s="3"/>
      <c r="Q227" s="3">
        <f t="shared" si="18"/>
        <v>5180</v>
      </c>
      <c r="R227" s="3">
        <f t="shared" si="17"/>
        <v>0</v>
      </c>
      <c r="S227" s="5" t="s">
        <v>6129</v>
      </c>
    </row>
    <row r="228" spans="2:19" hidden="1" x14ac:dyDescent="0.25">
      <c r="C228" s="4" t="s">
        <v>5792</v>
      </c>
      <c r="E228" s="5" t="s">
        <v>75</v>
      </c>
      <c r="G228" s="146" t="s">
        <v>7115</v>
      </c>
      <c r="H228" t="s">
        <v>6278</v>
      </c>
      <c r="I228" t="s">
        <v>8115</v>
      </c>
      <c r="J228" s="5" t="s">
        <v>6117</v>
      </c>
      <c r="N228" s="45">
        <v>15747</v>
      </c>
      <c r="O228" s="4" t="s">
        <v>15</v>
      </c>
      <c r="P228" s="3"/>
      <c r="Q228" s="3">
        <f t="shared" si="18"/>
        <v>15747</v>
      </c>
      <c r="R228" s="3">
        <f t="shared" si="17"/>
        <v>0</v>
      </c>
      <c r="S228" s="5" t="s">
        <v>6129</v>
      </c>
    </row>
    <row r="229" spans="2:19" hidden="1" x14ac:dyDescent="0.25">
      <c r="C229" s="4" t="s">
        <v>5792</v>
      </c>
      <c r="E229" s="5" t="s">
        <v>75</v>
      </c>
      <c r="G229" s="146" t="s">
        <v>7115</v>
      </c>
      <c r="H229" t="s">
        <v>6278</v>
      </c>
      <c r="I229" t="s">
        <v>8115</v>
      </c>
      <c r="J229" s="5" t="s">
        <v>6118</v>
      </c>
      <c r="N229" s="45">
        <v>4230</v>
      </c>
      <c r="O229" s="4" t="s">
        <v>15</v>
      </c>
      <c r="P229" s="3"/>
      <c r="Q229" s="3">
        <f t="shared" si="18"/>
        <v>4230</v>
      </c>
      <c r="R229" s="3">
        <f t="shared" si="17"/>
        <v>0</v>
      </c>
      <c r="S229" s="5" t="s">
        <v>6129</v>
      </c>
    </row>
    <row r="230" spans="2:19" hidden="1" x14ac:dyDescent="0.25">
      <c r="C230" s="4" t="s">
        <v>5792</v>
      </c>
      <c r="E230" s="5" t="s">
        <v>75</v>
      </c>
      <c r="G230" s="146" t="s">
        <v>7115</v>
      </c>
      <c r="H230" t="s">
        <v>6278</v>
      </c>
      <c r="I230" t="s">
        <v>8115</v>
      </c>
      <c r="J230" s="5" t="s">
        <v>6119</v>
      </c>
      <c r="N230" s="45">
        <v>15532</v>
      </c>
      <c r="O230" s="4" t="s">
        <v>15</v>
      </c>
      <c r="P230" s="3"/>
      <c r="Q230" s="3">
        <f t="shared" si="18"/>
        <v>15532</v>
      </c>
      <c r="R230" s="3">
        <f t="shared" si="17"/>
        <v>0</v>
      </c>
      <c r="S230" s="5" t="s">
        <v>6129</v>
      </c>
    </row>
    <row r="231" spans="2:19" hidden="1" x14ac:dyDescent="0.25">
      <c r="C231" s="4" t="s">
        <v>5792</v>
      </c>
      <c r="E231" s="5" t="s">
        <v>75</v>
      </c>
      <c r="G231" s="146" t="s">
        <v>7115</v>
      </c>
      <c r="H231" t="s">
        <v>6278</v>
      </c>
      <c r="I231" t="s">
        <v>8115</v>
      </c>
      <c r="J231" s="5" t="s">
        <v>6120</v>
      </c>
      <c r="N231" s="45">
        <v>5609</v>
      </c>
      <c r="O231" s="4" t="s">
        <v>15</v>
      </c>
      <c r="P231" s="3"/>
      <c r="Q231" s="3">
        <f t="shared" si="18"/>
        <v>5609</v>
      </c>
      <c r="R231" s="3">
        <f t="shared" si="17"/>
        <v>0</v>
      </c>
      <c r="S231" s="5" t="s">
        <v>6129</v>
      </c>
    </row>
    <row r="232" spans="2:19" hidden="1" x14ac:dyDescent="0.25">
      <c r="C232" s="4" t="s">
        <v>5792</v>
      </c>
      <c r="E232" s="5" t="s">
        <v>75</v>
      </c>
      <c r="G232" s="146" t="s">
        <v>7115</v>
      </c>
      <c r="H232" t="s">
        <v>6278</v>
      </c>
      <c r="I232" t="s">
        <v>8115</v>
      </c>
      <c r="J232" s="5" t="s">
        <v>6121</v>
      </c>
      <c r="N232" s="45">
        <v>2420</v>
      </c>
      <c r="O232" s="4" t="s">
        <v>15</v>
      </c>
      <c r="P232" s="3"/>
      <c r="Q232" s="3">
        <f t="shared" si="18"/>
        <v>2420</v>
      </c>
      <c r="R232" s="3">
        <f t="shared" si="17"/>
        <v>0</v>
      </c>
      <c r="S232" s="5" t="s">
        <v>6129</v>
      </c>
    </row>
    <row r="233" spans="2:19" hidden="1" x14ac:dyDescent="0.25">
      <c r="C233" s="4" t="s">
        <v>5792</v>
      </c>
      <c r="E233" s="5" t="s">
        <v>75</v>
      </c>
      <c r="G233" s="146" t="s">
        <v>7115</v>
      </c>
      <c r="H233" t="s">
        <v>6278</v>
      </c>
      <c r="I233" t="s">
        <v>8115</v>
      </c>
      <c r="J233" s="5" t="s">
        <v>6122</v>
      </c>
      <c r="N233" s="45">
        <v>3710</v>
      </c>
      <c r="O233" s="4" t="s">
        <v>15</v>
      </c>
      <c r="P233" s="3"/>
      <c r="Q233" s="3">
        <f t="shared" si="18"/>
        <v>3710</v>
      </c>
      <c r="R233" s="3">
        <f t="shared" si="17"/>
        <v>0</v>
      </c>
      <c r="S233" s="5" t="s">
        <v>6129</v>
      </c>
    </row>
    <row r="234" spans="2:19" hidden="1" x14ac:dyDescent="0.25">
      <c r="C234" s="4" t="s">
        <v>5792</v>
      </c>
      <c r="E234" s="5" t="s">
        <v>75</v>
      </c>
      <c r="G234" s="146" t="s">
        <v>7115</v>
      </c>
      <c r="H234" t="s">
        <v>6278</v>
      </c>
      <c r="I234" t="s">
        <v>8115</v>
      </c>
      <c r="J234" s="5" t="s">
        <v>6123</v>
      </c>
      <c r="N234" s="45">
        <v>5255</v>
      </c>
      <c r="O234" s="4" t="s">
        <v>15</v>
      </c>
      <c r="P234" s="3"/>
      <c r="Q234" s="3">
        <f t="shared" si="18"/>
        <v>5255</v>
      </c>
      <c r="R234" s="3">
        <f t="shared" si="17"/>
        <v>0</v>
      </c>
      <c r="S234" s="5" t="s">
        <v>6129</v>
      </c>
    </row>
    <row r="235" spans="2:19" hidden="1" x14ac:dyDescent="0.25">
      <c r="C235" s="4" t="s">
        <v>5792</v>
      </c>
      <c r="E235" s="5" t="s">
        <v>75</v>
      </c>
      <c r="G235" s="146" t="s">
        <v>7115</v>
      </c>
      <c r="H235" t="s">
        <v>6278</v>
      </c>
      <c r="I235" t="s">
        <v>8115</v>
      </c>
      <c r="J235" s="5" t="s">
        <v>6124</v>
      </c>
      <c r="N235" s="45">
        <v>2373</v>
      </c>
      <c r="O235" s="4" t="s">
        <v>15</v>
      </c>
      <c r="P235" s="3"/>
      <c r="Q235" s="3">
        <f t="shared" si="18"/>
        <v>2373</v>
      </c>
      <c r="R235" s="3">
        <f t="shared" si="17"/>
        <v>0</v>
      </c>
      <c r="S235" s="5" t="s">
        <v>6129</v>
      </c>
    </row>
    <row r="236" spans="2:19" hidden="1" x14ac:dyDescent="0.25">
      <c r="C236" s="4" t="s">
        <v>5792</v>
      </c>
      <c r="E236" s="5" t="s">
        <v>75</v>
      </c>
      <c r="G236" s="146" t="s">
        <v>7115</v>
      </c>
      <c r="H236" t="s">
        <v>6278</v>
      </c>
      <c r="I236" t="s">
        <v>8115</v>
      </c>
      <c r="J236" s="5" t="s">
        <v>6125</v>
      </c>
      <c r="N236" s="45">
        <v>3410</v>
      </c>
      <c r="O236" s="4" t="s">
        <v>15</v>
      </c>
      <c r="P236" s="3"/>
      <c r="Q236" s="3">
        <f t="shared" si="18"/>
        <v>3410</v>
      </c>
      <c r="R236" s="3">
        <f t="shared" si="17"/>
        <v>0</v>
      </c>
      <c r="S236" s="5" t="s">
        <v>6129</v>
      </c>
    </row>
    <row r="237" spans="2:19" hidden="1" x14ac:dyDescent="0.25">
      <c r="C237" s="4" t="s">
        <v>5792</v>
      </c>
      <c r="E237" s="5" t="s">
        <v>75</v>
      </c>
      <c r="G237" s="146" t="s">
        <v>7115</v>
      </c>
      <c r="H237" t="s">
        <v>6278</v>
      </c>
      <c r="I237" t="s">
        <v>8115</v>
      </c>
      <c r="J237" s="5" t="s">
        <v>6126</v>
      </c>
      <c r="N237" s="45">
        <v>5756</v>
      </c>
      <c r="O237" s="4" t="s">
        <v>15</v>
      </c>
      <c r="P237" s="3"/>
      <c r="Q237" s="3">
        <f t="shared" ref="Q237:Q252" si="19">IF(P237="en cours",N237,IF(P237="OK",0,IF(N237-P237&lt;0,0,N237-P237)))</f>
        <v>5756</v>
      </c>
      <c r="R237" s="3">
        <f t="shared" si="17"/>
        <v>0</v>
      </c>
      <c r="S237" s="5" t="s">
        <v>6129</v>
      </c>
    </row>
    <row r="238" spans="2:19" hidden="1" x14ac:dyDescent="0.25">
      <c r="C238" s="4" t="s">
        <v>5792</v>
      </c>
      <c r="E238" s="5" t="s">
        <v>75</v>
      </c>
      <c r="G238" s="146" t="s">
        <v>7115</v>
      </c>
      <c r="H238" t="s">
        <v>6278</v>
      </c>
      <c r="I238" t="s">
        <v>8115</v>
      </c>
      <c r="J238" s="5" t="s">
        <v>6127</v>
      </c>
      <c r="N238" s="45">
        <v>1208</v>
      </c>
      <c r="O238" s="4" t="s">
        <v>15</v>
      </c>
      <c r="P238" s="3"/>
      <c r="Q238" s="3">
        <f t="shared" si="19"/>
        <v>1208</v>
      </c>
      <c r="R238" s="3">
        <f t="shared" si="17"/>
        <v>0</v>
      </c>
      <c r="S238" s="5" t="s">
        <v>6129</v>
      </c>
    </row>
    <row r="239" spans="2:19" hidden="1" x14ac:dyDescent="0.25">
      <c r="C239" s="4" t="s">
        <v>5792</v>
      </c>
      <c r="E239" s="5" t="s">
        <v>75</v>
      </c>
      <c r="G239" s="146" t="s">
        <v>7115</v>
      </c>
      <c r="H239" t="s">
        <v>6278</v>
      </c>
      <c r="I239" t="s">
        <v>8115</v>
      </c>
      <c r="J239" s="5" t="s">
        <v>6128</v>
      </c>
      <c r="N239" s="45">
        <v>1165</v>
      </c>
      <c r="O239" s="4" t="s">
        <v>15</v>
      </c>
      <c r="P239" s="3"/>
      <c r="Q239" s="3">
        <f t="shared" si="19"/>
        <v>1165</v>
      </c>
      <c r="R239" s="3">
        <f t="shared" si="17"/>
        <v>0</v>
      </c>
      <c r="S239" s="5" t="s">
        <v>6129</v>
      </c>
    </row>
    <row r="240" spans="2:19" ht="16.5" hidden="1" customHeight="1" x14ac:dyDescent="0.25">
      <c r="B240" s="5" t="s">
        <v>12281</v>
      </c>
      <c r="C240" s="4" t="s">
        <v>2460</v>
      </c>
      <c r="E240" s="5" t="s">
        <v>75</v>
      </c>
      <c r="G240" s="146" t="s">
        <v>805</v>
      </c>
      <c r="H240" t="s">
        <v>6351</v>
      </c>
      <c r="I240" t="s">
        <v>8135</v>
      </c>
      <c r="J240" s="5" t="s">
        <v>6352</v>
      </c>
      <c r="L240" s="5" t="s">
        <v>8526</v>
      </c>
      <c r="M240" s="12" t="s">
        <v>8527</v>
      </c>
      <c r="N240" s="45">
        <v>596800</v>
      </c>
      <c r="O240" s="4" t="s">
        <v>15</v>
      </c>
      <c r="P240" s="45">
        <f>4000+105223.02+84888.51+52611.5+52611.5+52611.5+6455.4</f>
        <v>358401.43000000005</v>
      </c>
      <c r="Q240" s="3">
        <f t="shared" si="19"/>
        <v>238398.56999999995</v>
      </c>
      <c r="R240" s="3">
        <f t="shared" si="17"/>
        <v>358401.43000000005</v>
      </c>
    </row>
    <row r="241" spans="2:19" ht="16.5" hidden="1" customHeight="1" x14ac:dyDescent="0.25">
      <c r="B241" s="21" t="s">
        <v>395</v>
      </c>
      <c r="C241" s="22" t="s">
        <v>2455</v>
      </c>
      <c r="D241" s="22"/>
      <c r="E241" s="21" t="s">
        <v>75</v>
      </c>
      <c r="F241" s="21"/>
      <c r="G241" s="147" t="s">
        <v>805</v>
      </c>
      <c r="H241" s="23" t="s">
        <v>806</v>
      </c>
      <c r="I241" s="23"/>
      <c r="J241" s="21" t="s">
        <v>807</v>
      </c>
      <c r="K241" s="120"/>
      <c r="L241" s="21" t="s">
        <v>2634</v>
      </c>
      <c r="M241" s="70">
        <v>43340</v>
      </c>
      <c r="N241" s="44">
        <f>0.3*44500</f>
        <v>13350</v>
      </c>
      <c r="O241" s="22" t="s">
        <v>15</v>
      </c>
      <c r="P241" s="22" t="s">
        <v>19</v>
      </c>
      <c r="Q241" s="24">
        <f t="shared" si="19"/>
        <v>0</v>
      </c>
      <c r="R241" s="24">
        <f t="shared" si="17"/>
        <v>13350</v>
      </c>
    </row>
    <row r="242" spans="2:19" ht="16.5" hidden="1" customHeight="1" x14ac:dyDescent="0.25">
      <c r="B242" s="5" t="s">
        <v>12281</v>
      </c>
      <c r="C242" s="198" t="s">
        <v>2455</v>
      </c>
      <c r="D242" s="198"/>
      <c r="E242" s="199" t="s">
        <v>75</v>
      </c>
      <c r="F242" s="199"/>
      <c r="G242" s="200" t="s">
        <v>805</v>
      </c>
      <c r="H242" s="201" t="s">
        <v>806</v>
      </c>
      <c r="I242" s="201"/>
      <c r="J242" s="199" t="s">
        <v>808</v>
      </c>
      <c r="K242" s="487"/>
      <c r="L242" s="199"/>
      <c r="M242" s="489" t="s">
        <v>1479</v>
      </c>
      <c r="N242" s="202">
        <f>0.5*44500</f>
        <v>22250</v>
      </c>
      <c r="O242" s="198" t="s">
        <v>15</v>
      </c>
      <c r="P242" s="198"/>
      <c r="Q242" s="257">
        <f t="shared" si="19"/>
        <v>22250</v>
      </c>
      <c r="R242" s="257">
        <f t="shared" si="17"/>
        <v>0</v>
      </c>
      <c r="S242" s="7" t="s">
        <v>1479</v>
      </c>
    </row>
    <row r="243" spans="2:19" hidden="1" x14ac:dyDescent="0.25">
      <c r="B243" s="5" t="s">
        <v>12281</v>
      </c>
      <c r="C243" s="4" t="s">
        <v>2455</v>
      </c>
      <c r="E243" s="5" t="s">
        <v>75</v>
      </c>
      <c r="G243" s="146" t="s">
        <v>805</v>
      </c>
      <c r="H243" s="7" t="s">
        <v>806</v>
      </c>
      <c r="J243" s="5" t="s">
        <v>809</v>
      </c>
      <c r="K243" s="13"/>
      <c r="M243" s="70" t="s">
        <v>1479</v>
      </c>
      <c r="N243" s="45">
        <f>0.2*44500</f>
        <v>8900</v>
      </c>
      <c r="O243" s="4" t="s">
        <v>15</v>
      </c>
      <c r="P243" s="4"/>
      <c r="Q243" s="3">
        <f t="shared" si="19"/>
        <v>8900</v>
      </c>
      <c r="R243" s="3">
        <f t="shared" si="17"/>
        <v>0</v>
      </c>
      <c r="S243" s="7" t="s">
        <v>1479</v>
      </c>
    </row>
    <row r="244" spans="2:19" hidden="1" x14ac:dyDescent="0.25">
      <c r="B244" s="21" t="s">
        <v>395</v>
      </c>
      <c r="C244" s="22" t="s">
        <v>2450</v>
      </c>
      <c r="D244" s="22"/>
      <c r="E244" s="21" t="s">
        <v>75</v>
      </c>
      <c r="F244" s="21"/>
      <c r="G244" s="147" t="s">
        <v>9457</v>
      </c>
      <c r="H244" s="23" t="s">
        <v>9458</v>
      </c>
      <c r="I244" s="23" t="s">
        <v>9459</v>
      </c>
      <c r="J244" s="23" t="s">
        <v>9490</v>
      </c>
      <c r="K244" s="21"/>
      <c r="L244" s="21" t="s">
        <v>9551</v>
      </c>
      <c r="M244" s="26" t="s">
        <v>9552</v>
      </c>
      <c r="N244" s="44">
        <v>0</v>
      </c>
      <c r="O244" s="22" t="s">
        <v>276</v>
      </c>
      <c r="P244" s="44">
        <f>10965-10965</f>
        <v>0</v>
      </c>
      <c r="Q244" s="44">
        <f t="shared" si="19"/>
        <v>0</v>
      </c>
      <c r="R244" s="24">
        <f t="shared" si="17"/>
        <v>0</v>
      </c>
      <c r="S244" s="5" t="s">
        <v>9550</v>
      </c>
    </row>
    <row r="245" spans="2:19" hidden="1" x14ac:dyDescent="0.25">
      <c r="B245" s="21" t="s">
        <v>395</v>
      </c>
      <c r="C245" s="22" t="s">
        <v>2450</v>
      </c>
      <c r="D245" s="22"/>
      <c r="E245" s="21" t="s">
        <v>75</v>
      </c>
      <c r="F245" s="21"/>
      <c r="G245" s="147" t="s">
        <v>9457</v>
      </c>
      <c r="H245" s="23" t="s">
        <v>10672</v>
      </c>
      <c r="I245" s="23" t="s">
        <v>10673</v>
      </c>
      <c r="J245" s="23" t="s">
        <v>9489</v>
      </c>
      <c r="K245" s="21"/>
      <c r="L245" s="21" t="s">
        <v>10702</v>
      </c>
      <c r="M245" s="26" t="s">
        <v>10703</v>
      </c>
      <c r="N245" s="44">
        <f>10965+3549+1500</f>
        <v>16014</v>
      </c>
      <c r="O245" s="22" t="s">
        <v>276</v>
      </c>
      <c r="P245" s="44">
        <f>14514+1500</f>
        <v>16014</v>
      </c>
      <c r="Q245" s="44">
        <f t="shared" si="19"/>
        <v>0</v>
      </c>
      <c r="R245" s="24">
        <f t="shared" ref="R245:R247" si="20">IF(P245="OK",N245-Q245,IF(P245="en cours",N245-Q245,P245))</f>
        <v>16014</v>
      </c>
    </row>
    <row r="246" spans="2:19" hidden="1" x14ac:dyDescent="0.25">
      <c r="B246" s="21" t="s">
        <v>395</v>
      </c>
      <c r="C246" s="22" t="s">
        <v>2450</v>
      </c>
      <c r="D246" s="22"/>
      <c r="E246" s="21" t="s">
        <v>75</v>
      </c>
      <c r="F246" s="21" t="s">
        <v>11253</v>
      </c>
      <c r="G246" s="147" t="s">
        <v>9457</v>
      </c>
      <c r="H246" s="23" t="s">
        <v>9460</v>
      </c>
      <c r="I246" s="23" t="s">
        <v>9461</v>
      </c>
      <c r="J246" s="23" t="s">
        <v>9491</v>
      </c>
      <c r="K246" s="21"/>
      <c r="L246" s="21" t="s">
        <v>10217</v>
      </c>
      <c r="M246" s="26" t="s">
        <v>10218</v>
      </c>
      <c r="N246" s="44">
        <v>24184</v>
      </c>
      <c r="O246" s="22" t="s">
        <v>276</v>
      </c>
      <c r="P246" s="44">
        <f>12092+9673.6+2418.4</f>
        <v>24184</v>
      </c>
      <c r="Q246" s="44">
        <f t="shared" si="19"/>
        <v>0</v>
      </c>
      <c r="R246" s="24">
        <f t="shared" si="20"/>
        <v>24184</v>
      </c>
    </row>
    <row r="247" spans="2:19" hidden="1" x14ac:dyDescent="0.25">
      <c r="B247" s="21" t="s">
        <v>395</v>
      </c>
      <c r="C247" s="22" t="s">
        <v>2450</v>
      </c>
      <c r="D247" s="22"/>
      <c r="E247" s="21" t="s">
        <v>75</v>
      </c>
      <c r="F247" s="21" t="s">
        <v>11253</v>
      </c>
      <c r="G247" s="147" t="s">
        <v>9553</v>
      </c>
      <c r="H247" s="23" t="s">
        <v>9462</v>
      </c>
      <c r="I247" s="23" t="s">
        <v>9463</v>
      </c>
      <c r="J247" s="21" t="s">
        <v>10376</v>
      </c>
      <c r="K247" s="21"/>
      <c r="L247" s="21" t="s">
        <v>10377</v>
      </c>
      <c r="M247" s="26" t="s">
        <v>10378</v>
      </c>
      <c r="N247" s="44">
        <v>46100</v>
      </c>
      <c r="O247" s="22" t="s">
        <v>276</v>
      </c>
      <c r="P247" s="44">
        <f>23050+18440+4610</f>
        <v>46100</v>
      </c>
      <c r="Q247" s="44">
        <f t="shared" si="19"/>
        <v>0</v>
      </c>
      <c r="R247" s="24">
        <f t="shared" si="20"/>
        <v>46100</v>
      </c>
    </row>
    <row r="248" spans="2:19" hidden="1" x14ac:dyDescent="0.25">
      <c r="B248" s="21" t="s">
        <v>395</v>
      </c>
      <c r="C248" s="22" t="s">
        <v>2450</v>
      </c>
      <c r="D248" s="22"/>
      <c r="E248" s="21" t="s">
        <v>75</v>
      </c>
      <c r="F248" s="21" t="s">
        <v>11253</v>
      </c>
      <c r="G248" s="147" t="s">
        <v>9553</v>
      </c>
      <c r="H248" s="23" t="s">
        <v>9464</v>
      </c>
      <c r="I248" s="23" t="s">
        <v>9465</v>
      </c>
      <c r="J248" s="23" t="s">
        <v>10375</v>
      </c>
      <c r="K248" s="21"/>
      <c r="L248" s="21" t="s">
        <v>10486</v>
      </c>
      <c r="M248" s="26" t="s">
        <v>10487</v>
      </c>
      <c r="N248" s="44">
        <v>43378</v>
      </c>
      <c r="O248" s="22" t="s">
        <v>276</v>
      </c>
      <c r="P248" s="44">
        <f>21689+17351.2+4337.8</f>
        <v>43378</v>
      </c>
      <c r="Q248" s="44">
        <f t="shared" si="19"/>
        <v>0</v>
      </c>
      <c r="R248" s="24">
        <f t="shared" ref="R248:R249" si="21">IF(P248="OK",N248-Q248,IF(P248="en cours",N248-Q248,P248))</f>
        <v>43378</v>
      </c>
    </row>
    <row r="249" spans="2:19" hidden="1" x14ac:dyDescent="0.25">
      <c r="B249" s="21" t="s">
        <v>395</v>
      </c>
      <c r="C249" s="22" t="s">
        <v>158</v>
      </c>
      <c r="D249" s="22"/>
      <c r="E249" s="21" t="s">
        <v>75</v>
      </c>
      <c r="F249" s="21" t="s">
        <v>11253</v>
      </c>
      <c r="G249" s="147" t="s">
        <v>9553</v>
      </c>
      <c r="H249" s="23" t="s">
        <v>10669</v>
      </c>
      <c r="I249" s="23" t="s">
        <v>10670</v>
      </c>
      <c r="J249" s="23" t="s">
        <v>10671</v>
      </c>
      <c r="K249" s="21"/>
      <c r="L249" s="21" t="s">
        <v>11258</v>
      </c>
      <c r="M249" s="26" t="s">
        <v>11259</v>
      </c>
      <c r="N249" s="44">
        <v>16473</v>
      </c>
      <c r="O249" s="22" t="s">
        <v>276</v>
      </c>
      <c r="P249" s="44">
        <f>8236.5+8236.5+6589.2 + 1647.3</f>
        <v>24709.5</v>
      </c>
      <c r="Q249" s="44">
        <f t="shared" si="19"/>
        <v>0</v>
      </c>
      <c r="R249" s="24">
        <f t="shared" si="21"/>
        <v>24709.5</v>
      </c>
    </row>
    <row r="250" spans="2:19" hidden="1" x14ac:dyDescent="0.25">
      <c r="C250" s="4" t="s">
        <v>2450</v>
      </c>
      <c r="E250" s="5" t="s">
        <v>10</v>
      </c>
      <c r="F250" s="5" t="s">
        <v>9721</v>
      </c>
      <c r="G250" s="146" t="s">
        <v>7043</v>
      </c>
      <c r="H250" s="7" t="s">
        <v>11115</v>
      </c>
      <c r="I250" s="7" t="s">
        <v>11116</v>
      </c>
      <c r="J250" s="5" t="s">
        <v>6557</v>
      </c>
      <c r="L250" s="5" t="s">
        <v>11183</v>
      </c>
      <c r="M250" s="12">
        <v>45680</v>
      </c>
      <c r="N250" s="45">
        <v>6763.2</v>
      </c>
      <c r="O250" s="4" t="s">
        <v>15</v>
      </c>
      <c r="P250" s="45">
        <v>6763.2</v>
      </c>
      <c r="Q250" s="45">
        <f t="shared" si="19"/>
        <v>0</v>
      </c>
      <c r="R250" s="3">
        <f>IF(P250="OK",N250-Q250,IF(P250="en cours",N250-Q250,P250))</f>
        <v>6763.2</v>
      </c>
    </row>
    <row r="251" spans="2:19" hidden="1" x14ac:dyDescent="0.25">
      <c r="B251" s="21" t="s">
        <v>395</v>
      </c>
      <c r="C251" s="22" t="s">
        <v>2450</v>
      </c>
      <c r="D251" s="22"/>
      <c r="E251" s="21" t="s">
        <v>10</v>
      </c>
      <c r="F251" s="21" t="s">
        <v>9721</v>
      </c>
      <c r="G251" s="147" t="s">
        <v>10832</v>
      </c>
      <c r="H251" s="23" t="s">
        <v>10833</v>
      </c>
      <c r="I251" s="23" t="s">
        <v>10834</v>
      </c>
      <c r="J251" s="21" t="s">
        <v>6557</v>
      </c>
      <c r="K251" s="21"/>
      <c r="L251" s="21" t="s">
        <v>11023</v>
      </c>
      <c r="M251" s="26">
        <v>45631</v>
      </c>
      <c r="N251" s="44">
        <v>3000</v>
      </c>
      <c r="O251" s="22" t="s">
        <v>15</v>
      </c>
      <c r="P251" s="44">
        <v>3000</v>
      </c>
      <c r="Q251" s="24">
        <f t="shared" si="19"/>
        <v>0</v>
      </c>
      <c r="R251" s="24">
        <f>IF(P251="OK",N251-Q251,IF(P251="en cours",N251-Q251,P251))</f>
        <v>3000</v>
      </c>
    </row>
    <row r="252" spans="2:19" hidden="1" x14ac:dyDescent="0.25">
      <c r="B252" s="21" t="s">
        <v>395</v>
      </c>
      <c r="C252" s="22" t="s">
        <v>2427</v>
      </c>
      <c r="D252" s="22"/>
      <c r="E252" s="21" t="s">
        <v>0</v>
      </c>
      <c r="F252" s="21"/>
      <c r="G252" s="147" t="s">
        <v>5056</v>
      </c>
      <c r="H252" s="23" t="s">
        <v>5057</v>
      </c>
      <c r="I252" s="23" t="s">
        <v>8049</v>
      </c>
      <c r="J252" s="21" t="s">
        <v>5058</v>
      </c>
      <c r="K252" s="21"/>
      <c r="L252" s="21" t="s">
        <v>5866</v>
      </c>
      <c r="M252" s="26" t="s">
        <v>5867</v>
      </c>
      <c r="N252" s="44">
        <v>37000</v>
      </c>
      <c r="O252" s="22" t="s">
        <v>15</v>
      </c>
      <c r="P252" s="44">
        <f>7400+29600</f>
        <v>37000</v>
      </c>
      <c r="Q252" s="44">
        <f t="shared" si="19"/>
        <v>0</v>
      </c>
      <c r="R252" s="24">
        <f t="shared" ref="R252:R284" si="22">IF(P252="OK",N252-Q252,IF(P252="en cours",N252-Q252,P252))</f>
        <v>37000</v>
      </c>
    </row>
    <row r="253" spans="2:19" hidden="1" x14ac:dyDescent="0.25">
      <c r="B253" s="5" t="s">
        <v>12228</v>
      </c>
      <c r="C253" s="4" t="s">
        <v>2427</v>
      </c>
      <c r="E253" s="5" t="s">
        <v>0</v>
      </c>
      <c r="G253" s="146" t="s">
        <v>5056</v>
      </c>
      <c r="H253" s="7" t="s">
        <v>5059</v>
      </c>
      <c r="I253" s="7" t="s">
        <v>8050</v>
      </c>
      <c r="J253" s="5" t="s">
        <v>5060</v>
      </c>
      <c r="N253" s="45">
        <v>32300</v>
      </c>
      <c r="O253" s="4" t="s">
        <v>15</v>
      </c>
      <c r="P253" s="4"/>
      <c r="Q253" s="45">
        <f t="shared" ref="Q253:Q282" si="23">IF(P253="en cours",N253,IF(P253="OK",0,IF(N253-P253&lt;0,0,N253-P253)))</f>
        <v>32300</v>
      </c>
      <c r="R253" s="3">
        <f t="shared" si="22"/>
        <v>0</v>
      </c>
    </row>
    <row r="254" spans="2:19" hidden="1" x14ac:dyDescent="0.25">
      <c r="B254" s="21" t="s">
        <v>395</v>
      </c>
      <c r="C254" s="22" t="s">
        <v>2450</v>
      </c>
      <c r="D254" s="22"/>
      <c r="E254" s="21" t="s">
        <v>10</v>
      </c>
      <c r="F254" s="21" t="s">
        <v>9721</v>
      </c>
      <c r="G254" s="147" t="s">
        <v>10313</v>
      </c>
      <c r="H254" s="23" t="s">
        <v>10314</v>
      </c>
      <c r="I254" s="23" t="s">
        <v>10315</v>
      </c>
      <c r="J254" s="21" t="s">
        <v>6557</v>
      </c>
      <c r="K254" s="21"/>
      <c r="L254" s="21" t="s">
        <v>10568</v>
      </c>
      <c r="M254" s="26">
        <v>45537</v>
      </c>
      <c r="N254" s="44">
        <v>1050</v>
      </c>
      <c r="O254" s="22" t="s">
        <v>15</v>
      </c>
      <c r="P254" s="44">
        <v>1050</v>
      </c>
      <c r="Q254" s="44">
        <f t="shared" si="23"/>
        <v>0</v>
      </c>
      <c r="R254" s="24">
        <f t="shared" si="22"/>
        <v>1050</v>
      </c>
    </row>
    <row r="255" spans="2:19" ht="18" hidden="1" customHeight="1" x14ac:dyDescent="0.25">
      <c r="B255" s="21" t="s">
        <v>395</v>
      </c>
      <c r="C255" s="22" t="s">
        <v>2450</v>
      </c>
      <c r="D255" s="22"/>
      <c r="E255" s="21" t="s">
        <v>3559</v>
      </c>
      <c r="F255" s="21"/>
      <c r="G255" s="147" t="s">
        <v>3306</v>
      </c>
      <c r="H255" s="23" t="s">
        <v>3553</v>
      </c>
      <c r="I255" s="23"/>
      <c r="J255" s="21" t="s">
        <v>3554</v>
      </c>
      <c r="K255" s="120"/>
      <c r="L255" s="21" t="s">
        <v>3558</v>
      </c>
      <c r="M255" s="26">
        <v>44034</v>
      </c>
      <c r="N255" s="44">
        <f>0.5*8750</f>
        <v>4375</v>
      </c>
      <c r="O255" s="22" t="s">
        <v>276</v>
      </c>
      <c r="P255" s="22" t="s">
        <v>19</v>
      </c>
      <c r="Q255" s="44">
        <f t="shared" si="23"/>
        <v>0</v>
      </c>
      <c r="R255" s="24">
        <f t="shared" si="22"/>
        <v>4375</v>
      </c>
    </row>
    <row r="256" spans="2:19" hidden="1" x14ac:dyDescent="0.25">
      <c r="B256" s="5" t="s">
        <v>12231</v>
      </c>
      <c r="C256" s="4" t="s">
        <v>2450</v>
      </c>
      <c r="E256" s="5" t="s">
        <v>3559</v>
      </c>
      <c r="G256" s="146" t="s">
        <v>3306</v>
      </c>
      <c r="H256" s="7" t="s">
        <v>3553</v>
      </c>
      <c r="J256" s="5" t="s">
        <v>3555</v>
      </c>
      <c r="K256" s="13">
        <v>44075</v>
      </c>
      <c r="N256" s="45">
        <f>0.25*8750</f>
        <v>2187.5</v>
      </c>
      <c r="O256" s="4" t="s">
        <v>276</v>
      </c>
      <c r="P256" s="4"/>
      <c r="Q256" s="45">
        <f t="shared" si="23"/>
        <v>2187.5</v>
      </c>
      <c r="R256" s="3">
        <f t="shared" si="22"/>
        <v>0</v>
      </c>
    </row>
    <row r="257" spans="1:19" hidden="1" x14ac:dyDescent="0.25">
      <c r="B257" s="5" t="s">
        <v>12231</v>
      </c>
      <c r="C257" s="4" t="s">
        <v>2450</v>
      </c>
      <c r="E257" s="5" t="s">
        <v>3559</v>
      </c>
      <c r="G257" s="146" t="s">
        <v>3306</v>
      </c>
      <c r="H257" s="7" t="s">
        <v>3553</v>
      </c>
      <c r="J257" s="5" t="s">
        <v>3556</v>
      </c>
      <c r="K257" s="13">
        <v>44165</v>
      </c>
      <c r="N257" s="45">
        <f>0.25*8750</f>
        <v>2187.5</v>
      </c>
      <c r="O257" s="4" t="s">
        <v>276</v>
      </c>
      <c r="P257" s="4"/>
      <c r="Q257" s="45">
        <f t="shared" si="23"/>
        <v>2187.5</v>
      </c>
      <c r="R257" s="3">
        <f t="shared" si="22"/>
        <v>0</v>
      </c>
    </row>
    <row r="258" spans="1:19" hidden="1" x14ac:dyDescent="0.25">
      <c r="B258" s="21" t="s">
        <v>395</v>
      </c>
      <c r="C258" s="22" t="s">
        <v>2450</v>
      </c>
      <c r="D258" s="22"/>
      <c r="E258" s="21" t="s">
        <v>3559</v>
      </c>
      <c r="F258" s="21"/>
      <c r="G258" s="147" t="s">
        <v>3306</v>
      </c>
      <c r="H258" s="23" t="s">
        <v>3549</v>
      </c>
      <c r="I258" s="23"/>
      <c r="J258" s="21" t="s">
        <v>3550</v>
      </c>
      <c r="K258" s="120"/>
      <c r="L258" s="21" t="s">
        <v>3557</v>
      </c>
      <c r="M258" s="26">
        <v>44034</v>
      </c>
      <c r="N258" s="44">
        <f>0.5*99531</f>
        <v>49765.5</v>
      </c>
      <c r="O258" s="22" t="s">
        <v>276</v>
      </c>
      <c r="P258" s="22" t="s">
        <v>19</v>
      </c>
      <c r="Q258" s="44">
        <f t="shared" si="23"/>
        <v>0</v>
      </c>
      <c r="R258" s="24">
        <f t="shared" si="22"/>
        <v>49765.5</v>
      </c>
    </row>
    <row r="259" spans="1:19" hidden="1" x14ac:dyDescent="0.25">
      <c r="B259" s="21" t="s">
        <v>395</v>
      </c>
      <c r="C259" s="22" t="s">
        <v>2450</v>
      </c>
      <c r="D259" s="22"/>
      <c r="E259" s="21" t="s">
        <v>3559</v>
      </c>
      <c r="F259" s="21"/>
      <c r="G259" s="147" t="s">
        <v>3306</v>
      </c>
      <c r="H259" s="23" t="s">
        <v>3549</v>
      </c>
      <c r="I259" s="23"/>
      <c r="J259" s="21" t="s">
        <v>3551</v>
      </c>
      <c r="K259" s="120"/>
      <c r="L259" s="21" t="s">
        <v>3704</v>
      </c>
      <c r="M259" s="26">
        <v>44089</v>
      </c>
      <c r="N259" s="44">
        <f>0.25*99531</f>
        <v>24882.75</v>
      </c>
      <c r="O259" s="22" t="s">
        <v>276</v>
      </c>
      <c r="P259" s="22" t="s">
        <v>19</v>
      </c>
      <c r="Q259" s="44">
        <f t="shared" si="23"/>
        <v>0</v>
      </c>
      <c r="R259" s="24">
        <f t="shared" si="22"/>
        <v>24882.75</v>
      </c>
    </row>
    <row r="260" spans="1:19" hidden="1" x14ac:dyDescent="0.25">
      <c r="B260" s="5" t="s">
        <v>12231</v>
      </c>
      <c r="C260" s="4" t="s">
        <v>2450</v>
      </c>
      <c r="E260" s="5" t="s">
        <v>3559</v>
      </c>
      <c r="G260" s="146" t="s">
        <v>3306</v>
      </c>
      <c r="H260" s="7" t="s">
        <v>3549</v>
      </c>
      <c r="J260" s="5" t="s">
        <v>3552</v>
      </c>
      <c r="K260" s="13">
        <v>44226</v>
      </c>
      <c r="N260" s="45">
        <f>0.25*99531</f>
        <v>24882.75</v>
      </c>
      <c r="O260" s="4" t="s">
        <v>276</v>
      </c>
      <c r="P260" s="4"/>
      <c r="Q260" s="45">
        <f t="shared" si="23"/>
        <v>24882.75</v>
      </c>
      <c r="R260" s="3">
        <f t="shared" si="22"/>
        <v>0</v>
      </c>
    </row>
    <row r="261" spans="1:19" hidden="1" x14ac:dyDescent="0.25">
      <c r="A261" t="s">
        <v>6753</v>
      </c>
      <c r="B261" s="21" t="s">
        <v>395</v>
      </c>
      <c r="C261" s="22" t="s">
        <v>2421</v>
      </c>
      <c r="D261" s="22"/>
      <c r="E261" s="21" t="s">
        <v>75</v>
      </c>
      <c r="F261" s="21"/>
      <c r="G261" s="147" t="s">
        <v>1473</v>
      </c>
      <c r="H261" s="23" t="s">
        <v>1684</v>
      </c>
      <c r="I261" s="23"/>
      <c r="J261" s="21" t="s">
        <v>2042</v>
      </c>
      <c r="K261" s="120"/>
      <c r="L261" s="21" t="s">
        <v>2043</v>
      </c>
      <c r="M261" s="26">
        <v>43733</v>
      </c>
      <c r="N261" s="44">
        <f>400000-(126782+42261+42261+42261)+119632.64</f>
        <v>266067.64</v>
      </c>
      <c r="O261" s="22" t="s">
        <v>276</v>
      </c>
      <c r="P261" s="137">
        <v>266067.64</v>
      </c>
      <c r="Q261" s="24">
        <f t="shared" si="23"/>
        <v>0</v>
      </c>
      <c r="R261" s="24">
        <f t="shared" si="22"/>
        <v>266067.64</v>
      </c>
      <c r="S261" s="320" t="s">
        <v>5579</v>
      </c>
    </row>
    <row r="262" spans="1:19" hidden="1" x14ac:dyDescent="0.25">
      <c r="A262" t="s">
        <v>6753</v>
      </c>
      <c r="B262" s="21" t="s">
        <v>395</v>
      </c>
      <c r="C262" s="22" t="s">
        <v>2421</v>
      </c>
      <c r="D262" s="22"/>
      <c r="E262" s="21" t="s">
        <v>75</v>
      </c>
      <c r="F262" s="21"/>
      <c r="G262" s="147" t="s">
        <v>1473</v>
      </c>
      <c r="H262" s="23" t="s">
        <v>1684</v>
      </c>
      <c r="I262" s="23"/>
      <c r="J262" s="21" t="s">
        <v>1685</v>
      </c>
      <c r="K262" s="120"/>
      <c r="L262" s="21" t="s">
        <v>2161</v>
      </c>
      <c r="M262" s="26" t="s">
        <v>2162</v>
      </c>
      <c r="N262" s="44">
        <f>P262</f>
        <v>34466.6</v>
      </c>
      <c r="O262" s="22" t="s">
        <v>276</v>
      </c>
      <c r="P262" s="137">
        <f>15950+18516.6</f>
        <v>34466.6</v>
      </c>
      <c r="Q262" s="24">
        <f t="shared" si="23"/>
        <v>0</v>
      </c>
      <c r="R262" s="24">
        <f t="shared" si="22"/>
        <v>34466.6</v>
      </c>
    </row>
    <row r="263" spans="1:19" hidden="1" x14ac:dyDescent="0.25">
      <c r="A263" t="s">
        <v>6753</v>
      </c>
      <c r="B263" s="21" t="s">
        <v>395</v>
      </c>
      <c r="C263" s="22" t="s">
        <v>2421</v>
      </c>
      <c r="D263" s="22"/>
      <c r="E263" s="21" t="s">
        <v>75</v>
      </c>
      <c r="F263" s="21"/>
      <c r="G263" s="147" t="s">
        <v>1473</v>
      </c>
      <c r="H263" s="23" t="s">
        <v>1684</v>
      </c>
      <c r="I263" s="23"/>
      <c r="J263" s="21" t="s">
        <v>1685</v>
      </c>
      <c r="K263" s="120"/>
      <c r="L263" s="21" t="s">
        <v>1943</v>
      </c>
      <c r="M263" s="26">
        <v>43719</v>
      </c>
      <c r="N263" s="44">
        <f>P263</f>
        <v>95931.51</v>
      </c>
      <c r="O263" s="22" t="s">
        <v>276</v>
      </c>
      <c r="P263" s="137">
        <v>95931.51</v>
      </c>
      <c r="Q263" s="24">
        <f t="shared" si="23"/>
        <v>0</v>
      </c>
      <c r="R263" s="24">
        <f t="shared" si="22"/>
        <v>95931.51</v>
      </c>
    </row>
    <row r="264" spans="1:19" hidden="1" x14ac:dyDescent="0.25">
      <c r="A264" t="s">
        <v>6753</v>
      </c>
      <c r="B264" s="21" t="s">
        <v>395</v>
      </c>
      <c r="C264" s="22" t="s">
        <v>2421</v>
      </c>
      <c r="D264" s="22"/>
      <c r="E264" s="21" t="s">
        <v>75</v>
      </c>
      <c r="F264" s="21"/>
      <c r="G264" s="147" t="s">
        <v>1473</v>
      </c>
      <c r="H264" s="23" t="s">
        <v>1684</v>
      </c>
      <c r="I264" s="23"/>
      <c r="J264" s="21" t="s">
        <v>5578</v>
      </c>
      <c r="K264" s="120"/>
      <c r="L264" s="21" t="s">
        <v>5920</v>
      </c>
      <c r="M264" s="26" t="s">
        <v>5919</v>
      </c>
      <c r="N264" s="44">
        <f>17002.91</f>
        <v>17002.91</v>
      </c>
      <c r="O264" s="22" t="s">
        <v>276</v>
      </c>
      <c r="P264" s="137">
        <f>17002.91+0</f>
        <v>17002.91</v>
      </c>
      <c r="Q264" s="24">
        <f t="shared" si="23"/>
        <v>0</v>
      </c>
      <c r="R264" s="24">
        <f t="shared" si="22"/>
        <v>17002.91</v>
      </c>
    </row>
    <row r="265" spans="1:19" hidden="1" x14ac:dyDescent="0.25">
      <c r="A265" t="s">
        <v>6753</v>
      </c>
      <c r="B265" s="21" t="s">
        <v>395</v>
      </c>
      <c r="C265" s="22" t="s">
        <v>2421</v>
      </c>
      <c r="D265" s="22"/>
      <c r="E265" s="21" t="s">
        <v>75</v>
      </c>
      <c r="F265" s="21"/>
      <c r="G265" s="147" t="s">
        <v>1473</v>
      </c>
      <c r="H265" s="23" t="s">
        <v>1684</v>
      </c>
      <c r="I265" s="23"/>
      <c r="J265" s="21" t="s">
        <v>5578</v>
      </c>
      <c r="K265" s="120"/>
      <c r="L265" s="21" t="s">
        <v>2702</v>
      </c>
      <c r="M265" s="26">
        <v>43839</v>
      </c>
      <c r="N265" s="44">
        <f t="shared" ref="N265:N278" si="24">P265</f>
        <v>4.18</v>
      </c>
      <c r="O265" s="22" t="s">
        <v>276</v>
      </c>
      <c r="P265" s="44">
        <v>4.18</v>
      </c>
      <c r="Q265" s="24">
        <f t="shared" si="23"/>
        <v>0</v>
      </c>
      <c r="R265" s="24">
        <f t="shared" si="22"/>
        <v>4.18</v>
      </c>
    </row>
    <row r="266" spans="1:19" hidden="1" x14ac:dyDescent="0.25">
      <c r="A266" t="s">
        <v>6753</v>
      </c>
      <c r="B266" s="21" t="s">
        <v>395</v>
      </c>
      <c r="C266" s="22" t="s">
        <v>2421</v>
      </c>
      <c r="D266" s="22"/>
      <c r="E266" s="21" t="s">
        <v>75</v>
      </c>
      <c r="F266" s="21"/>
      <c r="G266" s="147" t="s">
        <v>1473</v>
      </c>
      <c r="H266" s="23" t="s">
        <v>1684</v>
      </c>
      <c r="I266" s="23"/>
      <c r="J266" s="21" t="s">
        <v>5578</v>
      </c>
      <c r="K266" s="120"/>
      <c r="L266" s="21" t="s">
        <v>2817</v>
      </c>
      <c r="M266" s="26">
        <v>43868</v>
      </c>
      <c r="N266" s="44">
        <f t="shared" si="24"/>
        <v>0</v>
      </c>
      <c r="O266" s="22" t="s">
        <v>276</v>
      </c>
      <c r="P266" s="44">
        <v>0</v>
      </c>
      <c r="Q266" s="24">
        <f t="shared" si="23"/>
        <v>0</v>
      </c>
      <c r="R266" s="24">
        <f t="shared" si="22"/>
        <v>0</v>
      </c>
      <c r="S266" s="5" t="s">
        <v>4774</v>
      </c>
    </row>
    <row r="267" spans="1:19" hidden="1" x14ac:dyDescent="0.25">
      <c r="A267" t="s">
        <v>6753</v>
      </c>
      <c r="B267" s="21" t="s">
        <v>395</v>
      </c>
      <c r="C267" s="22" t="s">
        <v>2421</v>
      </c>
      <c r="D267" s="22"/>
      <c r="E267" s="21" t="s">
        <v>75</v>
      </c>
      <c r="F267" s="21"/>
      <c r="G267" s="147" t="s">
        <v>1473</v>
      </c>
      <c r="H267" s="23" t="s">
        <v>1684</v>
      </c>
      <c r="I267" s="23"/>
      <c r="J267" s="21" t="s">
        <v>5578</v>
      </c>
      <c r="K267" s="120"/>
      <c r="L267" s="21" t="s">
        <v>3016</v>
      </c>
      <c r="M267" s="26">
        <v>43900</v>
      </c>
      <c r="N267" s="44">
        <f t="shared" si="24"/>
        <v>0</v>
      </c>
      <c r="O267" s="22" t="s">
        <v>276</v>
      </c>
      <c r="P267" s="44">
        <v>0</v>
      </c>
      <c r="Q267" s="24">
        <f t="shared" si="23"/>
        <v>0</v>
      </c>
      <c r="R267" s="24">
        <f t="shared" si="22"/>
        <v>0</v>
      </c>
      <c r="S267" s="5" t="s">
        <v>4774</v>
      </c>
    </row>
    <row r="268" spans="1:19" hidden="1" x14ac:dyDescent="0.25">
      <c r="A268" t="s">
        <v>6753</v>
      </c>
      <c r="B268" s="21" t="s">
        <v>395</v>
      </c>
      <c r="C268" s="22" t="s">
        <v>2421</v>
      </c>
      <c r="D268" s="22"/>
      <c r="E268" s="21" t="s">
        <v>75</v>
      </c>
      <c r="F268" s="21"/>
      <c r="G268" s="147" t="s">
        <v>1473</v>
      </c>
      <c r="H268" s="23" t="s">
        <v>1684</v>
      </c>
      <c r="I268" s="23"/>
      <c r="J268" s="21" t="s">
        <v>5578</v>
      </c>
      <c r="K268" s="120"/>
      <c r="L268" s="21" t="s">
        <v>3084</v>
      </c>
      <c r="M268" s="26">
        <v>43930</v>
      </c>
      <c r="N268" s="44">
        <f t="shared" si="24"/>
        <v>7784.18</v>
      </c>
      <c r="O268" s="22" t="s">
        <v>276</v>
      </c>
      <c r="P268" s="44">
        <v>7784.18</v>
      </c>
      <c r="Q268" s="24">
        <f t="shared" si="23"/>
        <v>0</v>
      </c>
      <c r="R268" s="24">
        <f t="shared" si="22"/>
        <v>7784.18</v>
      </c>
    </row>
    <row r="269" spans="1:19" hidden="1" x14ac:dyDescent="0.25">
      <c r="A269" t="s">
        <v>6753</v>
      </c>
      <c r="B269" s="21" t="s">
        <v>395</v>
      </c>
      <c r="C269" s="22" t="s">
        <v>2421</v>
      </c>
      <c r="D269" s="22"/>
      <c r="E269" s="21" t="s">
        <v>75</v>
      </c>
      <c r="F269" s="21"/>
      <c r="G269" s="147" t="s">
        <v>1473</v>
      </c>
      <c r="H269" s="23" t="s">
        <v>1684</v>
      </c>
      <c r="I269" s="23"/>
      <c r="J269" s="21" t="s">
        <v>5578</v>
      </c>
      <c r="K269" s="120"/>
      <c r="L269" s="21" t="s">
        <v>3172</v>
      </c>
      <c r="M269" s="26">
        <v>43962</v>
      </c>
      <c r="N269" s="44">
        <f t="shared" si="24"/>
        <v>21270</v>
      </c>
      <c r="O269" s="22" t="s">
        <v>276</v>
      </c>
      <c r="P269" s="44">
        <v>21270</v>
      </c>
      <c r="Q269" s="24">
        <f t="shared" si="23"/>
        <v>0</v>
      </c>
      <c r="R269" s="24">
        <f t="shared" si="22"/>
        <v>21270</v>
      </c>
    </row>
    <row r="270" spans="1:19" hidden="1" x14ac:dyDescent="0.25">
      <c r="A270" t="s">
        <v>6753</v>
      </c>
      <c r="B270" s="21" t="s">
        <v>395</v>
      </c>
      <c r="C270" s="22" t="s">
        <v>2421</v>
      </c>
      <c r="D270" s="22"/>
      <c r="E270" s="21" t="s">
        <v>75</v>
      </c>
      <c r="F270" s="21"/>
      <c r="G270" s="147" t="s">
        <v>1473</v>
      </c>
      <c r="H270" s="23" t="s">
        <v>1684</v>
      </c>
      <c r="I270" s="23"/>
      <c r="J270" s="21" t="s">
        <v>5578</v>
      </c>
      <c r="K270" s="120"/>
      <c r="L270" s="21" t="s">
        <v>3333</v>
      </c>
      <c r="M270" s="26">
        <v>43991</v>
      </c>
      <c r="N270" s="44">
        <f t="shared" si="24"/>
        <v>5176.5</v>
      </c>
      <c r="O270" s="22" t="s">
        <v>276</v>
      </c>
      <c r="P270" s="44">
        <v>5176.5</v>
      </c>
      <c r="Q270" s="24">
        <f t="shared" si="23"/>
        <v>0</v>
      </c>
      <c r="R270" s="24">
        <f t="shared" si="22"/>
        <v>5176.5</v>
      </c>
    </row>
    <row r="271" spans="1:19" hidden="1" x14ac:dyDescent="0.25">
      <c r="A271" t="s">
        <v>6753</v>
      </c>
      <c r="B271" s="21" t="s">
        <v>395</v>
      </c>
      <c r="C271" s="22" t="s">
        <v>2421</v>
      </c>
      <c r="D271" s="22"/>
      <c r="E271" s="21" t="s">
        <v>75</v>
      </c>
      <c r="F271" s="21"/>
      <c r="G271" s="147" t="s">
        <v>1473</v>
      </c>
      <c r="H271" s="23" t="s">
        <v>1684</v>
      </c>
      <c r="I271" s="23"/>
      <c r="J271" s="21" t="s">
        <v>5578</v>
      </c>
      <c r="K271" s="120"/>
      <c r="L271" s="21" t="s">
        <v>3483</v>
      </c>
      <c r="M271" s="26">
        <v>44022</v>
      </c>
      <c r="N271" s="44">
        <f t="shared" si="24"/>
        <v>8057.5</v>
      </c>
      <c r="O271" s="22" t="s">
        <v>276</v>
      </c>
      <c r="P271" s="44">
        <v>8057.5</v>
      </c>
      <c r="Q271" s="24">
        <f t="shared" si="23"/>
        <v>0</v>
      </c>
      <c r="R271" s="24">
        <f t="shared" si="22"/>
        <v>8057.5</v>
      </c>
    </row>
    <row r="272" spans="1:19" hidden="1" x14ac:dyDescent="0.25">
      <c r="A272" t="s">
        <v>6753</v>
      </c>
      <c r="B272" s="21" t="s">
        <v>395</v>
      </c>
      <c r="C272" s="22" t="s">
        <v>2421</v>
      </c>
      <c r="D272" s="22"/>
      <c r="E272" s="21" t="s">
        <v>75</v>
      </c>
      <c r="F272" s="21"/>
      <c r="G272" s="147" t="s">
        <v>1473</v>
      </c>
      <c r="H272" s="23" t="s">
        <v>1684</v>
      </c>
      <c r="I272" s="23"/>
      <c r="J272" s="21" t="s">
        <v>5578</v>
      </c>
      <c r="K272" s="120"/>
      <c r="L272" s="21" t="s">
        <v>3609</v>
      </c>
      <c r="M272" s="26">
        <v>44053</v>
      </c>
      <c r="N272" s="44">
        <f t="shared" si="24"/>
        <v>29848.75</v>
      </c>
      <c r="O272" s="22" t="s">
        <v>276</v>
      </c>
      <c r="P272" s="44">
        <v>29848.75</v>
      </c>
      <c r="Q272" s="24">
        <f t="shared" si="23"/>
        <v>0</v>
      </c>
      <c r="R272" s="24">
        <f t="shared" si="22"/>
        <v>29848.75</v>
      </c>
    </row>
    <row r="273" spans="1:19" hidden="1" x14ac:dyDescent="0.25">
      <c r="A273" t="s">
        <v>6753</v>
      </c>
      <c r="B273" s="21" t="s">
        <v>395</v>
      </c>
      <c r="C273" s="22" t="s">
        <v>2421</v>
      </c>
      <c r="D273" s="22"/>
      <c r="E273" s="21" t="s">
        <v>75</v>
      </c>
      <c r="F273" s="21"/>
      <c r="G273" s="147" t="s">
        <v>1473</v>
      </c>
      <c r="H273" s="23" t="s">
        <v>1684</v>
      </c>
      <c r="I273" s="23"/>
      <c r="J273" s="21" t="s">
        <v>5578</v>
      </c>
      <c r="K273" s="120"/>
      <c r="L273" s="21" t="s">
        <v>3684</v>
      </c>
      <c r="M273" s="26">
        <v>44084</v>
      </c>
      <c r="N273" s="44">
        <f t="shared" si="24"/>
        <v>8938.5</v>
      </c>
      <c r="O273" s="22" t="s">
        <v>276</v>
      </c>
      <c r="P273" s="44">
        <v>8938.5</v>
      </c>
      <c r="Q273" s="24">
        <f t="shared" si="23"/>
        <v>0</v>
      </c>
      <c r="R273" s="24">
        <f t="shared" si="22"/>
        <v>8938.5</v>
      </c>
    </row>
    <row r="274" spans="1:19" hidden="1" x14ac:dyDescent="0.25">
      <c r="A274" t="s">
        <v>6753</v>
      </c>
      <c r="B274" s="21" t="s">
        <v>395</v>
      </c>
      <c r="C274" s="22" t="s">
        <v>2421</v>
      </c>
      <c r="D274" s="22"/>
      <c r="E274" s="21" t="s">
        <v>75</v>
      </c>
      <c r="F274" s="21"/>
      <c r="G274" s="147" t="s">
        <v>1473</v>
      </c>
      <c r="H274" s="23" t="s">
        <v>1684</v>
      </c>
      <c r="I274" s="23"/>
      <c r="J274" s="21" t="s">
        <v>5578</v>
      </c>
      <c r="K274" s="120"/>
      <c r="L274" s="21" t="s">
        <v>3819</v>
      </c>
      <c r="M274" s="26">
        <v>44113</v>
      </c>
      <c r="N274" s="44">
        <f t="shared" si="24"/>
        <v>12618.75</v>
      </c>
      <c r="O274" s="22" t="s">
        <v>276</v>
      </c>
      <c r="P274" s="44">
        <v>12618.75</v>
      </c>
      <c r="Q274" s="24">
        <f t="shared" si="23"/>
        <v>0</v>
      </c>
      <c r="R274" s="24">
        <f t="shared" si="22"/>
        <v>12618.75</v>
      </c>
    </row>
    <row r="275" spans="1:19" hidden="1" x14ac:dyDescent="0.25">
      <c r="A275" t="s">
        <v>6753</v>
      </c>
      <c r="B275" s="21" t="s">
        <v>395</v>
      </c>
      <c r="C275" s="22" t="s">
        <v>2421</v>
      </c>
      <c r="D275" s="22"/>
      <c r="E275" s="21" t="s">
        <v>75</v>
      </c>
      <c r="F275" s="21"/>
      <c r="G275" s="147" t="s">
        <v>1473</v>
      </c>
      <c r="H275" s="23" t="s">
        <v>1684</v>
      </c>
      <c r="I275" s="23"/>
      <c r="J275" s="21" t="s">
        <v>5578</v>
      </c>
      <c r="K275" s="120"/>
      <c r="L275" s="21" t="s">
        <v>4012</v>
      </c>
      <c r="M275" s="26">
        <v>44145</v>
      </c>
      <c r="N275" s="44">
        <f t="shared" si="24"/>
        <v>5312.5</v>
      </c>
      <c r="O275" s="22" t="s">
        <v>276</v>
      </c>
      <c r="P275" s="44">
        <v>5312.5</v>
      </c>
      <c r="Q275" s="24">
        <f t="shared" si="23"/>
        <v>0</v>
      </c>
      <c r="R275" s="24">
        <f t="shared" si="22"/>
        <v>5312.5</v>
      </c>
    </row>
    <row r="276" spans="1:19" hidden="1" x14ac:dyDescent="0.25">
      <c r="A276" t="s">
        <v>6753</v>
      </c>
      <c r="B276" s="21" t="s">
        <v>395</v>
      </c>
      <c r="C276" s="22" t="s">
        <v>2421</v>
      </c>
      <c r="D276" s="22"/>
      <c r="E276" s="21" t="s">
        <v>75</v>
      </c>
      <c r="F276" s="21"/>
      <c r="G276" s="147" t="s">
        <v>1473</v>
      </c>
      <c r="H276" s="23" t="s">
        <v>1684</v>
      </c>
      <c r="I276" s="23"/>
      <c r="J276" s="21" t="s">
        <v>5578</v>
      </c>
      <c r="K276" s="120"/>
      <c r="L276" s="21" t="s">
        <v>4177</v>
      </c>
      <c r="M276" s="26">
        <v>44175</v>
      </c>
      <c r="N276" s="44">
        <f t="shared" si="24"/>
        <v>8423.5</v>
      </c>
      <c r="O276" s="22" t="s">
        <v>276</v>
      </c>
      <c r="P276" s="44">
        <v>8423.5</v>
      </c>
      <c r="Q276" s="24">
        <f t="shared" si="23"/>
        <v>0</v>
      </c>
      <c r="R276" s="24">
        <f t="shared" si="22"/>
        <v>8423.5</v>
      </c>
    </row>
    <row r="277" spans="1:19" hidden="1" x14ac:dyDescent="0.25">
      <c r="A277" t="s">
        <v>6753</v>
      </c>
      <c r="B277" s="21" t="s">
        <v>395</v>
      </c>
      <c r="C277" s="22" t="s">
        <v>2421</v>
      </c>
      <c r="D277" s="22"/>
      <c r="E277" s="21" t="s">
        <v>75</v>
      </c>
      <c r="F277" s="21"/>
      <c r="G277" s="147" t="s">
        <v>1473</v>
      </c>
      <c r="H277" s="23" t="s">
        <v>1684</v>
      </c>
      <c r="I277" s="23"/>
      <c r="J277" s="21" t="s">
        <v>5578</v>
      </c>
      <c r="K277" s="120"/>
      <c r="L277" s="21" t="s">
        <v>4307</v>
      </c>
      <c r="M277" s="26">
        <v>44207</v>
      </c>
      <c r="N277" s="44">
        <f t="shared" si="24"/>
        <v>40156.25</v>
      </c>
      <c r="O277" s="22" t="s">
        <v>276</v>
      </c>
      <c r="P277" s="44">
        <v>40156.25</v>
      </c>
      <c r="Q277" s="24">
        <f t="shared" si="23"/>
        <v>0</v>
      </c>
      <c r="R277" s="24">
        <f t="shared" si="22"/>
        <v>40156.25</v>
      </c>
    </row>
    <row r="278" spans="1:19" hidden="1" x14ac:dyDescent="0.25">
      <c r="A278" t="s">
        <v>6753</v>
      </c>
      <c r="B278" s="21" t="s">
        <v>395</v>
      </c>
      <c r="C278" s="22" t="s">
        <v>2421</v>
      </c>
      <c r="D278" s="22"/>
      <c r="E278" s="21" t="s">
        <v>75</v>
      </c>
      <c r="F278" s="21"/>
      <c r="G278" s="147" t="s">
        <v>1473</v>
      </c>
      <c r="H278" s="23" t="s">
        <v>1684</v>
      </c>
      <c r="I278" s="23"/>
      <c r="J278" s="21" t="s">
        <v>5578</v>
      </c>
      <c r="K278" s="120"/>
      <c r="L278" s="21" t="s">
        <v>4577</v>
      </c>
      <c r="M278" s="26" t="s">
        <v>4578</v>
      </c>
      <c r="N278" s="44">
        <f t="shared" si="24"/>
        <v>33295.33</v>
      </c>
      <c r="O278" s="22" t="s">
        <v>276</v>
      </c>
      <c r="P278" s="44">
        <f>31398.75+1896.58</f>
        <v>33295.33</v>
      </c>
      <c r="Q278" s="24">
        <f t="shared" si="23"/>
        <v>0</v>
      </c>
      <c r="R278" s="24">
        <f t="shared" si="22"/>
        <v>33295.33</v>
      </c>
    </row>
    <row r="279" spans="1:19" hidden="1" x14ac:dyDescent="0.25">
      <c r="A279" t="s">
        <v>6753</v>
      </c>
      <c r="B279" s="21" t="s">
        <v>395</v>
      </c>
      <c r="C279" s="22" t="s">
        <v>2421</v>
      </c>
      <c r="D279" s="22"/>
      <c r="E279" s="21" t="s">
        <v>75</v>
      </c>
      <c r="F279" s="21"/>
      <c r="G279" s="147" t="s">
        <v>1473</v>
      </c>
      <c r="H279" s="23" t="s">
        <v>1684</v>
      </c>
      <c r="I279" s="23"/>
      <c r="J279" s="21" t="s">
        <v>5578</v>
      </c>
      <c r="K279" s="120"/>
      <c r="L279" s="21" t="s">
        <v>4576</v>
      </c>
      <c r="M279" s="26">
        <v>44265</v>
      </c>
      <c r="N279" s="44">
        <f>(2158520/36)+(240400/36)-20000</f>
        <v>46636.666666666672</v>
      </c>
      <c r="O279" s="22" t="s">
        <v>276</v>
      </c>
      <c r="P279" s="44">
        <v>46636.67</v>
      </c>
      <c r="Q279" s="24">
        <f t="shared" si="23"/>
        <v>0</v>
      </c>
      <c r="R279" s="24">
        <f t="shared" si="22"/>
        <v>46636.67</v>
      </c>
    </row>
    <row r="280" spans="1:19" hidden="1" x14ac:dyDescent="0.25">
      <c r="A280" t="s">
        <v>6753</v>
      </c>
      <c r="B280" s="21" t="s">
        <v>395</v>
      </c>
      <c r="C280" s="22" t="s">
        <v>2421</v>
      </c>
      <c r="D280" s="22"/>
      <c r="E280" s="21" t="s">
        <v>75</v>
      </c>
      <c r="F280" s="21"/>
      <c r="G280" s="147" t="s">
        <v>1473</v>
      </c>
      <c r="H280" s="23" t="s">
        <v>1684</v>
      </c>
      <c r="I280" s="23"/>
      <c r="J280" s="21" t="s">
        <v>5578</v>
      </c>
      <c r="K280" s="120"/>
      <c r="L280" s="21" t="s">
        <v>4773</v>
      </c>
      <c r="M280" s="26">
        <v>44295</v>
      </c>
      <c r="N280" s="44">
        <f>P280</f>
        <v>14502.5</v>
      </c>
      <c r="O280" s="22" t="s">
        <v>276</v>
      </c>
      <c r="P280" s="44">
        <v>14502.5</v>
      </c>
      <c r="Q280" s="24">
        <f t="shared" si="23"/>
        <v>0</v>
      </c>
      <c r="R280" s="24">
        <f t="shared" si="22"/>
        <v>14502.5</v>
      </c>
    </row>
    <row r="281" spans="1:19" hidden="1" x14ac:dyDescent="0.25">
      <c r="A281" t="s">
        <v>6753</v>
      </c>
      <c r="B281" s="21" t="s">
        <v>395</v>
      </c>
      <c r="C281" s="22" t="s">
        <v>2421</v>
      </c>
      <c r="D281" s="22"/>
      <c r="E281" s="21" t="s">
        <v>75</v>
      </c>
      <c r="F281" s="21"/>
      <c r="G281" s="147" t="s">
        <v>1473</v>
      </c>
      <c r="H281" s="23" t="s">
        <v>1684</v>
      </c>
      <c r="I281" s="23"/>
      <c r="J281" s="21" t="s">
        <v>5578</v>
      </c>
      <c r="K281" s="120"/>
      <c r="L281" s="21" t="s">
        <v>4975</v>
      </c>
      <c r="M281" s="26">
        <v>44328</v>
      </c>
      <c r="N281" s="44">
        <f>P281</f>
        <v>37437.5</v>
      </c>
      <c r="O281" s="22" t="s">
        <v>276</v>
      </c>
      <c r="P281" s="44">
        <v>37437.5</v>
      </c>
      <c r="Q281" s="24">
        <f t="shared" si="23"/>
        <v>0</v>
      </c>
      <c r="R281" s="24">
        <f t="shared" si="22"/>
        <v>37437.5</v>
      </c>
    </row>
    <row r="282" spans="1:19" hidden="1" x14ac:dyDescent="0.25">
      <c r="A282" t="s">
        <v>6753</v>
      </c>
      <c r="B282" s="21" t="s">
        <v>395</v>
      </c>
      <c r="C282" s="22" t="s">
        <v>2421</v>
      </c>
      <c r="D282" s="22"/>
      <c r="E282" s="21" t="s">
        <v>75</v>
      </c>
      <c r="F282" s="21"/>
      <c r="G282" s="147" t="s">
        <v>1473</v>
      </c>
      <c r="H282" s="23" t="s">
        <v>1684</v>
      </c>
      <c r="I282" s="23"/>
      <c r="J282" s="21" t="s">
        <v>5578</v>
      </c>
      <c r="K282" s="120"/>
      <c r="L282" s="21" t="s">
        <v>5175</v>
      </c>
      <c r="M282" s="26">
        <v>44357</v>
      </c>
      <c r="N282" s="44">
        <f>(2158520/36)+(240400/36)-20000</f>
        <v>46636.666666666672</v>
      </c>
      <c r="O282" s="22" t="s">
        <v>276</v>
      </c>
      <c r="P282" s="44">
        <f>28281+18356</f>
        <v>46637</v>
      </c>
      <c r="Q282" s="24">
        <f t="shared" si="23"/>
        <v>0</v>
      </c>
      <c r="R282" s="24">
        <f t="shared" si="22"/>
        <v>46637</v>
      </c>
    </row>
    <row r="283" spans="1:19" hidden="1" x14ac:dyDescent="0.25">
      <c r="A283" t="s">
        <v>6753</v>
      </c>
      <c r="B283" s="21" t="s">
        <v>395</v>
      </c>
      <c r="C283" s="22" t="s">
        <v>2421</v>
      </c>
      <c r="D283" s="22"/>
      <c r="E283" s="21" t="s">
        <v>75</v>
      </c>
      <c r="F283" s="21"/>
      <c r="G283" s="147" t="s">
        <v>1473</v>
      </c>
      <c r="H283" s="23" t="s">
        <v>1684</v>
      </c>
      <c r="I283" s="23"/>
      <c r="J283" s="21" t="s">
        <v>5578</v>
      </c>
      <c r="K283" s="120"/>
      <c r="L283" s="21" t="s">
        <v>5414</v>
      </c>
      <c r="M283" s="26">
        <v>44386</v>
      </c>
      <c r="N283" s="44">
        <f>(2158520/36)+(240400/36)-20000</f>
        <v>46636.666666666672</v>
      </c>
      <c r="O283" s="22" t="s">
        <v>276</v>
      </c>
      <c r="P283" s="44">
        <f>64808.78-18356</f>
        <v>46452.78</v>
      </c>
      <c r="Q283" s="24">
        <v>0</v>
      </c>
      <c r="R283" s="24">
        <f t="shared" si="22"/>
        <v>46452.78</v>
      </c>
    </row>
    <row r="284" spans="1:19" hidden="1" x14ac:dyDescent="0.25">
      <c r="A284" t="s">
        <v>6753</v>
      </c>
      <c r="B284" s="5" t="s">
        <v>12231</v>
      </c>
      <c r="C284" s="4" t="s">
        <v>2421</v>
      </c>
      <c r="E284" s="5" t="s">
        <v>75</v>
      </c>
      <c r="G284" s="146" t="s">
        <v>1473</v>
      </c>
      <c r="H284" s="7" t="s">
        <v>5524</v>
      </c>
      <c r="J284" s="5" t="s">
        <v>5525</v>
      </c>
      <c r="K284" s="13"/>
      <c r="L284" s="5" t="s">
        <v>7438</v>
      </c>
      <c r="M284" s="115" t="s">
        <v>7439</v>
      </c>
      <c r="N284" s="134">
        <v>1385766.4000000001</v>
      </c>
      <c r="O284" s="4" t="s">
        <v>276</v>
      </c>
      <c r="P284" s="45">
        <f>32407.04+82051+29026.25+26640+32584.03+27900+29551.25+24962.5+31577.5+25071.25+25796.75+33832.5+35515.7+36291.83+32853+20865.35+68970+26010</f>
        <v>621905.95000000007</v>
      </c>
      <c r="Q284" s="3">
        <f t="shared" ref="Q284" si="25">IF(P284="en cours",N284,IF(P284="OK",0,IF(N284-P284&lt;0,0,N284-P284)))</f>
        <v>763860.45000000007</v>
      </c>
      <c r="R284" s="3">
        <f t="shared" si="22"/>
        <v>621905.95000000007</v>
      </c>
    </row>
    <row r="285" spans="1:19" hidden="1" x14ac:dyDescent="0.25">
      <c r="A285" s="265"/>
      <c r="B285" s="5" t="s">
        <v>12228</v>
      </c>
      <c r="C285" s="4" t="s">
        <v>158</v>
      </c>
      <c r="E285" s="5" t="s">
        <v>3234</v>
      </c>
      <c r="F285" s="5" t="s">
        <v>9947</v>
      </c>
      <c r="G285" s="146" t="s">
        <v>10139</v>
      </c>
      <c r="H285" s="7" t="s">
        <v>10140</v>
      </c>
      <c r="I285" s="7" t="s">
        <v>10141</v>
      </c>
      <c r="J285" s="5" t="s">
        <v>10142</v>
      </c>
      <c r="L285" s="15" t="s">
        <v>10581</v>
      </c>
      <c r="M285" s="406" t="s">
        <v>10582</v>
      </c>
      <c r="N285" s="45">
        <v>5455</v>
      </c>
      <c r="O285" s="4" t="s">
        <v>276</v>
      </c>
      <c r="P285" s="95">
        <f>82.5+1526.25</f>
        <v>1608.75</v>
      </c>
      <c r="Q285" s="3">
        <f>IF(P285="en cours",N285,IF(P285="OK",0,IF(N285-P285&lt;0,0,N285-P285)))</f>
        <v>3846.25</v>
      </c>
      <c r="R285" s="3">
        <f>IF(P285="OK",N285-Q285,IF(P285="en cours",M285-Q285,P285))</f>
        <v>1608.75</v>
      </c>
    </row>
    <row r="286" spans="1:19" hidden="1" x14ac:dyDescent="0.25">
      <c r="B286" s="5" t="s">
        <v>12228</v>
      </c>
      <c r="C286" s="4" t="s">
        <v>2450</v>
      </c>
      <c r="E286" s="5" t="s">
        <v>10</v>
      </c>
      <c r="G286" s="146" t="s">
        <v>169</v>
      </c>
      <c r="H286" s="7" t="s">
        <v>9303</v>
      </c>
      <c r="I286" s="7" t="s">
        <v>9304</v>
      </c>
      <c r="J286" s="5" t="s">
        <v>7469</v>
      </c>
      <c r="N286" s="45">
        <v>5500</v>
      </c>
      <c r="O286" s="4" t="s">
        <v>15</v>
      </c>
      <c r="Q286" s="45">
        <f>IF(P286="en cours",N286,IF(P286="OK",0,IF(N286-P286&lt;0,0,N286-P286)))</f>
        <v>5500</v>
      </c>
      <c r="R286" s="3">
        <f t="shared" ref="R286" si="26">IF(P286="OK",N286-Q286,IF(P286="en cours",N286-Q286,P286))</f>
        <v>0</v>
      </c>
    </row>
    <row r="287" spans="1:19" hidden="1" x14ac:dyDescent="0.25">
      <c r="B287" s="5" t="s">
        <v>12228</v>
      </c>
      <c r="C287" s="4" t="s">
        <v>2450</v>
      </c>
      <c r="E287" s="5" t="s">
        <v>10</v>
      </c>
      <c r="G287" s="146" t="s">
        <v>169</v>
      </c>
      <c r="H287" s="7" t="s">
        <v>4156</v>
      </c>
      <c r="I287" s="7" t="s">
        <v>7996</v>
      </c>
      <c r="J287" s="5" t="s">
        <v>4157</v>
      </c>
      <c r="N287" s="45">
        <v>5000</v>
      </c>
      <c r="O287" s="4" t="s">
        <v>15</v>
      </c>
      <c r="P287" s="4"/>
      <c r="Q287" s="45">
        <f t="shared" ref="Q287:Q297" si="27">IF(P287="en cours",N287,IF(P287="OK",0,IF(N287-P287&lt;0,0,N287-P287)))</f>
        <v>5000</v>
      </c>
      <c r="R287" s="3">
        <f t="shared" ref="R287" si="28">IF(P287="OK",N287-Q287,IF(P287="en cours",N287-Q287,P287))</f>
        <v>0</v>
      </c>
    </row>
    <row r="288" spans="1:19" hidden="1" x14ac:dyDescent="0.25">
      <c r="B288" s="5" t="s">
        <v>12228</v>
      </c>
      <c r="C288" s="4" t="s">
        <v>2450</v>
      </c>
      <c r="E288" s="5" t="s">
        <v>10</v>
      </c>
      <c r="G288" s="146" t="s">
        <v>169</v>
      </c>
      <c r="H288" s="7" t="s">
        <v>7761</v>
      </c>
      <c r="I288" s="7" t="s">
        <v>8292</v>
      </c>
      <c r="J288" s="5" t="s">
        <v>7762</v>
      </c>
      <c r="M288" s="12"/>
      <c r="N288" s="45">
        <v>4400</v>
      </c>
      <c r="O288" s="4" t="s">
        <v>15</v>
      </c>
      <c r="Q288" s="45">
        <f t="shared" si="27"/>
        <v>4400</v>
      </c>
      <c r="R288" s="3">
        <f t="shared" ref="R288:R307" si="29">IF(P288="OK",N288-Q288,IF(P288="en cours",N288-Q288,P288))</f>
        <v>0</v>
      </c>
      <c r="S288" s="5" t="s">
        <v>7765</v>
      </c>
    </row>
    <row r="289" spans="2:19" hidden="1" x14ac:dyDescent="0.25">
      <c r="B289" s="5" t="s">
        <v>12228</v>
      </c>
      <c r="C289" s="4" t="s">
        <v>2450</v>
      </c>
      <c r="E289" s="5" t="s">
        <v>10</v>
      </c>
      <c r="G289" s="146" t="s">
        <v>169</v>
      </c>
      <c r="H289" s="7" t="s">
        <v>7828</v>
      </c>
      <c r="I289" s="7" t="s">
        <v>8293</v>
      </c>
      <c r="J289" s="5" t="s">
        <v>7763</v>
      </c>
      <c r="N289" s="45">
        <v>5500</v>
      </c>
      <c r="O289" s="4" t="s">
        <v>15</v>
      </c>
      <c r="Q289" s="45">
        <f t="shared" si="27"/>
        <v>5500</v>
      </c>
      <c r="R289" s="3">
        <f t="shared" si="29"/>
        <v>0</v>
      </c>
      <c r="S289" s="5" t="s">
        <v>7765</v>
      </c>
    </row>
    <row r="290" spans="2:19" hidden="1" x14ac:dyDescent="0.25">
      <c r="B290" s="5" t="s">
        <v>12228</v>
      </c>
      <c r="C290" s="4" t="s">
        <v>2450</v>
      </c>
      <c r="E290" s="5" t="s">
        <v>10</v>
      </c>
      <c r="G290" s="146" t="s">
        <v>169</v>
      </c>
      <c r="H290" s="7" t="s">
        <v>7829</v>
      </c>
      <c r="I290" s="7" t="s">
        <v>8294</v>
      </c>
      <c r="J290" s="5" t="s">
        <v>7764</v>
      </c>
      <c r="N290" s="45">
        <v>5500</v>
      </c>
      <c r="O290" s="4" t="s">
        <v>15</v>
      </c>
      <c r="Q290" s="45">
        <f t="shared" si="27"/>
        <v>5500</v>
      </c>
      <c r="R290" s="3">
        <f t="shared" si="29"/>
        <v>0</v>
      </c>
    </row>
    <row r="291" spans="2:19" hidden="1" x14ac:dyDescent="0.25">
      <c r="B291" s="5" t="s">
        <v>12228</v>
      </c>
      <c r="C291" s="4" t="s">
        <v>2450</v>
      </c>
      <c r="E291" s="5" t="s">
        <v>10</v>
      </c>
      <c r="G291" s="146" t="s">
        <v>169</v>
      </c>
      <c r="H291" s="7" t="s">
        <v>9283</v>
      </c>
      <c r="I291" s="7" t="s">
        <v>8613</v>
      </c>
      <c r="J291" s="5" t="s">
        <v>8612</v>
      </c>
      <c r="L291" s="5" t="s">
        <v>9314</v>
      </c>
      <c r="M291" s="12" t="s">
        <v>9315</v>
      </c>
      <c r="N291" s="45">
        <v>17600</v>
      </c>
      <c r="O291" s="4" t="s">
        <v>15</v>
      </c>
      <c r="P291" s="45">
        <f>2200+2200+2200+2200+2200+2200</f>
        <v>13200</v>
      </c>
      <c r="Q291" s="45">
        <f t="shared" si="27"/>
        <v>4400</v>
      </c>
      <c r="R291" s="3">
        <f t="shared" si="29"/>
        <v>13200</v>
      </c>
    </row>
    <row r="292" spans="2:19" hidden="1" x14ac:dyDescent="0.25">
      <c r="B292" s="5" t="s">
        <v>12228</v>
      </c>
      <c r="C292" s="4" t="s">
        <v>2450</v>
      </c>
      <c r="E292" s="5" t="s">
        <v>10</v>
      </c>
      <c r="G292" s="146" t="s">
        <v>169</v>
      </c>
      <c r="H292" s="7" t="s">
        <v>9269</v>
      </c>
      <c r="I292" s="7" t="s">
        <v>9270</v>
      </c>
      <c r="J292" s="5" t="s">
        <v>9271</v>
      </c>
      <c r="L292" s="5" t="s">
        <v>10165</v>
      </c>
      <c r="M292" s="12" t="s">
        <v>10166</v>
      </c>
      <c r="N292" s="45">
        <v>5400</v>
      </c>
      <c r="O292" s="4" t="s">
        <v>15</v>
      </c>
      <c r="P292" s="45">
        <f>2250+2250</f>
        <v>4500</v>
      </c>
      <c r="Q292" s="45">
        <f t="shared" si="27"/>
        <v>900</v>
      </c>
      <c r="R292" s="3">
        <f t="shared" si="29"/>
        <v>4500</v>
      </c>
    </row>
    <row r="293" spans="2:19" hidden="1" x14ac:dyDescent="0.25">
      <c r="B293" s="5" t="s">
        <v>12228</v>
      </c>
      <c r="C293" s="4" t="s">
        <v>2450</v>
      </c>
      <c r="E293" s="5" t="s">
        <v>10</v>
      </c>
      <c r="G293" s="146" t="s">
        <v>169</v>
      </c>
      <c r="H293" s="7" t="s">
        <v>9287</v>
      </c>
      <c r="I293" s="7" t="s">
        <v>9288</v>
      </c>
      <c r="J293" s="5" t="s">
        <v>9289</v>
      </c>
      <c r="L293" s="5" t="s">
        <v>9534</v>
      </c>
      <c r="M293" s="12" t="s">
        <v>9535</v>
      </c>
      <c r="N293" s="45">
        <v>5400</v>
      </c>
      <c r="O293" s="4" t="s">
        <v>15</v>
      </c>
      <c r="P293" s="45">
        <f>2250+2250</f>
        <v>4500</v>
      </c>
      <c r="Q293" s="3">
        <f t="shared" si="27"/>
        <v>900</v>
      </c>
      <c r="R293" s="3">
        <f t="shared" si="29"/>
        <v>4500</v>
      </c>
    </row>
    <row r="294" spans="2:19" hidden="1" x14ac:dyDescent="0.25">
      <c r="B294" s="5" t="s">
        <v>12228</v>
      </c>
      <c r="C294" s="4" t="s">
        <v>2450</v>
      </c>
      <c r="E294" s="5" t="s">
        <v>10</v>
      </c>
      <c r="G294" s="146" t="s">
        <v>169</v>
      </c>
      <c r="H294" s="7" t="s">
        <v>9290</v>
      </c>
      <c r="I294" s="7" t="s">
        <v>9291</v>
      </c>
      <c r="J294" s="5" t="s">
        <v>9292</v>
      </c>
      <c r="N294" s="45">
        <v>2640</v>
      </c>
      <c r="O294" s="4" t="s">
        <v>15</v>
      </c>
      <c r="Q294" s="3">
        <f t="shared" si="27"/>
        <v>2640</v>
      </c>
      <c r="R294" s="3">
        <f t="shared" si="29"/>
        <v>0</v>
      </c>
    </row>
    <row r="295" spans="2:19" hidden="1" x14ac:dyDescent="0.25">
      <c r="B295" s="5" t="s">
        <v>12228</v>
      </c>
      <c r="C295" s="4" t="s">
        <v>2450</v>
      </c>
      <c r="E295" s="5" t="s">
        <v>0</v>
      </c>
      <c r="G295" s="146" t="s">
        <v>7415</v>
      </c>
      <c r="H295" s="7" t="s">
        <v>7414</v>
      </c>
      <c r="I295" s="7" t="s">
        <v>8235</v>
      </c>
      <c r="J295" s="5" t="s">
        <v>7413</v>
      </c>
      <c r="L295" s="5" t="s">
        <v>9984</v>
      </c>
      <c r="M295" s="12" t="s">
        <v>9985</v>
      </c>
      <c r="N295" s="45">
        <v>319350</v>
      </c>
      <c r="O295" s="4" t="s">
        <v>15</v>
      </c>
      <c r="P295" s="45">
        <f>58500+15400+4700+20000</f>
        <v>98600</v>
      </c>
      <c r="Q295" s="45">
        <f t="shared" si="27"/>
        <v>220750</v>
      </c>
      <c r="R295" s="3">
        <f t="shared" si="29"/>
        <v>98600</v>
      </c>
    </row>
    <row r="296" spans="2:19" hidden="1" x14ac:dyDescent="0.25">
      <c r="B296" s="5" t="s">
        <v>12228</v>
      </c>
      <c r="C296" s="4" t="s">
        <v>2450</v>
      </c>
      <c r="E296" s="5" t="s">
        <v>0</v>
      </c>
      <c r="G296" s="146" t="s">
        <v>7415</v>
      </c>
      <c r="H296" s="7" t="s">
        <v>8996</v>
      </c>
      <c r="I296" s="7" t="s">
        <v>8997</v>
      </c>
      <c r="J296" s="5" t="s">
        <v>8998</v>
      </c>
      <c r="L296" s="5" t="s">
        <v>9380</v>
      </c>
      <c r="M296" s="12">
        <v>45292</v>
      </c>
      <c r="N296" s="45">
        <v>22450</v>
      </c>
      <c r="O296" s="4" t="s">
        <v>15</v>
      </c>
      <c r="P296" s="45">
        <f>1200</f>
        <v>1200</v>
      </c>
      <c r="Q296" s="45">
        <f t="shared" si="27"/>
        <v>21250</v>
      </c>
      <c r="R296" s="3">
        <f t="shared" si="29"/>
        <v>1200</v>
      </c>
    </row>
    <row r="297" spans="2:19" hidden="1" x14ac:dyDescent="0.25">
      <c r="B297" s="5" t="s">
        <v>12228</v>
      </c>
      <c r="C297" s="4" t="s">
        <v>2450</v>
      </c>
      <c r="E297" s="5" t="s">
        <v>0</v>
      </c>
      <c r="G297" s="146" t="s">
        <v>7415</v>
      </c>
      <c r="H297" s="7" t="s">
        <v>9082</v>
      </c>
      <c r="I297" s="7" t="s">
        <v>9083</v>
      </c>
      <c r="J297" s="5" t="s">
        <v>9084</v>
      </c>
      <c r="L297" s="5" t="s">
        <v>9901</v>
      </c>
      <c r="M297" s="12">
        <v>45441</v>
      </c>
      <c r="N297" s="45">
        <v>25500</v>
      </c>
      <c r="O297" s="4" t="s">
        <v>15</v>
      </c>
      <c r="P297" s="45">
        <v>2500</v>
      </c>
      <c r="Q297" s="45">
        <f t="shared" si="27"/>
        <v>23000</v>
      </c>
      <c r="R297" s="3">
        <f t="shared" si="29"/>
        <v>2500</v>
      </c>
    </row>
    <row r="298" spans="2:19" hidden="1" x14ac:dyDescent="0.25">
      <c r="B298" s="5" t="s">
        <v>12228</v>
      </c>
      <c r="C298" s="4" t="s">
        <v>158</v>
      </c>
      <c r="E298" s="5" t="s">
        <v>7137</v>
      </c>
      <c r="G298" s="146" t="s">
        <v>8487</v>
      </c>
      <c r="H298" s="7" t="s">
        <v>8488</v>
      </c>
      <c r="I298" s="7" t="s">
        <v>8489</v>
      </c>
      <c r="J298" s="5" t="s">
        <v>8490</v>
      </c>
      <c r="L298" s="5" t="s">
        <v>8697</v>
      </c>
      <c r="M298" s="12">
        <v>45117</v>
      </c>
      <c r="N298" s="45">
        <v>2700</v>
      </c>
      <c r="O298" s="4" t="s">
        <v>15</v>
      </c>
      <c r="P298" s="45">
        <f>2075</f>
        <v>2075</v>
      </c>
      <c r="Q298" s="45">
        <f t="shared" ref="Q298:Q299" si="30">IF(P298="en cours",N298,IF(P298="OK",0,IF(N298-P298&lt;0,0,N298-P298)))</f>
        <v>625</v>
      </c>
      <c r="R298" s="25">
        <f t="shared" si="29"/>
        <v>2075</v>
      </c>
    </row>
    <row r="299" spans="2:19" hidden="1" x14ac:dyDescent="0.25">
      <c r="B299" s="5" t="s">
        <v>12228</v>
      </c>
      <c r="C299" s="4" t="s">
        <v>158</v>
      </c>
      <c r="E299" s="5" t="s">
        <v>7137</v>
      </c>
      <c r="G299" s="146" t="s">
        <v>8487</v>
      </c>
      <c r="H299" s="7" t="s">
        <v>8923</v>
      </c>
      <c r="I299" s="7" t="s">
        <v>8924</v>
      </c>
      <c r="J299" s="5" t="s">
        <v>8925</v>
      </c>
      <c r="L299" s="5" t="s">
        <v>12234</v>
      </c>
      <c r="M299" s="12">
        <v>45357</v>
      </c>
      <c r="N299" s="45">
        <v>4500</v>
      </c>
      <c r="O299" s="4" t="s">
        <v>15</v>
      </c>
      <c r="P299" s="45">
        <v>3239.36</v>
      </c>
      <c r="Q299" s="45">
        <f t="shared" si="30"/>
        <v>1260.6399999999999</v>
      </c>
      <c r="R299" s="3">
        <f t="shared" si="29"/>
        <v>3239.36</v>
      </c>
    </row>
    <row r="300" spans="2:19" hidden="1" x14ac:dyDescent="0.25">
      <c r="B300" s="5" t="s">
        <v>12228</v>
      </c>
      <c r="C300" s="4" t="s">
        <v>2568</v>
      </c>
      <c r="E300" s="5" t="s">
        <v>75</v>
      </c>
      <c r="G300" s="146" t="s">
        <v>98</v>
      </c>
      <c r="H300" s="7" t="s">
        <v>2826</v>
      </c>
      <c r="I300" s="7" t="s">
        <v>7912</v>
      </c>
      <c r="J300" s="5" t="s">
        <v>2827</v>
      </c>
      <c r="K300" s="13">
        <v>43891</v>
      </c>
      <c r="M300" s="12"/>
      <c r="N300" s="45">
        <v>1468.83</v>
      </c>
      <c r="O300" s="4" t="s">
        <v>15</v>
      </c>
      <c r="P300" s="4"/>
      <c r="Q300" s="45">
        <f t="shared" ref="Q300:Q330" si="31">IF(P300="en cours",N300,IF(P300="OK",0,IF(N300-P300&lt;0,0,N300-P300)))</f>
        <v>1468.83</v>
      </c>
      <c r="R300" s="3">
        <f t="shared" si="29"/>
        <v>0</v>
      </c>
    </row>
    <row r="301" spans="2:19" hidden="1" x14ac:dyDescent="0.25">
      <c r="B301" s="5" t="s">
        <v>12228</v>
      </c>
      <c r="C301" s="4" t="s">
        <v>2453</v>
      </c>
      <c r="E301" s="5" t="s">
        <v>75</v>
      </c>
      <c r="G301" s="146" t="s">
        <v>98</v>
      </c>
      <c r="H301" s="7" t="s">
        <v>1324</v>
      </c>
      <c r="I301" s="7" t="s">
        <v>7841</v>
      </c>
      <c r="J301" s="5" t="s">
        <v>1325</v>
      </c>
      <c r="K301" s="13"/>
      <c r="L301" s="5" t="s">
        <v>12745</v>
      </c>
      <c r="M301" s="12">
        <v>43585</v>
      </c>
      <c r="N301" s="45">
        <v>1404.14</v>
      </c>
      <c r="O301" s="4" t="s">
        <v>15</v>
      </c>
      <c r="P301" s="45">
        <v>254.89</v>
      </c>
      <c r="Q301" s="3">
        <f t="shared" si="31"/>
        <v>1149.25</v>
      </c>
      <c r="R301" s="25">
        <f t="shared" si="29"/>
        <v>254.89</v>
      </c>
    </row>
    <row r="302" spans="2:19" hidden="1" x14ac:dyDescent="0.25">
      <c r="B302" s="5" t="s">
        <v>12228</v>
      </c>
      <c r="C302" s="4" t="s">
        <v>2453</v>
      </c>
      <c r="E302" s="5" t="s">
        <v>75</v>
      </c>
      <c r="G302" s="146" t="s">
        <v>98</v>
      </c>
      <c r="H302" s="7" t="s">
        <v>2963</v>
      </c>
      <c r="I302" s="7" t="s">
        <v>7914</v>
      </c>
      <c r="J302" s="5" t="s">
        <v>2964</v>
      </c>
      <c r="K302" s="115">
        <v>43922</v>
      </c>
      <c r="M302" s="12"/>
      <c r="N302" s="45">
        <v>272.98</v>
      </c>
      <c r="O302" s="4" t="s">
        <v>15</v>
      </c>
      <c r="P302" s="4"/>
      <c r="Q302" s="45">
        <f t="shared" si="31"/>
        <v>272.98</v>
      </c>
      <c r="R302" s="3">
        <f t="shared" si="29"/>
        <v>0</v>
      </c>
    </row>
    <row r="303" spans="2:19" hidden="1" x14ac:dyDescent="0.25">
      <c r="B303" s="5" t="s">
        <v>12228</v>
      </c>
      <c r="C303" s="4" t="s">
        <v>2453</v>
      </c>
      <c r="E303" s="5" t="s">
        <v>75</v>
      </c>
      <c r="G303" s="146" t="s">
        <v>98</v>
      </c>
      <c r="H303" s="7" t="s">
        <v>2963</v>
      </c>
      <c r="I303" s="7" t="s">
        <v>7914</v>
      </c>
      <c r="J303" s="5" t="s">
        <v>2965</v>
      </c>
      <c r="K303" s="115">
        <v>43922</v>
      </c>
      <c r="M303" s="12"/>
      <c r="N303" s="45">
        <v>1933.56</v>
      </c>
      <c r="O303" s="4" t="s">
        <v>15</v>
      </c>
      <c r="P303" s="4"/>
      <c r="Q303" s="45">
        <f t="shared" si="31"/>
        <v>1933.56</v>
      </c>
      <c r="R303" s="3">
        <f t="shared" si="29"/>
        <v>0</v>
      </c>
    </row>
    <row r="304" spans="2:19" hidden="1" x14ac:dyDescent="0.25">
      <c r="B304" s="5" t="s">
        <v>12228</v>
      </c>
      <c r="C304" s="4" t="s">
        <v>2453</v>
      </c>
      <c r="E304" s="5" t="s">
        <v>75</v>
      </c>
      <c r="G304" s="146" t="s">
        <v>98</v>
      </c>
      <c r="H304" s="7" t="s">
        <v>2963</v>
      </c>
      <c r="I304" s="7" t="s">
        <v>7914</v>
      </c>
      <c r="J304" s="5" t="s">
        <v>2966</v>
      </c>
      <c r="K304" s="115">
        <v>43922</v>
      </c>
      <c r="M304" s="12"/>
      <c r="N304" s="45">
        <v>201.83</v>
      </c>
      <c r="O304" s="4" t="s">
        <v>15</v>
      </c>
      <c r="P304" s="4"/>
      <c r="Q304" s="45">
        <f t="shared" si="31"/>
        <v>201.83</v>
      </c>
      <c r="R304" s="3">
        <f t="shared" si="29"/>
        <v>0</v>
      </c>
    </row>
    <row r="305" spans="1:18" hidden="1" x14ac:dyDescent="0.25">
      <c r="B305" s="5" t="s">
        <v>12228</v>
      </c>
      <c r="C305" s="4" t="s">
        <v>2453</v>
      </c>
      <c r="E305" s="5" t="s">
        <v>75</v>
      </c>
      <c r="G305" s="146" t="s">
        <v>98</v>
      </c>
      <c r="H305" s="7" t="s">
        <v>2963</v>
      </c>
      <c r="I305" s="7" t="s">
        <v>7914</v>
      </c>
      <c r="J305" s="5" t="s">
        <v>2967</v>
      </c>
      <c r="K305" s="115">
        <v>43922</v>
      </c>
      <c r="M305" s="12"/>
      <c r="N305" s="45">
        <v>1111.02</v>
      </c>
      <c r="O305" s="4" t="s">
        <v>15</v>
      </c>
      <c r="P305" s="4"/>
      <c r="Q305" s="45">
        <f t="shared" si="31"/>
        <v>1111.02</v>
      </c>
      <c r="R305" s="3">
        <f t="shared" si="29"/>
        <v>0</v>
      </c>
    </row>
    <row r="306" spans="1:18" hidden="1" x14ac:dyDescent="0.25">
      <c r="B306" s="5" t="s">
        <v>12228</v>
      </c>
      <c r="C306" s="4" t="s">
        <v>2453</v>
      </c>
      <c r="E306" s="5" t="s">
        <v>75</v>
      </c>
      <c r="G306" s="146" t="s">
        <v>98</v>
      </c>
      <c r="H306" s="7" t="s">
        <v>2963</v>
      </c>
      <c r="I306" s="7" t="s">
        <v>7914</v>
      </c>
      <c r="J306" s="5" t="s">
        <v>2968</v>
      </c>
      <c r="K306" s="115">
        <v>43922</v>
      </c>
      <c r="M306" s="12"/>
      <c r="N306" s="45">
        <v>4112.97</v>
      </c>
      <c r="O306" s="4" t="s">
        <v>15</v>
      </c>
      <c r="P306" s="4"/>
      <c r="Q306" s="45">
        <f t="shared" si="31"/>
        <v>4112.97</v>
      </c>
      <c r="R306" s="3">
        <f t="shared" si="29"/>
        <v>0</v>
      </c>
    </row>
    <row r="307" spans="1:18" hidden="1" x14ac:dyDescent="0.25">
      <c r="B307" s="5" t="s">
        <v>12228</v>
      </c>
      <c r="C307" s="4" t="s">
        <v>2450</v>
      </c>
      <c r="E307" s="5" t="s">
        <v>10</v>
      </c>
      <c r="G307" s="146" t="s">
        <v>98</v>
      </c>
      <c r="H307" s="7" t="s">
        <v>5047</v>
      </c>
      <c r="I307" s="7" t="s">
        <v>8048</v>
      </c>
      <c r="J307" s="5" t="s">
        <v>5048</v>
      </c>
      <c r="N307" s="45">
        <v>4989.43</v>
      </c>
      <c r="O307" s="4" t="s">
        <v>15</v>
      </c>
      <c r="Q307" s="45">
        <f t="shared" si="31"/>
        <v>4989.43</v>
      </c>
      <c r="R307" s="3">
        <f t="shared" si="29"/>
        <v>0</v>
      </c>
    </row>
    <row r="308" spans="1:18" hidden="1" x14ac:dyDescent="0.25">
      <c r="A308" t="s">
        <v>6753</v>
      </c>
      <c r="B308" s="21" t="s">
        <v>395</v>
      </c>
      <c r="C308" s="22" t="s">
        <v>2459</v>
      </c>
      <c r="D308" s="22"/>
      <c r="E308" s="21" t="s">
        <v>75</v>
      </c>
      <c r="F308" s="21"/>
      <c r="G308" s="147" t="s">
        <v>98</v>
      </c>
      <c r="H308" s="23" t="s">
        <v>6763</v>
      </c>
      <c r="I308" s="23" t="s">
        <v>8162</v>
      </c>
      <c r="J308" s="21" t="s">
        <v>6764</v>
      </c>
      <c r="K308" s="120"/>
      <c r="L308" s="21" t="s">
        <v>6864</v>
      </c>
      <c r="M308" s="26">
        <v>44742</v>
      </c>
      <c r="N308" s="44">
        <v>258</v>
      </c>
      <c r="O308" s="22" t="s">
        <v>15</v>
      </c>
      <c r="P308" s="114">
        <v>258</v>
      </c>
      <c r="Q308" s="24">
        <f t="shared" si="31"/>
        <v>0</v>
      </c>
      <c r="R308" s="24">
        <f t="shared" ref="R308:R339" si="32">IF(P308="OK",N308-Q308,IF(P308="en cours",N308-Q308,P308))</f>
        <v>258</v>
      </c>
    </row>
    <row r="309" spans="1:18" hidden="1" x14ac:dyDescent="0.25">
      <c r="A309" t="s">
        <v>6753</v>
      </c>
      <c r="B309" s="21" t="s">
        <v>395</v>
      </c>
      <c r="C309" s="22" t="s">
        <v>4542</v>
      </c>
      <c r="D309" s="22"/>
      <c r="E309" s="21" t="s">
        <v>75</v>
      </c>
      <c r="F309" s="21"/>
      <c r="G309" s="147" t="s">
        <v>98</v>
      </c>
      <c r="H309" s="23" t="s">
        <v>7811</v>
      </c>
      <c r="I309" s="23" t="s">
        <v>8297</v>
      </c>
      <c r="J309" s="21" t="s">
        <v>7812</v>
      </c>
      <c r="K309" s="21"/>
      <c r="L309" s="21" t="s">
        <v>10488</v>
      </c>
      <c r="M309" s="26" t="s">
        <v>10489</v>
      </c>
      <c r="N309" s="44">
        <v>5512.35</v>
      </c>
      <c r="O309" s="22" t="s">
        <v>15</v>
      </c>
      <c r="P309" s="44">
        <f>5267.37+555.16</f>
        <v>5822.53</v>
      </c>
      <c r="Q309" s="44">
        <f t="shared" si="31"/>
        <v>0</v>
      </c>
      <c r="R309" s="24">
        <f t="shared" si="32"/>
        <v>5822.53</v>
      </c>
    </row>
    <row r="310" spans="1:18" hidden="1" x14ac:dyDescent="0.25">
      <c r="B310" s="5" t="s">
        <v>12228</v>
      </c>
      <c r="C310" s="4" t="s">
        <v>1940</v>
      </c>
      <c r="E310" s="5" t="s">
        <v>75</v>
      </c>
      <c r="G310" s="146" t="s">
        <v>98</v>
      </c>
      <c r="H310" s="7" t="s">
        <v>5045</v>
      </c>
      <c r="I310" s="7" t="s">
        <v>8047</v>
      </c>
      <c r="J310" s="5" t="s">
        <v>5046</v>
      </c>
      <c r="L310" s="5" t="s">
        <v>5326</v>
      </c>
      <c r="M310" s="12">
        <v>44377</v>
      </c>
      <c r="N310" s="45">
        <v>3895.52</v>
      </c>
      <c r="O310" s="4" t="s">
        <v>15</v>
      </c>
      <c r="P310" s="45">
        <v>3161.41</v>
      </c>
      <c r="Q310" s="45">
        <f t="shared" si="31"/>
        <v>734.11000000000013</v>
      </c>
      <c r="R310" s="3">
        <f t="shared" si="32"/>
        <v>3161.41</v>
      </c>
    </row>
    <row r="311" spans="1:18" hidden="1" x14ac:dyDescent="0.25">
      <c r="A311" t="s">
        <v>6753</v>
      </c>
      <c r="B311" s="21" t="s">
        <v>395</v>
      </c>
      <c r="C311" s="22" t="s">
        <v>2457</v>
      </c>
      <c r="D311" s="22"/>
      <c r="E311" s="21" t="s">
        <v>75</v>
      </c>
      <c r="F311" s="21"/>
      <c r="G311" s="147" t="s">
        <v>98</v>
      </c>
      <c r="H311" s="23" t="s">
        <v>8479</v>
      </c>
      <c r="I311" s="23" t="s">
        <v>8480</v>
      </c>
      <c r="J311" s="21" t="s">
        <v>8481</v>
      </c>
      <c r="K311" s="21"/>
      <c r="L311" s="21" t="s">
        <v>8662</v>
      </c>
      <c r="M311" s="26" t="s">
        <v>8663</v>
      </c>
      <c r="N311" s="44">
        <v>2610.33</v>
      </c>
      <c r="O311" s="22" t="s">
        <v>15</v>
      </c>
      <c r="P311" s="44">
        <f>556.24+1940.74+192.67+456.97</f>
        <v>3146.62</v>
      </c>
      <c r="Q311" s="44">
        <f t="shared" si="31"/>
        <v>0</v>
      </c>
      <c r="R311" s="24">
        <f t="shared" si="32"/>
        <v>3146.62</v>
      </c>
    </row>
    <row r="312" spans="1:18" hidden="1" x14ac:dyDescent="0.25">
      <c r="A312" t="s">
        <v>6753</v>
      </c>
      <c r="B312" s="21" t="s">
        <v>395</v>
      </c>
      <c r="C312" s="22" t="s">
        <v>2460</v>
      </c>
      <c r="D312" s="22"/>
      <c r="E312" s="21" t="s">
        <v>75</v>
      </c>
      <c r="F312" s="21"/>
      <c r="G312" s="147" t="s">
        <v>98</v>
      </c>
      <c r="H312" s="23" t="s">
        <v>8522</v>
      </c>
      <c r="I312" s="23" t="s">
        <v>8523</v>
      </c>
      <c r="J312" s="21" t="s">
        <v>8897</v>
      </c>
      <c r="K312" s="21"/>
      <c r="L312" s="21" t="s">
        <v>9048</v>
      </c>
      <c r="M312" s="26" t="s">
        <v>9049</v>
      </c>
      <c r="N312" s="44">
        <v>9731.6</v>
      </c>
      <c r="O312" s="22" t="s">
        <v>15</v>
      </c>
      <c r="P312" s="44">
        <f>1165.14+222.03+4528.57+6499.8</f>
        <v>12415.54</v>
      </c>
      <c r="Q312" s="44">
        <f t="shared" si="31"/>
        <v>0</v>
      </c>
      <c r="R312" s="116">
        <f t="shared" si="32"/>
        <v>12415.54</v>
      </c>
    </row>
    <row r="313" spans="1:18" hidden="1" x14ac:dyDescent="0.25">
      <c r="B313" s="5" t="s">
        <v>12228</v>
      </c>
      <c r="C313" s="4" t="s">
        <v>2459</v>
      </c>
      <c r="E313" s="5" t="s">
        <v>75</v>
      </c>
      <c r="G313" s="146" t="s">
        <v>98</v>
      </c>
      <c r="H313" s="7" t="s">
        <v>6928</v>
      </c>
      <c r="I313" s="7" t="s">
        <v>8181</v>
      </c>
      <c r="J313" s="5" t="s">
        <v>7034</v>
      </c>
      <c r="L313" s="5" t="s">
        <v>7120</v>
      </c>
      <c r="M313" s="12">
        <v>44834</v>
      </c>
      <c r="N313" s="45">
        <v>1069.48</v>
      </c>
      <c r="O313" s="4" t="s">
        <v>15</v>
      </c>
      <c r="P313" s="45">
        <v>521.83000000000004</v>
      </c>
      <c r="Q313" s="3">
        <f t="shared" si="31"/>
        <v>547.65</v>
      </c>
      <c r="R313" s="3">
        <f t="shared" si="32"/>
        <v>521.83000000000004</v>
      </c>
    </row>
    <row r="314" spans="1:18" hidden="1" x14ac:dyDescent="0.25">
      <c r="B314" s="5" t="s">
        <v>12228</v>
      </c>
      <c r="C314" s="4" t="s">
        <v>2456</v>
      </c>
      <c r="E314" s="5" t="s">
        <v>75</v>
      </c>
      <c r="G314" s="146" t="s">
        <v>98</v>
      </c>
      <c r="H314" s="7" t="s">
        <v>1992</v>
      </c>
      <c r="I314" s="7" t="s">
        <v>7889</v>
      </c>
      <c r="J314" s="5" t="s">
        <v>1993</v>
      </c>
      <c r="K314" s="13">
        <v>43983</v>
      </c>
      <c r="L314" s="5" t="s">
        <v>2666</v>
      </c>
      <c r="M314" s="12">
        <v>43769</v>
      </c>
      <c r="N314" s="45">
        <v>2882.24</v>
      </c>
      <c r="O314" s="4" t="s">
        <v>15</v>
      </c>
      <c r="P314" s="4">
        <f>(272.98+257.87)</f>
        <v>530.85</v>
      </c>
      <c r="Q314" s="3">
        <f t="shared" si="31"/>
        <v>2351.39</v>
      </c>
      <c r="R314" s="25">
        <f t="shared" si="32"/>
        <v>530.85</v>
      </c>
    </row>
    <row r="315" spans="1:18" hidden="1" x14ac:dyDescent="0.25">
      <c r="A315" t="s">
        <v>6753</v>
      </c>
      <c r="B315" s="21" t="s">
        <v>395</v>
      </c>
      <c r="C315" s="22" t="s">
        <v>2456</v>
      </c>
      <c r="D315" s="22"/>
      <c r="E315" s="21" t="s">
        <v>75</v>
      </c>
      <c r="F315" s="21"/>
      <c r="G315" s="147" t="s">
        <v>98</v>
      </c>
      <c r="H315" s="23" t="s">
        <v>1992</v>
      </c>
      <c r="I315" s="23" t="s">
        <v>7889</v>
      </c>
      <c r="J315" s="21" t="s">
        <v>1994</v>
      </c>
      <c r="K315" s="120"/>
      <c r="L315" s="21" t="s">
        <v>2666</v>
      </c>
      <c r="M315" s="26">
        <v>43769</v>
      </c>
      <c r="N315" s="44">
        <f>624.13/3</f>
        <v>208.04333333333332</v>
      </c>
      <c r="O315" s="22" t="s">
        <v>15</v>
      </c>
      <c r="P315" s="22" t="s">
        <v>19</v>
      </c>
      <c r="Q315" s="24">
        <f t="shared" si="31"/>
        <v>0</v>
      </c>
      <c r="R315" s="116">
        <f t="shared" si="32"/>
        <v>208.04333333333332</v>
      </c>
    </row>
    <row r="316" spans="1:18" hidden="1" x14ac:dyDescent="0.25">
      <c r="A316" t="s">
        <v>6753</v>
      </c>
      <c r="B316" s="21" t="s">
        <v>395</v>
      </c>
      <c r="C316" s="22" t="s">
        <v>2456</v>
      </c>
      <c r="D316" s="22"/>
      <c r="E316" s="21" t="s">
        <v>75</v>
      </c>
      <c r="F316" s="21"/>
      <c r="G316" s="147" t="s">
        <v>98</v>
      </c>
      <c r="H316" s="23" t="s">
        <v>1992</v>
      </c>
      <c r="I316" s="23" t="s">
        <v>7889</v>
      </c>
      <c r="J316" s="21" t="s">
        <v>1994</v>
      </c>
      <c r="K316" s="120"/>
      <c r="L316" s="21" t="s">
        <v>2666</v>
      </c>
      <c r="M316" s="26">
        <v>43769</v>
      </c>
      <c r="N316" s="44">
        <f>624.13/3</f>
        <v>208.04333333333332</v>
      </c>
      <c r="O316" s="22" t="s">
        <v>15</v>
      </c>
      <c r="P316" s="22" t="s">
        <v>19</v>
      </c>
      <c r="Q316" s="24">
        <f t="shared" si="31"/>
        <v>0</v>
      </c>
      <c r="R316" s="116">
        <f t="shared" si="32"/>
        <v>208.04333333333332</v>
      </c>
    </row>
    <row r="317" spans="1:18" hidden="1" x14ac:dyDescent="0.25">
      <c r="B317" s="5" t="s">
        <v>12228</v>
      </c>
      <c r="C317" s="4" t="s">
        <v>2456</v>
      </c>
      <c r="E317" s="5" t="s">
        <v>75</v>
      </c>
      <c r="G317" s="146" t="s">
        <v>98</v>
      </c>
      <c r="H317" s="7" t="s">
        <v>1992</v>
      </c>
      <c r="I317" s="7" t="s">
        <v>7889</v>
      </c>
      <c r="J317" s="5" t="s">
        <v>1994</v>
      </c>
      <c r="K317" s="13">
        <v>43983</v>
      </c>
      <c r="L317" s="5" t="s">
        <v>2666</v>
      </c>
      <c r="M317" s="12">
        <v>43769</v>
      </c>
      <c r="N317" s="45">
        <f>624.13/3</f>
        <v>208.04333333333332</v>
      </c>
      <c r="O317" s="4" t="s">
        <v>15</v>
      </c>
      <c r="P317" s="45">
        <v>110</v>
      </c>
      <c r="Q317" s="3">
        <f t="shared" si="31"/>
        <v>98.043333333333322</v>
      </c>
      <c r="R317" s="25">
        <f t="shared" si="32"/>
        <v>110</v>
      </c>
    </row>
    <row r="318" spans="1:18" hidden="1" x14ac:dyDescent="0.25">
      <c r="B318" s="5" t="s">
        <v>12228</v>
      </c>
      <c r="C318" s="4" t="s">
        <v>2459</v>
      </c>
      <c r="E318" s="5" t="s">
        <v>75</v>
      </c>
      <c r="G318" s="146" t="s">
        <v>98</v>
      </c>
      <c r="H318" s="7" t="s">
        <v>7142</v>
      </c>
      <c r="I318" s="7" t="s">
        <v>8195</v>
      </c>
      <c r="J318" s="5" t="s">
        <v>7033</v>
      </c>
      <c r="L318" s="5" t="s">
        <v>9167</v>
      </c>
      <c r="M318" s="12" t="s">
        <v>9168</v>
      </c>
      <c r="N318" s="45">
        <v>9645</v>
      </c>
      <c r="O318" s="4" t="s">
        <v>15</v>
      </c>
      <c r="P318" s="45">
        <f>4503.57+230.75</f>
        <v>4734.32</v>
      </c>
      <c r="Q318" s="3">
        <f t="shared" si="31"/>
        <v>4910.68</v>
      </c>
      <c r="R318" s="3">
        <f t="shared" si="32"/>
        <v>4734.32</v>
      </c>
    </row>
    <row r="319" spans="1:18" hidden="1" x14ac:dyDescent="0.25">
      <c r="B319" s="5" t="s">
        <v>12228</v>
      </c>
      <c r="C319" s="4" t="s">
        <v>2456</v>
      </c>
      <c r="E319" s="5" t="s">
        <v>75</v>
      </c>
      <c r="G319" s="146" t="s">
        <v>98</v>
      </c>
      <c r="H319" s="7" t="s">
        <v>958</v>
      </c>
      <c r="J319" s="5" t="s">
        <v>957</v>
      </c>
      <c r="K319" s="13"/>
      <c r="L319" s="5" t="s">
        <v>12746</v>
      </c>
      <c r="M319" s="12">
        <v>43496</v>
      </c>
      <c r="N319" s="45">
        <v>1931</v>
      </c>
      <c r="O319" s="4" t="s">
        <v>15</v>
      </c>
      <c r="P319" s="4">
        <v>624.48</v>
      </c>
      <c r="Q319" s="3">
        <f t="shared" si="31"/>
        <v>1306.52</v>
      </c>
      <c r="R319" s="3">
        <f t="shared" si="32"/>
        <v>624.48</v>
      </c>
    </row>
    <row r="320" spans="1:18" hidden="1" x14ac:dyDescent="0.25">
      <c r="B320" s="5" t="s">
        <v>12228</v>
      </c>
      <c r="C320" s="4" t="s">
        <v>2450</v>
      </c>
      <c r="D320" s="4" t="s">
        <v>4614</v>
      </c>
      <c r="E320" s="5" t="s">
        <v>10</v>
      </c>
      <c r="G320" s="146" t="s">
        <v>98</v>
      </c>
      <c r="H320" s="7" t="s">
        <v>4180</v>
      </c>
      <c r="I320" s="7" t="s">
        <v>8002</v>
      </c>
      <c r="J320" s="5" t="s">
        <v>4181</v>
      </c>
      <c r="K320" s="115">
        <v>44287</v>
      </c>
      <c r="L320" s="5" t="s">
        <v>4598</v>
      </c>
      <c r="M320" s="12" t="s">
        <v>4599</v>
      </c>
      <c r="N320" s="45">
        <v>10051.129999999999</v>
      </c>
      <c r="O320" s="4" t="s">
        <v>15</v>
      </c>
      <c r="P320" s="45">
        <f>5560.58+3749.19</f>
        <v>9309.77</v>
      </c>
      <c r="Q320" s="45">
        <f t="shared" si="31"/>
        <v>741.35999999999876</v>
      </c>
      <c r="R320" s="3">
        <f t="shared" si="32"/>
        <v>9309.77</v>
      </c>
    </row>
    <row r="321" spans="1:19" hidden="1" x14ac:dyDescent="0.25">
      <c r="A321" t="s">
        <v>6753</v>
      </c>
      <c r="B321" s="21" t="s">
        <v>395</v>
      </c>
      <c r="C321" s="22" t="s">
        <v>2450</v>
      </c>
      <c r="D321" s="22"/>
      <c r="E321" s="21" t="s">
        <v>75</v>
      </c>
      <c r="F321" s="21"/>
      <c r="G321" s="147" t="s">
        <v>98</v>
      </c>
      <c r="H321" s="23" t="s">
        <v>7586</v>
      </c>
      <c r="I321" s="23" t="s">
        <v>8267</v>
      </c>
      <c r="J321" s="21" t="s">
        <v>7600</v>
      </c>
      <c r="K321" s="21"/>
      <c r="L321" s="21" t="s">
        <v>7598</v>
      </c>
      <c r="M321" s="26">
        <v>44957</v>
      </c>
      <c r="N321" s="44">
        <v>3221.64</v>
      </c>
      <c r="O321" s="22" t="s">
        <v>15</v>
      </c>
      <c r="P321" s="44">
        <v>3221.64</v>
      </c>
      <c r="Q321" s="44">
        <f t="shared" si="31"/>
        <v>0</v>
      </c>
      <c r="R321" s="24">
        <f t="shared" si="32"/>
        <v>3221.64</v>
      </c>
    </row>
    <row r="322" spans="1:19" hidden="1" x14ac:dyDescent="0.25">
      <c r="A322" t="s">
        <v>6753</v>
      </c>
      <c r="B322" s="21" t="s">
        <v>395</v>
      </c>
      <c r="C322" s="22" t="s">
        <v>3916</v>
      </c>
      <c r="D322" s="22"/>
      <c r="E322" s="21" t="s">
        <v>75</v>
      </c>
      <c r="F322" s="21"/>
      <c r="G322" s="147" t="s">
        <v>98</v>
      </c>
      <c r="H322" s="23" t="s">
        <v>7589</v>
      </c>
      <c r="I322" s="23" t="s">
        <v>8259</v>
      </c>
      <c r="J322" s="21" t="s">
        <v>7600</v>
      </c>
      <c r="K322" s="21"/>
      <c r="L322" s="21" t="s">
        <v>7591</v>
      </c>
      <c r="M322" s="26">
        <v>44957</v>
      </c>
      <c r="N322" s="44">
        <v>9556.7999999999993</v>
      </c>
      <c r="O322" s="22" t="s">
        <v>15</v>
      </c>
      <c r="P322" s="44">
        <v>9556.7999999999993</v>
      </c>
      <c r="Q322" s="44">
        <f t="shared" si="31"/>
        <v>0</v>
      </c>
      <c r="R322" s="24">
        <f t="shared" si="32"/>
        <v>9556.7999999999993</v>
      </c>
    </row>
    <row r="323" spans="1:19" hidden="1" x14ac:dyDescent="0.25">
      <c r="A323" t="s">
        <v>6753</v>
      </c>
      <c r="B323" s="21" t="s">
        <v>395</v>
      </c>
      <c r="C323" s="22" t="s">
        <v>1940</v>
      </c>
      <c r="D323" s="22"/>
      <c r="E323" s="21" t="s">
        <v>75</v>
      </c>
      <c r="F323" s="21"/>
      <c r="G323" s="147" t="s">
        <v>98</v>
      </c>
      <c r="H323" s="23" t="s">
        <v>7578</v>
      </c>
      <c r="I323" s="23" t="s">
        <v>8260</v>
      </c>
      <c r="J323" s="21" t="s">
        <v>7600</v>
      </c>
      <c r="K323" s="21"/>
      <c r="L323" s="21" t="s">
        <v>7592</v>
      </c>
      <c r="M323" s="26">
        <v>44957</v>
      </c>
      <c r="N323" s="44">
        <v>1455.36</v>
      </c>
      <c r="O323" s="22" t="s">
        <v>15</v>
      </c>
      <c r="P323" s="44">
        <v>1455.36</v>
      </c>
      <c r="Q323" s="44">
        <f t="shared" si="31"/>
        <v>0</v>
      </c>
      <c r="R323" s="24">
        <f t="shared" si="32"/>
        <v>1455.36</v>
      </c>
    </row>
    <row r="324" spans="1:19" hidden="1" x14ac:dyDescent="0.25">
      <c r="A324" t="s">
        <v>6753</v>
      </c>
      <c r="B324" s="21" t="s">
        <v>395</v>
      </c>
      <c r="C324" s="22" t="s">
        <v>2450</v>
      </c>
      <c r="D324" s="22"/>
      <c r="E324" s="21" t="s">
        <v>75</v>
      </c>
      <c r="F324" s="21"/>
      <c r="G324" s="147" t="s">
        <v>98</v>
      </c>
      <c r="H324" s="23" t="s">
        <v>7587</v>
      </c>
      <c r="I324" s="23" t="s">
        <v>8269</v>
      </c>
      <c r="J324" s="21" t="s">
        <v>7600</v>
      </c>
      <c r="K324" s="21"/>
      <c r="L324" s="21" t="s">
        <v>7599</v>
      </c>
      <c r="M324" s="26">
        <v>44957</v>
      </c>
      <c r="N324" s="44">
        <v>2699.76</v>
      </c>
      <c r="O324" s="22" t="s">
        <v>15</v>
      </c>
      <c r="P324" s="44">
        <v>2699.76</v>
      </c>
      <c r="Q324" s="44">
        <f t="shared" si="31"/>
        <v>0</v>
      </c>
      <c r="R324" s="24">
        <f t="shared" si="32"/>
        <v>2699.76</v>
      </c>
    </row>
    <row r="325" spans="1:19" hidden="1" x14ac:dyDescent="0.25">
      <c r="A325" t="s">
        <v>6753</v>
      </c>
      <c r="B325" s="21" t="s">
        <v>395</v>
      </c>
      <c r="C325" s="22" t="s">
        <v>2450</v>
      </c>
      <c r="D325" s="22"/>
      <c r="E325" s="21" t="s">
        <v>75</v>
      </c>
      <c r="F325" s="21"/>
      <c r="G325" s="147" t="s">
        <v>98</v>
      </c>
      <c r="H325" s="23" t="s">
        <v>7585</v>
      </c>
      <c r="I325" s="23" t="s">
        <v>8266</v>
      </c>
      <c r="J325" s="21" t="s">
        <v>7600</v>
      </c>
      <c r="K325" s="21"/>
      <c r="L325" s="21" t="s">
        <v>7584</v>
      </c>
      <c r="M325" s="26">
        <v>44957</v>
      </c>
      <c r="N325" s="44">
        <v>5598.12</v>
      </c>
      <c r="O325" s="22" t="s">
        <v>15</v>
      </c>
      <c r="P325" s="44">
        <v>5598.12</v>
      </c>
      <c r="Q325" s="44">
        <f t="shared" si="31"/>
        <v>0</v>
      </c>
      <c r="R325" s="24">
        <f t="shared" si="32"/>
        <v>5598.12</v>
      </c>
    </row>
    <row r="326" spans="1:19" hidden="1" x14ac:dyDescent="0.25">
      <c r="A326" t="s">
        <v>6753</v>
      </c>
      <c r="B326" s="21" t="s">
        <v>395</v>
      </c>
      <c r="C326" s="22" t="s">
        <v>2450</v>
      </c>
      <c r="D326" s="22"/>
      <c r="E326" s="21" t="s">
        <v>75</v>
      </c>
      <c r="F326" s="21"/>
      <c r="G326" s="147" t="s">
        <v>98</v>
      </c>
      <c r="H326" s="23" t="s">
        <v>7579</v>
      </c>
      <c r="I326" s="23" t="s">
        <v>8261</v>
      </c>
      <c r="J326" s="21" t="s">
        <v>7600</v>
      </c>
      <c r="K326" s="21"/>
      <c r="L326" s="21" t="s">
        <v>7593</v>
      </c>
      <c r="M326" s="26">
        <v>44957</v>
      </c>
      <c r="N326" s="44">
        <v>1251.48</v>
      </c>
      <c r="O326" s="22" t="s">
        <v>15</v>
      </c>
      <c r="P326" s="44">
        <v>1251.48</v>
      </c>
      <c r="Q326" s="44">
        <f t="shared" si="31"/>
        <v>0</v>
      </c>
      <c r="R326" s="24">
        <f t="shared" si="32"/>
        <v>1251.48</v>
      </c>
    </row>
    <row r="327" spans="1:19" hidden="1" x14ac:dyDescent="0.25">
      <c r="A327" t="s">
        <v>6753</v>
      </c>
      <c r="B327" s="21" t="s">
        <v>395</v>
      </c>
      <c r="C327" s="22" t="s">
        <v>2427</v>
      </c>
      <c r="D327" s="22"/>
      <c r="E327" s="21" t="s">
        <v>75</v>
      </c>
      <c r="F327" s="21"/>
      <c r="G327" s="147" t="s">
        <v>98</v>
      </c>
      <c r="H327" s="23" t="s">
        <v>7583</v>
      </c>
      <c r="I327" s="23" t="s">
        <v>8265</v>
      </c>
      <c r="J327" s="21" t="s">
        <v>7600</v>
      </c>
      <c r="K327" s="21"/>
      <c r="L327" s="21" t="s">
        <v>7597</v>
      </c>
      <c r="M327" s="26">
        <v>44957</v>
      </c>
      <c r="N327" s="44">
        <v>754.2</v>
      </c>
      <c r="O327" s="22" t="s">
        <v>15</v>
      </c>
      <c r="P327" s="44">
        <v>754.2</v>
      </c>
      <c r="Q327" s="44">
        <f t="shared" si="31"/>
        <v>0</v>
      </c>
      <c r="R327" s="24">
        <f t="shared" si="32"/>
        <v>754.2</v>
      </c>
    </row>
    <row r="328" spans="1:19" hidden="1" x14ac:dyDescent="0.25">
      <c r="A328" t="s">
        <v>6753</v>
      </c>
      <c r="B328" s="21" t="s">
        <v>395</v>
      </c>
      <c r="C328" s="22" t="s">
        <v>2456</v>
      </c>
      <c r="D328" s="22"/>
      <c r="E328" s="21" t="s">
        <v>75</v>
      </c>
      <c r="F328" s="21"/>
      <c r="G328" s="147" t="s">
        <v>98</v>
      </c>
      <c r="H328" s="23" t="s">
        <v>7582</v>
      </c>
      <c r="I328" s="23" t="s">
        <v>8264</v>
      </c>
      <c r="J328" s="21" t="s">
        <v>7600</v>
      </c>
      <c r="K328" s="21"/>
      <c r="L328" s="21" t="s">
        <v>7596</v>
      </c>
      <c r="M328" s="26">
        <v>44957</v>
      </c>
      <c r="N328" s="44">
        <v>2591.88</v>
      </c>
      <c r="O328" s="22" t="s">
        <v>15</v>
      </c>
      <c r="P328" s="44">
        <v>2591.88</v>
      </c>
      <c r="Q328" s="44">
        <f t="shared" si="31"/>
        <v>0</v>
      </c>
      <c r="R328" s="24">
        <f t="shared" si="32"/>
        <v>2591.88</v>
      </c>
    </row>
    <row r="329" spans="1:19" hidden="1" x14ac:dyDescent="0.25">
      <c r="A329" t="s">
        <v>6753</v>
      </c>
      <c r="B329" s="21" t="s">
        <v>395</v>
      </c>
      <c r="C329" s="22" t="s">
        <v>2450</v>
      </c>
      <c r="D329" s="22"/>
      <c r="E329" s="21" t="s">
        <v>10</v>
      </c>
      <c r="F329" s="21"/>
      <c r="G329" s="147" t="s">
        <v>98</v>
      </c>
      <c r="H329" s="23" t="s">
        <v>7601</v>
      </c>
      <c r="I329" s="23" t="s">
        <v>8268</v>
      </c>
      <c r="J329" s="21" t="s">
        <v>7600</v>
      </c>
      <c r="K329" s="21"/>
      <c r="L329" s="21" t="s">
        <v>7602</v>
      </c>
      <c r="M329" s="26">
        <v>44957</v>
      </c>
      <c r="N329" s="44">
        <v>8363.7099999999991</v>
      </c>
      <c r="O329" s="22" t="s">
        <v>15</v>
      </c>
      <c r="P329" s="44">
        <v>8363.7099999999991</v>
      </c>
      <c r="Q329" s="44">
        <f t="shared" si="31"/>
        <v>0</v>
      </c>
      <c r="R329" s="24">
        <f t="shared" si="32"/>
        <v>8363.7099999999991</v>
      </c>
    </row>
    <row r="330" spans="1:19" hidden="1" x14ac:dyDescent="0.25">
      <c r="A330" t="s">
        <v>6753</v>
      </c>
      <c r="B330" s="21" t="s">
        <v>395</v>
      </c>
      <c r="C330" s="22" t="s">
        <v>158</v>
      </c>
      <c r="D330" s="22"/>
      <c r="E330" s="21" t="s">
        <v>10</v>
      </c>
      <c r="F330" s="21"/>
      <c r="G330" s="147" t="s">
        <v>98</v>
      </c>
      <c r="H330" s="23" t="s">
        <v>7588</v>
      </c>
      <c r="I330" s="23" t="s">
        <v>8258</v>
      </c>
      <c r="J330" s="21" t="s">
        <v>7600</v>
      </c>
      <c r="K330" s="21"/>
      <c r="L330" s="21" t="s">
        <v>7590</v>
      </c>
      <c r="M330" s="26">
        <v>44957</v>
      </c>
      <c r="N330" s="44">
        <v>8363.7099999999991</v>
      </c>
      <c r="O330" s="22" t="s">
        <v>15</v>
      </c>
      <c r="P330" s="44">
        <v>8363.7099999999991</v>
      </c>
      <c r="Q330" s="44">
        <f t="shared" si="31"/>
        <v>0</v>
      </c>
      <c r="R330" s="24">
        <f t="shared" si="32"/>
        <v>8363.7099999999991</v>
      </c>
    </row>
    <row r="331" spans="1:19" hidden="1" x14ac:dyDescent="0.25">
      <c r="A331" t="s">
        <v>6753</v>
      </c>
      <c r="B331" s="21" t="s">
        <v>395</v>
      </c>
      <c r="C331" s="22" t="s">
        <v>2461</v>
      </c>
      <c r="D331" s="22"/>
      <c r="E331" s="21" t="s">
        <v>75</v>
      </c>
      <c r="F331" s="21"/>
      <c r="G331" s="147" t="s">
        <v>98</v>
      </c>
      <c r="H331" s="23" t="s">
        <v>7581</v>
      </c>
      <c r="I331" s="23" t="s">
        <v>8263</v>
      </c>
      <c r="J331" s="21" t="s">
        <v>7600</v>
      </c>
      <c r="K331" s="21"/>
      <c r="L331" s="21" t="s">
        <v>7595</v>
      </c>
      <c r="M331" s="26">
        <v>44957</v>
      </c>
      <c r="N331" s="44">
        <v>1299.96</v>
      </c>
      <c r="O331" s="22" t="s">
        <v>15</v>
      </c>
      <c r="P331" s="44">
        <v>1299.96</v>
      </c>
      <c r="Q331" s="44">
        <f t="shared" ref="Q331:Q339" si="33">IF(P331="en cours",N331,IF(P331="OK",0,IF(N331-P331&lt;0,0,N331-P331)))</f>
        <v>0</v>
      </c>
      <c r="R331" s="24">
        <f t="shared" si="32"/>
        <v>1299.96</v>
      </c>
    </row>
    <row r="332" spans="1:19" hidden="1" x14ac:dyDescent="0.25">
      <c r="A332" t="s">
        <v>6753</v>
      </c>
      <c r="B332" s="21" t="s">
        <v>395</v>
      </c>
      <c r="C332" s="22" t="s">
        <v>2459</v>
      </c>
      <c r="D332" s="22"/>
      <c r="E332" s="21" t="s">
        <v>75</v>
      </c>
      <c r="F332" s="21"/>
      <c r="G332" s="147" t="s">
        <v>98</v>
      </c>
      <c r="H332" s="23" t="s">
        <v>7580</v>
      </c>
      <c r="I332" s="23" t="s">
        <v>8262</v>
      </c>
      <c r="J332" s="21" t="s">
        <v>7600</v>
      </c>
      <c r="K332" s="21"/>
      <c r="L332" s="21" t="s">
        <v>7594</v>
      </c>
      <c r="M332" s="26">
        <v>44957</v>
      </c>
      <c r="N332" s="44">
        <v>14730</v>
      </c>
      <c r="O332" s="22" t="s">
        <v>15</v>
      </c>
      <c r="P332" s="44">
        <v>14730</v>
      </c>
      <c r="Q332" s="44">
        <f t="shared" si="33"/>
        <v>0</v>
      </c>
      <c r="R332" s="24">
        <f t="shared" si="32"/>
        <v>14730</v>
      </c>
    </row>
    <row r="333" spans="1:19" hidden="1" x14ac:dyDescent="0.25">
      <c r="A333" t="s">
        <v>6753</v>
      </c>
      <c r="B333" s="21" t="s">
        <v>395</v>
      </c>
      <c r="C333" s="22" t="s">
        <v>2450</v>
      </c>
      <c r="D333" s="22"/>
      <c r="E333" s="21" t="s">
        <v>75</v>
      </c>
      <c r="F333" s="21"/>
      <c r="G333" s="147" t="s">
        <v>9154</v>
      </c>
      <c r="H333" s="23" t="s">
        <v>9155</v>
      </c>
      <c r="I333" s="23" t="s">
        <v>9156</v>
      </c>
      <c r="J333" s="21" t="s">
        <v>9157</v>
      </c>
      <c r="K333" s="21"/>
      <c r="L333" s="21"/>
      <c r="M333" s="26"/>
      <c r="N333" s="44">
        <v>0</v>
      </c>
      <c r="O333" s="22" t="s">
        <v>15</v>
      </c>
      <c r="P333" s="44" t="s">
        <v>19</v>
      </c>
      <c r="Q333" s="44">
        <f t="shared" si="33"/>
        <v>0</v>
      </c>
      <c r="R333" s="24">
        <f t="shared" si="32"/>
        <v>0</v>
      </c>
      <c r="S333" s="5" t="s">
        <v>9326</v>
      </c>
    </row>
    <row r="334" spans="1:19" hidden="1" x14ac:dyDescent="0.25">
      <c r="B334" s="5" t="s">
        <v>12228</v>
      </c>
      <c r="C334" s="4" t="s">
        <v>3916</v>
      </c>
      <c r="E334" s="5" t="s">
        <v>75</v>
      </c>
      <c r="G334" s="146" t="s">
        <v>9154</v>
      </c>
      <c r="H334" s="7" t="s">
        <v>9324</v>
      </c>
      <c r="I334" s="7" t="s">
        <v>9325</v>
      </c>
      <c r="J334" s="5" t="s">
        <v>9157</v>
      </c>
      <c r="L334" s="5" t="s">
        <v>9902</v>
      </c>
      <c r="M334" s="12" t="s">
        <v>9903</v>
      </c>
      <c r="N334" s="45">
        <v>6791.13</v>
      </c>
      <c r="O334" s="4" t="s">
        <v>15</v>
      </c>
      <c r="P334" s="45">
        <f>3579.63+3136.6</f>
        <v>6716.23</v>
      </c>
      <c r="Q334" s="45">
        <f t="shared" si="33"/>
        <v>74.900000000000546</v>
      </c>
      <c r="R334" s="3">
        <f t="shared" si="32"/>
        <v>6716.23</v>
      </c>
    </row>
    <row r="335" spans="1:19" hidden="1" x14ac:dyDescent="0.25">
      <c r="C335" s="4" t="s">
        <v>10733</v>
      </c>
      <c r="E335" s="5" t="s">
        <v>75</v>
      </c>
      <c r="F335" s="5" t="s">
        <v>9767</v>
      </c>
      <c r="G335" s="146" t="s">
        <v>11153</v>
      </c>
      <c r="H335" s="7" t="s">
        <v>11979</v>
      </c>
      <c r="I335" s="7" t="s">
        <v>11980</v>
      </c>
      <c r="J335" s="5" t="s">
        <v>11981</v>
      </c>
      <c r="L335" s="5" t="s">
        <v>13990</v>
      </c>
      <c r="M335" s="12" t="s">
        <v>13991</v>
      </c>
      <c r="N335" s="45">
        <f>153055.45+22345.1</f>
        <v>175400.55000000002</v>
      </c>
      <c r="O335" s="4" t="s">
        <v>15</v>
      </c>
      <c r="P335" s="45">
        <f>23000+2236.75+20754.65+104659.6+2404.45+5072.05</f>
        <v>158127.5</v>
      </c>
      <c r="Q335" s="45">
        <f t="shared" si="33"/>
        <v>17273.050000000017</v>
      </c>
      <c r="R335" s="45">
        <f t="shared" si="32"/>
        <v>158127.5</v>
      </c>
    </row>
    <row r="336" spans="1:19" hidden="1" x14ac:dyDescent="0.25">
      <c r="C336" s="4" t="s">
        <v>6267</v>
      </c>
      <c r="E336" s="5" t="s">
        <v>75</v>
      </c>
      <c r="F336" s="5" t="s">
        <v>9767</v>
      </c>
      <c r="G336" s="146" t="s">
        <v>9034</v>
      </c>
      <c r="H336" s="7" t="s">
        <v>12107</v>
      </c>
      <c r="I336" s="7" t="s">
        <v>12106</v>
      </c>
      <c r="J336" s="5" t="s">
        <v>8540</v>
      </c>
      <c r="L336" s="5" t="s">
        <v>14332</v>
      </c>
      <c r="M336" s="12" t="s">
        <v>14333</v>
      </c>
      <c r="N336" s="45">
        <f>968720+12638+136138</f>
        <v>1117496</v>
      </c>
      <c r="O336" s="4" t="s">
        <v>15</v>
      </c>
      <c r="P336" s="45">
        <f>25000+109700.8+17129.8+33957.01+66049.46+42434.24-263.94+64213.18+52064.8+52978.08+47262.49+46658.25+75486.05+35299.41+89907.51+39091.91+71488.61+125819.56+34892.45+3292.67+42573.34</f>
        <v>1075035.68</v>
      </c>
      <c r="Q336" s="45">
        <f t="shared" si="33"/>
        <v>42460.320000000065</v>
      </c>
      <c r="R336" s="45">
        <f t="shared" si="32"/>
        <v>1075035.68</v>
      </c>
      <c r="S336" s="5" t="s">
        <v>8543</v>
      </c>
    </row>
    <row r="337" spans="2:19" hidden="1" x14ac:dyDescent="0.25">
      <c r="C337" s="4" t="s">
        <v>6675</v>
      </c>
      <c r="E337" s="5" t="s">
        <v>75</v>
      </c>
      <c r="F337" s="5" t="s">
        <v>9767</v>
      </c>
      <c r="G337" s="146" t="s">
        <v>9034</v>
      </c>
      <c r="H337" s="7" t="s">
        <v>12105</v>
      </c>
      <c r="I337" s="7" t="s">
        <v>12104</v>
      </c>
      <c r="J337" s="5" t="s">
        <v>8541</v>
      </c>
      <c r="L337" s="5" t="s">
        <v>14334</v>
      </c>
      <c r="M337" s="12" t="s">
        <v>14335</v>
      </c>
      <c r="N337" s="45">
        <f>843107+141629</f>
        <v>984736</v>
      </c>
      <c r="O337" s="4" t="s">
        <v>15</v>
      </c>
      <c r="P337" s="45">
        <f>25000+30984.19+19839.91+33477.5+79518.01+55575.7+60018.4+51137.71+57035.86+56984.96+48110.87+67629.01+40250.08+43161.56+47814.18+58428.56 + 112698.97+34253.56+4544.67+19866.86</f>
        <v>946330.56</v>
      </c>
      <c r="Q337" s="45">
        <f t="shared" si="33"/>
        <v>38405.439999999944</v>
      </c>
      <c r="R337" s="45">
        <f t="shared" si="32"/>
        <v>946330.56</v>
      </c>
      <c r="S337" s="5" t="s">
        <v>8543</v>
      </c>
    </row>
    <row r="338" spans="2:19" hidden="1" x14ac:dyDescent="0.25">
      <c r="C338" s="4" t="s">
        <v>6047</v>
      </c>
      <c r="E338" s="5" t="s">
        <v>75</v>
      </c>
      <c r="F338" s="5" t="s">
        <v>9767</v>
      </c>
      <c r="G338" s="146" t="s">
        <v>9034</v>
      </c>
      <c r="H338" s="7" t="s">
        <v>8551</v>
      </c>
      <c r="I338" s="7" t="s">
        <v>8552</v>
      </c>
      <c r="J338" s="5" t="s">
        <v>8542</v>
      </c>
      <c r="L338" s="5" t="s">
        <v>14288</v>
      </c>
      <c r="M338" s="12" t="s">
        <v>14289</v>
      </c>
      <c r="N338" s="45">
        <v>1206002</v>
      </c>
      <c r="O338" s="4" t="s">
        <v>15</v>
      </c>
      <c r="P338" s="45">
        <f>25000+579.84+47936.23+41221.55+51019.81+18428.63+1340.02+33528.61+204139.53+216627.55+199306.52+60787.93+74909.49+67194.04</f>
        <v>1042019.7500000001</v>
      </c>
      <c r="Q338" s="45">
        <f t="shared" si="33"/>
        <v>163982.24999999988</v>
      </c>
      <c r="R338" s="45">
        <f t="shared" si="32"/>
        <v>1042019.7500000001</v>
      </c>
      <c r="S338" s="5" t="s">
        <v>8543</v>
      </c>
    </row>
    <row r="339" spans="2:19" hidden="1" x14ac:dyDescent="0.25">
      <c r="B339" s="5" t="s">
        <v>12228</v>
      </c>
      <c r="C339" s="4" t="s">
        <v>2450</v>
      </c>
      <c r="D339" s="4" t="s">
        <v>1451</v>
      </c>
      <c r="E339" s="5" t="s">
        <v>10</v>
      </c>
      <c r="G339" s="146" t="s">
        <v>4447</v>
      </c>
      <c r="H339" s="7" t="s">
        <v>3780</v>
      </c>
      <c r="I339" s="7" t="s">
        <v>7967</v>
      </c>
      <c r="J339" s="5" t="s">
        <v>3938</v>
      </c>
      <c r="K339" s="13">
        <v>44166</v>
      </c>
      <c r="N339" s="45">
        <v>3030</v>
      </c>
      <c r="O339" s="4" t="s">
        <v>15</v>
      </c>
      <c r="P339" s="4"/>
      <c r="Q339" s="3">
        <f t="shared" si="33"/>
        <v>3030</v>
      </c>
      <c r="R339" s="3">
        <f t="shared" si="32"/>
        <v>0</v>
      </c>
    </row>
    <row r="340" spans="2:19" hidden="1" x14ac:dyDescent="0.25">
      <c r="B340" s="21" t="s">
        <v>395</v>
      </c>
      <c r="C340" s="22" t="s">
        <v>2450</v>
      </c>
      <c r="D340" s="22" t="s">
        <v>1451</v>
      </c>
      <c r="E340" s="21" t="s">
        <v>10</v>
      </c>
      <c r="F340" s="21" t="s">
        <v>9830</v>
      </c>
      <c r="G340" s="147" t="s">
        <v>11104</v>
      </c>
      <c r="H340" s="23" t="s">
        <v>10954</v>
      </c>
      <c r="I340" s="23" t="s">
        <v>10958</v>
      </c>
      <c r="J340" s="21" t="s">
        <v>10959</v>
      </c>
      <c r="K340" s="21"/>
      <c r="L340" s="21" t="s">
        <v>11967</v>
      </c>
      <c r="M340" s="26" t="s">
        <v>11968</v>
      </c>
      <c r="N340" s="44">
        <f>11730</f>
        <v>11730</v>
      </c>
      <c r="O340" s="22" t="s">
        <v>15</v>
      </c>
      <c r="P340" s="44">
        <f>3519+8211</f>
        <v>11730</v>
      </c>
      <c r="Q340" s="24">
        <f t="shared" ref="Q340:Q366" si="34">IF(P340="en cours",N340,IF(P340="OK",0,IF(N340-P340&lt;0,0,N340-P340)))</f>
        <v>0</v>
      </c>
      <c r="R340" s="24">
        <f t="shared" ref="R340:R345" si="35">IF(P340="OK",N340-Q340,IF(P340="en cours",N340-Q340,P340))</f>
        <v>11730</v>
      </c>
    </row>
    <row r="341" spans="2:19" hidden="1" x14ac:dyDescent="0.25">
      <c r="C341" s="4" t="s">
        <v>2450</v>
      </c>
      <c r="D341" s="4" t="s">
        <v>1451</v>
      </c>
      <c r="E341" s="5" t="s">
        <v>10</v>
      </c>
      <c r="F341" s="5" t="s">
        <v>9830</v>
      </c>
      <c r="G341" s="146" t="s">
        <v>11104</v>
      </c>
      <c r="H341" s="7" t="s">
        <v>10955</v>
      </c>
      <c r="I341" s="7" t="s">
        <v>10958</v>
      </c>
      <c r="J341" s="5" t="s">
        <v>10959</v>
      </c>
      <c r="L341" s="5" t="s">
        <v>11105</v>
      </c>
      <c r="M341" s="12">
        <v>45681</v>
      </c>
      <c r="N341" s="45">
        <f>40590+3600+2800</f>
        <v>46990</v>
      </c>
      <c r="O341" s="4" t="s">
        <v>15</v>
      </c>
      <c r="P341" s="45">
        <f>13257</f>
        <v>13257</v>
      </c>
      <c r="Q341" s="3">
        <f t="shared" si="34"/>
        <v>33733</v>
      </c>
      <c r="R341" s="3">
        <f t="shared" si="35"/>
        <v>13257</v>
      </c>
    </row>
    <row r="342" spans="2:19" hidden="1" x14ac:dyDescent="0.25">
      <c r="C342" s="4" t="s">
        <v>2450</v>
      </c>
      <c r="D342" s="4" t="s">
        <v>1451</v>
      </c>
      <c r="E342" s="5" t="s">
        <v>10</v>
      </c>
      <c r="F342" s="5" t="s">
        <v>9830</v>
      </c>
      <c r="G342" s="146" t="s">
        <v>11104</v>
      </c>
      <c r="H342" s="7" t="s">
        <v>10956</v>
      </c>
      <c r="I342" s="7" t="s">
        <v>10958</v>
      </c>
      <c r="J342" s="5" t="s">
        <v>10959</v>
      </c>
      <c r="L342" s="5" t="s">
        <v>11107</v>
      </c>
      <c r="M342" s="12">
        <v>45681</v>
      </c>
      <c r="N342" s="45">
        <v>8980</v>
      </c>
      <c r="O342" s="4" t="s">
        <v>15</v>
      </c>
      <c r="P342" s="45">
        <f>2694</f>
        <v>2694</v>
      </c>
      <c r="Q342" s="3">
        <f t="shared" si="34"/>
        <v>6286</v>
      </c>
      <c r="R342" s="3">
        <f t="shared" si="35"/>
        <v>2694</v>
      </c>
    </row>
    <row r="343" spans="2:19" hidden="1" x14ac:dyDescent="0.25">
      <c r="C343" s="4" t="s">
        <v>2450</v>
      </c>
      <c r="D343" s="4" t="s">
        <v>1451</v>
      </c>
      <c r="E343" s="5" t="s">
        <v>10</v>
      </c>
      <c r="F343" s="5" t="s">
        <v>9830</v>
      </c>
      <c r="G343" s="146" t="s">
        <v>11104</v>
      </c>
      <c r="H343" s="7" t="s">
        <v>10957</v>
      </c>
      <c r="I343" s="7" t="s">
        <v>10958</v>
      </c>
      <c r="J343" s="5" t="s">
        <v>10959</v>
      </c>
      <c r="L343" s="5" t="s">
        <v>11106</v>
      </c>
      <c r="M343" s="12">
        <v>45681</v>
      </c>
      <c r="N343" s="45">
        <f>6230+2500</f>
        <v>8730</v>
      </c>
      <c r="O343" s="4" t="s">
        <v>15</v>
      </c>
      <c r="P343" s="45">
        <f>2619</f>
        <v>2619</v>
      </c>
      <c r="Q343" s="3">
        <f t="shared" si="34"/>
        <v>6111</v>
      </c>
      <c r="R343" s="3">
        <f t="shared" si="35"/>
        <v>2619</v>
      </c>
    </row>
    <row r="344" spans="2:19" hidden="1" x14ac:dyDescent="0.25">
      <c r="B344" s="21" t="s">
        <v>395</v>
      </c>
      <c r="C344" s="22" t="s">
        <v>2450</v>
      </c>
      <c r="D344" s="22" t="s">
        <v>1451</v>
      </c>
      <c r="E344" s="21" t="s">
        <v>10</v>
      </c>
      <c r="F344" s="21" t="s">
        <v>9830</v>
      </c>
      <c r="G344" s="147" t="s">
        <v>11104</v>
      </c>
      <c r="H344" s="23" t="s">
        <v>10952</v>
      </c>
      <c r="I344" s="23" t="s">
        <v>10958</v>
      </c>
      <c r="J344" s="21" t="s">
        <v>10959</v>
      </c>
      <c r="K344" s="21"/>
      <c r="L344" s="21" t="s">
        <v>12411</v>
      </c>
      <c r="M344" s="26" t="s">
        <v>12412</v>
      </c>
      <c r="N344" s="44">
        <v>18980</v>
      </c>
      <c r="O344" s="22" t="s">
        <v>15</v>
      </c>
      <c r="P344" s="44">
        <f>5694+13286</f>
        <v>18980</v>
      </c>
      <c r="Q344" s="24">
        <f t="shared" si="34"/>
        <v>0</v>
      </c>
      <c r="R344" s="24">
        <f t="shared" si="35"/>
        <v>18980</v>
      </c>
    </row>
    <row r="345" spans="2:19" ht="16.5" hidden="1" customHeight="1" x14ac:dyDescent="0.25">
      <c r="B345" s="21" t="s">
        <v>395</v>
      </c>
      <c r="C345" s="22" t="s">
        <v>2450</v>
      </c>
      <c r="D345" s="22" t="s">
        <v>1451</v>
      </c>
      <c r="E345" s="21" t="s">
        <v>10</v>
      </c>
      <c r="F345" s="21" t="s">
        <v>9830</v>
      </c>
      <c r="G345" s="147" t="s">
        <v>11104</v>
      </c>
      <c r="H345" s="23" t="s">
        <v>10960</v>
      </c>
      <c r="I345" s="23" t="s">
        <v>10958</v>
      </c>
      <c r="J345" s="21" t="s">
        <v>10959</v>
      </c>
      <c r="K345" s="21"/>
      <c r="L345" s="21" t="s">
        <v>12139</v>
      </c>
      <c r="M345" s="26" t="s">
        <v>12140</v>
      </c>
      <c r="N345" s="44">
        <v>22870</v>
      </c>
      <c r="O345" s="22" t="s">
        <v>15</v>
      </c>
      <c r="P345" s="44">
        <f>6861+16009</f>
        <v>22870</v>
      </c>
      <c r="Q345" s="24">
        <f t="shared" si="34"/>
        <v>0</v>
      </c>
      <c r="R345" s="24">
        <f t="shared" si="35"/>
        <v>22870</v>
      </c>
    </row>
    <row r="346" spans="2:19" hidden="1" x14ac:dyDescent="0.25">
      <c r="C346" s="4" t="s">
        <v>2450</v>
      </c>
      <c r="D346" s="4" t="s">
        <v>6259</v>
      </c>
      <c r="E346" s="5" t="s">
        <v>10</v>
      </c>
      <c r="G346" s="146" t="s">
        <v>6474</v>
      </c>
      <c r="H346" s="7" t="s">
        <v>8744</v>
      </c>
      <c r="I346" s="7" t="s">
        <v>8745</v>
      </c>
      <c r="J346" t="s">
        <v>8743</v>
      </c>
      <c r="K346" s="115"/>
      <c r="L346" s="5" t="s">
        <v>10578</v>
      </c>
      <c r="M346" s="12" t="s">
        <v>10579</v>
      </c>
      <c r="N346" s="45">
        <f>67260+6700+51772</f>
        <v>125732</v>
      </c>
      <c r="O346" s="4" t="s">
        <v>15</v>
      </c>
      <c r="P346" s="45">
        <f>22188</f>
        <v>22188</v>
      </c>
      <c r="Q346" s="45">
        <f t="shared" si="34"/>
        <v>103544</v>
      </c>
      <c r="R346" s="25">
        <f t="shared" ref="R346:R362" si="36">IF(P346="OK",N346-Q346,IF(P346="en cours",N346-Q346,P346))</f>
        <v>22188</v>
      </c>
    </row>
    <row r="347" spans="2:19" hidden="1" x14ac:dyDescent="0.25">
      <c r="C347" s="4" t="s">
        <v>2450</v>
      </c>
      <c r="D347" s="4" t="s">
        <v>6259</v>
      </c>
      <c r="E347" s="5" t="s">
        <v>10</v>
      </c>
      <c r="G347" s="146" t="s">
        <v>6474</v>
      </c>
      <c r="H347" s="7" t="s">
        <v>8746</v>
      </c>
      <c r="I347" s="7" t="s">
        <v>8745</v>
      </c>
      <c r="J347" t="s">
        <v>8743</v>
      </c>
      <c r="K347" s="115"/>
      <c r="L347" s="5" t="s">
        <v>9381</v>
      </c>
      <c r="M347" s="12">
        <v>45292</v>
      </c>
      <c r="N347" s="45">
        <v>5510</v>
      </c>
      <c r="O347" s="4" t="s">
        <v>15</v>
      </c>
      <c r="P347" s="45">
        <f>1653</f>
        <v>1653</v>
      </c>
      <c r="Q347" s="45">
        <f t="shared" si="34"/>
        <v>3857</v>
      </c>
      <c r="R347" s="25">
        <f t="shared" si="36"/>
        <v>1653</v>
      </c>
    </row>
    <row r="348" spans="2:19" hidden="1" x14ac:dyDescent="0.25">
      <c r="C348" s="4" t="s">
        <v>2450</v>
      </c>
      <c r="D348" s="4" t="s">
        <v>6259</v>
      </c>
      <c r="E348" s="5" t="s">
        <v>10</v>
      </c>
      <c r="G348" s="146" t="s">
        <v>6474</v>
      </c>
      <c r="H348" s="7" t="s">
        <v>8747</v>
      </c>
      <c r="I348" s="7" t="s">
        <v>8745</v>
      </c>
      <c r="J348" t="s">
        <v>8743</v>
      </c>
      <c r="K348" s="115"/>
      <c r="M348" s="12"/>
      <c r="N348" s="45">
        <v>125890</v>
      </c>
      <c r="O348" s="4" t="s">
        <v>15</v>
      </c>
      <c r="Q348" s="45">
        <f t="shared" si="34"/>
        <v>125890</v>
      </c>
      <c r="R348" s="25">
        <f t="shared" si="36"/>
        <v>0</v>
      </c>
    </row>
    <row r="349" spans="2:19" hidden="1" x14ac:dyDescent="0.25">
      <c r="C349" s="4" t="s">
        <v>2450</v>
      </c>
      <c r="D349" s="4" t="s">
        <v>6259</v>
      </c>
      <c r="E349" s="5" t="s">
        <v>10</v>
      </c>
      <c r="G349" s="146" t="s">
        <v>6474</v>
      </c>
      <c r="H349" s="7" t="s">
        <v>8748</v>
      </c>
      <c r="I349" s="7" t="s">
        <v>8745</v>
      </c>
      <c r="J349" t="s">
        <v>8743</v>
      </c>
      <c r="K349" s="115"/>
      <c r="L349" s="5" t="s">
        <v>10564</v>
      </c>
      <c r="M349" s="12">
        <v>45551</v>
      </c>
      <c r="N349" s="45">
        <v>31380</v>
      </c>
      <c r="O349" s="4" t="s">
        <v>15</v>
      </c>
      <c r="P349" s="45">
        <f>9414</f>
        <v>9414</v>
      </c>
      <c r="Q349" s="45">
        <f t="shared" si="34"/>
        <v>21966</v>
      </c>
      <c r="R349" s="25">
        <f t="shared" si="36"/>
        <v>9414</v>
      </c>
    </row>
    <row r="350" spans="2:19" hidden="1" x14ac:dyDescent="0.25">
      <c r="B350" s="21" t="s">
        <v>395</v>
      </c>
      <c r="C350" s="22" t="s">
        <v>2450</v>
      </c>
      <c r="D350" s="22" t="s">
        <v>6259</v>
      </c>
      <c r="E350" s="21" t="s">
        <v>10</v>
      </c>
      <c r="F350" s="21"/>
      <c r="G350" s="147" t="s">
        <v>6474</v>
      </c>
      <c r="H350" s="23" t="s">
        <v>8749</v>
      </c>
      <c r="I350" s="23" t="s">
        <v>8745</v>
      </c>
      <c r="J350" s="165" t="s">
        <v>8743</v>
      </c>
      <c r="K350" s="47"/>
      <c r="L350" s="21" t="s">
        <v>9531</v>
      </c>
      <c r="M350" s="26" t="s">
        <v>9532</v>
      </c>
      <c r="N350" s="44">
        <v>4490</v>
      </c>
      <c r="O350" s="22" t="s">
        <v>15</v>
      </c>
      <c r="P350" s="44">
        <f>1347+3143</f>
        <v>4490</v>
      </c>
      <c r="Q350" s="44">
        <f t="shared" si="34"/>
        <v>0</v>
      </c>
      <c r="R350" s="116">
        <f t="shared" si="36"/>
        <v>4490</v>
      </c>
    </row>
    <row r="351" spans="2:19" hidden="1" x14ac:dyDescent="0.25">
      <c r="B351" s="21" t="s">
        <v>395</v>
      </c>
      <c r="C351" s="22" t="s">
        <v>2450</v>
      </c>
      <c r="D351" s="22" t="s">
        <v>6259</v>
      </c>
      <c r="E351" s="21" t="s">
        <v>10</v>
      </c>
      <c r="F351" s="21"/>
      <c r="G351" s="147" t="s">
        <v>6474</v>
      </c>
      <c r="H351" s="23" t="s">
        <v>8750</v>
      </c>
      <c r="I351" s="23" t="s">
        <v>8745</v>
      </c>
      <c r="J351" s="165" t="s">
        <v>8743</v>
      </c>
      <c r="K351" s="47"/>
      <c r="L351" s="21" t="s">
        <v>9531</v>
      </c>
      <c r="M351" s="26" t="s">
        <v>9533</v>
      </c>
      <c r="N351" s="44">
        <v>6230</v>
      </c>
      <c r="O351" s="22" t="s">
        <v>15</v>
      </c>
      <c r="P351" s="44">
        <f>1869+4361</f>
        <v>6230</v>
      </c>
      <c r="Q351" s="44">
        <f t="shared" si="34"/>
        <v>0</v>
      </c>
      <c r="R351" s="116">
        <f t="shared" si="36"/>
        <v>6230</v>
      </c>
    </row>
    <row r="352" spans="2:19" hidden="1" x14ac:dyDescent="0.25">
      <c r="C352" s="4" t="s">
        <v>2450</v>
      </c>
      <c r="D352" s="4" t="s">
        <v>6259</v>
      </c>
      <c r="E352" s="5" t="s">
        <v>10</v>
      </c>
      <c r="G352" s="146" t="s">
        <v>6474</v>
      </c>
      <c r="H352" s="7" t="s">
        <v>8751</v>
      </c>
      <c r="I352" s="7" t="s">
        <v>8745</v>
      </c>
      <c r="J352" t="s">
        <v>8743</v>
      </c>
      <c r="K352" s="115"/>
      <c r="L352" s="5" t="s">
        <v>10381</v>
      </c>
      <c r="M352" s="12" t="s">
        <v>10382</v>
      </c>
      <c r="N352" s="45">
        <f>32150+14820</f>
        <v>46970</v>
      </c>
      <c r="O352" s="4" t="s">
        <v>15</v>
      </c>
      <c r="P352" s="45">
        <f>4091+34834</f>
        <v>38925</v>
      </c>
      <c r="Q352" s="45">
        <f t="shared" si="34"/>
        <v>8045</v>
      </c>
      <c r="R352" s="25">
        <f t="shared" si="36"/>
        <v>38925</v>
      </c>
    </row>
    <row r="353" spans="2:20" hidden="1" x14ac:dyDescent="0.25">
      <c r="B353" s="21" t="s">
        <v>395</v>
      </c>
      <c r="C353" s="22" t="s">
        <v>2450</v>
      </c>
      <c r="D353" s="22" t="s">
        <v>6259</v>
      </c>
      <c r="E353" s="21" t="s">
        <v>10</v>
      </c>
      <c r="F353" s="21"/>
      <c r="G353" s="147" t="s">
        <v>6474</v>
      </c>
      <c r="H353" s="23" t="s">
        <v>8752</v>
      </c>
      <c r="I353" s="23" t="s">
        <v>8745</v>
      </c>
      <c r="J353" s="165" t="s">
        <v>8743</v>
      </c>
      <c r="K353" s="47"/>
      <c r="L353" s="21" t="s">
        <v>10276</v>
      </c>
      <c r="M353" s="26" t="s">
        <v>10277</v>
      </c>
      <c r="N353" s="44">
        <f>6850+6405</f>
        <v>13255</v>
      </c>
      <c r="O353" s="22" t="s">
        <v>15</v>
      </c>
      <c r="P353" s="44">
        <f>3135+10120</f>
        <v>13255</v>
      </c>
      <c r="Q353" s="44">
        <f t="shared" si="34"/>
        <v>0</v>
      </c>
      <c r="R353" s="116">
        <f t="shared" si="36"/>
        <v>13255</v>
      </c>
    </row>
    <row r="354" spans="2:20" hidden="1" x14ac:dyDescent="0.25">
      <c r="B354" s="21" t="s">
        <v>395</v>
      </c>
      <c r="C354" s="22" t="s">
        <v>2450</v>
      </c>
      <c r="D354" s="22" t="s">
        <v>6259</v>
      </c>
      <c r="E354" s="21" t="s">
        <v>10</v>
      </c>
      <c r="F354" s="21"/>
      <c r="G354" s="147" t="s">
        <v>6474</v>
      </c>
      <c r="H354" s="23" t="s">
        <v>8753</v>
      </c>
      <c r="I354" s="23" t="s">
        <v>10379</v>
      </c>
      <c r="J354" s="165" t="s">
        <v>8743</v>
      </c>
      <c r="K354" s="47"/>
      <c r="L354" s="21" t="s">
        <v>10508</v>
      </c>
      <c r="M354" s="26" t="s">
        <v>10509</v>
      </c>
      <c r="N354" s="44">
        <f>79390+20430</f>
        <v>99820</v>
      </c>
      <c r="O354" s="22" t="s">
        <v>15</v>
      </c>
      <c r="P354" s="44">
        <f>29946+74039</f>
        <v>103985</v>
      </c>
      <c r="Q354" s="44">
        <f t="shared" si="34"/>
        <v>0</v>
      </c>
      <c r="R354" s="116">
        <f t="shared" si="36"/>
        <v>103985</v>
      </c>
    </row>
    <row r="355" spans="2:20" hidden="1" x14ac:dyDescent="0.25">
      <c r="B355" s="21" t="s">
        <v>395</v>
      </c>
      <c r="C355" s="22" t="s">
        <v>2450</v>
      </c>
      <c r="D355" s="22" t="s">
        <v>6259</v>
      </c>
      <c r="E355" s="21" t="s">
        <v>10</v>
      </c>
      <c r="F355" s="21"/>
      <c r="G355" s="147" t="s">
        <v>6474</v>
      </c>
      <c r="H355" s="23" t="s">
        <v>8754</v>
      </c>
      <c r="I355" s="23" t="s">
        <v>8745</v>
      </c>
      <c r="J355" s="165" t="s">
        <v>8743</v>
      </c>
      <c r="K355" s="47"/>
      <c r="L355" s="21" t="s">
        <v>12843</v>
      </c>
      <c r="M355" s="26" t="s">
        <v>12844</v>
      </c>
      <c r="N355" s="44">
        <f>89500+23790</f>
        <v>113290</v>
      </c>
      <c r="O355" s="22" t="s">
        <v>15</v>
      </c>
      <c r="P355" s="44">
        <f>33987+79303</f>
        <v>113290</v>
      </c>
      <c r="Q355" s="44">
        <f t="shared" si="34"/>
        <v>0</v>
      </c>
      <c r="R355" s="116">
        <f t="shared" si="36"/>
        <v>113290</v>
      </c>
    </row>
    <row r="356" spans="2:20" hidden="1" x14ac:dyDescent="0.25">
      <c r="B356" s="21" t="s">
        <v>395</v>
      </c>
      <c r="C356" s="22" t="s">
        <v>2450</v>
      </c>
      <c r="D356" s="22" t="s">
        <v>6259</v>
      </c>
      <c r="E356" s="21" t="s">
        <v>10</v>
      </c>
      <c r="F356" s="21"/>
      <c r="G356" s="147" t="s">
        <v>6474</v>
      </c>
      <c r="H356" s="23" t="s">
        <v>8755</v>
      </c>
      <c r="I356" s="23" t="s">
        <v>8745</v>
      </c>
      <c r="J356" s="165" t="s">
        <v>8743</v>
      </c>
      <c r="K356" s="47"/>
      <c r="L356" s="21" t="s">
        <v>12379</v>
      </c>
      <c r="M356" s="26" t="s">
        <v>12380</v>
      </c>
      <c r="N356" s="44">
        <v>20920</v>
      </c>
      <c r="O356" s="22" t="s">
        <v>15</v>
      </c>
      <c r="P356" s="44">
        <f>6276+14644</f>
        <v>20920</v>
      </c>
      <c r="Q356" s="44">
        <f t="shared" si="34"/>
        <v>0</v>
      </c>
      <c r="R356" s="116">
        <f t="shared" si="36"/>
        <v>20920</v>
      </c>
    </row>
    <row r="357" spans="2:20" hidden="1" x14ac:dyDescent="0.25">
      <c r="C357" s="4" t="s">
        <v>2450</v>
      </c>
      <c r="D357" s="4" t="s">
        <v>6259</v>
      </c>
      <c r="E357" s="5" t="s">
        <v>10</v>
      </c>
      <c r="G357" s="146" t="s">
        <v>6474</v>
      </c>
      <c r="H357" s="7" t="s">
        <v>8756</v>
      </c>
      <c r="I357" s="7" t="s">
        <v>8745</v>
      </c>
      <c r="J357" t="s">
        <v>8743</v>
      </c>
      <c r="K357" s="115"/>
      <c r="L357" s="5" t="s">
        <v>9417</v>
      </c>
      <c r="M357" s="12" t="s">
        <v>9418</v>
      </c>
      <c r="N357" s="45">
        <f>4940+4840</f>
        <v>9780</v>
      </c>
      <c r="O357" s="4" t="s">
        <v>15</v>
      </c>
      <c r="P357" s="45">
        <f>1482+3458</f>
        <v>4940</v>
      </c>
      <c r="Q357" s="45">
        <f t="shared" si="34"/>
        <v>4840</v>
      </c>
      <c r="R357" s="25">
        <f t="shared" si="36"/>
        <v>4940</v>
      </c>
    </row>
    <row r="358" spans="2:20" hidden="1" x14ac:dyDescent="0.25">
      <c r="C358" s="4" t="s">
        <v>2450</v>
      </c>
      <c r="D358" s="4" t="s">
        <v>6259</v>
      </c>
      <c r="E358" s="5" t="s">
        <v>10</v>
      </c>
      <c r="G358" s="146" t="s">
        <v>6474</v>
      </c>
      <c r="H358" s="7" t="s">
        <v>12928</v>
      </c>
      <c r="I358" s="7" t="s">
        <v>12929</v>
      </c>
      <c r="J358" t="s">
        <v>12930</v>
      </c>
      <c r="K358" s="115"/>
      <c r="L358" s="5" t="s">
        <v>13822</v>
      </c>
      <c r="M358" s="12" t="s">
        <v>13823</v>
      </c>
      <c r="N358" s="45">
        <f>16632+13500</f>
        <v>30132</v>
      </c>
      <c r="O358" s="4" t="s">
        <v>15</v>
      </c>
      <c r="P358" s="45">
        <f>643.5+297+1237.5+3857+742.5+495+297+5593.5+5098.5</f>
        <v>18261.5</v>
      </c>
      <c r="Q358" s="45">
        <f t="shared" si="34"/>
        <v>11870.5</v>
      </c>
      <c r="R358" s="25">
        <f t="shared" si="36"/>
        <v>18261.5</v>
      </c>
    </row>
    <row r="359" spans="2:20" ht="20.25" hidden="1" customHeight="1" x14ac:dyDescent="0.25">
      <c r="C359" s="4" t="s">
        <v>2450</v>
      </c>
      <c r="D359" s="4" t="s">
        <v>1451</v>
      </c>
      <c r="E359" s="5" t="s">
        <v>10</v>
      </c>
      <c r="G359" s="146" t="s">
        <v>6474</v>
      </c>
      <c r="H359" s="7" t="s">
        <v>9426</v>
      </c>
      <c r="I359" s="7" t="s">
        <v>9427</v>
      </c>
      <c r="J359" s="5" t="s">
        <v>9428</v>
      </c>
      <c r="L359" s="5" t="s">
        <v>9699</v>
      </c>
      <c r="M359" s="12">
        <v>45428</v>
      </c>
      <c r="N359" s="45">
        <v>1450</v>
      </c>
      <c r="O359" s="4" t="s">
        <v>15</v>
      </c>
      <c r="P359" s="45">
        <v>450</v>
      </c>
      <c r="Q359" s="45">
        <f t="shared" si="34"/>
        <v>1000</v>
      </c>
      <c r="R359" s="3">
        <f t="shared" si="36"/>
        <v>450</v>
      </c>
    </row>
    <row r="360" spans="2:20" s="252" customFormat="1" hidden="1" x14ac:dyDescent="0.25">
      <c r="B360" s="421" t="s">
        <v>395</v>
      </c>
      <c r="C360" s="422" t="s">
        <v>2450</v>
      </c>
      <c r="D360" s="422"/>
      <c r="E360" s="421" t="s">
        <v>10</v>
      </c>
      <c r="F360" s="421" t="s">
        <v>9830</v>
      </c>
      <c r="G360" s="502" t="s">
        <v>6474</v>
      </c>
      <c r="H360" s="423" t="s">
        <v>10048</v>
      </c>
      <c r="I360" s="423" t="s">
        <v>10051</v>
      </c>
      <c r="J360" s="421" t="s">
        <v>10054</v>
      </c>
      <c r="K360" s="421"/>
      <c r="L360" s="421" t="s">
        <v>10809</v>
      </c>
      <c r="M360" s="46" t="s">
        <v>10810</v>
      </c>
      <c r="N360" s="424">
        <v>16295</v>
      </c>
      <c r="O360" s="422" t="s">
        <v>15</v>
      </c>
      <c r="P360" s="424">
        <f>1917+14378</f>
        <v>16295</v>
      </c>
      <c r="Q360" s="424">
        <f t="shared" si="34"/>
        <v>0</v>
      </c>
      <c r="R360" s="425">
        <f t="shared" si="36"/>
        <v>16295</v>
      </c>
      <c r="S360" s="250"/>
      <c r="T360" s="250"/>
    </row>
    <row r="361" spans="2:20" hidden="1" x14ac:dyDescent="0.25">
      <c r="B361" s="21" t="s">
        <v>395</v>
      </c>
      <c r="C361" s="22" t="s">
        <v>2450</v>
      </c>
      <c r="D361" s="22" t="s">
        <v>1451</v>
      </c>
      <c r="E361" s="21" t="s">
        <v>10</v>
      </c>
      <c r="F361" s="21" t="s">
        <v>9830</v>
      </c>
      <c r="G361" s="147" t="s">
        <v>6474</v>
      </c>
      <c r="H361" s="23" t="s">
        <v>10049</v>
      </c>
      <c r="I361" s="23" t="s">
        <v>10051</v>
      </c>
      <c r="J361" s="21" t="s">
        <v>10052</v>
      </c>
      <c r="K361" s="21"/>
      <c r="L361" s="21" t="s">
        <v>11350</v>
      </c>
      <c r="M361" s="26" t="s">
        <v>11351</v>
      </c>
      <c r="N361" s="44">
        <v>6550</v>
      </c>
      <c r="O361" s="22" t="s">
        <v>15</v>
      </c>
      <c r="P361" s="44">
        <f>1965+4585</f>
        <v>6550</v>
      </c>
      <c r="Q361" s="44">
        <f t="shared" si="34"/>
        <v>0</v>
      </c>
      <c r="R361" s="24">
        <f t="shared" si="36"/>
        <v>6550</v>
      </c>
    </row>
    <row r="362" spans="2:20" hidden="1" x14ac:dyDescent="0.25">
      <c r="B362" s="21" t="s">
        <v>395</v>
      </c>
      <c r="C362" s="22" t="s">
        <v>2450</v>
      </c>
      <c r="D362" s="22" t="s">
        <v>1451</v>
      </c>
      <c r="E362" s="21" t="s">
        <v>10</v>
      </c>
      <c r="F362" s="21" t="s">
        <v>9830</v>
      </c>
      <c r="G362" s="147" t="s">
        <v>6474</v>
      </c>
      <c r="H362" s="23" t="s">
        <v>10050</v>
      </c>
      <c r="I362" s="23" t="s">
        <v>10051</v>
      </c>
      <c r="J362" s="21" t="s">
        <v>10053</v>
      </c>
      <c r="K362" s="21"/>
      <c r="L362" s="21" t="s">
        <v>12539</v>
      </c>
      <c r="M362" s="26" t="s">
        <v>12540</v>
      </c>
      <c r="N362" s="44">
        <f>53676+46046</f>
        <v>99722</v>
      </c>
      <c r="O362" s="22" t="s">
        <v>15</v>
      </c>
      <c r="P362" s="44">
        <f>29916.6+69805.4</f>
        <v>99722</v>
      </c>
      <c r="Q362" s="44">
        <f t="shared" si="34"/>
        <v>0</v>
      </c>
      <c r="R362" s="24">
        <f t="shared" si="36"/>
        <v>99722</v>
      </c>
    </row>
    <row r="363" spans="2:20" hidden="1" x14ac:dyDescent="0.25">
      <c r="C363" s="4" t="s">
        <v>158</v>
      </c>
      <c r="E363" s="5" t="s">
        <v>0</v>
      </c>
      <c r="F363" s="5" t="s">
        <v>9766</v>
      </c>
      <c r="G363" s="146" t="s">
        <v>6474</v>
      </c>
      <c r="H363" s="7" t="s">
        <v>10173</v>
      </c>
      <c r="I363" s="7" t="s">
        <v>10174</v>
      </c>
      <c r="J363" s="5" t="s">
        <v>10175</v>
      </c>
      <c r="L363" s="5" t="s">
        <v>11598</v>
      </c>
      <c r="M363" s="12" t="s">
        <v>11599</v>
      </c>
      <c r="N363" s="45">
        <v>6804</v>
      </c>
      <c r="O363" s="4" t="s">
        <v>15</v>
      </c>
      <c r="P363" s="45">
        <f>5103-1701</f>
        <v>3402</v>
      </c>
      <c r="Q363" s="3">
        <f t="shared" si="34"/>
        <v>3402</v>
      </c>
      <c r="R363" s="3">
        <f>IF(P363="OK",N363-Q363,IF(P363="en cours",M363-Q363,P363))</f>
        <v>3402</v>
      </c>
    </row>
    <row r="364" spans="2:20" hidden="1" x14ac:dyDescent="0.25">
      <c r="B364" s="21" t="s">
        <v>395</v>
      </c>
      <c r="C364" s="22" t="s">
        <v>2450</v>
      </c>
      <c r="D364" s="22" t="s">
        <v>1451</v>
      </c>
      <c r="E364" s="21" t="s">
        <v>10</v>
      </c>
      <c r="F364" s="21" t="s">
        <v>9830</v>
      </c>
      <c r="G364" s="147" t="s">
        <v>6474</v>
      </c>
      <c r="H364" s="23" t="s">
        <v>10187</v>
      </c>
      <c r="I364" s="23" t="s">
        <v>10188</v>
      </c>
      <c r="J364" s="21" t="s">
        <v>10189</v>
      </c>
      <c r="K364" s="21"/>
      <c r="L364" s="21" t="s">
        <v>10380</v>
      </c>
      <c r="M364" s="26">
        <v>45503</v>
      </c>
      <c r="N364" s="44">
        <v>2790</v>
      </c>
      <c r="O364" s="22" t="s">
        <v>15</v>
      </c>
      <c r="P364" s="44">
        <v>2790</v>
      </c>
      <c r="Q364" s="24">
        <f t="shared" si="34"/>
        <v>0</v>
      </c>
      <c r="R364" s="24">
        <f>IF(P364="OK",N364-Q364,IF(P364="en cours",M364-Q364,P364))</f>
        <v>2790</v>
      </c>
    </row>
    <row r="365" spans="2:20" hidden="1" x14ac:dyDescent="0.25">
      <c r="B365" s="21" t="s">
        <v>395</v>
      </c>
      <c r="C365" s="22" t="s">
        <v>2450</v>
      </c>
      <c r="D365" s="22" t="s">
        <v>1451</v>
      </c>
      <c r="E365" s="21" t="s">
        <v>10</v>
      </c>
      <c r="F365" s="21" t="s">
        <v>9830</v>
      </c>
      <c r="G365" s="147" t="s">
        <v>6474</v>
      </c>
      <c r="H365" s="23" t="s">
        <v>10953</v>
      </c>
      <c r="I365" s="23" t="s">
        <v>10958</v>
      </c>
      <c r="J365" s="21" t="s">
        <v>10959</v>
      </c>
      <c r="K365" s="21"/>
      <c r="L365" s="21" t="s">
        <v>13926</v>
      </c>
      <c r="M365" s="26" t="s">
        <v>13927</v>
      </c>
      <c r="N365" s="44">
        <f>130660+32680</f>
        <v>163340</v>
      </c>
      <c r="O365" s="22" t="s">
        <v>15</v>
      </c>
      <c r="P365" s="44">
        <f>49002+114338</f>
        <v>163340</v>
      </c>
      <c r="Q365" s="24">
        <f t="shared" si="34"/>
        <v>0</v>
      </c>
      <c r="R365" s="24">
        <f t="shared" ref="R365:R369" si="37">IF(P365="OK",N365-Q365,IF(P365="en cours",N365-Q365,P365))</f>
        <v>163340</v>
      </c>
    </row>
    <row r="366" spans="2:20" hidden="1" x14ac:dyDescent="0.25">
      <c r="C366" s="4" t="s">
        <v>2450</v>
      </c>
      <c r="E366" s="5" t="s">
        <v>0</v>
      </c>
      <c r="F366" s="5" t="s">
        <v>9823</v>
      </c>
      <c r="G366" s="146" t="s">
        <v>6474</v>
      </c>
      <c r="H366" s="7" t="s">
        <v>11134</v>
      </c>
      <c r="I366" s="7" t="s">
        <v>11135</v>
      </c>
      <c r="J366" s="5" t="s">
        <v>11136</v>
      </c>
      <c r="L366" s="5" t="s">
        <v>12339</v>
      </c>
      <c r="M366" s="12" t="s">
        <v>12340</v>
      </c>
      <c r="N366" s="45">
        <v>3600</v>
      </c>
      <c r="O366" s="4" t="s">
        <v>15</v>
      </c>
      <c r="P366" s="45">
        <f>2475+360</f>
        <v>2835</v>
      </c>
      <c r="Q366" s="45">
        <f t="shared" si="34"/>
        <v>765</v>
      </c>
      <c r="R366" s="3">
        <f t="shared" si="37"/>
        <v>2835</v>
      </c>
    </row>
    <row r="367" spans="2:20" hidden="1" x14ac:dyDescent="0.25">
      <c r="C367" s="4" t="s">
        <v>7372</v>
      </c>
      <c r="E367" s="5" t="s">
        <v>75</v>
      </c>
      <c r="G367" s="146" t="s">
        <v>7453</v>
      </c>
      <c r="H367" s="7" t="s">
        <v>8849</v>
      </c>
      <c r="I367" s="7" t="s">
        <v>8850</v>
      </c>
      <c r="J367" s="5" t="s">
        <v>8852</v>
      </c>
      <c r="L367" s="5" t="s">
        <v>11196</v>
      </c>
      <c r="M367" s="12" t="s">
        <v>11197</v>
      </c>
      <c r="N367" s="45">
        <v>100967</v>
      </c>
      <c r="O367" s="4" t="s">
        <v>15</v>
      </c>
      <c r="P367" s="45">
        <f>58793+19229+9462+7507-7507+7497</f>
        <v>94981</v>
      </c>
      <c r="Q367" s="45">
        <f t="shared" ref="Q367:Q395" si="38">IF(P367="en cours",N367,IF(P367="OK",0,IF(N367-P367&lt;0,0,N367-P367)))</f>
        <v>5986</v>
      </c>
      <c r="R367" s="3">
        <f t="shared" si="37"/>
        <v>94981</v>
      </c>
    </row>
    <row r="368" spans="2:20" hidden="1" x14ac:dyDescent="0.25">
      <c r="C368" s="4" t="s">
        <v>6047</v>
      </c>
      <c r="E368" s="5" t="s">
        <v>75</v>
      </c>
      <c r="F368" s="5" t="s">
        <v>9819</v>
      </c>
      <c r="G368" s="146" t="s">
        <v>7453</v>
      </c>
      <c r="H368" s="7" t="s">
        <v>9820</v>
      </c>
      <c r="I368" s="7" t="s">
        <v>9821</v>
      </c>
      <c r="J368" s="5" t="s">
        <v>9822</v>
      </c>
      <c r="L368" s="5" t="s">
        <v>14203</v>
      </c>
      <c r="M368" s="12" t="s">
        <v>14204</v>
      </c>
      <c r="N368" s="45">
        <v>459761</v>
      </c>
      <c r="O368" s="4" t="s">
        <v>15</v>
      </c>
      <c r="P368" s="45">
        <f>23467.2+5248+10560+40640+48000+20672</f>
        <v>148587.20000000001</v>
      </c>
      <c r="Q368" s="3">
        <f t="shared" si="38"/>
        <v>311173.8</v>
      </c>
      <c r="R368" s="3">
        <f t="shared" si="37"/>
        <v>148587.20000000001</v>
      </c>
    </row>
    <row r="369" spans="2:20" hidden="1" x14ac:dyDescent="0.25">
      <c r="C369" s="4" t="s">
        <v>8972</v>
      </c>
      <c r="E369" s="5" t="s">
        <v>75</v>
      </c>
      <c r="F369" s="5" t="s">
        <v>9783</v>
      </c>
      <c r="G369" s="146" t="s">
        <v>7453</v>
      </c>
      <c r="H369" s="7" t="s">
        <v>12917</v>
      </c>
      <c r="I369" s="7" t="s">
        <v>10003</v>
      </c>
      <c r="J369" s="14" t="s">
        <v>10004</v>
      </c>
      <c r="L369" s="5" t="s">
        <v>12918</v>
      </c>
      <c r="M369" s="12">
        <v>45953</v>
      </c>
      <c r="N369" s="45">
        <v>674186</v>
      </c>
      <c r="O369" s="4" t="s">
        <v>15</v>
      </c>
      <c r="P369" s="45">
        <f>24368</f>
        <v>24368</v>
      </c>
      <c r="Q369" s="45">
        <f t="shared" si="38"/>
        <v>649818</v>
      </c>
      <c r="R369" s="3">
        <f t="shared" si="37"/>
        <v>24368</v>
      </c>
    </row>
    <row r="370" spans="2:20" hidden="1" x14ac:dyDescent="0.25">
      <c r="B370" s="21" t="s">
        <v>395</v>
      </c>
      <c r="C370" s="22" t="s">
        <v>2450</v>
      </c>
      <c r="D370" s="22"/>
      <c r="E370" s="21" t="s">
        <v>10</v>
      </c>
      <c r="F370" s="21" t="s">
        <v>9830</v>
      </c>
      <c r="G370" s="147" t="s">
        <v>7453</v>
      </c>
      <c r="H370" s="23" t="s">
        <v>10287</v>
      </c>
      <c r="I370" s="23" t="s">
        <v>10288</v>
      </c>
      <c r="J370" s="21" t="s">
        <v>10286</v>
      </c>
      <c r="K370" s="21"/>
      <c r="L370" s="21" t="s">
        <v>10383</v>
      </c>
      <c r="M370" s="26">
        <v>45510</v>
      </c>
      <c r="N370" s="44">
        <v>4800</v>
      </c>
      <c r="O370" s="22" t="s">
        <v>15</v>
      </c>
      <c r="P370" s="44">
        <v>4800</v>
      </c>
      <c r="Q370" s="44">
        <f t="shared" si="38"/>
        <v>0</v>
      </c>
      <c r="R370" s="24">
        <f>IF(P370="OK",N370-Q370,IF(P370="en cours",N370-Q370,P370))</f>
        <v>4800</v>
      </c>
    </row>
    <row r="371" spans="2:20" hidden="1" x14ac:dyDescent="0.25">
      <c r="C371" s="4" t="s">
        <v>9747</v>
      </c>
      <c r="E371" s="5" t="s">
        <v>75</v>
      </c>
      <c r="F371" s="5" t="s">
        <v>9819</v>
      </c>
      <c r="G371" s="146" t="s">
        <v>7453</v>
      </c>
      <c r="H371" s="7" t="s">
        <v>10805</v>
      </c>
      <c r="I371" s="7" t="s">
        <v>10322</v>
      </c>
      <c r="J371" s="5" t="s">
        <v>10802</v>
      </c>
      <c r="K371" s="5" t="s">
        <v>10323</v>
      </c>
      <c r="L371" s="5" t="s">
        <v>13942</v>
      </c>
      <c r="M371" s="12" t="s">
        <v>13943</v>
      </c>
      <c r="N371" s="45">
        <v>128493</v>
      </c>
      <c r="O371" s="4" t="s">
        <v>15</v>
      </c>
      <c r="P371" s="45">
        <f>7586+2340+14161+1920+14080+32932+(6144+2340)+4376</f>
        <v>85879</v>
      </c>
      <c r="Q371" s="45">
        <f t="shared" si="38"/>
        <v>42614</v>
      </c>
      <c r="R371" s="3">
        <f>IF(P371="OK",N371-Q371,IF(P371="en cours",N371-Q371,P371))</f>
        <v>85879</v>
      </c>
    </row>
    <row r="372" spans="2:20" hidden="1" x14ac:dyDescent="0.25">
      <c r="B372" s="21" t="s">
        <v>395</v>
      </c>
      <c r="C372" s="22" t="s">
        <v>8584</v>
      </c>
      <c r="D372" s="22"/>
      <c r="E372" s="21" t="s">
        <v>75</v>
      </c>
      <c r="F372" s="21" t="s">
        <v>9819</v>
      </c>
      <c r="G372" s="147" t="s">
        <v>7453</v>
      </c>
      <c r="H372" s="23" t="s">
        <v>10641</v>
      </c>
      <c r="I372" s="23" t="s">
        <v>10642</v>
      </c>
      <c r="J372" s="21" t="s">
        <v>8936</v>
      </c>
      <c r="K372" s="21"/>
      <c r="L372" s="21" t="s">
        <v>10793</v>
      </c>
      <c r="M372" s="26">
        <v>45586</v>
      </c>
      <c r="N372" s="44">
        <v>1660</v>
      </c>
      <c r="O372" s="22" t="s">
        <v>15</v>
      </c>
      <c r="P372" s="44">
        <v>1660</v>
      </c>
      <c r="Q372" s="44">
        <f t="shared" si="38"/>
        <v>0</v>
      </c>
      <c r="R372" s="24">
        <f>IF(P372="OK",N372-Q372,IF(P372="en cours",N372-Q372,P372))</f>
        <v>1660</v>
      </c>
    </row>
    <row r="373" spans="2:20" hidden="1" x14ac:dyDescent="0.25">
      <c r="B373" s="21" t="s">
        <v>395</v>
      </c>
      <c r="C373" s="22" t="s">
        <v>8584</v>
      </c>
      <c r="D373" s="22"/>
      <c r="E373" s="21" t="s">
        <v>75</v>
      </c>
      <c r="F373" s="21"/>
      <c r="G373" s="147" t="s">
        <v>7453</v>
      </c>
      <c r="H373" s="23" t="s">
        <v>10737</v>
      </c>
      <c r="I373" s="23" t="s">
        <v>10738</v>
      </c>
      <c r="J373" s="21" t="s">
        <v>10743</v>
      </c>
      <c r="K373" s="21"/>
      <c r="L373" s="21" t="s">
        <v>11206</v>
      </c>
      <c r="M373" s="26">
        <v>45708</v>
      </c>
      <c r="N373" s="44">
        <f>1280-380</f>
        <v>900</v>
      </c>
      <c r="O373" s="22" t="s">
        <v>15</v>
      </c>
      <c r="P373" s="44">
        <v>900</v>
      </c>
      <c r="Q373" s="44">
        <f t="shared" si="38"/>
        <v>0</v>
      </c>
      <c r="R373" s="24">
        <f>IF(P373="OK",N373-Q373,IF(P373="en cours",M373-Q373,P373))</f>
        <v>900</v>
      </c>
    </row>
    <row r="374" spans="2:20" hidden="1" x14ac:dyDescent="0.25">
      <c r="B374" s="21" t="s">
        <v>395</v>
      </c>
      <c r="C374" s="22" t="s">
        <v>7372</v>
      </c>
      <c r="D374" s="22"/>
      <c r="E374" s="21" t="s">
        <v>75</v>
      </c>
      <c r="F374" s="21"/>
      <c r="G374" s="147" t="s">
        <v>7453</v>
      </c>
      <c r="H374" s="23" t="s">
        <v>10742</v>
      </c>
      <c r="I374" s="23" t="s">
        <v>10739</v>
      </c>
      <c r="J374" s="21" t="s">
        <v>10744</v>
      </c>
      <c r="K374" s="21"/>
      <c r="L374" s="21" t="s">
        <v>10803</v>
      </c>
      <c r="M374" s="26">
        <v>45615</v>
      </c>
      <c r="N374" s="44">
        <v>2240</v>
      </c>
      <c r="O374" s="22" t="s">
        <v>15</v>
      </c>
      <c r="P374" s="44">
        <v>2240</v>
      </c>
      <c r="Q374" s="24">
        <f t="shared" si="38"/>
        <v>0</v>
      </c>
      <c r="R374" s="24">
        <f>IF(P374="OK",N374-Q374,IF(P374="en cours",M374-Q374,P374))</f>
        <v>2240</v>
      </c>
    </row>
    <row r="375" spans="2:20" ht="13.5" hidden="1" customHeight="1" x14ac:dyDescent="0.25">
      <c r="B375" s="21" t="s">
        <v>395</v>
      </c>
      <c r="C375" s="22" t="s">
        <v>9747</v>
      </c>
      <c r="D375" s="22"/>
      <c r="E375" s="21" t="s">
        <v>75</v>
      </c>
      <c r="F375" s="21"/>
      <c r="G375" s="147" t="s">
        <v>7453</v>
      </c>
      <c r="H375" s="23" t="s">
        <v>10769</v>
      </c>
      <c r="I375" s="23" t="s">
        <v>10770</v>
      </c>
      <c r="J375" s="21" t="s">
        <v>10768</v>
      </c>
      <c r="K375" s="21"/>
      <c r="L375" s="21" t="s">
        <v>11556</v>
      </c>
      <c r="M375" s="26" t="s">
        <v>11557</v>
      </c>
      <c r="N375" s="44">
        <v>22397</v>
      </c>
      <c r="O375" s="22" t="s">
        <v>15</v>
      </c>
      <c r="P375" s="44">
        <f>11198.5+11198.5</f>
        <v>22397</v>
      </c>
      <c r="Q375" s="24">
        <f t="shared" si="38"/>
        <v>0</v>
      </c>
      <c r="R375" s="24">
        <f>IF(P375="OK",N375-Q375,IF(P375="en cours",M375-Q375,P375))</f>
        <v>22397</v>
      </c>
    </row>
    <row r="376" spans="2:20" ht="15.75" hidden="1" customHeight="1" x14ac:dyDescent="0.25">
      <c r="B376" s="21" t="s">
        <v>395</v>
      </c>
      <c r="C376" s="22" t="s">
        <v>9747</v>
      </c>
      <c r="D376" s="22"/>
      <c r="E376" s="21" t="s">
        <v>75</v>
      </c>
      <c r="F376" s="21" t="s">
        <v>9767</v>
      </c>
      <c r="G376" s="147" t="s">
        <v>7453</v>
      </c>
      <c r="H376" s="23" t="s">
        <v>10936</v>
      </c>
      <c r="I376" s="23" t="s">
        <v>10937</v>
      </c>
      <c r="J376" s="21" t="s">
        <v>10935</v>
      </c>
      <c r="K376" s="21"/>
      <c r="L376" s="21" t="s">
        <v>13346</v>
      </c>
      <c r="M376" s="26">
        <v>45981</v>
      </c>
      <c r="N376" s="44">
        <v>14526</v>
      </c>
      <c r="O376" s="22" t="s">
        <v>15</v>
      </c>
      <c r="P376" s="44">
        <v>14526</v>
      </c>
      <c r="Q376" s="24">
        <f t="shared" si="38"/>
        <v>0</v>
      </c>
      <c r="R376" s="24">
        <f t="shared" ref="R376:R394" si="39">IF(P376="OK",N376-Q376,IF(P376="en cours",N376-Q376,P376))</f>
        <v>14526</v>
      </c>
      <c r="S376" s="21"/>
    </row>
    <row r="377" spans="2:20" ht="15.75" hidden="1" customHeight="1" x14ac:dyDescent="0.25">
      <c r="C377" s="4" t="s">
        <v>10733</v>
      </c>
      <c r="E377" s="5" t="s">
        <v>75</v>
      </c>
      <c r="F377" s="5" t="s">
        <v>9819</v>
      </c>
      <c r="G377" s="146" t="s">
        <v>7453</v>
      </c>
      <c r="H377" s="7" t="s">
        <v>13511</v>
      </c>
      <c r="I377" s="7" t="s">
        <v>13512</v>
      </c>
      <c r="J377" s="5" t="s">
        <v>11081</v>
      </c>
      <c r="L377" s="5" t="s">
        <v>14200</v>
      </c>
      <c r="M377" s="12" t="s">
        <v>14201</v>
      </c>
      <c r="N377" s="45">
        <f>129476+24016+83052</f>
        <v>236544</v>
      </c>
      <c r="O377" s="4" t="s">
        <v>15</v>
      </c>
      <c r="P377" s="45">
        <f>29143.9+33136+29792+32965+4803.2+4439.1+41645.15+41406.85</f>
        <v>217331.19999999998</v>
      </c>
      <c r="Q377" s="45">
        <f t="shared" si="38"/>
        <v>19212.800000000017</v>
      </c>
      <c r="R377" s="3">
        <f t="shared" si="39"/>
        <v>217331.19999999998</v>
      </c>
    </row>
    <row r="378" spans="2:20" ht="15.75" hidden="1" customHeight="1" x14ac:dyDescent="0.25">
      <c r="B378" s="21" t="s">
        <v>395</v>
      </c>
      <c r="C378" s="22" t="s">
        <v>2450</v>
      </c>
      <c r="D378" s="22"/>
      <c r="E378" s="21" t="s">
        <v>10</v>
      </c>
      <c r="F378" s="21"/>
      <c r="G378" s="147" t="s">
        <v>6347</v>
      </c>
      <c r="H378" s="23" t="s">
        <v>4795</v>
      </c>
      <c r="I378" s="23" t="s">
        <v>8008</v>
      </c>
      <c r="J378" s="21" t="s">
        <v>4284</v>
      </c>
      <c r="K378" s="120"/>
      <c r="L378" s="21" t="s">
        <v>4285</v>
      </c>
      <c r="M378" s="26">
        <v>44210</v>
      </c>
      <c r="N378" s="44">
        <v>4500</v>
      </c>
      <c r="O378" s="22" t="s">
        <v>15</v>
      </c>
      <c r="P378" s="22" t="s">
        <v>19</v>
      </c>
      <c r="Q378" s="44">
        <f t="shared" si="38"/>
        <v>0</v>
      </c>
      <c r="R378" s="24">
        <f t="shared" si="39"/>
        <v>4500</v>
      </c>
    </row>
    <row r="379" spans="2:20" ht="14.25" hidden="1" customHeight="1" x14ac:dyDescent="0.25">
      <c r="C379" s="4" t="s">
        <v>2450</v>
      </c>
      <c r="D379" s="4" t="s">
        <v>4637</v>
      </c>
      <c r="E379" s="5" t="s">
        <v>10</v>
      </c>
      <c r="G379" s="146" t="s">
        <v>6347</v>
      </c>
      <c r="H379" s="7" t="s">
        <v>5575</v>
      </c>
      <c r="I379" s="7" t="s">
        <v>8080</v>
      </c>
      <c r="J379" s="5" t="s">
        <v>5483</v>
      </c>
      <c r="N379" s="45">
        <v>3100</v>
      </c>
      <c r="O379" s="4" t="s">
        <v>15</v>
      </c>
      <c r="P379" s="4"/>
      <c r="Q379" s="45">
        <f t="shared" si="38"/>
        <v>3100</v>
      </c>
      <c r="R379" s="3">
        <f t="shared" si="39"/>
        <v>0</v>
      </c>
      <c r="T379" s="401" t="s">
        <v>7406</v>
      </c>
    </row>
    <row r="380" spans="2:20" hidden="1" x14ac:dyDescent="0.25">
      <c r="C380" s="4" t="s">
        <v>2450</v>
      </c>
      <c r="E380" s="5" t="s">
        <v>75</v>
      </c>
      <c r="G380" s="146" t="s">
        <v>6347</v>
      </c>
      <c r="H380" s="7" t="s">
        <v>4899</v>
      </c>
      <c r="I380" s="7" t="s">
        <v>8031</v>
      </c>
      <c r="J380" s="5" t="s">
        <v>4900</v>
      </c>
      <c r="L380" s="5" t="s">
        <v>6940</v>
      </c>
      <c r="M380" s="12" t="s">
        <v>6941</v>
      </c>
      <c r="N380" s="45">
        <v>44521</v>
      </c>
      <c r="O380" s="4" t="s">
        <v>15</v>
      </c>
      <c r="P380" s="4">
        <f>10627.5+26700+2537.5</f>
        <v>39865</v>
      </c>
      <c r="Q380" s="45">
        <f t="shared" si="38"/>
        <v>4656</v>
      </c>
      <c r="R380" s="3">
        <f t="shared" si="39"/>
        <v>39865</v>
      </c>
    </row>
    <row r="381" spans="2:20" hidden="1" x14ac:dyDescent="0.25">
      <c r="B381" s="21" t="s">
        <v>395</v>
      </c>
      <c r="C381" s="22" t="s">
        <v>2450</v>
      </c>
      <c r="D381" s="22" t="s">
        <v>6259</v>
      </c>
      <c r="E381" s="21" t="s">
        <v>10</v>
      </c>
      <c r="F381" s="21"/>
      <c r="G381" s="147" t="s">
        <v>6347</v>
      </c>
      <c r="H381" s="23" t="s">
        <v>4733</v>
      </c>
      <c r="I381" s="23" t="s">
        <v>7997</v>
      </c>
      <c r="J381" s="21" t="s">
        <v>4620</v>
      </c>
      <c r="K381" s="21" t="s">
        <v>7441</v>
      </c>
      <c r="L381" s="21" t="s">
        <v>9175</v>
      </c>
      <c r="M381" s="26" t="s">
        <v>9176</v>
      </c>
      <c r="N381" s="44">
        <v>32394</v>
      </c>
      <c r="O381" s="22" t="s">
        <v>15</v>
      </c>
      <c r="P381" s="44">
        <f>18797+11322+2275</f>
        <v>32394</v>
      </c>
      <c r="Q381" s="44">
        <f t="shared" si="38"/>
        <v>0</v>
      </c>
      <c r="R381" s="24">
        <f t="shared" si="39"/>
        <v>32394</v>
      </c>
      <c r="S381" s="5" t="s">
        <v>4797</v>
      </c>
    </row>
    <row r="382" spans="2:20" hidden="1" x14ac:dyDescent="0.25">
      <c r="C382" s="4" t="s">
        <v>2450</v>
      </c>
      <c r="D382" s="4" t="s">
        <v>6259</v>
      </c>
      <c r="E382" s="5" t="s">
        <v>10</v>
      </c>
      <c r="G382" s="146" t="s">
        <v>6347</v>
      </c>
      <c r="H382" s="7" t="s">
        <v>4734</v>
      </c>
      <c r="I382" s="7" t="s">
        <v>7997</v>
      </c>
      <c r="J382" s="5" t="s">
        <v>4619</v>
      </c>
      <c r="K382" s="5" t="s">
        <v>4796</v>
      </c>
      <c r="L382" s="5" t="s">
        <v>6942</v>
      </c>
      <c r="M382" s="12" t="s">
        <v>6943</v>
      </c>
      <c r="N382" s="45">
        <v>19028</v>
      </c>
      <c r="O382" s="4" t="s">
        <v>15</v>
      </c>
      <c r="P382" s="4">
        <f>4131+2275</f>
        <v>6406</v>
      </c>
      <c r="Q382" s="45">
        <f t="shared" si="38"/>
        <v>12622</v>
      </c>
      <c r="R382" s="3">
        <f t="shared" si="39"/>
        <v>6406</v>
      </c>
      <c r="S382" s="5" t="s">
        <v>4797</v>
      </c>
      <c r="T382" s="401" t="s">
        <v>7406</v>
      </c>
    </row>
    <row r="383" spans="2:20" hidden="1" x14ac:dyDescent="0.25">
      <c r="B383" s="21" t="s">
        <v>395</v>
      </c>
      <c r="C383" s="22" t="s">
        <v>2450</v>
      </c>
      <c r="D383" s="22"/>
      <c r="E383" s="21" t="s">
        <v>10</v>
      </c>
      <c r="F383" s="21"/>
      <c r="G383" s="147" t="s">
        <v>6347</v>
      </c>
      <c r="H383" s="23" t="s">
        <v>4345</v>
      </c>
      <c r="I383" s="23" t="s">
        <v>8011</v>
      </c>
      <c r="J383" s="21" t="s">
        <v>4346</v>
      </c>
      <c r="K383" s="21"/>
      <c r="L383" s="21" t="s">
        <v>4347</v>
      </c>
      <c r="M383" s="26">
        <v>44215</v>
      </c>
      <c r="N383" s="44">
        <v>82500</v>
      </c>
      <c r="O383" s="22" t="s">
        <v>15</v>
      </c>
      <c r="P383" s="22" t="s">
        <v>19</v>
      </c>
      <c r="Q383" s="44">
        <f t="shared" si="38"/>
        <v>0</v>
      </c>
      <c r="R383" s="24">
        <f t="shared" si="39"/>
        <v>82500</v>
      </c>
    </row>
    <row r="384" spans="2:20" hidden="1" x14ac:dyDescent="0.25">
      <c r="B384" s="21" t="s">
        <v>395</v>
      </c>
      <c r="C384" s="22" t="s">
        <v>2450</v>
      </c>
      <c r="D384" s="22" t="s">
        <v>6259</v>
      </c>
      <c r="E384" s="21" t="s">
        <v>10</v>
      </c>
      <c r="F384" s="21"/>
      <c r="G384" s="147" t="s">
        <v>6347</v>
      </c>
      <c r="H384" s="23" t="s">
        <v>6229</v>
      </c>
      <c r="I384" s="23" t="s">
        <v>8117</v>
      </c>
      <c r="J384" s="21" t="s">
        <v>6224</v>
      </c>
      <c r="K384" s="21"/>
      <c r="L384" s="21" t="s">
        <v>6246</v>
      </c>
      <c r="M384" s="26">
        <v>44539</v>
      </c>
      <c r="N384" s="44">
        <v>7800</v>
      </c>
      <c r="O384" s="22" t="s">
        <v>15</v>
      </c>
      <c r="P384" s="22">
        <v>7800</v>
      </c>
      <c r="Q384" s="44">
        <f t="shared" si="38"/>
        <v>0</v>
      </c>
      <c r="R384" s="24">
        <f t="shared" si="39"/>
        <v>7800</v>
      </c>
      <c r="S384" s="5" t="s">
        <v>4797</v>
      </c>
    </row>
    <row r="385" spans="1:20" ht="18" hidden="1" customHeight="1" x14ac:dyDescent="0.25">
      <c r="C385" s="4" t="s">
        <v>3536</v>
      </c>
      <c r="E385" s="5" t="s">
        <v>75</v>
      </c>
      <c r="G385" s="146" t="s">
        <v>6347</v>
      </c>
      <c r="H385" s="7" t="s">
        <v>6138</v>
      </c>
      <c r="I385" s="7" t="s">
        <v>7959</v>
      </c>
      <c r="J385" s="5" t="s">
        <v>3695</v>
      </c>
      <c r="K385" s="13"/>
      <c r="N385" s="45">
        <v>9666</v>
      </c>
      <c r="O385" s="4" t="s">
        <v>15</v>
      </c>
      <c r="P385" s="4"/>
      <c r="Q385" s="3">
        <f t="shared" si="38"/>
        <v>9666</v>
      </c>
      <c r="R385" s="3">
        <f t="shared" si="39"/>
        <v>0</v>
      </c>
    </row>
    <row r="386" spans="1:20" hidden="1" x14ac:dyDescent="0.25">
      <c r="C386" s="4" t="s">
        <v>3484</v>
      </c>
      <c r="E386" s="5" t="s">
        <v>75</v>
      </c>
      <c r="G386" s="146" t="s">
        <v>6347</v>
      </c>
      <c r="H386" s="7" t="s">
        <v>6936</v>
      </c>
      <c r="I386" s="7" t="s">
        <v>7961</v>
      </c>
      <c r="J386" s="5" t="s">
        <v>6937</v>
      </c>
      <c r="K386" s="13"/>
      <c r="L386" s="5" t="s">
        <v>6938</v>
      </c>
      <c r="M386" s="12" t="s">
        <v>6939</v>
      </c>
      <c r="N386" s="45">
        <v>65964</v>
      </c>
      <c r="O386" s="4" t="s">
        <v>15</v>
      </c>
      <c r="P386" s="4">
        <f>54610+4500</f>
        <v>59110</v>
      </c>
      <c r="Q386" s="3">
        <f t="shared" si="38"/>
        <v>6854</v>
      </c>
      <c r="R386" s="3">
        <f t="shared" si="39"/>
        <v>59110</v>
      </c>
      <c r="S386" s="5" t="s">
        <v>3783</v>
      </c>
    </row>
    <row r="387" spans="1:20" hidden="1" x14ac:dyDescent="0.25">
      <c r="C387" s="4" t="s">
        <v>4633</v>
      </c>
      <c r="E387" s="5" t="s">
        <v>75</v>
      </c>
      <c r="G387" s="146" t="s">
        <v>6347</v>
      </c>
      <c r="H387" s="7" t="s">
        <v>4634</v>
      </c>
      <c r="I387" s="7" t="s">
        <v>8021</v>
      </c>
      <c r="J387" s="5" t="s">
        <v>4635</v>
      </c>
      <c r="K387" s="115">
        <v>44348</v>
      </c>
      <c r="N387" s="45">
        <v>76562</v>
      </c>
      <c r="O387" s="45" t="s">
        <v>15</v>
      </c>
      <c r="P387" s="4"/>
      <c r="Q387" s="45">
        <f t="shared" si="38"/>
        <v>76562</v>
      </c>
      <c r="R387" s="3">
        <f t="shared" si="39"/>
        <v>0</v>
      </c>
    </row>
    <row r="388" spans="1:20" hidden="1" x14ac:dyDescent="0.25">
      <c r="C388" s="4" t="s">
        <v>4628</v>
      </c>
      <c r="E388" s="5" t="s">
        <v>75</v>
      </c>
      <c r="G388" s="146" t="s">
        <v>6347</v>
      </c>
      <c r="H388" s="7" t="s">
        <v>5396</v>
      </c>
      <c r="I388" s="7" t="s">
        <v>8070</v>
      </c>
      <c r="J388" s="5" t="s">
        <v>6688</v>
      </c>
      <c r="L388" s="115" t="s">
        <v>7057</v>
      </c>
      <c r="M388" s="12" t="s">
        <v>7058</v>
      </c>
      <c r="N388" s="45">
        <v>62570</v>
      </c>
      <c r="O388" s="4" t="s">
        <v>15</v>
      </c>
      <c r="P388" s="4">
        <f>13700+23550+3300</f>
        <v>40550</v>
      </c>
      <c r="Q388" s="45">
        <f t="shared" si="38"/>
        <v>22020</v>
      </c>
      <c r="R388" s="3">
        <f t="shared" si="39"/>
        <v>40550</v>
      </c>
    </row>
    <row r="389" spans="1:20" hidden="1" x14ac:dyDescent="0.25">
      <c r="C389" s="4" t="s">
        <v>5387</v>
      </c>
      <c r="E389" s="5" t="s">
        <v>75</v>
      </c>
      <c r="G389" s="146" t="s">
        <v>6347</v>
      </c>
      <c r="H389" s="7" t="s">
        <v>5216</v>
      </c>
      <c r="I389" s="7" t="s">
        <v>8059</v>
      </c>
      <c r="J389" s="5" t="s">
        <v>5215</v>
      </c>
      <c r="L389" s="5" t="s">
        <v>6738</v>
      </c>
      <c r="M389" s="12" t="s">
        <v>6739</v>
      </c>
      <c r="N389" s="45">
        <f>47700+(22800+2300+1500)</f>
        <v>74300</v>
      </c>
      <c r="O389" s="4" t="s">
        <v>15</v>
      </c>
      <c r="P389" s="4">
        <f>41200+3300</f>
        <v>44500</v>
      </c>
      <c r="Q389" s="45">
        <f t="shared" si="38"/>
        <v>29800</v>
      </c>
      <c r="R389" s="3">
        <f t="shared" si="39"/>
        <v>44500</v>
      </c>
    </row>
    <row r="390" spans="1:20" hidden="1" x14ac:dyDescent="0.25">
      <c r="A390" s="265"/>
      <c r="C390" s="4" t="s">
        <v>6267</v>
      </c>
      <c r="E390" s="5" t="s">
        <v>75</v>
      </c>
      <c r="F390" s="5" t="s">
        <v>9958</v>
      </c>
      <c r="G390" s="146" t="s">
        <v>6347</v>
      </c>
      <c r="H390" s="7" t="s">
        <v>13220</v>
      </c>
      <c r="I390" s="7" t="s">
        <v>13222</v>
      </c>
      <c r="J390" s="5" t="s">
        <v>8795</v>
      </c>
      <c r="L390" s="5" t="s">
        <v>13344</v>
      </c>
      <c r="M390" s="12" t="s">
        <v>13345</v>
      </c>
      <c r="N390" s="45">
        <f>882060+3870+9520</f>
        <v>895450</v>
      </c>
      <c r="O390" s="4" t="s">
        <v>15</v>
      </c>
      <c r="P390" s="45">
        <f>11405+11405+11405-11405+86100+26175+12450+37125+29775+53250+42300+28275+87225+47775+32025+26250+3870+15075+8124+6360+43275+4996+9520</f>
        <v>622755</v>
      </c>
      <c r="Q390" s="45">
        <f t="shared" si="38"/>
        <v>272695</v>
      </c>
      <c r="R390" s="3">
        <f t="shared" si="39"/>
        <v>622755</v>
      </c>
    </row>
    <row r="391" spans="1:20" hidden="1" x14ac:dyDescent="0.25">
      <c r="A391" s="265"/>
      <c r="C391" s="4" t="s">
        <v>6675</v>
      </c>
      <c r="E391" s="5" t="s">
        <v>75</v>
      </c>
      <c r="F391" s="5" t="s">
        <v>9958</v>
      </c>
      <c r="G391" s="146" t="s">
        <v>6347</v>
      </c>
      <c r="H391" s="7" t="s">
        <v>13221</v>
      </c>
      <c r="I391" s="7" t="s">
        <v>13223</v>
      </c>
      <c r="J391" s="5" t="s">
        <v>8990</v>
      </c>
      <c r="L391" s="5" t="s">
        <v>13352</v>
      </c>
      <c r="M391" s="12" t="s">
        <v>13353</v>
      </c>
      <c r="N391" s="45">
        <f>882060+3870+9520</f>
        <v>895450</v>
      </c>
      <c r="O391" s="4" t="s">
        <v>15</v>
      </c>
      <c r="P391" s="45">
        <f>9680+9680-9680+81300+28950+18225+16875+46575+14760+64275+70200+18375+16950+65400+30375+49050+3870+5625+32184+4996+11424</f>
        <v>589089</v>
      </c>
      <c r="Q391" s="45">
        <f t="shared" si="38"/>
        <v>306361</v>
      </c>
      <c r="R391" s="3">
        <f t="shared" si="39"/>
        <v>589089</v>
      </c>
    </row>
    <row r="392" spans="1:20" hidden="1" x14ac:dyDescent="0.25">
      <c r="C392" s="4" t="s">
        <v>2459</v>
      </c>
      <c r="E392" s="5" t="s">
        <v>75</v>
      </c>
      <c r="G392" s="146" t="s">
        <v>6347</v>
      </c>
      <c r="H392" s="7" t="s">
        <v>5129</v>
      </c>
      <c r="I392" s="7" t="s">
        <v>7908</v>
      </c>
      <c r="J392" s="5" t="s">
        <v>2701</v>
      </c>
      <c r="K392" s="13"/>
      <c r="L392" s="5" t="s">
        <v>7201</v>
      </c>
      <c r="M392" s="12" t="s">
        <v>7202</v>
      </c>
      <c r="N392" s="45">
        <f>((132704/3)+(8844/3))-10518</f>
        <v>36664.666666666664</v>
      </c>
      <c r="O392" s="4" t="s">
        <v>15</v>
      </c>
      <c r="P392" s="45">
        <f>13723.86+7500</f>
        <v>21223.86</v>
      </c>
      <c r="Q392" s="45">
        <f t="shared" si="38"/>
        <v>15440.806666666664</v>
      </c>
      <c r="R392" s="3">
        <f t="shared" si="39"/>
        <v>21223.86</v>
      </c>
      <c r="S392" s="5" t="s">
        <v>2699</v>
      </c>
    </row>
    <row r="393" spans="1:20" hidden="1" x14ac:dyDescent="0.25">
      <c r="C393" s="4" t="s">
        <v>2450</v>
      </c>
      <c r="E393" s="5" t="s">
        <v>10</v>
      </c>
      <c r="G393" s="146" t="s">
        <v>6347</v>
      </c>
      <c r="H393" s="7" t="s">
        <v>4793</v>
      </c>
      <c r="I393" s="7" t="s">
        <v>7963</v>
      </c>
      <c r="J393" s="5" t="s">
        <v>3847</v>
      </c>
      <c r="K393" s="13" t="s">
        <v>3061</v>
      </c>
      <c r="N393" s="45">
        <v>8500</v>
      </c>
      <c r="O393" s="4" t="s">
        <v>15</v>
      </c>
      <c r="P393" s="4"/>
      <c r="Q393" s="3">
        <f t="shared" si="38"/>
        <v>8500</v>
      </c>
      <c r="R393" s="3">
        <f t="shared" si="39"/>
        <v>0</v>
      </c>
      <c r="S393" s="5" t="s">
        <v>4797</v>
      </c>
      <c r="T393" s="401" t="s">
        <v>7406</v>
      </c>
    </row>
    <row r="394" spans="1:20" hidden="1" x14ac:dyDescent="0.25">
      <c r="C394" s="4" t="s">
        <v>2450</v>
      </c>
      <c r="E394" s="5" t="s">
        <v>10</v>
      </c>
      <c r="G394" s="146" t="s">
        <v>6347</v>
      </c>
      <c r="H394" s="7" t="s">
        <v>4793</v>
      </c>
      <c r="I394" s="7" t="s">
        <v>7963</v>
      </c>
      <c r="J394" s="5" t="s">
        <v>3848</v>
      </c>
      <c r="K394" s="13" t="s">
        <v>3061</v>
      </c>
      <c r="N394" s="45">
        <v>12150</v>
      </c>
      <c r="O394" s="4" t="s">
        <v>15</v>
      </c>
      <c r="P394" s="4"/>
      <c r="Q394" s="3">
        <f t="shared" si="38"/>
        <v>12150</v>
      </c>
      <c r="R394" s="3">
        <f t="shared" si="39"/>
        <v>0</v>
      </c>
      <c r="S394" s="5" t="s">
        <v>4797</v>
      </c>
      <c r="T394" s="401" t="s">
        <v>7406</v>
      </c>
    </row>
    <row r="395" spans="1:20" hidden="1" x14ac:dyDescent="0.25">
      <c r="B395" s="21" t="s">
        <v>395</v>
      </c>
      <c r="C395" s="22" t="s">
        <v>158</v>
      </c>
      <c r="D395" s="22"/>
      <c r="E395" s="21" t="s">
        <v>10</v>
      </c>
      <c r="F395" s="21" t="s">
        <v>10110</v>
      </c>
      <c r="G395" s="147" t="s">
        <v>8553</v>
      </c>
      <c r="H395" s="23" t="s">
        <v>10111</v>
      </c>
      <c r="I395" s="23" t="s">
        <v>10112</v>
      </c>
      <c r="J395" s="21" t="s">
        <v>10113</v>
      </c>
      <c r="K395" s="21"/>
      <c r="L395" s="21" t="s">
        <v>10151</v>
      </c>
      <c r="M395" s="26">
        <v>45478</v>
      </c>
      <c r="N395" s="44">
        <v>7533</v>
      </c>
      <c r="O395" s="22" t="s">
        <v>15</v>
      </c>
      <c r="P395" s="44">
        <v>7533</v>
      </c>
      <c r="Q395" s="24">
        <f t="shared" si="38"/>
        <v>0</v>
      </c>
      <c r="R395" s="24">
        <f>IF(P395="OK",N395-Q395,IF(P395="en cours",M395-Q395,P395))</f>
        <v>7533</v>
      </c>
    </row>
    <row r="396" spans="1:20" ht="13.5" hidden="1" customHeight="1" x14ac:dyDescent="0.25">
      <c r="A396" t="s">
        <v>6753</v>
      </c>
      <c r="B396" s="21" t="s">
        <v>395</v>
      </c>
      <c r="C396" s="22" t="s">
        <v>2450</v>
      </c>
      <c r="D396" s="22" t="s">
        <v>5831</v>
      </c>
      <c r="E396" s="21" t="s">
        <v>10</v>
      </c>
      <c r="F396" s="21"/>
      <c r="G396" s="147" t="s">
        <v>6334</v>
      </c>
      <c r="H396" s="23" t="s">
        <v>4730</v>
      </c>
      <c r="I396" s="23" t="s">
        <v>7998</v>
      </c>
      <c r="J396" s="21" t="s">
        <v>4728</v>
      </c>
      <c r="K396" s="21"/>
      <c r="L396" s="21" t="s">
        <v>6458</v>
      </c>
      <c r="M396" s="26" t="s">
        <v>6459</v>
      </c>
      <c r="N396" s="99">
        <f>0.1*450500</f>
        <v>45050</v>
      </c>
      <c r="O396" s="22" t="s">
        <v>15</v>
      </c>
      <c r="P396" s="22">
        <v>45050</v>
      </c>
      <c r="Q396" s="44">
        <f t="shared" ref="Q396:Q398" si="40">IF(P396="en cours",N396,IF(P396="OK",0,IF(N396-P396&lt;0,0,N396-P396)))</f>
        <v>0</v>
      </c>
      <c r="R396" s="24">
        <f t="shared" ref="R396:R398" si="41">IF(P396="OK",N396-Q396,IF(P396="en cours",N396-Q396,P396))</f>
        <v>45050</v>
      </c>
      <c r="S396" s="5" t="s">
        <v>4788</v>
      </c>
    </row>
    <row r="397" spans="1:20" ht="13.5" hidden="1" customHeight="1" x14ac:dyDescent="0.25">
      <c r="B397" s="5" t="s">
        <v>12228</v>
      </c>
      <c r="C397" s="4" t="s">
        <v>2450</v>
      </c>
      <c r="D397" s="4" t="s">
        <v>5830</v>
      </c>
      <c r="E397" s="5" t="s">
        <v>10</v>
      </c>
      <c r="G397" s="146" t="s">
        <v>6334</v>
      </c>
      <c r="H397" s="7" t="s">
        <v>4729</v>
      </c>
      <c r="I397" s="7" t="s">
        <v>7998</v>
      </c>
      <c r="J397" s="5" t="s">
        <v>4723</v>
      </c>
      <c r="K397" s="115">
        <v>44348</v>
      </c>
      <c r="N397" s="45">
        <v>11340</v>
      </c>
      <c r="O397" s="4" t="s">
        <v>15</v>
      </c>
      <c r="P397" s="4"/>
      <c r="Q397" s="45">
        <f t="shared" si="40"/>
        <v>11340</v>
      </c>
      <c r="R397" s="3">
        <f t="shared" si="41"/>
        <v>0</v>
      </c>
      <c r="S397" s="5" t="s">
        <v>4788</v>
      </c>
      <c r="T397" s="401" t="s">
        <v>7406</v>
      </c>
    </row>
    <row r="398" spans="1:20" hidden="1" x14ac:dyDescent="0.25">
      <c r="A398" t="s">
        <v>6753</v>
      </c>
      <c r="B398" s="21" t="s">
        <v>395</v>
      </c>
      <c r="C398" s="22" t="s">
        <v>4753</v>
      </c>
      <c r="D398" s="22"/>
      <c r="E398" s="21" t="s">
        <v>729</v>
      </c>
      <c r="F398" s="21"/>
      <c r="G398" s="147" t="s">
        <v>210</v>
      </c>
      <c r="H398" s="23" t="s">
        <v>6520</v>
      </c>
      <c r="I398" s="23"/>
      <c r="J398" s="21" t="s">
        <v>6521</v>
      </c>
      <c r="K398" s="21"/>
      <c r="L398" s="21" t="s">
        <v>6522</v>
      </c>
      <c r="M398" s="23" t="s">
        <v>6519</v>
      </c>
      <c r="N398" s="44">
        <v>5200</v>
      </c>
      <c r="O398" s="22" t="s">
        <v>15</v>
      </c>
      <c r="P398" s="22">
        <v>5200</v>
      </c>
      <c r="Q398" s="24">
        <f t="shared" si="40"/>
        <v>0</v>
      </c>
      <c r="R398" s="44">
        <f t="shared" si="41"/>
        <v>5200</v>
      </c>
      <c r="S398" s="5" t="s">
        <v>6205</v>
      </c>
    </row>
    <row r="399" spans="1:20" hidden="1" x14ac:dyDescent="0.25">
      <c r="A399" t="s">
        <v>6753</v>
      </c>
      <c r="B399" s="5" t="s">
        <v>12228</v>
      </c>
      <c r="C399" s="4" t="s">
        <v>4753</v>
      </c>
      <c r="E399" s="5" t="s">
        <v>729</v>
      </c>
      <c r="G399" s="146" t="s">
        <v>210</v>
      </c>
      <c r="H399" s="7" t="s">
        <v>4754</v>
      </c>
      <c r="J399" s="5" t="s">
        <v>6202</v>
      </c>
      <c r="N399" s="45">
        <v>5400</v>
      </c>
      <c r="O399" s="4" t="s">
        <v>15</v>
      </c>
      <c r="P399" s="4"/>
      <c r="Q399" s="3">
        <f t="shared" ref="Q399:Q408" si="42">IF(P399="en cours",N399,IF(P399="OK",0,IF(N399-P399&lt;0,0,N399-P399)))</f>
        <v>5400</v>
      </c>
      <c r="R399" s="45">
        <f t="shared" ref="R399:R408" si="43">IF(P399="OK",N399-Q399,IF(P399="en cours",N399-Q399,P399))</f>
        <v>0</v>
      </c>
      <c r="S399" s="5" t="s">
        <v>6203</v>
      </c>
    </row>
    <row r="400" spans="1:20" hidden="1" x14ac:dyDescent="0.25">
      <c r="A400" t="s">
        <v>6753</v>
      </c>
      <c r="B400" s="5" t="s">
        <v>12228</v>
      </c>
      <c r="C400" s="4" t="s">
        <v>4753</v>
      </c>
      <c r="E400" s="5" t="s">
        <v>729</v>
      </c>
      <c r="G400" s="146" t="s">
        <v>210</v>
      </c>
      <c r="H400" s="7" t="s">
        <v>4754</v>
      </c>
      <c r="J400" s="5" t="s">
        <v>6201</v>
      </c>
      <c r="N400" s="45">
        <v>5400</v>
      </c>
      <c r="O400" s="4" t="s">
        <v>15</v>
      </c>
      <c r="P400" s="4"/>
      <c r="Q400" s="3">
        <f t="shared" si="42"/>
        <v>5400</v>
      </c>
      <c r="R400" s="45">
        <f t="shared" si="43"/>
        <v>0</v>
      </c>
      <c r="S400" s="5" t="s">
        <v>6203</v>
      </c>
    </row>
    <row r="401" spans="1:19" hidden="1" x14ac:dyDescent="0.25">
      <c r="A401" t="s">
        <v>6753</v>
      </c>
      <c r="B401" s="21" t="s">
        <v>395</v>
      </c>
      <c r="C401" s="22" t="s">
        <v>4753</v>
      </c>
      <c r="D401" s="22"/>
      <c r="E401" s="21" t="s">
        <v>729</v>
      </c>
      <c r="F401" s="21"/>
      <c r="G401" s="147" t="s">
        <v>210</v>
      </c>
      <c r="H401" s="23" t="s">
        <v>6204</v>
      </c>
      <c r="I401" s="23" t="s">
        <v>8025</v>
      </c>
      <c r="J401" s="21" t="s">
        <v>6199</v>
      </c>
      <c r="K401" s="21"/>
      <c r="L401" s="21" t="s">
        <v>6518</v>
      </c>
      <c r="M401" s="23" t="s">
        <v>6519</v>
      </c>
      <c r="N401" s="44">
        <v>5400</v>
      </c>
      <c r="O401" s="22" t="s">
        <v>15</v>
      </c>
      <c r="P401" s="22">
        <v>5400</v>
      </c>
      <c r="Q401" s="24">
        <f t="shared" si="42"/>
        <v>0</v>
      </c>
      <c r="R401" s="44">
        <f t="shared" si="43"/>
        <v>5400</v>
      </c>
      <c r="S401" s="5" t="s">
        <v>6205</v>
      </c>
    </row>
    <row r="402" spans="1:19" hidden="1" x14ac:dyDescent="0.25">
      <c r="A402" t="s">
        <v>6753</v>
      </c>
      <c r="B402" s="21" t="s">
        <v>395</v>
      </c>
      <c r="C402" s="22" t="s">
        <v>4753</v>
      </c>
      <c r="D402" s="22"/>
      <c r="E402" s="21" t="s">
        <v>729</v>
      </c>
      <c r="F402" s="21"/>
      <c r="G402" s="147" t="s">
        <v>210</v>
      </c>
      <c r="H402" s="23" t="s">
        <v>6204</v>
      </c>
      <c r="I402" s="23" t="s">
        <v>8025</v>
      </c>
      <c r="J402" s="21" t="s">
        <v>6200</v>
      </c>
      <c r="K402" s="21"/>
      <c r="L402" s="21" t="s">
        <v>6518</v>
      </c>
      <c r="M402" s="23" t="s">
        <v>6519</v>
      </c>
      <c r="N402" s="44">
        <v>5400</v>
      </c>
      <c r="O402" s="22" t="s">
        <v>15</v>
      </c>
      <c r="P402" s="22">
        <v>5400</v>
      </c>
      <c r="Q402" s="24">
        <f t="shared" si="42"/>
        <v>0</v>
      </c>
      <c r="R402" s="44">
        <f t="shared" si="43"/>
        <v>5400</v>
      </c>
      <c r="S402" s="5" t="s">
        <v>6205</v>
      </c>
    </row>
    <row r="403" spans="1:19" hidden="1" x14ac:dyDescent="0.25">
      <c r="A403" t="s">
        <v>6753</v>
      </c>
      <c r="B403" s="21" t="s">
        <v>395</v>
      </c>
      <c r="C403" s="22" t="s">
        <v>2461</v>
      </c>
      <c r="D403" s="22"/>
      <c r="E403" s="21" t="s">
        <v>75</v>
      </c>
      <c r="F403" s="21"/>
      <c r="G403" s="147" t="s">
        <v>210</v>
      </c>
      <c r="H403" s="23" t="s">
        <v>1856</v>
      </c>
      <c r="I403" s="23"/>
      <c r="J403" s="21" t="s">
        <v>6180</v>
      </c>
      <c r="K403" s="120"/>
      <c r="L403" s="21" t="s">
        <v>6190</v>
      </c>
      <c r="M403" s="26" t="s">
        <v>6191</v>
      </c>
      <c r="N403" s="44">
        <f>P403</f>
        <v>27033.53</v>
      </c>
      <c r="O403" s="22" t="s">
        <v>15</v>
      </c>
      <c r="P403" s="44">
        <f>(7520+2048.53)+2320+10020+5125</f>
        <v>27033.53</v>
      </c>
      <c r="Q403" s="44">
        <f t="shared" si="42"/>
        <v>0</v>
      </c>
      <c r="R403" s="24">
        <f t="shared" si="43"/>
        <v>27033.53</v>
      </c>
    </row>
    <row r="404" spans="1:19" hidden="1" x14ac:dyDescent="0.25">
      <c r="A404" t="s">
        <v>6753</v>
      </c>
      <c r="B404" s="21" t="s">
        <v>395</v>
      </c>
      <c r="C404" s="22" t="s">
        <v>2461</v>
      </c>
      <c r="D404" s="22"/>
      <c r="E404" s="21" t="s">
        <v>75</v>
      </c>
      <c r="F404" s="21"/>
      <c r="G404" s="147" t="s">
        <v>210</v>
      </c>
      <c r="H404" s="23" t="s">
        <v>1856</v>
      </c>
      <c r="I404" s="23"/>
      <c r="J404" s="21" t="s">
        <v>6181</v>
      </c>
      <c r="K404" s="120"/>
      <c r="L404" s="21" t="s">
        <v>6190</v>
      </c>
      <c r="M404" s="26" t="s">
        <v>6191</v>
      </c>
      <c r="N404" s="44">
        <f>P404</f>
        <v>4123.63</v>
      </c>
      <c r="O404" s="22" t="s">
        <v>15</v>
      </c>
      <c r="P404" s="44">
        <f>(540+215.61)+598.3+2351.79+417.93</f>
        <v>4123.63</v>
      </c>
      <c r="Q404" s="44">
        <f t="shared" si="42"/>
        <v>0</v>
      </c>
      <c r="R404" s="24">
        <f t="shared" si="43"/>
        <v>4123.63</v>
      </c>
    </row>
    <row r="405" spans="1:19" hidden="1" x14ac:dyDescent="0.25">
      <c r="A405" t="s">
        <v>6753</v>
      </c>
      <c r="B405" s="21" t="s">
        <v>395</v>
      </c>
      <c r="C405" s="22" t="s">
        <v>2461</v>
      </c>
      <c r="D405" s="22"/>
      <c r="E405" s="21" t="s">
        <v>75</v>
      </c>
      <c r="F405" s="21"/>
      <c r="G405" s="147" t="s">
        <v>210</v>
      </c>
      <c r="H405" s="23" t="s">
        <v>1856</v>
      </c>
      <c r="I405" s="23"/>
      <c r="J405" s="21" t="s">
        <v>6182</v>
      </c>
      <c r="K405" s="120"/>
      <c r="L405" s="21" t="s">
        <v>6192</v>
      </c>
      <c r="M405" s="26" t="s">
        <v>6193</v>
      </c>
      <c r="N405" s="44">
        <f>P405</f>
        <v>88865</v>
      </c>
      <c r="O405" s="22" t="s">
        <v>15</v>
      </c>
      <c r="P405" s="44">
        <f>6285+7475+7530+5645+7552.5+8872.5+7660+8655+5905+9015+(8105+6165)</f>
        <v>88865</v>
      </c>
      <c r="Q405" s="44">
        <f t="shared" si="42"/>
        <v>0</v>
      </c>
      <c r="R405" s="24">
        <f t="shared" si="43"/>
        <v>88865</v>
      </c>
    </row>
    <row r="406" spans="1:19" hidden="1" x14ac:dyDescent="0.25">
      <c r="A406" t="s">
        <v>6753</v>
      </c>
      <c r="B406" s="21" t="s">
        <v>395</v>
      </c>
      <c r="C406" s="22" t="s">
        <v>2461</v>
      </c>
      <c r="D406" s="22"/>
      <c r="E406" s="21" t="s">
        <v>75</v>
      </c>
      <c r="F406" s="21"/>
      <c r="G406" s="147" t="s">
        <v>210</v>
      </c>
      <c r="H406" s="23" t="s">
        <v>1856</v>
      </c>
      <c r="I406" s="23"/>
      <c r="J406" s="21" t="s">
        <v>6183</v>
      </c>
      <c r="K406" s="120"/>
      <c r="L406" s="21" t="s">
        <v>6192</v>
      </c>
      <c r="M406" s="26" t="s">
        <v>6193</v>
      </c>
      <c r="N406" s="44">
        <f>P406</f>
        <v>4231.3500000000004</v>
      </c>
      <c r="O406" s="22" t="s">
        <v>15</v>
      </c>
      <c r="P406" s="44">
        <f>240+368.18+276.72+171.52+150+682.25+409.39+579.85+178.42+475.82+(315.42+383.78)</f>
        <v>4231.3500000000004</v>
      </c>
      <c r="Q406" s="44">
        <f t="shared" si="42"/>
        <v>0</v>
      </c>
      <c r="R406" s="24">
        <f t="shared" si="43"/>
        <v>4231.3500000000004</v>
      </c>
    </row>
    <row r="407" spans="1:19" hidden="1" x14ac:dyDescent="0.25">
      <c r="A407" t="s">
        <v>6753</v>
      </c>
      <c r="B407" s="5" t="s">
        <v>12228</v>
      </c>
      <c r="C407" s="4" t="s">
        <v>2461</v>
      </c>
      <c r="E407" s="5" t="s">
        <v>75</v>
      </c>
      <c r="G407" s="146" t="s">
        <v>210</v>
      </c>
      <c r="H407" s="7" t="s">
        <v>1856</v>
      </c>
      <c r="J407" s="5" t="s">
        <v>6188</v>
      </c>
      <c r="K407" s="13"/>
      <c r="L407" s="5" t="s">
        <v>6378</v>
      </c>
      <c r="M407" s="12" t="s">
        <v>6379</v>
      </c>
      <c r="N407" s="45">
        <f>349095-(N403+N405)</f>
        <v>233196.47</v>
      </c>
      <c r="O407" s="4" t="s">
        <v>15</v>
      </c>
      <c r="P407" s="45">
        <f>10032.5+8602.5+(7010+7855)+(6685+8895)+11105+(7855+5320+11625+12085)+(8830+7390)</f>
        <v>113290</v>
      </c>
      <c r="Q407" s="45">
        <f t="shared" si="42"/>
        <v>119906.47</v>
      </c>
      <c r="R407" s="3">
        <f t="shared" si="43"/>
        <v>113290</v>
      </c>
    </row>
    <row r="408" spans="1:19" hidden="1" x14ac:dyDescent="0.25">
      <c r="A408" t="s">
        <v>6753</v>
      </c>
      <c r="B408" s="5" t="s">
        <v>12228</v>
      </c>
      <c r="C408" s="4" t="s">
        <v>2461</v>
      </c>
      <c r="E408" s="5" t="s">
        <v>75</v>
      </c>
      <c r="G408" s="146" t="s">
        <v>210</v>
      </c>
      <c r="H408" s="7" t="s">
        <v>1856</v>
      </c>
      <c r="J408" s="5" t="s">
        <v>6189</v>
      </c>
      <c r="K408" s="13"/>
      <c r="L408" s="5" t="s">
        <v>6378</v>
      </c>
      <c r="M408" s="12" t="s">
        <v>6379</v>
      </c>
      <c r="N408" s="45">
        <f>44500-(N404+N406)</f>
        <v>36145.020000000004</v>
      </c>
      <c r="O408" s="4" t="s">
        <v>15</v>
      </c>
      <c r="P408" s="45">
        <f>656.12+668.4+(345.95+775.51)+(600.61+518.6)+736.14+(755.59+179.77+490.8+937.79)+(728.12+373.81)</f>
        <v>7767.21</v>
      </c>
      <c r="Q408" s="45">
        <f t="shared" si="42"/>
        <v>28377.810000000005</v>
      </c>
      <c r="R408" s="3">
        <f t="shared" si="43"/>
        <v>7767.21</v>
      </c>
    </row>
    <row r="409" spans="1:19" hidden="1" x14ac:dyDescent="0.25">
      <c r="A409" t="s">
        <v>6753</v>
      </c>
      <c r="B409" s="21" t="s">
        <v>395</v>
      </c>
      <c r="C409" s="22" t="s">
        <v>2457</v>
      </c>
      <c r="D409" s="22"/>
      <c r="E409" s="21" t="s">
        <v>75</v>
      </c>
      <c r="F409" s="21"/>
      <c r="G409" s="147" t="s">
        <v>210</v>
      </c>
      <c r="H409" s="23" t="s">
        <v>1707</v>
      </c>
      <c r="I409" s="23"/>
      <c r="J409" s="21" t="s">
        <v>1988</v>
      </c>
      <c r="K409" s="21"/>
      <c r="L409" s="21"/>
      <c r="M409" s="66" t="s">
        <v>1989</v>
      </c>
      <c r="N409" s="44">
        <v>4457.0700000000006</v>
      </c>
      <c r="O409" s="22" t="s">
        <v>15</v>
      </c>
      <c r="P409" s="22">
        <f>(1564.82+345.35+757.76+942.54+846.6)</f>
        <v>4457.0700000000006</v>
      </c>
      <c r="Q409" s="24">
        <f>IF(P409="en cours",N409,IF(P409="OK",0,IF(N409-P409&lt;0,0,N409-P409)))</f>
        <v>0</v>
      </c>
      <c r="R409" s="24">
        <f t="shared" ref="R409:R435" si="44">IF(P409="OK",N409-Q409,IF(P409="en cours",N409-Q409,P409))</f>
        <v>4457.0700000000006</v>
      </c>
    </row>
    <row r="410" spans="1:19" hidden="1" x14ac:dyDescent="0.25">
      <c r="A410" t="s">
        <v>6753</v>
      </c>
      <c r="B410" s="21" t="s">
        <v>395</v>
      </c>
      <c r="C410" s="22" t="s">
        <v>2457</v>
      </c>
      <c r="D410" s="22"/>
      <c r="E410" s="21" t="s">
        <v>75</v>
      </c>
      <c r="F410" s="21"/>
      <c r="G410" s="147" t="s">
        <v>210</v>
      </c>
      <c r="H410" s="23" t="s">
        <v>1707</v>
      </c>
      <c r="I410" s="23"/>
      <c r="J410" s="21" t="s">
        <v>1987</v>
      </c>
      <c r="K410" s="21"/>
      <c r="L410" s="21"/>
      <c r="M410" s="66" t="s">
        <v>1986</v>
      </c>
      <c r="N410" s="44">
        <v>67476.399999999994</v>
      </c>
      <c r="O410" s="22" t="s">
        <v>15</v>
      </c>
      <c r="P410" s="44">
        <f>(34682.65+4023.75+7923.75+3048.75+8898.75+8898.75)</f>
        <v>67476.399999999994</v>
      </c>
      <c r="Q410" s="24">
        <f>IF(P410="en cours",N410,IF(P410="OK",0,IF(N410-P410&lt;0,0,N410-P410)))</f>
        <v>0</v>
      </c>
      <c r="R410" s="24">
        <f t="shared" si="44"/>
        <v>67476.399999999994</v>
      </c>
    </row>
    <row r="411" spans="1:19" hidden="1" x14ac:dyDescent="0.25">
      <c r="A411" t="s">
        <v>6753</v>
      </c>
      <c r="B411" s="21" t="s">
        <v>395</v>
      </c>
      <c r="C411" s="22" t="s">
        <v>2457</v>
      </c>
      <c r="D411" s="22"/>
      <c r="E411" s="21" t="s">
        <v>75</v>
      </c>
      <c r="F411" s="21"/>
      <c r="G411" s="147" t="s">
        <v>210</v>
      </c>
      <c r="H411" s="23" t="s">
        <v>1707</v>
      </c>
      <c r="I411" s="23"/>
      <c r="J411" s="21" t="s">
        <v>1990</v>
      </c>
      <c r="K411" s="21"/>
      <c r="L411" s="21" t="s">
        <v>2638</v>
      </c>
      <c r="M411" s="66" t="s">
        <v>2639</v>
      </c>
      <c r="N411" s="44">
        <f>P411</f>
        <v>66711.25</v>
      </c>
      <c r="O411" s="22" t="s">
        <v>15</v>
      </c>
      <c r="P411" s="44">
        <f>5973.75+7683.75+5063.75+3048.75+7923.75+5538.75+6948.75+3048.75+8898.75+10533.75+2048.75</f>
        <v>66711.25</v>
      </c>
      <c r="Q411" s="24">
        <v>0</v>
      </c>
      <c r="R411" s="24">
        <f t="shared" si="44"/>
        <v>66711.25</v>
      </c>
    </row>
    <row r="412" spans="1:19" hidden="1" x14ac:dyDescent="0.25">
      <c r="A412" t="s">
        <v>6753</v>
      </c>
      <c r="B412" s="21" t="s">
        <v>395</v>
      </c>
      <c r="C412" s="22" t="s">
        <v>2457</v>
      </c>
      <c r="D412" s="22"/>
      <c r="E412" s="21" t="s">
        <v>75</v>
      </c>
      <c r="F412" s="21"/>
      <c r="G412" s="147" t="s">
        <v>210</v>
      </c>
      <c r="H412" s="23" t="s">
        <v>1707</v>
      </c>
      <c r="I412" s="23"/>
      <c r="J412" s="21" t="s">
        <v>2160</v>
      </c>
      <c r="K412" s="21"/>
      <c r="L412" s="21" t="s">
        <v>2638</v>
      </c>
      <c r="M412" s="66" t="s">
        <v>2639</v>
      </c>
      <c r="N412" s="44">
        <f>P412</f>
        <v>11215.59</v>
      </c>
      <c r="O412" s="22" t="s">
        <v>15</v>
      </c>
      <c r="P412" s="44">
        <f>(1564.82+345.35+757.76+942.54+846.6)+399.92+1166.36+104.54+199.96+930.09+424.89+561+143.65+1098.07+1691.05+38.99</f>
        <v>11215.59</v>
      </c>
      <c r="Q412" s="24">
        <v>0</v>
      </c>
      <c r="R412" s="24">
        <f t="shared" si="44"/>
        <v>11215.59</v>
      </c>
    </row>
    <row r="413" spans="1:19" hidden="1" x14ac:dyDescent="0.25">
      <c r="A413" t="s">
        <v>6753</v>
      </c>
      <c r="B413" s="21" t="s">
        <v>395</v>
      </c>
      <c r="C413" s="22" t="s">
        <v>2457</v>
      </c>
      <c r="D413" s="22"/>
      <c r="E413" s="21" t="s">
        <v>75</v>
      </c>
      <c r="F413" s="21"/>
      <c r="G413" s="147" t="s">
        <v>210</v>
      </c>
      <c r="H413" s="23" t="s">
        <v>1707</v>
      </c>
      <c r="I413" s="23"/>
      <c r="J413" s="21" t="s">
        <v>2736</v>
      </c>
      <c r="K413" s="21"/>
      <c r="L413" s="21" t="s">
        <v>2735</v>
      </c>
      <c r="M413" s="66" t="s">
        <v>3086</v>
      </c>
      <c r="N413" s="44">
        <f>23171.25</f>
        <v>23171.25</v>
      </c>
      <c r="O413" s="22" t="s">
        <v>15</v>
      </c>
      <c r="P413" s="44">
        <f>8658.75+4007.5+4007.5+6497.5</f>
        <v>23171.25</v>
      </c>
      <c r="Q413" s="24">
        <f t="shared" ref="Q413:Q457" si="45">IF(P413="en cours",N413,IF(P413="OK",0,IF(N413-P413&lt;0,0,N413-P413)))</f>
        <v>0</v>
      </c>
      <c r="R413" s="24">
        <f t="shared" si="44"/>
        <v>23171.25</v>
      </c>
    </row>
    <row r="414" spans="1:19" hidden="1" x14ac:dyDescent="0.25">
      <c r="A414" t="s">
        <v>6753</v>
      </c>
      <c r="B414" s="21" t="s">
        <v>395</v>
      </c>
      <c r="C414" s="22" t="s">
        <v>2457</v>
      </c>
      <c r="D414" s="22"/>
      <c r="E414" s="21" t="s">
        <v>75</v>
      </c>
      <c r="F414" s="21"/>
      <c r="G414" s="147" t="s">
        <v>210</v>
      </c>
      <c r="H414" s="23" t="s">
        <v>1707</v>
      </c>
      <c r="I414" s="23"/>
      <c r="J414" s="21" t="s">
        <v>2737</v>
      </c>
      <c r="K414" s="21"/>
      <c r="L414" s="21" t="s">
        <v>2735</v>
      </c>
      <c r="M414" s="66" t="s">
        <v>3086</v>
      </c>
      <c r="N414" s="44">
        <f>2177.95</f>
        <v>2177.9499999999998</v>
      </c>
      <c r="O414" s="22" t="s">
        <v>15</v>
      </c>
      <c r="P414" s="44">
        <f>479.36+587.26+436.13+675.2</f>
        <v>2177.9499999999998</v>
      </c>
      <c r="Q414" s="24">
        <f t="shared" si="45"/>
        <v>0</v>
      </c>
      <c r="R414" s="24">
        <f t="shared" si="44"/>
        <v>2177.9499999999998</v>
      </c>
    </row>
    <row r="415" spans="1:19" hidden="1" x14ac:dyDescent="0.25">
      <c r="A415" t="s">
        <v>6753</v>
      </c>
      <c r="B415" s="5" t="s">
        <v>12228</v>
      </c>
      <c r="C415" s="4" t="s">
        <v>2457</v>
      </c>
      <c r="E415" s="5" t="s">
        <v>75</v>
      </c>
      <c r="G415" s="146" t="s">
        <v>210</v>
      </c>
      <c r="H415" s="7" t="s">
        <v>1707</v>
      </c>
      <c r="J415" s="5" t="s">
        <v>2736</v>
      </c>
      <c r="L415" s="5" t="s">
        <v>6712</v>
      </c>
      <c r="N415" s="45">
        <v>105829.5</v>
      </c>
      <c r="O415" s="4" t="s">
        <v>15</v>
      </c>
      <c r="P415" s="45">
        <f>3032.5+5242.5+2182.5+11282.5+2837.5+(2837.5+3032.5+3032.5)+(4652.5+3032.5+3032.5+4357.5)+(2057.5+2057.5+5957.5+2057.5+2057.5+3252.5+1927.5)+(5652.5+4687.5)</f>
        <v>78262.5</v>
      </c>
      <c r="Q415" s="3">
        <f t="shared" si="45"/>
        <v>27567</v>
      </c>
      <c r="R415" s="3">
        <f t="shared" si="44"/>
        <v>78262.5</v>
      </c>
    </row>
    <row r="416" spans="1:19" hidden="1" x14ac:dyDescent="0.25">
      <c r="A416" t="s">
        <v>6753</v>
      </c>
      <c r="B416" s="5" t="s">
        <v>12228</v>
      </c>
      <c r="C416" s="4" t="s">
        <v>2457</v>
      </c>
      <c r="E416" s="5" t="s">
        <v>75</v>
      </c>
      <c r="G416" s="146" t="s">
        <v>210</v>
      </c>
      <c r="H416" s="7" t="s">
        <v>1707</v>
      </c>
      <c r="J416" s="5" t="s">
        <v>2737</v>
      </c>
      <c r="L416" s="5" t="s">
        <v>6712</v>
      </c>
      <c r="N416" s="45">
        <f>12149.39</f>
        <v>12149.39</v>
      </c>
      <c r="O416" s="4" t="s">
        <v>15</v>
      </c>
      <c r="P416" s="45">
        <f>224.69+541.23+123.74+1592.72 +4.68+(83.28+442.23+172.76)+(199.05+633.23+367.28+301.84)+(5.34+4.61+646.64+184.75+535.61+223.47+57.2)+(724.58+153.75)</f>
        <v>7222.6799999999994</v>
      </c>
      <c r="Q416" s="3">
        <f t="shared" si="45"/>
        <v>4926.71</v>
      </c>
      <c r="R416" s="3">
        <f t="shared" si="44"/>
        <v>7222.6799999999994</v>
      </c>
    </row>
    <row r="417" spans="1:18" hidden="1" x14ac:dyDescent="0.25">
      <c r="A417" t="s">
        <v>6753</v>
      </c>
      <c r="B417" s="5" t="s">
        <v>12228</v>
      </c>
      <c r="C417" s="4" t="s">
        <v>2459</v>
      </c>
      <c r="E417" s="5" t="s">
        <v>75</v>
      </c>
      <c r="G417" s="146" t="s">
        <v>210</v>
      </c>
      <c r="H417" s="7" t="s">
        <v>2585</v>
      </c>
      <c r="J417" s="5" t="s">
        <v>6162</v>
      </c>
      <c r="K417" s="13"/>
      <c r="L417" s="5" t="s">
        <v>6161</v>
      </c>
      <c r="M417" s="12" t="s">
        <v>6165</v>
      </c>
      <c r="N417" s="45">
        <f>100990-85650</f>
        <v>15340</v>
      </c>
      <c r="O417" s="4" t="s">
        <v>15</v>
      </c>
      <c r="P417" s="45">
        <f>(1820+2700+2700+1800+650+900+900+1800+900)</f>
        <v>14170</v>
      </c>
      <c r="Q417" s="3">
        <f t="shared" si="45"/>
        <v>1170</v>
      </c>
      <c r="R417" s="3">
        <f t="shared" si="44"/>
        <v>14170</v>
      </c>
    </row>
    <row r="418" spans="1:18" hidden="1" x14ac:dyDescent="0.25">
      <c r="A418" t="s">
        <v>6753</v>
      </c>
      <c r="B418" s="5" t="s">
        <v>12228</v>
      </c>
      <c r="C418" s="4" t="s">
        <v>2459</v>
      </c>
      <c r="E418" s="5" t="s">
        <v>75</v>
      </c>
      <c r="G418" s="146" t="s">
        <v>210</v>
      </c>
      <c r="H418" s="7" t="s">
        <v>2585</v>
      </c>
      <c r="J418" s="5" t="s">
        <v>6163</v>
      </c>
      <c r="K418" s="13"/>
      <c r="L418" s="5" t="s">
        <v>6166</v>
      </c>
      <c r="M418" s="12" t="s">
        <v>6164</v>
      </c>
      <c r="N418" s="45">
        <f>22900-8060.49</f>
        <v>14839.51</v>
      </c>
      <c r="O418" s="4" t="s">
        <v>15</v>
      </c>
      <c r="P418" s="4">
        <f>(473.23+16.83+76.96+29.28+138.04+433.05+631.35+564.8+537.12)+538.16+187.08+80.86+98.91+45.47+130.71+213.04+77.3</f>
        <v>4272.1899999999996</v>
      </c>
      <c r="Q418" s="45">
        <f t="shared" si="45"/>
        <v>10567.32</v>
      </c>
      <c r="R418" s="3">
        <f t="shared" si="44"/>
        <v>4272.1899999999996</v>
      </c>
    </row>
    <row r="419" spans="1:18" hidden="1" x14ac:dyDescent="0.25">
      <c r="A419" t="s">
        <v>6753</v>
      </c>
      <c r="B419" s="21" t="s">
        <v>395</v>
      </c>
      <c r="C419" s="22" t="s">
        <v>2459</v>
      </c>
      <c r="D419" s="22"/>
      <c r="E419" s="21" t="s">
        <v>75</v>
      </c>
      <c r="F419" s="21"/>
      <c r="G419" s="147" t="s">
        <v>210</v>
      </c>
      <c r="H419" s="23" t="s">
        <v>6173</v>
      </c>
      <c r="I419" s="23"/>
      <c r="J419" s="21" t="s">
        <v>6167</v>
      </c>
      <c r="K419" s="120"/>
      <c r="L419" s="21" t="s">
        <v>6174</v>
      </c>
      <c r="M419" s="26" t="s">
        <v>6175</v>
      </c>
      <c r="N419" s="44">
        <f>P419</f>
        <v>167389</v>
      </c>
      <c r="O419" s="22" t="s">
        <v>15</v>
      </c>
      <c r="P419" s="44">
        <f>39849+25370+18420+16700+16860+26620+23570</f>
        <v>167389</v>
      </c>
      <c r="Q419" s="44">
        <f t="shared" si="45"/>
        <v>0</v>
      </c>
      <c r="R419" s="44">
        <f t="shared" si="44"/>
        <v>167389</v>
      </c>
    </row>
    <row r="420" spans="1:18" hidden="1" x14ac:dyDescent="0.25">
      <c r="A420" t="s">
        <v>6753</v>
      </c>
      <c r="B420" s="21" t="s">
        <v>395</v>
      </c>
      <c r="C420" s="22" t="s">
        <v>2459</v>
      </c>
      <c r="D420" s="22"/>
      <c r="E420" s="21" t="s">
        <v>75</v>
      </c>
      <c r="F420" s="21"/>
      <c r="G420" s="147" t="s">
        <v>210</v>
      </c>
      <c r="H420" s="23" t="s">
        <v>6173</v>
      </c>
      <c r="I420" s="23"/>
      <c r="J420" s="21" t="s">
        <v>6168</v>
      </c>
      <c r="K420" s="120"/>
      <c r="L420" s="21" t="s">
        <v>6176</v>
      </c>
      <c r="M420" s="26" t="s">
        <v>6177</v>
      </c>
      <c r="N420" s="44">
        <f>P420</f>
        <v>10042.620000000003</v>
      </c>
      <c r="O420" s="22" t="s">
        <v>15</v>
      </c>
      <c r="P420" s="44">
        <f>2084.36+1111.92+1181.92+1620.77+1941.44+2102.21</f>
        <v>10042.620000000003</v>
      </c>
      <c r="Q420" s="44">
        <f t="shared" si="45"/>
        <v>0</v>
      </c>
      <c r="R420" s="44">
        <f t="shared" si="44"/>
        <v>10042.620000000003</v>
      </c>
    </row>
    <row r="421" spans="1:18" hidden="1" x14ac:dyDescent="0.25">
      <c r="A421" t="s">
        <v>6753</v>
      </c>
      <c r="B421" s="21" t="s">
        <v>395</v>
      </c>
      <c r="C421" s="22" t="s">
        <v>2459</v>
      </c>
      <c r="D421" s="22"/>
      <c r="E421" s="21" t="s">
        <v>75</v>
      </c>
      <c r="F421" s="21"/>
      <c r="G421" s="147" t="s">
        <v>210</v>
      </c>
      <c r="H421" s="23" t="s">
        <v>6173</v>
      </c>
      <c r="I421" s="23"/>
      <c r="J421" s="21" t="s">
        <v>6169</v>
      </c>
      <c r="K421" s="120"/>
      <c r="L421" s="21" t="s">
        <v>6178</v>
      </c>
      <c r="M421" s="26" t="s">
        <v>6179</v>
      </c>
      <c r="N421" s="44">
        <f>P421</f>
        <v>383330</v>
      </c>
      <c r="O421" s="22" t="s">
        <v>15</v>
      </c>
      <c r="P421" s="44">
        <f>21540+24985+49377.5+32195+27210+30625+22322.5+36452.5+32957.5+35370+42950+27345</f>
        <v>383330</v>
      </c>
      <c r="Q421" s="44">
        <f t="shared" si="45"/>
        <v>0</v>
      </c>
      <c r="R421" s="44">
        <f t="shared" si="44"/>
        <v>383330</v>
      </c>
    </row>
    <row r="422" spans="1:18" hidden="1" x14ac:dyDescent="0.25">
      <c r="A422" t="s">
        <v>6753</v>
      </c>
      <c r="B422" s="21" t="s">
        <v>395</v>
      </c>
      <c r="C422" s="22" t="s">
        <v>2459</v>
      </c>
      <c r="D422" s="22"/>
      <c r="E422" s="21" t="s">
        <v>75</v>
      </c>
      <c r="F422" s="21"/>
      <c r="G422" s="147" t="s">
        <v>210</v>
      </c>
      <c r="H422" s="23" t="s">
        <v>6173</v>
      </c>
      <c r="I422" s="23"/>
      <c r="J422" s="21" t="s">
        <v>6170</v>
      </c>
      <c r="K422" s="120"/>
      <c r="L422" s="21" t="s">
        <v>6178</v>
      </c>
      <c r="M422" s="26" t="s">
        <v>6179</v>
      </c>
      <c r="N422" s="44">
        <f>P422</f>
        <v>30162.760000000002</v>
      </c>
      <c r="O422" s="22" t="s">
        <v>15</v>
      </c>
      <c r="P422" s="44">
        <f>1506.66+1332.04+3865.31+2208.88+1687.19+2186.87+1276.11+4865.69+2288.47+2149.22+3994.04+2802.28</f>
        <v>30162.760000000002</v>
      </c>
      <c r="Q422" s="44">
        <f t="shared" si="45"/>
        <v>0</v>
      </c>
      <c r="R422" s="44">
        <f t="shared" si="44"/>
        <v>30162.760000000002</v>
      </c>
    </row>
    <row r="423" spans="1:18" hidden="1" x14ac:dyDescent="0.25">
      <c r="A423" t="s">
        <v>6753</v>
      </c>
      <c r="B423" s="5" t="s">
        <v>12228</v>
      </c>
      <c r="C423" s="4" t="s">
        <v>2459</v>
      </c>
      <c r="E423" s="5" t="s">
        <v>75</v>
      </c>
      <c r="G423" s="146" t="s">
        <v>210</v>
      </c>
      <c r="H423" s="7" t="s">
        <v>6173</v>
      </c>
      <c r="J423" s="5" t="s">
        <v>6171</v>
      </c>
      <c r="K423" s="13"/>
      <c r="L423" s="5" t="s">
        <v>7049</v>
      </c>
      <c r="M423" s="12" t="s">
        <v>7050</v>
      </c>
      <c r="N423" s="45">
        <f>904170-(N419+N421)</f>
        <v>353451</v>
      </c>
      <c r="O423" s="4" t="s">
        <v>15</v>
      </c>
      <c r="P423" s="45">
        <f>29710+28630+18720+36430+28160+44890+16380+21020+42950+19590+6100+520+50525</f>
        <v>343625</v>
      </c>
      <c r="Q423" s="45">
        <f t="shared" si="45"/>
        <v>9826</v>
      </c>
      <c r="R423" s="45">
        <f t="shared" si="44"/>
        <v>343625</v>
      </c>
    </row>
    <row r="424" spans="1:18" hidden="1" x14ac:dyDescent="0.25">
      <c r="A424" t="s">
        <v>6753</v>
      </c>
      <c r="B424" s="5" t="s">
        <v>12228</v>
      </c>
      <c r="C424" s="4" t="s">
        <v>2459</v>
      </c>
      <c r="E424" s="5" t="s">
        <v>75</v>
      </c>
      <c r="G424" s="146" t="s">
        <v>210</v>
      </c>
      <c r="H424" s="7" t="s">
        <v>6173</v>
      </c>
      <c r="J424" s="5" t="s">
        <v>6172</v>
      </c>
      <c r="K424" s="13"/>
      <c r="L424" s="5" t="s">
        <v>7051</v>
      </c>
      <c r="M424" s="12" t="s">
        <v>7052</v>
      </c>
      <c r="N424" s="45">
        <f>87800-(N420+N422)</f>
        <v>47594.619999999995</v>
      </c>
      <c r="O424" s="4" t="s">
        <v>15</v>
      </c>
      <c r="P424" s="45">
        <f>3544.43+2984.78+3870.23+2881.78+5493.61+300+754.71+4369.97+697.1+300+148.58+129.5+4132.95</f>
        <v>29607.640000000003</v>
      </c>
      <c r="Q424" s="45">
        <f t="shared" si="45"/>
        <v>17986.979999999992</v>
      </c>
      <c r="R424" s="45">
        <f t="shared" si="44"/>
        <v>29607.640000000003</v>
      </c>
    </row>
    <row r="425" spans="1:18" hidden="1" x14ac:dyDescent="0.25">
      <c r="A425" t="s">
        <v>6753</v>
      </c>
      <c r="B425" s="21" t="s">
        <v>395</v>
      </c>
      <c r="C425" s="22" t="s">
        <v>2460</v>
      </c>
      <c r="D425" s="22"/>
      <c r="E425" s="21" t="s">
        <v>75</v>
      </c>
      <c r="F425" s="21"/>
      <c r="G425" s="147" t="s">
        <v>210</v>
      </c>
      <c r="H425" s="23" t="s">
        <v>1855</v>
      </c>
      <c r="I425" s="23"/>
      <c r="J425" s="21" t="s">
        <v>1920</v>
      </c>
      <c r="K425" s="120"/>
      <c r="L425" s="21"/>
      <c r="M425" s="26"/>
      <c r="N425" s="44">
        <v>0</v>
      </c>
      <c r="O425" s="22" t="s">
        <v>15</v>
      </c>
      <c r="P425" s="22" t="s">
        <v>19</v>
      </c>
      <c r="Q425" s="44">
        <f t="shared" si="45"/>
        <v>0</v>
      </c>
      <c r="R425" s="44">
        <f t="shared" si="44"/>
        <v>0</v>
      </c>
    </row>
    <row r="426" spans="1:18" hidden="1" x14ac:dyDescent="0.25">
      <c r="A426" t="s">
        <v>6753</v>
      </c>
      <c r="B426" s="21" t="s">
        <v>395</v>
      </c>
      <c r="C426" s="22" t="s">
        <v>2460</v>
      </c>
      <c r="D426" s="22"/>
      <c r="E426" s="21" t="s">
        <v>75</v>
      </c>
      <c r="F426" s="21"/>
      <c r="G426" s="147" t="s">
        <v>210</v>
      </c>
      <c r="H426" s="23" t="s">
        <v>6194</v>
      </c>
      <c r="I426" s="23"/>
      <c r="J426" s="21" t="s">
        <v>6180</v>
      </c>
      <c r="K426" s="120"/>
      <c r="L426" s="21" t="s">
        <v>6195</v>
      </c>
      <c r="M426" s="26" t="s">
        <v>6196</v>
      </c>
      <c r="N426" s="44">
        <f>P426</f>
        <v>63638</v>
      </c>
      <c r="O426" s="22" t="s">
        <v>15</v>
      </c>
      <c r="P426" s="22">
        <f>34908+1620+6750+8460+11900</f>
        <v>63638</v>
      </c>
      <c r="Q426" s="44">
        <f t="shared" si="45"/>
        <v>0</v>
      </c>
      <c r="R426" s="44">
        <f t="shared" si="44"/>
        <v>63638</v>
      </c>
    </row>
    <row r="427" spans="1:18" hidden="1" x14ac:dyDescent="0.25">
      <c r="A427" t="s">
        <v>6753</v>
      </c>
      <c r="B427" s="21" t="s">
        <v>395</v>
      </c>
      <c r="C427" s="22" t="s">
        <v>2460</v>
      </c>
      <c r="D427" s="22"/>
      <c r="E427" s="21" t="s">
        <v>75</v>
      </c>
      <c r="F427" s="21"/>
      <c r="G427" s="147" t="s">
        <v>210</v>
      </c>
      <c r="H427" s="23" t="s">
        <v>6194</v>
      </c>
      <c r="I427" s="23"/>
      <c r="J427" s="21" t="s">
        <v>6181</v>
      </c>
      <c r="K427" s="120"/>
      <c r="L427" s="21" t="s">
        <v>6195</v>
      </c>
      <c r="M427" s="26" t="s">
        <v>6196</v>
      </c>
      <c r="N427" s="44">
        <f>P427</f>
        <v>6551.08</v>
      </c>
      <c r="O427" s="22" t="s">
        <v>15</v>
      </c>
      <c r="P427" s="22">
        <f>0+(131.11+300)+(28.77+300)+(4114.45+300)+(1076.75+300)</f>
        <v>6551.08</v>
      </c>
      <c r="Q427" s="44">
        <f t="shared" si="45"/>
        <v>0</v>
      </c>
      <c r="R427" s="44">
        <f t="shared" si="44"/>
        <v>6551.08</v>
      </c>
    </row>
    <row r="428" spans="1:18" hidden="1" x14ac:dyDescent="0.25">
      <c r="A428" t="s">
        <v>6753</v>
      </c>
      <c r="B428" s="21" t="s">
        <v>395</v>
      </c>
      <c r="C428" s="22" t="s">
        <v>2460</v>
      </c>
      <c r="D428" s="22"/>
      <c r="E428" s="21" t="s">
        <v>75</v>
      </c>
      <c r="F428" s="21"/>
      <c r="G428" s="147" t="s">
        <v>210</v>
      </c>
      <c r="H428" s="23" t="s">
        <v>6194</v>
      </c>
      <c r="I428" s="23"/>
      <c r="J428" s="21" t="s">
        <v>6182</v>
      </c>
      <c r="K428" s="120"/>
      <c r="L428" s="21" t="s">
        <v>6197</v>
      </c>
      <c r="M428" s="26" t="s">
        <v>6198</v>
      </c>
      <c r="N428" s="44">
        <f>P428</f>
        <v>208117.5</v>
      </c>
      <c r="O428" s="22" t="s">
        <v>15</v>
      </c>
      <c r="P428" s="22">
        <f>14510+11275+11175+16305+12142.5+15210+22340+22505+16162.5+24217.5+24617.5+17657.5</f>
        <v>208117.5</v>
      </c>
      <c r="Q428" s="44">
        <f t="shared" si="45"/>
        <v>0</v>
      </c>
      <c r="R428" s="44">
        <f t="shared" si="44"/>
        <v>208117.5</v>
      </c>
    </row>
    <row r="429" spans="1:18" hidden="1" x14ac:dyDescent="0.25">
      <c r="A429" t="s">
        <v>6753</v>
      </c>
      <c r="B429" s="21" t="s">
        <v>395</v>
      </c>
      <c r="C429" s="22" t="s">
        <v>2460</v>
      </c>
      <c r="D429" s="22"/>
      <c r="E429" s="21" t="s">
        <v>75</v>
      </c>
      <c r="F429" s="21"/>
      <c r="G429" s="147" t="s">
        <v>210</v>
      </c>
      <c r="H429" s="23" t="s">
        <v>6194</v>
      </c>
      <c r="I429" s="23"/>
      <c r="J429" s="21" t="s">
        <v>6183</v>
      </c>
      <c r="K429" s="120"/>
      <c r="L429" s="21" t="s">
        <v>6197</v>
      </c>
      <c r="M429" s="26" t="s">
        <v>6198</v>
      </c>
      <c r="N429" s="44">
        <f>P429</f>
        <v>20184.23</v>
      </c>
      <c r="O429" s="22" t="s">
        <v>15</v>
      </c>
      <c r="P429" s="22">
        <f>(914.54+300)+(169.57+300)+(449.12+300)+(1283.25+300)+(242.25+300)+(691.12+300)+(577.08+300)+2130.32+1385.3+6916.38+2139.61+1185.69</f>
        <v>20184.23</v>
      </c>
      <c r="Q429" s="44">
        <f t="shared" si="45"/>
        <v>0</v>
      </c>
      <c r="R429" s="44">
        <f t="shared" si="44"/>
        <v>20184.23</v>
      </c>
    </row>
    <row r="430" spans="1:18" hidden="1" x14ac:dyDescent="0.25">
      <c r="A430" t="s">
        <v>6753</v>
      </c>
      <c r="B430" s="5" t="s">
        <v>12228</v>
      </c>
      <c r="C430" s="4" t="s">
        <v>2460</v>
      </c>
      <c r="E430" s="5" t="s">
        <v>75</v>
      </c>
      <c r="G430" s="146" t="s">
        <v>210</v>
      </c>
      <c r="H430" s="7" t="s">
        <v>6194</v>
      </c>
      <c r="J430" s="5" t="s">
        <v>6188</v>
      </c>
      <c r="K430" s="13"/>
      <c r="L430" s="5" t="s">
        <v>6213</v>
      </c>
      <c r="M430" s="12" t="s">
        <v>6212</v>
      </c>
      <c r="N430" s="45">
        <f>815252.5-(N426+N428)</f>
        <v>543497</v>
      </c>
      <c r="O430" s="4" t="s">
        <v>15</v>
      </c>
      <c r="P430" s="45">
        <f>20697.5+22767.5+30030+23660+23085+21840+20760+17500+43650+2015+520</f>
        <v>226525</v>
      </c>
      <c r="Q430" s="45">
        <f t="shared" si="45"/>
        <v>316972</v>
      </c>
      <c r="R430" s="45">
        <f t="shared" si="44"/>
        <v>226525</v>
      </c>
    </row>
    <row r="431" spans="1:18" hidden="1" x14ac:dyDescent="0.25">
      <c r="A431" t="s">
        <v>6753</v>
      </c>
      <c r="B431" s="5" t="s">
        <v>12228</v>
      </c>
      <c r="C431" s="4" t="s">
        <v>2460</v>
      </c>
      <c r="E431" s="5" t="s">
        <v>75</v>
      </c>
      <c r="G431" s="146" t="s">
        <v>210</v>
      </c>
      <c r="H431" s="7" t="s">
        <v>6194</v>
      </c>
      <c r="J431" s="5" t="s">
        <v>6189</v>
      </c>
      <c r="K431" s="13"/>
      <c r="L431" s="5" t="s">
        <v>6213</v>
      </c>
      <c r="M431" s="12" t="s">
        <v>6212</v>
      </c>
      <c r="N431" s="45">
        <f>102800-(N427+N429)</f>
        <v>76064.69</v>
      </c>
      <c r="O431" s="4" t="s">
        <v>15</v>
      </c>
      <c r="P431" s="45">
        <f>2733.76+2527.59+3867.09+2420.88+2251.89+2218.46+2519.98+1151.35+3523.74+497.54+68.47</f>
        <v>23780.75</v>
      </c>
      <c r="Q431" s="45">
        <f t="shared" si="45"/>
        <v>52283.94</v>
      </c>
      <c r="R431" s="45">
        <f t="shared" si="44"/>
        <v>23780.75</v>
      </c>
    </row>
    <row r="432" spans="1:18" hidden="1" x14ac:dyDescent="0.25">
      <c r="B432" s="21" t="s">
        <v>395</v>
      </c>
      <c r="C432" s="22" t="s">
        <v>2450</v>
      </c>
      <c r="D432" s="22"/>
      <c r="E432" s="21" t="s">
        <v>10</v>
      </c>
      <c r="F432" s="21"/>
      <c r="G432" s="147" t="s">
        <v>9319</v>
      </c>
      <c r="H432" s="107" t="s">
        <v>9320</v>
      </c>
      <c r="I432" s="23" t="s">
        <v>9320</v>
      </c>
      <c r="J432" s="21" t="s">
        <v>9321</v>
      </c>
      <c r="K432" s="21"/>
      <c r="L432" s="21" t="s">
        <v>9626</v>
      </c>
      <c r="M432" s="26">
        <v>45313</v>
      </c>
      <c r="N432" s="44">
        <v>3858.57</v>
      </c>
      <c r="O432" s="22" t="s">
        <v>15</v>
      </c>
      <c r="P432" s="44">
        <v>3858.57</v>
      </c>
      <c r="Q432" s="44">
        <f t="shared" si="45"/>
        <v>0</v>
      </c>
      <c r="R432" s="24">
        <f t="shared" si="44"/>
        <v>3858.57</v>
      </c>
    </row>
    <row r="433" spans="2:18" hidden="1" x14ac:dyDescent="0.25">
      <c r="B433" s="21" t="s">
        <v>395</v>
      </c>
      <c r="C433" s="22" t="s">
        <v>2450</v>
      </c>
      <c r="D433" s="22"/>
      <c r="E433" s="21" t="s">
        <v>10</v>
      </c>
      <c r="F433" s="21"/>
      <c r="G433" s="147" t="s">
        <v>9319</v>
      </c>
      <c r="H433" s="23" t="s">
        <v>9438</v>
      </c>
      <c r="I433" s="23" t="s">
        <v>9439</v>
      </c>
      <c r="J433" s="21" t="s">
        <v>9440</v>
      </c>
      <c r="K433" s="21"/>
      <c r="L433" s="21" t="s">
        <v>9547</v>
      </c>
      <c r="M433" s="26">
        <v>45327</v>
      </c>
      <c r="N433" s="44">
        <v>5963.05</v>
      </c>
      <c r="O433" s="22" t="s">
        <v>15</v>
      </c>
      <c r="P433" s="44">
        <v>5963.05</v>
      </c>
      <c r="Q433" s="44">
        <f t="shared" si="45"/>
        <v>0</v>
      </c>
      <c r="R433" s="24">
        <f t="shared" si="44"/>
        <v>5963.05</v>
      </c>
    </row>
    <row r="434" spans="2:18" hidden="1" x14ac:dyDescent="0.25">
      <c r="B434" s="21" t="s">
        <v>395</v>
      </c>
      <c r="C434" s="22" t="s">
        <v>2450</v>
      </c>
      <c r="D434" s="22"/>
      <c r="E434" s="21" t="s">
        <v>10</v>
      </c>
      <c r="F434" s="21" t="s">
        <v>9721</v>
      </c>
      <c r="G434" s="147" t="s">
        <v>9319</v>
      </c>
      <c r="H434" s="23" t="s">
        <v>9859</v>
      </c>
      <c r="I434" s="23" t="s">
        <v>9860</v>
      </c>
      <c r="J434" s="21" t="s">
        <v>10158</v>
      </c>
      <c r="K434" s="21"/>
      <c r="L434" s="21" t="s">
        <v>10159</v>
      </c>
      <c r="M434" s="26">
        <v>45489</v>
      </c>
      <c r="N434" s="44">
        <v>2602.8000000000002</v>
      </c>
      <c r="O434" s="22" t="s">
        <v>15</v>
      </c>
      <c r="P434" s="44">
        <v>2602.8000000000002</v>
      </c>
      <c r="Q434" s="24">
        <f t="shared" si="45"/>
        <v>0</v>
      </c>
      <c r="R434" s="24">
        <f t="shared" si="44"/>
        <v>2602.8000000000002</v>
      </c>
    </row>
    <row r="435" spans="2:18" hidden="1" x14ac:dyDescent="0.25">
      <c r="B435" s="21" t="s">
        <v>395</v>
      </c>
      <c r="C435" s="22" t="s">
        <v>2450</v>
      </c>
      <c r="D435" s="22"/>
      <c r="E435" s="21" t="s">
        <v>10</v>
      </c>
      <c r="F435" s="21" t="s">
        <v>9721</v>
      </c>
      <c r="G435" s="147" t="s">
        <v>9319</v>
      </c>
      <c r="H435" s="23" t="s">
        <v>9949</v>
      </c>
      <c r="I435" s="23" t="s">
        <v>9950</v>
      </c>
      <c r="J435" s="21" t="s">
        <v>9951</v>
      </c>
      <c r="K435" s="21"/>
      <c r="L435" s="21" t="s">
        <v>9952</v>
      </c>
      <c r="M435" s="26">
        <v>45467</v>
      </c>
      <c r="N435" s="44">
        <v>1276.51</v>
      </c>
      <c r="O435" s="22" t="s">
        <v>15</v>
      </c>
      <c r="P435" s="44">
        <v>1276.51</v>
      </c>
      <c r="Q435" s="24">
        <f t="shared" si="45"/>
        <v>0</v>
      </c>
      <c r="R435" s="24">
        <f t="shared" si="44"/>
        <v>1276.51</v>
      </c>
    </row>
    <row r="436" spans="2:18" hidden="1" x14ac:dyDescent="0.25">
      <c r="B436" s="21" t="s">
        <v>395</v>
      </c>
      <c r="C436" s="22" t="s">
        <v>158</v>
      </c>
      <c r="D436" s="22"/>
      <c r="E436" s="21" t="s">
        <v>10</v>
      </c>
      <c r="F436" s="21" t="s">
        <v>9721</v>
      </c>
      <c r="G436" s="147" t="s">
        <v>9319</v>
      </c>
      <c r="H436" s="23" t="s">
        <v>10181</v>
      </c>
      <c r="I436" s="23" t="s">
        <v>10182</v>
      </c>
      <c r="J436" s="21" t="s">
        <v>10183</v>
      </c>
      <c r="K436" s="21"/>
      <c r="L436" s="21" t="s">
        <v>10203</v>
      </c>
      <c r="M436" s="26">
        <v>45490</v>
      </c>
      <c r="N436" s="44">
        <v>8096.22</v>
      </c>
      <c r="O436" s="22" t="s">
        <v>15</v>
      </c>
      <c r="P436" s="44">
        <v>8096.22</v>
      </c>
      <c r="Q436" s="24">
        <f t="shared" si="45"/>
        <v>0</v>
      </c>
      <c r="R436" s="24">
        <f>IF(P436="OK",N436-Q436,IF(P436="en cours",M436-Q436,P436))</f>
        <v>8096.22</v>
      </c>
    </row>
    <row r="437" spans="2:18" hidden="1" x14ac:dyDescent="0.25">
      <c r="B437" s="21" t="s">
        <v>395</v>
      </c>
      <c r="C437" s="22" t="s">
        <v>158</v>
      </c>
      <c r="D437" s="22"/>
      <c r="E437" s="21" t="s">
        <v>10</v>
      </c>
      <c r="F437" s="21" t="s">
        <v>9721</v>
      </c>
      <c r="G437" s="147" t="s">
        <v>9319</v>
      </c>
      <c r="H437" s="23" t="s">
        <v>10184</v>
      </c>
      <c r="I437" s="23" t="s">
        <v>10185</v>
      </c>
      <c r="J437" s="21" t="s">
        <v>10186</v>
      </c>
      <c r="K437" s="21"/>
      <c r="L437" s="21" t="s">
        <v>10204</v>
      </c>
      <c r="M437" s="26">
        <v>45490</v>
      </c>
      <c r="N437" s="44">
        <v>6116.58</v>
      </c>
      <c r="O437" s="22" t="s">
        <v>15</v>
      </c>
      <c r="P437" s="44">
        <v>6116.58</v>
      </c>
      <c r="Q437" s="24">
        <f t="shared" si="45"/>
        <v>0</v>
      </c>
      <c r="R437" s="24">
        <f>IF(P437="OK",N437-Q437,IF(P437="en cours",M437-Q437,P437))</f>
        <v>6116.58</v>
      </c>
    </row>
    <row r="438" spans="2:18" hidden="1" x14ac:dyDescent="0.25">
      <c r="B438" s="21" t="s">
        <v>395</v>
      </c>
      <c r="C438" s="22" t="s">
        <v>158</v>
      </c>
      <c r="D438" s="22"/>
      <c r="E438" s="21" t="s">
        <v>10</v>
      </c>
      <c r="F438" s="21" t="s">
        <v>9721</v>
      </c>
      <c r="G438" s="147" t="s">
        <v>9319</v>
      </c>
      <c r="H438" s="23" t="s">
        <v>10193</v>
      </c>
      <c r="I438" s="23" t="s">
        <v>10194</v>
      </c>
      <c r="J438" s="21" t="s">
        <v>10195</v>
      </c>
      <c r="K438" s="21"/>
      <c r="L438" s="21" t="s">
        <v>10263</v>
      </c>
      <c r="M438" s="26">
        <v>45484</v>
      </c>
      <c r="N438" s="44">
        <v>815.36</v>
      </c>
      <c r="O438" s="22" t="s">
        <v>15</v>
      </c>
      <c r="P438" s="44">
        <f>815.36</f>
        <v>815.36</v>
      </c>
      <c r="Q438" s="24">
        <f t="shared" si="45"/>
        <v>0</v>
      </c>
      <c r="R438" s="24">
        <f>IF(P438="OK",N438-Q438,IF(P438="en cours",M438-Q438,P438))</f>
        <v>815.36</v>
      </c>
    </row>
    <row r="439" spans="2:18" hidden="1" x14ac:dyDescent="0.25">
      <c r="B439" s="21" t="s">
        <v>395</v>
      </c>
      <c r="C439" s="22" t="s">
        <v>158</v>
      </c>
      <c r="D439" s="22"/>
      <c r="E439" s="21" t="s">
        <v>10</v>
      </c>
      <c r="F439" s="21" t="s">
        <v>9721</v>
      </c>
      <c r="G439" s="147" t="s">
        <v>9319</v>
      </c>
      <c r="H439" s="23" t="s">
        <v>10348</v>
      </c>
      <c r="I439" s="23" t="s">
        <v>10349</v>
      </c>
      <c r="J439" s="21" t="s">
        <v>10350</v>
      </c>
      <c r="K439" s="21"/>
      <c r="L439" s="21" t="s">
        <v>10490</v>
      </c>
      <c r="M439" s="26">
        <v>45540</v>
      </c>
      <c r="N439" s="44">
        <v>1624.32</v>
      </c>
      <c r="O439" s="22" t="s">
        <v>15</v>
      </c>
      <c r="P439" s="44">
        <v>1624.23</v>
      </c>
      <c r="Q439" s="44">
        <f t="shared" si="45"/>
        <v>8.9999999999918145E-2</v>
      </c>
      <c r="R439" s="24">
        <f>IF(P439="OK",N439-Q439,IF(P439="en cours",N439-Q439,P439))</f>
        <v>1624.23</v>
      </c>
    </row>
    <row r="440" spans="2:18" hidden="1" x14ac:dyDescent="0.25">
      <c r="B440" s="21" t="s">
        <v>395</v>
      </c>
      <c r="C440" s="22" t="s">
        <v>2450</v>
      </c>
      <c r="D440" s="22"/>
      <c r="E440" s="21" t="s">
        <v>10</v>
      </c>
      <c r="F440" s="21" t="s">
        <v>9721</v>
      </c>
      <c r="G440" s="147" t="s">
        <v>9319</v>
      </c>
      <c r="H440" s="23" t="s">
        <v>10460</v>
      </c>
      <c r="I440" s="23" t="s">
        <v>10461</v>
      </c>
      <c r="J440" s="21" t="s">
        <v>10462</v>
      </c>
      <c r="K440" s="21"/>
      <c r="L440" s="21" t="s">
        <v>10503</v>
      </c>
      <c r="M440" s="26">
        <v>45544</v>
      </c>
      <c r="N440" s="44">
        <v>679.49</v>
      </c>
      <c r="O440" s="22" t="s">
        <v>15</v>
      </c>
      <c r="P440" s="44">
        <v>679.49</v>
      </c>
      <c r="Q440" s="44">
        <f t="shared" si="45"/>
        <v>0</v>
      </c>
      <c r="R440" s="24">
        <f>IF(P440="OK",N440-Q440,IF(P440="en cours",N440-Q440,P440))</f>
        <v>679.49</v>
      </c>
    </row>
    <row r="441" spans="2:18" hidden="1" x14ac:dyDescent="0.25">
      <c r="B441" s="21" t="s">
        <v>395</v>
      </c>
      <c r="C441" s="22" t="s">
        <v>2450</v>
      </c>
      <c r="D441" s="22"/>
      <c r="E441" s="21" t="s">
        <v>10</v>
      </c>
      <c r="F441" s="21" t="s">
        <v>9721</v>
      </c>
      <c r="G441" s="147" t="s">
        <v>9319</v>
      </c>
      <c r="H441" s="23" t="s">
        <v>10523</v>
      </c>
      <c r="I441" s="23" t="s">
        <v>10524</v>
      </c>
      <c r="J441" s="21" t="s">
        <v>10195</v>
      </c>
      <c r="K441" s="21"/>
      <c r="L441" s="21" t="s">
        <v>10783</v>
      </c>
      <c r="M441" s="26">
        <v>45621</v>
      </c>
      <c r="N441" s="44">
        <v>764.4</v>
      </c>
      <c r="O441" s="22" t="s">
        <v>15</v>
      </c>
      <c r="P441" s="44">
        <v>764.4</v>
      </c>
      <c r="Q441" s="44">
        <f t="shared" si="45"/>
        <v>0</v>
      </c>
      <c r="R441" s="24">
        <f>IF(P441="OK",N441-Q441,IF(P441="en cours",N441-Q441,P441))</f>
        <v>764.4</v>
      </c>
    </row>
    <row r="442" spans="2:18" hidden="1" x14ac:dyDescent="0.25">
      <c r="B442" s="21" t="s">
        <v>395</v>
      </c>
      <c r="C442" s="22" t="s">
        <v>158</v>
      </c>
      <c r="D442" s="22"/>
      <c r="E442" s="21" t="s">
        <v>10</v>
      </c>
      <c r="F442" s="21" t="s">
        <v>9721</v>
      </c>
      <c r="G442" s="147" t="s">
        <v>9319</v>
      </c>
      <c r="H442" s="23" t="s">
        <v>10631</v>
      </c>
      <c r="I442" s="23" t="s">
        <v>10632</v>
      </c>
      <c r="J442" s="21" t="s">
        <v>10633</v>
      </c>
      <c r="K442" s="21"/>
      <c r="L442" s="21" t="s">
        <v>10708</v>
      </c>
      <c r="M442" s="26">
        <v>45572</v>
      </c>
      <c r="N442" s="44">
        <v>4159.43</v>
      </c>
      <c r="O442" s="22" t="s">
        <v>15</v>
      </c>
      <c r="P442" s="44">
        <v>4159.43</v>
      </c>
      <c r="Q442" s="24">
        <f t="shared" si="45"/>
        <v>0</v>
      </c>
      <c r="R442" s="24">
        <f>IF(P442="OK",N442-Q442,IF(P442="en cours",N442-Q442,P442))</f>
        <v>4159.43</v>
      </c>
    </row>
    <row r="443" spans="2:18" hidden="1" x14ac:dyDescent="0.25">
      <c r="B443" s="21" t="s">
        <v>395</v>
      </c>
      <c r="C443" s="22" t="s">
        <v>158</v>
      </c>
      <c r="D443" s="22"/>
      <c r="E443" s="21" t="s">
        <v>10</v>
      </c>
      <c r="F443" s="21" t="s">
        <v>9721</v>
      </c>
      <c r="G443" s="147" t="s">
        <v>9319</v>
      </c>
      <c r="H443" s="23" t="s">
        <v>10634</v>
      </c>
      <c r="I443" s="23" t="s">
        <v>10635</v>
      </c>
      <c r="J443" s="21" t="s">
        <v>10636</v>
      </c>
      <c r="K443" s="21"/>
      <c r="L443" s="21" t="s">
        <v>10707</v>
      </c>
      <c r="M443" s="26">
        <v>45575</v>
      </c>
      <c r="N443" s="44">
        <v>1097.33</v>
      </c>
      <c r="O443" s="22" t="s">
        <v>15</v>
      </c>
      <c r="P443" s="44">
        <v>1097.33</v>
      </c>
      <c r="Q443" s="24">
        <f t="shared" si="45"/>
        <v>0</v>
      </c>
      <c r="R443" s="24">
        <f>IF(P443="OK",N443-Q443,IF(P443="en cours",N443-Q443,P443))</f>
        <v>1097.33</v>
      </c>
    </row>
    <row r="444" spans="2:18" hidden="1" x14ac:dyDescent="0.25">
      <c r="B444" s="21" t="s">
        <v>395</v>
      </c>
      <c r="C444" s="22" t="s">
        <v>2450</v>
      </c>
      <c r="D444" s="22"/>
      <c r="E444" s="21" t="s">
        <v>10</v>
      </c>
      <c r="F444" s="21" t="s">
        <v>9721</v>
      </c>
      <c r="G444" s="147" t="s">
        <v>9319</v>
      </c>
      <c r="H444" s="23" t="s">
        <v>10659</v>
      </c>
      <c r="I444" s="23" t="s">
        <v>10660</v>
      </c>
      <c r="J444" s="21" t="s">
        <v>10661</v>
      </c>
      <c r="K444" s="21"/>
      <c r="L444" s="21" t="s">
        <v>11989</v>
      </c>
      <c r="M444" s="26">
        <v>45818</v>
      </c>
      <c r="N444" s="44">
        <v>294.27999999999997</v>
      </c>
      <c r="O444" s="22" t="s">
        <v>15</v>
      </c>
      <c r="P444" s="44">
        <v>294.27999999999997</v>
      </c>
      <c r="Q444" s="24">
        <f t="shared" si="45"/>
        <v>0</v>
      </c>
      <c r="R444" s="24">
        <f>IF(P444="OK",N444-Q444,IF(P444="en cours",M444-Q444,P444))</f>
        <v>294.27999999999997</v>
      </c>
    </row>
    <row r="445" spans="2:18" hidden="1" x14ac:dyDescent="0.25">
      <c r="B445" s="21" t="s">
        <v>395</v>
      </c>
      <c r="C445" s="22" t="s">
        <v>2450</v>
      </c>
      <c r="D445" s="22"/>
      <c r="E445" s="21" t="s">
        <v>10</v>
      </c>
      <c r="F445" s="21" t="s">
        <v>9721</v>
      </c>
      <c r="G445" s="147" t="s">
        <v>9319</v>
      </c>
      <c r="H445" s="23" t="s">
        <v>10674</v>
      </c>
      <c r="I445" s="23" t="s">
        <v>10675</v>
      </c>
      <c r="J445" s="21" t="s">
        <v>10676</v>
      </c>
      <c r="K445" s="21"/>
      <c r="L445" s="21" t="s">
        <v>10699</v>
      </c>
      <c r="M445" s="26">
        <v>45604</v>
      </c>
      <c r="N445" s="44">
        <v>4238.46</v>
      </c>
      <c r="O445" s="22" t="s">
        <v>15</v>
      </c>
      <c r="P445" s="44">
        <v>4238.46</v>
      </c>
      <c r="Q445" s="24">
        <f t="shared" si="45"/>
        <v>0</v>
      </c>
      <c r="R445" s="24">
        <f>IF(P445="OK",N445-Q445,IF(P445="en cours",M445-Q445,P445))</f>
        <v>4238.46</v>
      </c>
    </row>
    <row r="446" spans="2:18" hidden="1" x14ac:dyDescent="0.25">
      <c r="B446" s="21" t="s">
        <v>395</v>
      </c>
      <c r="C446" s="22" t="s">
        <v>2450</v>
      </c>
      <c r="D446" s="22"/>
      <c r="E446" s="21" t="s">
        <v>10</v>
      </c>
      <c r="F446" s="21"/>
      <c r="G446" s="147" t="s">
        <v>9319</v>
      </c>
      <c r="H446" s="23" t="s">
        <v>10773</v>
      </c>
      <c r="I446" s="23" t="s">
        <v>10774</v>
      </c>
      <c r="J446" s="21" t="s">
        <v>10775</v>
      </c>
      <c r="K446" s="21"/>
      <c r="L446" s="21" t="s">
        <v>11954</v>
      </c>
      <c r="M446" s="26">
        <v>45814</v>
      </c>
      <c r="N446" s="44">
        <v>14300</v>
      </c>
      <c r="O446" s="22" t="s">
        <v>15</v>
      </c>
      <c r="P446" s="44">
        <v>14300</v>
      </c>
      <c r="Q446" s="24">
        <f t="shared" si="45"/>
        <v>0</v>
      </c>
      <c r="R446" s="24">
        <f>IF(P446="OK",N446-Q446,IF(P446="en cours",M446-Q446,P446))</f>
        <v>14300</v>
      </c>
    </row>
    <row r="447" spans="2:18" ht="15" hidden="1" customHeight="1" x14ac:dyDescent="0.25">
      <c r="B447" s="21" t="s">
        <v>395</v>
      </c>
      <c r="C447" s="22" t="s">
        <v>158</v>
      </c>
      <c r="D447" s="22"/>
      <c r="E447" s="21" t="s">
        <v>10</v>
      </c>
      <c r="F447" s="21" t="s">
        <v>9721</v>
      </c>
      <c r="G447" s="147" t="s">
        <v>9319</v>
      </c>
      <c r="H447" s="23" t="s">
        <v>11037</v>
      </c>
      <c r="I447" s="23" t="s">
        <v>11038</v>
      </c>
      <c r="J447" s="21" t="s">
        <v>11039</v>
      </c>
      <c r="K447" s="21"/>
      <c r="L447" s="21" t="s">
        <v>12236</v>
      </c>
      <c r="M447" s="26">
        <v>45665</v>
      </c>
      <c r="N447" s="44">
        <v>3649.38</v>
      </c>
      <c r="O447" s="22" t="s">
        <v>15</v>
      </c>
      <c r="P447" s="44">
        <v>3649.38</v>
      </c>
      <c r="Q447" s="44">
        <f t="shared" si="45"/>
        <v>0</v>
      </c>
      <c r="R447" s="24">
        <f t="shared" ref="R447:R457" si="46">IF(P447="OK",N447-Q447,IF(P447="en cours",N447-Q447,P447))</f>
        <v>3649.38</v>
      </c>
    </row>
    <row r="448" spans="2:18" hidden="1" x14ac:dyDescent="0.25">
      <c r="B448" s="21" t="s">
        <v>395</v>
      </c>
      <c r="C448" s="22" t="s">
        <v>2450</v>
      </c>
      <c r="D448" s="22"/>
      <c r="E448" s="21" t="s">
        <v>10</v>
      </c>
      <c r="F448" s="21" t="s">
        <v>9721</v>
      </c>
      <c r="G448" s="147" t="s">
        <v>9319</v>
      </c>
      <c r="H448" s="23" t="s">
        <v>11051</v>
      </c>
      <c r="I448" s="23" t="s">
        <v>11052</v>
      </c>
      <c r="J448" s="21" t="s">
        <v>11053</v>
      </c>
      <c r="K448" s="21"/>
      <c r="L448" s="21" t="s">
        <v>12237</v>
      </c>
      <c r="M448" s="26">
        <v>45684</v>
      </c>
      <c r="N448" s="44">
        <v>6446.52</v>
      </c>
      <c r="O448" s="22" t="s">
        <v>15</v>
      </c>
      <c r="P448" s="44">
        <v>6446.52</v>
      </c>
      <c r="Q448" s="44">
        <f t="shared" si="45"/>
        <v>0</v>
      </c>
      <c r="R448" s="24">
        <f t="shared" si="46"/>
        <v>6446.52</v>
      </c>
    </row>
    <row r="449" spans="2:19" hidden="1" x14ac:dyDescent="0.25">
      <c r="B449" s="21" t="s">
        <v>395</v>
      </c>
      <c r="C449" s="22" t="s">
        <v>2450</v>
      </c>
      <c r="D449" s="22"/>
      <c r="E449" s="21" t="s">
        <v>10</v>
      </c>
      <c r="F449" s="21"/>
      <c r="G449" s="147" t="s">
        <v>7493</v>
      </c>
      <c r="H449" s="23" t="s">
        <v>7366</v>
      </c>
      <c r="I449" s="23" t="s">
        <v>8227</v>
      </c>
      <c r="J449" s="21" t="s">
        <v>7367</v>
      </c>
      <c r="K449" s="21"/>
      <c r="L449" s="21" t="s">
        <v>7492</v>
      </c>
      <c r="M449" s="26">
        <v>44946</v>
      </c>
      <c r="N449" s="44">
        <v>22960</v>
      </c>
      <c r="O449" s="22" t="s">
        <v>15</v>
      </c>
      <c r="P449" s="44">
        <v>22960</v>
      </c>
      <c r="Q449" s="24">
        <f t="shared" si="45"/>
        <v>0</v>
      </c>
      <c r="R449" s="24">
        <f t="shared" si="46"/>
        <v>22960</v>
      </c>
    </row>
    <row r="450" spans="2:19" hidden="1" x14ac:dyDescent="0.25">
      <c r="B450" s="21" t="s">
        <v>395</v>
      </c>
      <c r="C450" s="22" t="s">
        <v>2450</v>
      </c>
      <c r="D450" s="22"/>
      <c r="E450" s="21" t="s">
        <v>0</v>
      </c>
      <c r="F450" s="21"/>
      <c r="G450" s="147" t="s">
        <v>7493</v>
      </c>
      <c r="H450" s="23" t="s">
        <v>9006</v>
      </c>
      <c r="I450" s="23" t="s">
        <v>9007</v>
      </c>
      <c r="J450" s="21" t="s">
        <v>9008</v>
      </c>
      <c r="K450" s="21"/>
      <c r="L450" s="21" t="s">
        <v>9054</v>
      </c>
      <c r="M450" s="26">
        <v>45226</v>
      </c>
      <c r="N450" s="44">
        <v>10628.7</v>
      </c>
      <c r="O450" s="22" t="s">
        <v>15</v>
      </c>
      <c r="P450" s="44">
        <f>10628.7</f>
        <v>10628.7</v>
      </c>
      <c r="Q450" s="44">
        <f t="shared" si="45"/>
        <v>0</v>
      </c>
      <c r="R450" s="24">
        <f t="shared" si="46"/>
        <v>10628.7</v>
      </c>
    </row>
    <row r="451" spans="2:19" hidden="1" x14ac:dyDescent="0.25">
      <c r="B451" s="21" t="s">
        <v>395</v>
      </c>
      <c r="C451" s="22" t="s">
        <v>2450</v>
      </c>
      <c r="D451" s="22"/>
      <c r="E451" s="21" t="s">
        <v>10</v>
      </c>
      <c r="F451" s="21"/>
      <c r="G451" s="147" t="s">
        <v>108</v>
      </c>
      <c r="H451" s="23" t="s">
        <v>3811</v>
      </c>
      <c r="I451" s="23" t="s">
        <v>7971</v>
      </c>
      <c r="J451" s="21" t="s">
        <v>12239</v>
      </c>
      <c r="K451" s="120"/>
      <c r="L451" s="21"/>
      <c r="M451" s="23"/>
      <c r="N451" s="44">
        <v>0</v>
      </c>
      <c r="O451" s="22" t="s">
        <v>15</v>
      </c>
      <c r="P451" s="22">
        <v>0</v>
      </c>
      <c r="Q451" s="24">
        <f t="shared" si="45"/>
        <v>0</v>
      </c>
      <c r="R451" s="24">
        <f t="shared" si="46"/>
        <v>0</v>
      </c>
      <c r="S451" s="5" t="s">
        <v>12238</v>
      </c>
    </row>
    <row r="452" spans="2:19" hidden="1" x14ac:dyDescent="0.25">
      <c r="B452" s="21" t="s">
        <v>395</v>
      </c>
      <c r="C452" s="22" t="s">
        <v>5792</v>
      </c>
      <c r="D452" s="22"/>
      <c r="E452" s="21" t="s">
        <v>0</v>
      </c>
      <c r="F452" s="21"/>
      <c r="G452" s="147" t="s">
        <v>509</v>
      </c>
      <c r="H452" s="23" t="s">
        <v>7212</v>
      </c>
      <c r="I452" s="23" t="s">
        <v>8201</v>
      </c>
      <c r="J452" s="21" t="s">
        <v>6596</v>
      </c>
      <c r="K452" s="21"/>
      <c r="L452" s="21"/>
      <c r="M452" s="23"/>
      <c r="N452" s="44">
        <v>0</v>
      </c>
      <c r="O452" s="22" t="s">
        <v>15</v>
      </c>
      <c r="P452" s="44" t="s">
        <v>19</v>
      </c>
      <c r="Q452" s="44">
        <f t="shared" si="45"/>
        <v>0</v>
      </c>
      <c r="R452" s="24">
        <f t="shared" si="46"/>
        <v>0</v>
      </c>
    </row>
    <row r="453" spans="2:19" hidden="1" x14ac:dyDescent="0.25">
      <c r="B453" s="5" t="s">
        <v>12228</v>
      </c>
      <c r="C453" s="4" t="s">
        <v>6267</v>
      </c>
      <c r="E453" s="5" t="s">
        <v>0</v>
      </c>
      <c r="G453" s="146" t="s">
        <v>509</v>
      </c>
      <c r="H453" s="7" t="s">
        <v>8559</v>
      </c>
      <c r="I453" s="7" t="s">
        <v>8560</v>
      </c>
      <c r="J453" s="5" t="s">
        <v>8561</v>
      </c>
      <c r="L453" s="5" t="s">
        <v>8567</v>
      </c>
      <c r="M453" s="12">
        <v>45120</v>
      </c>
      <c r="N453" s="45">
        <v>14313</v>
      </c>
      <c r="O453" s="4" t="s">
        <v>15</v>
      </c>
      <c r="P453" s="45">
        <f>12243</f>
        <v>12243</v>
      </c>
      <c r="Q453" s="45">
        <f t="shared" si="45"/>
        <v>2070</v>
      </c>
      <c r="R453" s="25">
        <f t="shared" si="46"/>
        <v>12243</v>
      </c>
    </row>
    <row r="454" spans="2:19" hidden="1" x14ac:dyDescent="0.25">
      <c r="B454" s="21" t="s">
        <v>395</v>
      </c>
      <c r="C454" s="22" t="s">
        <v>6675</v>
      </c>
      <c r="D454" s="22"/>
      <c r="E454" s="21" t="s">
        <v>0</v>
      </c>
      <c r="F454" s="21"/>
      <c r="G454" s="147" t="s">
        <v>509</v>
      </c>
      <c r="H454" s="23" t="s">
        <v>8562</v>
      </c>
      <c r="I454" s="23" t="s">
        <v>8564</v>
      </c>
      <c r="J454" s="21" t="s">
        <v>8561</v>
      </c>
      <c r="K454" s="21"/>
      <c r="L454" s="21" t="s">
        <v>8566</v>
      </c>
      <c r="M454" s="26">
        <v>45120</v>
      </c>
      <c r="N454" s="44">
        <v>12150</v>
      </c>
      <c r="O454" s="22" t="s">
        <v>15</v>
      </c>
      <c r="P454" s="44">
        <v>12150</v>
      </c>
      <c r="Q454" s="44">
        <f t="shared" si="45"/>
        <v>0</v>
      </c>
      <c r="R454" s="116">
        <f t="shared" si="46"/>
        <v>12150</v>
      </c>
    </row>
    <row r="455" spans="2:19" hidden="1" x14ac:dyDescent="0.25">
      <c r="B455" s="5" t="s">
        <v>12228</v>
      </c>
      <c r="C455" s="4" t="s">
        <v>6047</v>
      </c>
      <c r="E455" s="5" t="s">
        <v>0</v>
      </c>
      <c r="G455" s="146" t="s">
        <v>509</v>
      </c>
      <c r="H455" s="7" t="s">
        <v>8563</v>
      </c>
      <c r="I455" s="7" t="s">
        <v>8565</v>
      </c>
      <c r="J455" s="5" t="s">
        <v>8561</v>
      </c>
      <c r="L455" s="5" t="s">
        <v>8568</v>
      </c>
      <c r="M455" s="12">
        <v>45120</v>
      </c>
      <c r="N455" s="45">
        <v>79315</v>
      </c>
      <c r="O455" s="4" t="s">
        <v>15</v>
      </c>
      <c r="P455" s="45">
        <v>74000</v>
      </c>
      <c r="Q455" s="45">
        <f t="shared" si="45"/>
        <v>5315</v>
      </c>
      <c r="R455" s="25">
        <f t="shared" si="46"/>
        <v>74000</v>
      </c>
    </row>
    <row r="456" spans="2:19" hidden="1" x14ac:dyDescent="0.25">
      <c r="B456" s="21" t="s">
        <v>395</v>
      </c>
      <c r="C456" s="22" t="s">
        <v>7372</v>
      </c>
      <c r="D456" s="22"/>
      <c r="E456" s="21" t="s">
        <v>0</v>
      </c>
      <c r="F456" s="21"/>
      <c r="G456" s="147" t="s">
        <v>509</v>
      </c>
      <c r="H456" s="23" t="s">
        <v>8453</v>
      </c>
      <c r="I456" s="23"/>
      <c r="J456" s="21" t="s">
        <v>8454</v>
      </c>
      <c r="K456" s="21"/>
      <c r="L456" s="21" t="s">
        <v>11496</v>
      </c>
      <c r="M456" s="23" t="s">
        <v>11497</v>
      </c>
      <c r="N456" s="44">
        <v>19262.47</v>
      </c>
      <c r="O456" s="22" t="s">
        <v>15</v>
      </c>
      <c r="P456" s="44">
        <f>4322+4678.69+653+950+640+640+640+640+640+640+640+640+640+640+640+640+640+640+665.6+665.6</f>
        <v>20894.889999999996</v>
      </c>
      <c r="Q456" s="44">
        <f t="shared" si="45"/>
        <v>0</v>
      </c>
      <c r="R456" s="24">
        <f t="shared" si="46"/>
        <v>20894.889999999996</v>
      </c>
    </row>
    <row r="457" spans="2:19" hidden="1" x14ac:dyDescent="0.25">
      <c r="C457" s="4" t="s">
        <v>8584</v>
      </c>
      <c r="E457" s="5" t="s">
        <v>0</v>
      </c>
      <c r="G457" s="146" t="s">
        <v>509</v>
      </c>
      <c r="H457" s="7" t="s">
        <v>8967</v>
      </c>
      <c r="J457" s="5" t="s">
        <v>8968</v>
      </c>
      <c r="L457" s="5" t="s">
        <v>12480</v>
      </c>
      <c r="M457" s="12" t="s">
        <v>12481</v>
      </c>
      <c r="N457" s="45">
        <v>18490.59</v>
      </c>
      <c r="O457" s="4" t="s">
        <v>15</v>
      </c>
      <c r="P457" s="45">
        <f>679+679.1+679.1+666.1+666.1+964.6+653.05+653.05+653.05+653.05+653.05+956.37+2741</f>
        <v>11296.62</v>
      </c>
      <c r="Q457" s="45">
        <f t="shared" si="45"/>
        <v>7193.9699999999993</v>
      </c>
      <c r="R457" s="3">
        <f t="shared" si="46"/>
        <v>11296.62</v>
      </c>
    </row>
    <row r="458" spans="2:19" hidden="1" x14ac:dyDescent="0.25">
      <c r="B458" s="21" t="s">
        <v>395</v>
      </c>
      <c r="C458" s="22" t="s">
        <v>2459</v>
      </c>
      <c r="D458" s="22"/>
      <c r="E458" s="21" t="s">
        <v>0</v>
      </c>
      <c r="F458" s="21"/>
      <c r="G458" s="147" t="s">
        <v>509</v>
      </c>
      <c r="H458" s="23" t="s">
        <v>1540</v>
      </c>
      <c r="I458" s="23" t="s">
        <v>7902</v>
      </c>
      <c r="J458" s="21" t="s">
        <v>2594</v>
      </c>
      <c r="K458" s="120"/>
      <c r="L458" s="21" t="s">
        <v>2596</v>
      </c>
      <c r="M458" s="26">
        <v>43644</v>
      </c>
      <c r="N458" s="44">
        <v>19628.2</v>
      </c>
      <c r="O458" s="22" t="s">
        <v>15</v>
      </c>
      <c r="P458" s="44" t="s">
        <v>19</v>
      </c>
      <c r="Q458" s="24">
        <f t="shared" ref="Q458:Q473" si="47">IF(P458="en cours",N458,IF(P458="OK",0,IF(N458-P458&lt;0,0,N458-P458)))</f>
        <v>0</v>
      </c>
      <c r="R458" s="24">
        <f t="shared" ref="R458:R473" si="48">IF(P458="OK",N458-Q458,IF(P458="en cours",M458-Q458,P458))</f>
        <v>19628.2</v>
      </c>
    </row>
    <row r="459" spans="2:19" hidden="1" x14ac:dyDescent="0.25">
      <c r="B459" s="21" t="s">
        <v>395</v>
      </c>
      <c r="C459" s="22" t="s">
        <v>2459</v>
      </c>
      <c r="D459" s="22"/>
      <c r="E459" s="21" t="s">
        <v>0</v>
      </c>
      <c r="F459" s="21"/>
      <c r="G459" s="147" t="s">
        <v>509</v>
      </c>
      <c r="H459" s="23" t="s">
        <v>1540</v>
      </c>
      <c r="I459" s="23" t="s">
        <v>7902</v>
      </c>
      <c r="J459" s="21" t="s">
        <v>2595</v>
      </c>
      <c r="K459" s="120"/>
      <c r="L459" s="21" t="s">
        <v>2596</v>
      </c>
      <c r="M459" s="26">
        <v>43644</v>
      </c>
      <c r="N459" s="44">
        <v>83</v>
      </c>
      <c r="O459" s="22" t="s">
        <v>15</v>
      </c>
      <c r="P459" s="44" t="s">
        <v>19</v>
      </c>
      <c r="Q459" s="24">
        <f t="shared" si="47"/>
        <v>0</v>
      </c>
      <c r="R459" s="24">
        <f t="shared" si="48"/>
        <v>83</v>
      </c>
    </row>
    <row r="460" spans="2:19" hidden="1" x14ac:dyDescent="0.25">
      <c r="B460" s="21" t="s">
        <v>395</v>
      </c>
      <c r="C460" s="22" t="s">
        <v>2459</v>
      </c>
      <c r="D460" s="22"/>
      <c r="E460" s="21" t="s">
        <v>0</v>
      </c>
      <c r="F460" s="21"/>
      <c r="G460" s="147" t="s">
        <v>509</v>
      </c>
      <c r="H460" s="23" t="s">
        <v>1540</v>
      </c>
      <c r="I460" s="23" t="s">
        <v>7902</v>
      </c>
      <c r="J460" s="21" t="s">
        <v>2597</v>
      </c>
      <c r="K460" s="120"/>
      <c r="L460" s="21" t="s">
        <v>2603</v>
      </c>
      <c r="M460" s="26">
        <v>43644</v>
      </c>
      <c r="N460" s="44">
        <v>45261.440000000002</v>
      </c>
      <c r="O460" s="22" t="s">
        <v>15</v>
      </c>
      <c r="P460" s="44">
        <v>45261.440000000002</v>
      </c>
      <c r="Q460" s="24">
        <f t="shared" si="47"/>
        <v>0</v>
      </c>
      <c r="R460" s="24">
        <f t="shared" si="48"/>
        <v>45261.440000000002</v>
      </c>
    </row>
    <row r="461" spans="2:19" hidden="1" x14ac:dyDescent="0.25">
      <c r="C461" s="4" t="s">
        <v>2459</v>
      </c>
      <c r="E461" s="5" t="s">
        <v>0</v>
      </c>
      <c r="G461" s="146" t="s">
        <v>509</v>
      </c>
      <c r="H461" s="7" t="s">
        <v>1540</v>
      </c>
      <c r="I461" s="7" t="s">
        <v>7902</v>
      </c>
      <c r="J461" s="5" t="s">
        <v>2598</v>
      </c>
      <c r="K461" s="13">
        <v>43983</v>
      </c>
      <c r="M461" s="12"/>
      <c r="N461" s="45">
        <f>53328-45261.44</f>
        <v>8066.5599999999977</v>
      </c>
      <c r="O461" s="4" t="s">
        <v>15</v>
      </c>
      <c r="Q461" s="3">
        <f t="shared" si="47"/>
        <v>8066.5599999999977</v>
      </c>
      <c r="R461" s="3">
        <f t="shared" si="48"/>
        <v>0</v>
      </c>
    </row>
    <row r="462" spans="2:19" hidden="1" x14ac:dyDescent="0.25">
      <c r="C462" s="4" t="s">
        <v>2459</v>
      </c>
      <c r="E462" s="5" t="s">
        <v>0</v>
      </c>
      <c r="G462" s="146" t="s">
        <v>509</v>
      </c>
      <c r="H462" s="7" t="s">
        <v>1540</v>
      </c>
      <c r="I462" s="7" t="s">
        <v>7902</v>
      </c>
      <c r="J462" s="5" t="s">
        <v>2599</v>
      </c>
      <c r="K462" s="13"/>
      <c r="L462" s="5" t="s">
        <v>6896</v>
      </c>
      <c r="M462" s="12" t="s">
        <v>6897</v>
      </c>
      <c r="N462" s="45">
        <v>1456</v>
      </c>
      <c r="O462" s="4" t="s">
        <v>15</v>
      </c>
      <c r="P462" s="45">
        <f>728+68+80.09+48.06+48.06+48.06+48.06+48.06+48.06+48.06</f>
        <v>1212.5099999999998</v>
      </c>
      <c r="Q462" s="3">
        <f t="shared" si="47"/>
        <v>243.49000000000024</v>
      </c>
      <c r="R462" s="3">
        <f t="shared" si="48"/>
        <v>1212.5099999999998</v>
      </c>
    </row>
    <row r="463" spans="2:19" hidden="1" x14ac:dyDescent="0.25">
      <c r="C463" s="4" t="s">
        <v>2459</v>
      </c>
      <c r="E463" s="5" t="s">
        <v>0</v>
      </c>
      <c r="G463" s="146" t="s">
        <v>509</v>
      </c>
      <c r="H463" s="7" t="s">
        <v>1540</v>
      </c>
      <c r="I463" s="7" t="s">
        <v>7902</v>
      </c>
      <c r="J463" s="5" t="s">
        <v>2600</v>
      </c>
      <c r="K463" s="13">
        <v>43983</v>
      </c>
      <c r="L463" s="5" t="s">
        <v>2603</v>
      </c>
      <c r="M463" s="12">
        <v>43644</v>
      </c>
      <c r="N463" s="45">
        <v>6800</v>
      </c>
      <c r="O463" s="4" t="s">
        <v>15</v>
      </c>
      <c r="P463" s="45">
        <v>5550</v>
      </c>
      <c r="Q463" s="3">
        <f t="shared" si="47"/>
        <v>1250</v>
      </c>
      <c r="R463" s="3">
        <f t="shared" si="48"/>
        <v>5550</v>
      </c>
    </row>
    <row r="464" spans="2:19" hidden="1" x14ac:dyDescent="0.25">
      <c r="B464" s="21" t="s">
        <v>395</v>
      </c>
      <c r="C464" s="22" t="s">
        <v>2459</v>
      </c>
      <c r="D464" s="22"/>
      <c r="E464" s="21" t="s">
        <v>0</v>
      </c>
      <c r="F464" s="21"/>
      <c r="G464" s="147" t="s">
        <v>509</v>
      </c>
      <c r="H464" s="23" t="s">
        <v>1540</v>
      </c>
      <c r="I464" s="23" t="s">
        <v>7902</v>
      </c>
      <c r="J464" s="21" t="s">
        <v>2601</v>
      </c>
      <c r="K464" s="120"/>
      <c r="L464" s="21" t="s">
        <v>2603</v>
      </c>
      <c r="M464" s="26">
        <v>43644</v>
      </c>
      <c r="N464" s="44">
        <v>7500</v>
      </c>
      <c r="O464" s="22" t="s">
        <v>15</v>
      </c>
      <c r="P464" s="44">
        <f>(6000+1500)</f>
        <v>7500</v>
      </c>
      <c r="Q464" s="24">
        <f t="shared" si="47"/>
        <v>0</v>
      </c>
      <c r="R464" s="24">
        <f t="shared" si="48"/>
        <v>7500</v>
      </c>
    </row>
    <row r="465" spans="2:19" hidden="1" x14ac:dyDescent="0.25">
      <c r="C465" s="4" t="s">
        <v>2459</v>
      </c>
      <c r="E465" s="5" t="s">
        <v>0</v>
      </c>
      <c r="G465" s="146" t="s">
        <v>509</v>
      </c>
      <c r="H465" s="7" t="s">
        <v>1540</v>
      </c>
      <c r="I465" s="7" t="s">
        <v>7902</v>
      </c>
      <c r="J465" s="5" t="s">
        <v>2602</v>
      </c>
      <c r="K465" s="13"/>
      <c r="M465" s="12"/>
      <c r="N465" s="45">
        <v>135</v>
      </c>
      <c r="O465" s="4" t="s">
        <v>15</v>
      </c>
      <c r="Q465" s="3">
        <f t="shared" si="47"/>
        <v>135</v>
      </c>
      <c r="R465" s="3">
        <f t="shared" si="48"/>
        <v>0</v>
      </c>
    </row>
    <row r="466" spans="2:19" hidden="1" x14ac:dyDescent="0.25">
      <c r="B466"/>
      <c r="C466" s="4" t="s">
        <v>2459</v>
      </c>
      <c r="E466" s="5" t="s">
        <v>0</v>
      </c>
      <c r="G466" s="146" t="s">
        <v>509</v>
      </c>
      <c r="H466" s="7" t="s">
        <v>2925</v>
      </c>
      <c r="I466" s="7" t="s">
        <v>7904</v>
      </c>
      <c r="J466" s="5" t="s">
        <v>2642</v>
      </c>
      <c r="K466" s="13">
        <v>43891</v>
      </c>
      <c r="L466" t="s">
        <v>3168</v>
      </c>
      <c r="M466" s="12" t="s">
        <v>3169</v>
      </c>
      <c r="N466" s="45">
        <v>34647</v>
      </c>
      <c r="O466" s="4" t="s">
        <v>15</v>
      </c>
      <c r="P466" s="45">
        <f>18770.91+12625.24</f>
        <v>31396.15</v>
      </c>
      <c r="Q466" s="45">
        <f t="shared" si="47"/>
        <v>3250.8499999999985</v>
      </c>
      <c r="R466" s="3">
        <f t="shared" si="48"/>
        <v>31396.15</v>
      </c>
      <c r="S466"/>
    </row>
    <row r="467" spans="2:19" hidden="1" x14ac:dyDescent="0.25">
      <c r="B467" s="21" t="s">
        <v>395</v>
      </c>
      <c r="C467" s="22" t="s">
        <v>2459</v>
      </c>
      <c r="D467" s="22"/>
      <c r="E467" s="21" t="s">
        <v>0</v>
      </c>
      <c r="F467" s="21"/>
      <c r="G467" s="147" t="s">
        <v>509</v>
      </c>
      <c r="H467" s="23" t="s">
        <v>2925</v>
      </c>
      <c r="I467" s="23" t="s">
        <v>7904</v>
      </c>
      <c r="J467" s="21" t="s">
        <v>2643</v>
      </c>
      <c r="K467" s="120"/>
      <c r="L467" s="21" t="s">
        <v>2923</v>
      </c>
      <c r="M467" s="26">
        <v>43861</v>
      </c>
      <c r="N467" s="44">
        <v>728</v>
      </c>
      <c r="O467" s="22" t="s">
        <v>15</v>
      </c>
      <c r="P467" s="44" t="s">
        <v>19</v>
      </c>
      <c r="Q467" s="44">
        <f t="shared" si="47"/>
        <v>0</v>
      </c>
      <c r="R467" s="24">
        <f t="shared" si="48"/>
        <v>728</v>
      </c>
    </row>
    <row r="468" spans="2:19" hidden="1" x14ac:dyDescent="0.25">
      <c r="B468" s="21" t="s">
        <v>395</v>
      </c>
      <c r="C468" s="22" t="s">
        <v>2459</v>
      </c>
      <c r="D468" s="22"/>
      <c r="E468" s="21" t="s">
        <v>0</v>
      </c>
      <c r="F468" s="21"/>
      <c r="G468" s="147" t="s">
        <v>509</v>
      </c>
      <c r="H468" s="23" t="s">
        <v>2925</v>
      </c>
      <c r="I468" s="23" t="s">
        <v>7904</v>
      </c>
      <c r="J468" s="21" t="s">
        <v>2924</v>
      </c>
      <c r="K468" s="120"/>
      <c r="L468" s="21" t="s">
        <v>4169</v>
      </c>
      <c r="M468" s="26" t="s">
        <v>4170</v>
      </c>
      <c r="N468" s="44">
        <f>831+1500+2400</f>
        <v>4731</v>
      </c>
      <c r="O468" s="22" t="s">
        <v>15</v>
      </c>
      <c r="P468" s="44">
        <f>1010.7+568.46+(555.88+660)+(1370.75+1764)</f>
        <v>5929.79</v>
      </c>
      <c r="Q468" s="44">
        <f t="shared" si="47"/>
        <v>0</v>
      </c>
      <c r="R468" s="24">
        <f t="shared" si="48"/>
        <v>5929.79</v>
      </c>
    </row>
    <row r="469" spans="2:19" hidden="1" x14ac:dyDescent="0.25">
      <c r="B469" s="21" t="s">
        <v>395</v>
      </c>
      <c r="C469" s="22" t="s">
        <v>2459</v>
      </c>
      <c r="D469" s="22"/>
      <c r="E469" s="21" t="s">
        <v>0</v>
      </c>
      <c r="F469" s="21"/>
      <c r="G469" s="147" t="s">
        <v>509</v>
      </c>
      <c r="H469" s="23" t="s">
        <v>2604</v>
      </c>
      <c r="I469" s="23" t="s">
        <v>7903</v>
      </c>
      <c r="J469" s="21" t="s">
        <v>2605</v>
      </c>
      <c r="K469" s="120"/>
      <c r="L469" s="21" t="s">
        <v>2921</v>
      </c>
      <c r="M469" s="26">
        <v>43861</v>
      </c>
      <c r="N469" s="44">
        <v>7637</v>
      </c>
      <c r="O469" s="22" t="s">
        <v>15</v>
      </c>
      <c r="P469" s="44" t="s">
        <v>19</v>
      </c>
      <c r="Q469" s="44">
        <f t="shared" si="47"/>
        <v>0</v>
      </c>
      <c r="R469" s="24">
        <f t="shared" si="48"/>
        <v>7637</v>
      </c>
    </row>
    <row r="470" spans="2:19" hidden="1" x14ac:dyDescent="0.25">
      <c r="B470" s="21" t="s">
        <v>395</v>
      </c>
      <c r="C470" s="22" t="s">
        <v>2459</v>
      </c>
      <c r="D470" s="22"/>
      <c r="E470" s="21" t="s">
        <v>0</v>
      </c>
      <c r="F470" s="21"/>
      <c r="G470" s="147" t="s">
        <v>509</v>
      </c>
      <c r="H470" s="23" t="s">
        <v>2604</v>
      </c>
      <c r="I470" s="23" t="s">
        <v>7903</v>
      </c>
      <c r="J470" s="21" t="s">
        <v>2606</v>
      </c>
      <c r="K470" s="120"/>
      <c r="L470" s="21" t="s">
        <v>2921</v>
      </c>
      <c r="M470" s="26">
        <v>43861</v>
      </c>
      <c r="N470" s="44">
        <v>728</v>
      </c>
      <c r="O470" s="22" t="s">
        <v>15</v>
      </c>
      <c r="P470" s="44" t="s">
        <v>19</v>
      </c>
      <c r="Q470" s="44">
        <f t="shared" si="47"/>
        <v>0</v>
      </c>
      <c r="R470" s="24">
        <f t="shared" si="48"/>
        <v>728</v>
      </c>
    </row>
    <row r="471" spans="2:19" hidden="1" x14ac:dyDescent="0.25">
      <c r="B471" s="21" t="s">
        <v>395</v>
      </c>
      <c r="C471" s="22" t="s">
        <v>2459</v>
      </c>
      <c r="D471" s="22"/>
      <c r="E471" s="21" t="s">
        <v>0</v>
      </c>
      <c r="F471" s="21"/>
      <c r="G471" s="147" t="s">
        <v>509</v>
      </c>
      <c r="H471" s="23" t="s">
        <v>2969</v>
      </c>
      <c r="I471" s="23" t="s">
        <v>7915</v>
      </c>
      <c r="J471" s="21" t="s">
        <v>2970</v>
      </c>
      <c r="K471" s="120"/>
      <c r="L471" s="21" t="s">
        <v>3090</v>
      </c>
      <c r="M471" s="26">
        <v>43921</v>
      </c>
      <c r="N471" s="44">
        <v>5434</v>
      </c>
      <c r="O471" s="22" t="s">
        <v>15</v>
      </c>
      <c r="P471" s="44" t="s">
        <v>19</v>
      </c>
      <c r="Q471" s="44">
        <f t="shared" si="47"/>
        <v>0</v>
      </c>
      <c r="R471" s="24">
        <f t="shared" si="48"/>
        <v>5434</v>
      </c>
    </row>
    <row r="472" spans="2:19" hidden="1" x14ac:dyDescent="0.25">
      <c r="B472" s="21" t="s">
        <v>395</v>
      </c>
      <c r="C472" s="22" t="s">
        <v>2459</v>
      </c>
      <c r="D472" s="22"/>
      <c r="E472" s="21" t="s">
        <v>0</v>
      </c>
      <c r="F472" s="21"/>
      <c r="G472" s="147" t="s">
        <v>509</v>
      </c>
      <c r="H472" s="23" t="s">
        <v>2969</v>
      </c>
      <c r="I472" s="23" t="s">
        <v>7915</v>
      </c>
      <c r="J472" s="21" t="s">
        <v>2971</v>
      </c>
      <c r="K472" s="120"/>
      <c r="L472" s="21" t="s">
        <v>5913</v>
      </c>
      <c r="M472" s="26" t="s">
        <v>5914</v>
      </c>
      <c r="N472" s="44">
        <v>728</v>
      </c>
      <c r="O472" s="22" t="s">
        <v>15</v>
      </c>
      <c r="P472" s="44">
        <f>420+628.3+720.8+68+60.08</f>
        <v>1897.1799999999998</v>
      </c>
      <c r="Q472" s="44">
        <f t="shared" si="47"/>
        <v>0</v>
      </c>
      <c r="R472" s="24">
        <f t="shared" si="48"/>
        <v>1897.1799999999998</v>
      </c>
    </row>
    <row r="473" spans="2:19" hidden="1" x14ac:dyDescent="0.25">
      <c r="C473" s="4" t="s">
        <v>2459</v>
      </c>
      <c r="E473" s="5" t="s">
        <v>0</v>
      </c>
      <c r="G473" s="146" t="s">
        <v>509</v>
      </c>
      <c r="H473" s="7" t="s">
        <v>4158</v>
      </c>
      <c r="I473" s="7" t="s">
        <v>8320</v>
      </c>
      <c r="J473" s="5" t="s">
        <v>3965</v>
      </c>
      <c r="K473" s="13"/>
      <c r="L473" s="5" t="s">
        <v>4171</v>
      </c>
      <c r="M473" s="12">
        <v>44165</v>
      </c>
      <c r="N473" s="45">
        <v>34082</v>
      </c>
      <c r="O473" s="4" t="s">
        <v>15</v>
      </c>
      <c r="P473" s="45">
        <v>22244.04</v>
      </c>
      <c r="Q473" s="3">
        <f t="shared" si="47"/>
        <v>11837.96</v>
      </c>
      <c r="R473" s="3">
        <f t="shared" si="48"/>
        <v>22244.04</v>
      </c>
    </row>
    <row r="474" spans="2:19" hidden="1" x14ac:dyDescent="0.25">
      <c r="C474" s="4" t="s">
        <v>3484</v>
      </c>
      <c r="E474" s="5" t="s">
        <v>0</v>
      </c>
      <c r="G474" s="146" t="s">
        <v>509</v>
      </c>
      <c r="H474" s="7" t="s">
        <v>3890</v>
      </c>
      <c r="I474" s="7" t="s">
        <v>7981</v>
      </c>
      <c r="J474" s="5" t="s">
        <v>5386</v>
      </c>
      <c r="K474" s="13"/>
      <c r="L474" s="5" t="s">
        <v>7197</v>
      </c>
      <c r="M474" s="12" t="s">
        <v>7198</v>
      </c>
      <c r="N474" s="45">
        <v>5956.38</v>
      </c>
      <c r="O474" s="4" t="s">
        <v>15</v>
      </c>
      <c r="P474" s="4">
        <f>(2114.55+203.21+500+12+74.16+1067)+37.08+37.08+111.24+37.08+24.72+12.36+12.36+12.36+12.36+12.36+12.36+12.36+515</f>
        <v>4819.6399999999976</v>
      </c>
      <c r="Q474" s="3">
        <f t="shared" ref="Q474" si="49">IF(P474="en cours",N474,IF(P474="OK",0,IF(N474-P474&lt;0,0,N474-P474)))</f>
        <v>1136.7400000000025</v>
      </c>
      <c r="R474" s="3">
        <f t="shared" ref="R474:R481" si="50">IF(P474="OK",N474-Q474,IF(P474="en cours",N474-Q474,P474))</f>
        <v>4819.6399999999976</v>
      </c>
    </row>
    <row r="475" spans="2:19" hidden="1" x14ac:dyDescent="0.25">
      <c r="C475" s="4" t="s">
        <v>4628</v>
      </c>
      <c r="E475" s="5" t="s">
        <v>0</v>
      </c>
      <c r="G475" s="146" t="s">
        <v>509</v>
      </c>
      <c r="H475" s="7" t="s">
        <v>4992</v>
      </c>
      <c r="I475" s="7" t="s">
        <v>8039</v>
      </c>
      <c r="J475" s="5" t="s">
        <v>5385</v>
      </c>
      <c r="K475" s="13"/>
      <c r="L475" s="5" t="s">
        <v>6658</v>
      </c>
      <c r="M475" s="115" t="s">
        <v>6659</v>
      </c>
      <c r="N475" s="45">
        <v>27362.199999999997</v>
      </c>
      <c r="O475" s="4" t="s">
        <v>15</v>
      </c>
      <c r="P475" s="4">
        <f>5201.5+4332.14+4352.52+1949.41</f>
        <v>15835.57</v>
      </c>
      <c r="Q475" s="3">
        <f t="shared" ref="Q475:Q476" si="51">IF(P475="en cours",N475,IF(P475="OK",0,IF(N475-P475&lt;0,0,N475-P475)))</f>
        <v>11526.629999999997</v>
      </c>
      <c r="R475" s="3">
        <f t="shared" si="50"/>
        <v>15835.57</v>
      </c>
    </row>
    <row r="476" spans="2:19" hidden="1" x14ac:dyDescent="0.25">
      <c r="C476" s="4" t="s">
        <v>4628</v>
      </c>
      <c r="E476" s="5" t="s">
        <v>0</v>
      </c>
      <c r="G476" s="146" t="s">
        <v>509</v>
      </c>
      <c r="H476" s="7" t="s">
        <v>5383</v>
      </c>
      <c r="I476" s="7" t="s">
        <v>8067</v>
      </c>
      <c r="J476" s="5" t="s">
        <v>5384</v>
      </c>
      <c r="K476" s="13"/>
      <c r="L476" s="5" t="s">
        <v>5594</v>
      </c>
      <c r="M476" s="12">
        <v>44407</v>
      </c>
      <c r="N476" s="45">
        <v>22144.97</v>
      </c>
      <c r="O476" s="4" t="s">
        <v>15</v>
      </c>
      <c r="P476" s="4">
        <v>8035.83</v>
      </c>
      <c r="Q476" s="3">
        <f t="shared" si="51"/>
        <v>14109.140000000001</v>
      </c>
      <c r="R476" s="3">
        <f t="shared" si="50"/>
        <v>8035.83</v>
      </c>
    </row>
    <row r="477" spans="2:19" hidden="1" x14ac:dyDescent="0.25">
      <c r="C477" s="4" t="s">
        <v>5793</v>
      </c>
      <c r="E477" s="5" t="s">
        <v>0</v>
      </c>
      <c r="G477" s="146" t="s">
        <v>509</v>
      </c>
      <c r="H477" s="7" t="s">
        <v>6335</v>
      </c>
      <c r="I477" s="7" t="s">
        <v>8133</v>
      </c>
      <c r="J477" s="5" t="s">
        <v>6336</v>
      </c>
      <c r="M477" s="12"/>
      <c r="N477" s="45">
        <v>11789</v>
      </c>
      <c r="O477" s="4" t="s">
        <v>15</v>
      </c>
      <c r="P477" s="4"/>
      <c r="Q477" s="3">
        <f t="shared" ref="Q477:Q478" si="52">IF(P477="en cours",N477,IF(P477="OK",0,IF(N477-P477&lt;0,0,N477-P477)))</f>
        <v>11789</v>
      </c>
      <c r="R477" s="3">
        <f t="shared" si="50"/>
        <v>0</v>
      </c>
    </row>
    <row r="478" spans="2:19" hidden="1" x14ac:dyDescent="0.25">
      <c r="C478" s="4" t="s">
        <v>2450</v>
      </c>
      <c r="E478" s="5" t="s">
        <v>0</v>
      </c>
      <c r="F478" s="5" t="s">
        <v>9749</v>
      </c>
      <c r="G478" s="146" t="s">
        <v>509</v>
      </c>
      <c r="H478" s="7" t="s">
        <v>10458</v>
      </c>
      <c r="J478" s="5" t="s">
        <v>10459</v>
      </c>
      <c r="L478" s="5" t="s">
        <v>10796</v>
      </c>
      <c r="M478" s="12" t="s">
        <v>10797</v>
      </c>
      <c r="N478" s="45">
        <f>116005.88+8153.18+6445.18</f>
        <v>130604.23999999999</v>
      </c>
      <c r="O478" s="4" t="s">
        <v>15</v>
      </c>
      <c r="P478" s="45">
        <f>111818.65+535.55+1450.55+5520.13</f>
        <v>119324.88</v>
      </c>
      <c r="Q478" s="3">
        <f t="shared" si="52"/>
        <v>11279.359999999986</v>
      </c>
      <c r="R478" s="3">
        <f t="shared" si="50"/>
        <v>119324.88</v>
      </c>
    </row>
    <row r="479" spans="2:19" hidden="1" x14ac:dyDescent="0.25">
      <c r="C479" s="417" t="s">
        <v>5792</v>
      </c>
      <c r="D479" s="417"/>
      <c r="E479" s="59" t="s">
        <v>0</v>
      </c>
      <c r="F479" s="59"/>
      <c r="G479" s="418" t="s">
        <v>509</v>
      </c>
      <c r="H479" s="60" t="s">
        <v>7610</v>
      </c>
      <c r="I479" s="60"/>
      <c r="J479" s="59" t="s">
        <v>7791</v>
      </c>
      <c r="K479" s="59"/>
      <c r="L479" s="59" t="s">
        <v>14152</v>
      </c>
      <c r="M479" s="419" t="s">
        <v>14153</v>
      </c>
      <c r="N479" s="99">
        <f>344382.94+115767.67+2563.81+241340.32+11619.95+3253+488</f>
        <v>719415.69</v>
      </c>
      <c r="O479" s="417" t="s">
        <v>15</v>
      </c>
      <c r="P479" s="45">
        <f>54965.41+15059.57+5529.86+15650.7+4400.35+13798.6+5760.86+9485.73+7088.61+14365.15+3533.07+11071.75+6608.6+6033.63+5965.31+2534.61+9239.54+5002.05+2945.62+5867.77+3508.32+10806.38+4245.32+6290.65+9664.83+9819.01+6840.49+3657.57+5057.5+8703.18+4647.96+6143.68+6204.96+4044.59+7313.24+4652.43+3203.74+11619.95+17227.2+5717.17+16521.5+11700+3253+6026.33+679+2089.47+13714.97+488</f>
        <v>398747.23</v>
      </c>
      <c r="Q479" s="45">
        <f t="shared" ref="Q479:Q482" si="53">IF(P479="en cours",N479,IF(P479="OK",0,IF(N479-P479&lt;0,0,N479-P479)))</f>
        <v>320668.45999999996</v>
      </c>
      <c r="R479" s="3">
        <f t="shared" si="50"/>
        <v>398747.23</v>
      </c>
    </row>
    <row r="480" spans="2:19" hidden="1" x14ac:dyDescent="0.25">
      <c r="C480" s="412" t="s">
        <v>2450</v>
      </c>
      <c r="D480" s="412"/>
      <c r="E480" s="413" t="s">
        <v>0</v>
      </c>
      <c r="F480" s="413"/>
      <c r="G480" s="414" t="s">
        <v>509</v>
      </c>
      <c r="H480" s="415" t="s">
        <v>8627</v>
      </c>
      <c r="I480" s="415"/>
      <c r="J480" s="413" t="s">
        <v>6473</v>
      </c>
      <c r="K480" s="413"/>
      <c r="L480" s="413" t="s">
        <v>13867</v>
      </c>
      <c r="M480" s="416" t="s">
        <v>13868</v>
      </c>
      <c r="N480" s="100">
        <f>37080+5712+2525+2400+952.8+9867.7+6000+45123.1</f>
        <v>109660.6</v>
      </c>
      <c r="O480" s="412" t="s">
        <v>15</v>
      </c>
      <c r="P480" s="100">
        <f>10815+5712+7725+952.8+2400+2573.1+8188.5+3406.42+3406.42+333+15029.84+10994+6000</f>
        <v>77536.079999999987</v>
      </c>
      <c r="Q480" s="435">
        <f t="shared" si="53"/>
        <v>32124.520000000019</v>
      </c>
      <c r="R480" s="435">
        <f t="shared" si="50"/>
        <v>77536.079999999987</v>
      </c>
    </row>
    <row r="481" spans="2:19" hidden="1" x14ac:dyDescent="0.25">
      <c r="C481" s="61" t="s">
        <v>6267</v>
      </c>
      <c r="D481" s="61"/>
      <c r="E481" s="62" t="s">
        <v>0</v>
      </c>
      <c r="F481" s="62"/>
      <c r="G481" s="159" t="s">
        <v>509</v>
      </c>
      <c r="H481" s="63" t="s">
        <v>8629</v>
      </c>
      <c r="I481" s="63"/>
      <c r="J481" s="62" t="s">
        <v>8628</v>
      </c>
      <c r="K481" s="62"/>
      <c r="L481" s="62" t="s">
        <v>14142</v>
      </c>
      <c r="M481" s="211" t="s">
        <v>14143</v>
      </c>
      <c r="N481" s="101">
        <f>1241917.91+27117+52979.54+31105.84+25819.69+31637+13309.3+3503</f>
        <v>1427389.28</v>
      </c>
      <c r="O481" s="61" t="s">
        <v>15</v>
      </c>
      <c r="P481" s="45">
        <f>358096.93+36645.06-8601+2463.44+1883.23+25794.46+26157+8866.25+25198.92+36322.82+21987.6+18982.1+772+43923.48+26552.93-9124.42+16189.87+21845.36+53608.82+20964.4+32483.19+26104.34+56128.65+10790.94+6409.38+1290.73+27049.8+3417.79+24926.25+25259.23+3218+68907.76+28468.93+320+34343.17+12119.3+47072.91+24756.37+29583.43+22473.51+2680.55+46981.2+28008.96+27947.13+19051.32+37531.66+33412.47+4730.26+20119.11+13133.59+3503+8447.52+14180.24</f>
        <v>1473379.94</v>
      </c>
      <c r="Q481" s="45">
        <f t="shared" si="53"/>
        <v>0</v>
      </c>
      <c r="R481" s="3">
        <f t="shared" si="50"/>
        <v>1473379.94</v>
      </c>
    </row>
    <row r="482" spans="2:19" hidden="1" x14ac:dyDescent="0.25">
      <c r="B482" s="314"/>
      <c r="C482" s="407" t="s">
        <v>6675</v>
      </c>
      <c r="D482" s="407"/>
      <c r="E482" s="314" t="s">
        <v>0</v>
      </c>
      <c r="F482" s="314"/>
      <c r="G482" s="408" t="s">
        <v>509</v>
      </c>
      <c r="H482" s="313" t="s">
        <v>7670</v>
      </c>
      <c r="I482" s="313"/>
      <c r="J482" s="314" t="s">
        <v>7621</v>
      </c>
      <c r="K482" s="314"/>
      <c r="L482" s="314" t="s">
        <v>14144</v>
      </c>
      <c r="M482" s="313" t="s">
        <v>14145</v>
      </c>
      <c r="N482" s="318">
        <f>999175.54+81812.36+27951.47+21563.75+32598.71+9309.74+2797.1+3443</f>
        <v>1178651.6700000002</v>
      </c>
      <c r="O482" s="407" t="s">
        <v>15</v>
      </c>
      <c r="P482" s="318">
        <f>(12165.63+44073.38+21295.07+1854)+24823.92-8601+2452.84+39461.52+1886.98+9606.28+94115.51+18099.86+25425.3+17024.51+29740.25+9774.08+32723.54+22345.77+28255.98+19877.08-931.22+20688.75+24454.71+38929.03+33817.66+3221.43+10790.94+21061.88+23078.25+25997.2+961.71+6054+39284.77+41851.52+320+36744.48+8237.74+16130.66+30418.71+27460.88+27284.8+30272.65+31780.77+38296.25+5775.81+27568.56+31732.68+41428.16+35942.27+39061.14+9181.49+18726.69+12931.2+3443+11847.21+577.22+17981.02</f>
        <v>1238804.52</v>
      </c>
      <c r="Q482" s="318">
        <f t="shared" si="53"/>
        <v>0</v>
      </c>
      <c r="R482" s="409">
        <f t="shared" ref="R482" si="54">IF(P482="OK",N482-Q482,IF(P482="en cours",N482-Q482,P482))</f>
        <v>1238804.52</v>
      </c>
    </row>
    <row r="483" spans="2:19" hidden="1" x14ac:dyDescent="0.25">
      <c r="C483" s="4" t="s">
        <v>2450</v>
      </c>
      <c r="E483" s="5" t="s">
        <v>0</v>
      </c>
      <c r="F483" s="5" t="s">
        <v>9749</v>
      </c>
      <c r="G483" s="146" t="s">
        <v>509</v>
      </c>
      <c r="H483" s="7" t="s">
        <v>10176</v>
      </c>
      <c r="I483" s="7" t="s">
        <v>10177</v>
      </c>
      <c r="J483" s="5" t="s">
        <v>10178</v>
      </c>
      <c r="L483" s="5" t="s">
        <v>10305</v>
      </c>
      <c r="M483" s="12">
        <v>45504</v>
      </c>
      <c r="N483" s="45">
        <v>107043.36</v>
      </c>
      <c r="O483" s="4" t="s">
        <v>15</v>
      </c>
      <c r="P483" s="45">
        <f>18335.8</f>
        <v>18335.8</v>
      </c>
      <c r="Q483" s="3">
        <f t="shared" ref="Q483:Q535" si="55">IF(P483="en cours",N483,IF(P483="OK",0,IF(N483-P483&lt;0,0,N483-P483)))</f>
        <v>88707.56</v>
      </c>
      <c r="R483" s="3">
        <f>IF(P483="OK",N483-Q483,IF(P483="en cours",M483-Q483,P483))</f>
        <v>18335.8</v>
      </c>
    </row>
    <row r="484" spans="2:19" hidden="1" x14ac:dyDescent="0.25">
      <c r="C484" s="4" t="s">
        <v>10733</v>
      </c>
      <c r="E484" s="5" t="s">
        <v>0</v>
      </c>
      <c r="F484" s="5" t="s">
        <v>9749</v>
      </c>
      <c r="G484" s="146" t="s">
        <v>509</v>
      </c>
      <c r="H484" s="7" t="s">
        <v>10776</v>
      </c>
      <c r="J484" s="5" t="s">
        <v>10777</v>
      </c>
      <c r="L484" s="5" t="s">
        <v>11664</v>
      </c>
      <c r="M484" s="12" t="s">
        <v>11665</v>
      </c>
      <c r="N484" s="45">
        <f>29329.5+17060.07</f>
        <v>46389.57</v>
      </c>
      <c r="O484" s="4" t="s">
        <v>15</v>
      </c>
      <c r="P484" s="45">
        <f>7318+1280+1331.2+12433.73+6848.01</f>
        <v>29210.940000000002</v>
      </c>
      <c r="Q484" s="3">
        <f t="shared" si="55"/>
        <v>17178.629999999997</v>
      </c>
      <c r="R484" s="3">
        <f>IF(P484="OK",N484-Q484,IF(P484="en cours",M484-Q484,P484))</f>
        <v>29210.940000000002</v>
      </c>
    </row>
    <row r="485" spans="2:19" hidden="1" x14ac:dyDescent="0.25">
      <c r="B485" s="5" t="s">
        <v>12228</v>
      </c>
      <c r="C485" s="4" t="s">
        <v>158</v>
      </c>
      <c r="E485" s="5" t="s">
        <v>3234</v>
      </c>
      <c r="G485" s="146" t="s">
        <v>9585</v>
      </c>
      <c r="H485" s="7" t="s">
        <v>9586</v>
      </c>
      <c r="I485" s="7" t="s">
        <v>9586</v>
      </c>
      <c r="J485" s="5" t="s">
        <v>9587</v>
      </c>
      <c r="N485" s="45">
        <f>2*9000</f>
        <v>18000</v>
      </c>
      <c r="O485" s="4" t="s">
        <v>276</v>
      </c>
      <c r="Q485" s="3">
        <f t="shared" si="55"/>
        <v>18000</v>
      </c>
      <c r="R485" s="3">
        <f>IF(P485="OK",N485-Q485,IF(P485="en cours",N485-Q485,P485))</f>
        <v>0</v>
      </c>
    </row>
    <row r="486" spans="2:19" hidden="1" x14ac:dyDescent="0.25">
      <c r="B486" s="21" t="s">
        <v>395</v>
      </c>
      <c r="C486" s="22" t="s">
        <v>7372</v>
      </c>
      <c r="D486" s="22"/>
      <c r="E486" s="21" t="s">
        <v>75</v>
      </c>
      <c r="F486" s="21"/>
      <c r="G486" s="147" t="s">
        <v>10081</v>
      </c>
      <c r="H486" s="23" t="s">
        <v>8585</v>
      </c>
      <c r="I486" s="23"/>
      <c r="J486" s="21" t="s">
        <v>8586</v>
      </c>
      <c r="K486" s="21"/>
      <c r="L486" s="21" t="s">
        <v>8594</v>
      </c>
      <c r="M486" s="26">
        <v>45121</v>
      </c>
      <c r="N486" s="44">
        <v>72954</v>
      </c>
      <c r="O486" s="22" t="s">
        <v>15</v>
      </c>
      <c r="P486" s="44">
        <f>72954</f>
        <v>72954</v>
      </c>
      <c r="Q486" s="24">
        <f t="shared" si="55"/>
        <v>0</v>
      </c>
      <c r="R486" s="24">
        <f t="shared" ref="R486:R498" si="56">IF(P486="OK",N486-Q486,IF(P486="en cours",M486-Q486,P486))</f>
        <v>72954</v>
      </c>
    </row>
    <row r="487" spans="2:19" hidden="1" x14ac:dyDescent="0.25">
      <c r="B487" s="21" t="s">
        <v>395</v>
      </c>
      <c r="C487" s="22" t="s">
        <v>7372</v>
      </c>
      <c r="D487" s="22"/>
      <c r="E487" s="21" t="s">
        <v>75</v>
      </c>
      <c r="F487" s="21"/>
      <c r="G487" s="147" t="s">
        <v>10081</v>
      </c>
      <c r="H487" s="23" t="s">
        <v>8585</v>
      </c>
      <c r="I487" s="23"/>
      <c r="J487" s="21" t="s">
        <v>8587</v>
      </c>
      <c r="K487" s="21"/>
      <c r="L487" s="21" t="s">
        <v>9057</v>
      </c>
      <c r="M487" s="26">
        <v>45210</v>
      </c>
      <c r="N487" s="44">
        <v>143724</v>
      </c>
      <c r="O487" s="22" t="s">
        <v>15</v>
      </c>
      <c r="P487" s="44">
        <v>143724</v>
      </c>
      <c r="Q487" s="24">
        <f t="shared" si="55"/>
        <v>0</v>
      </c>
      <c r="R487" s="24">
        <f t="shared" si="56"/>
        <v>143724</v>
      </c>
    </row>
    <row r="488" spans="2:19" hidden="1" x14ac:dyDescent="0.25">
      <c r="B488" s="21" t="s">
        <v>395</v>
      </c>
      <c r="C488" s="22" t="s">
        <v>7372</v>
      </c>
      <c r="D488" s="22"/>
      <c r="E488" s="21" t="s">
        <v>75</v>
      </c>
      <c r="F488" s="21"/>
      <c r="G488" s="147" t="s">
        <v>10081</v>
      </c>
      <c r="H488" s="23" t="s">
        <v>8585</v>
      </c>
      <c r="I488" s="23"/>
      <c r="J488" s="21" t="s">
        <v>8588</v>
      </c>
      <c r="K488" s="21"/>
      <c r="L488" s="21" t="s">
        <v>9466</v>
      </c>
      <c r="M488" s="26">
        <v>45336</v>
      </c>
      <c r="N488" s="44">
        <v>143724</v>
      </c>
      <c r="O488" s="22" t="s">
        <v>15</v>
      </c>
      <c r="P488" s="44">
        <v>143724</v>
      </c>
      <c r="Q488" s="24">
        <f t="shared" si="55"/>
        <v>0</v>
      </c>
      <c r="R488" s="24">
        <f t="shared" si="56"/>
        <v>143724</v>
      </c>
    </row>
    <row r="489" spans="2:19" hidden="1" x14ac:dyDescent="0.25">
      <c r="B489" s="21" t="s">
        <v>395</v>
      </c>
      <c r="C489" s="22" t="s">
        <v>7372</v>
      </c>
      <c r="D489" s="22"/>
      <c r="E489" s="21" t="s">
        <v>75</v>
      </c>
      <c r="F489" s="21"/>
      <c r="G489" s="147" t="s">
        <v>10081</v>
      </c>
      <c r="H489" s="23" t="s">
        <v>8585</v>
      </c>
      <c r="I489" s="23"/>
      <c r="J489" s="21" t="s">
        <v>8589</v>
      </c>
      <c r="K489" s="21"/>
      <c r="L489" s="21" t="s">
        <v>10558</v>
      </c>
      <c r="M489" s="26">
        <v>45404</v>
      </c>
      <c r="N489" s="44">
        <v>143724</v>
      </c>
      <c r="O489" s="22" t="s">
        <v>15</v>
      </c>
      <c r="P489" s="44">
        <v>143724</v>
      </c>
      <c r="Q489" s="24">
        <f t="shared" si="55"/>
        <v>0</v>
      </c>
      <c r="R489" s="24">
        <f t="shared" si="56"/>
        <v>143724</v>
      </c>
    </row>
    <row r="490" spans="2:19" hidden="1" x14ac:dyDescent="0.25">
      <c r="B490" s="21" t="s">
        <v>395</v>
      </c>
      <c r="C490" s="22" t="s">
        <v>7372</v>
      </c>
      <c r="D490" s="22"/>
      <c r="E490" s="21" t="s">
        <v>75</v>
      </c>
      <c r="F490" s="21"/>
      <c r="G490" s="147" t="s">
        <v>10081</v>
      </c>
      <c r="H490" s="23" t="s">
        <v>8585</v>
      </c>
      <c r="I490" s="23"/>
      <c r="J490" s="21" t="s">
        <v>8590</v>
      </c>
      <c r="K490" s="21"/>
      <c r="L490" s="21" t="s">
        <v>10478</v>
      </c>
      <c r="M490" s="26">
        <v>45537</v>
      </c>
      <c r="N490" s="44">
        <v>143724</v>
      </c>
      <c r="O490" s="22" t="s">
        <v>15</v>
      </c>
      <c r="P490" s="44">
        <v>143724</v>
      </c>
      <c r="Q490" s="24">
        <f t="shared" si="55"/>
        <v>0</v>
      </c>
      <c r="R490" s="24">
        <f t="shared" si="56"/>
        <v>143724</v>
      </c>
    </row>
    <row r="491" spans="2:19" hidden="1" x14ac:dyDescent="0.25">
      <c r="B491" s="21" t="s">
        <v>395</v>
      </c>
      <c r="C491" s="22" t="s">
        <v>7372</v>
      </c>
      <c r="D491" s="22"/>
      <c r="E491" s="21" t="s">
        <v>75</v>
      </c>
      <c r="F491" s="21"/>
      <c r="G491" s="147" t="s">
        <v>10081</v>
      </c>
      <c r="H491" s="23" t="s">
        <v>8585</v>
      </c>
      <c r="I491" s="23"/>
      <c r="J491" s="21" t="s">
        <v>8591</v>
      </c>
      <c r="K491" s="21"/>
      <c r="L491" s="21" t="s">
        <v>10515</v>
      </c>
      <c r="M491" s="26">
        <v>45546</v>
      </c>
      <c r="N491" s="44">
        <v>143724</v>
      </c>
      <c r="O491" s="22" t="s">
        <v>15</v>
      </c>
      <c r="P491" s="44">
        <v>143724</v>
      </c>
      <c r="Q491" s="24">
        <f t="shared" si="55"/>
        <v>0</v>
      </c>
      <c r="R491" s="24">
        <f t="shared" si="56"/>
        <v>143724</v>
      </c>
    </row>
    <row r="492" spans="2:19" hidden="1" x14ac:dyDescent="0.25">
      <c r="B492" s="21" t="s">
        <v>395</v>
      </c>
      <c r="C492" s="22" t="s">
        <v>7372</v>
      </c>
      <c r="D492" s="22"/>
      <c r="E492" s="21" t="s">
        <v>75</v>
      </c>
      <c r="F492" s="21"/>
      <c r="G492" s="147" t="s">
        <v>10081</v>
      </c>
      <c r="H492" s="23" t="s">
        <v>8585</v>
      </c>
      <c r="I492" s="23"/>
      <c r="J492" s="21" t="s">
        <v>8592</v>
      </c>
      <c r="K492" s="21"/>
      <c r="L492" s="21" t="s">
        <v>10664</v>
      </c>
      <c r="M492" s="26">
        <v>45593</v>
      </c>
      <c r="N492" s="44">
        <v>95815</v>
      </c>
      <c r="O492" s="22" t="s">
        <v>15</v>
      </c>
      <c r="P492" s="44">
        <v>95818</v>
      </c>
      <c r="Q492" s="24">
        <f t="shared" si="55"/>
        <v>0</v>
      </c>
      <c r="R492" s="24">
        <f t="shared" si="56"/>
        <v>95818</v>
      </c>
    </row>
    <row r="493" spans="2:19" hidden="1" x14ac:dyDescent="0.25">
      <c r="B493" s="21" t="s">
        <v>395</v>
      </c>
      <c r="C493" s="22" t="s">
        <v>7372</v>
      </c>
      <c r="D493" s="22"/>
      <c r="E493" s="21" t="s">
        <v>75</v>
      </c>
      <c r="F493" s="21"/>
      <c r="G493" s="147" t="s">
        <v>10081</v>
      </c>
      <c r="H493" s="23" t="s">
        <v>8585</v>
      </c>
      <c r="I493" s="23"/>
      <c r="J493" s="21" t="s">
        <v>8593</v>
      </c>
      <c r="K493" s="21"/>
      <c r="L493" s="21" t="s">
        <v>13430</v>
      </c>
      <c r="M493" s="26">
        <v>45877</v>
      </c>
      <c r="N493" s="44">
        <v>47908</v>
      </c>
      <c r="O493" s="22" t="s">
        <v>15</v>
      </c>
      <c r="P493" s="44">
        <v>47908</v>
      </c>
      <c r="Q493" s="24">
        <f t="shared" si="55"/>
        <v>0</v>
      </c>
      <c r="R493" s="24">
        <f t="shared" si="56"/>
        <v>47908</v>
      </c>
    </row>
    <row r="494" spans="2:19" hidden="1" x14ac:dyDescent="0.25">
      <c r="B494" s="21" t="s">
        <v>395</v>
      </c>
      <c r="C494" s="22" t="s">
        <v>7372</v>
      </c>
      <c r="D494" s="22"/>
      <c r="E494" s="21" t="s">
        <v>75</v>
      </c>
      <c r="F494" s="21"/>
      <c r="G494" s="147" t="s">
        <v>10081</v>
      </c>
      <c r="H494" s="23" t="s">
        <v>10779</v>
      </c>
      <c r="I494" s="23"/>
      <c r="J494" s="21" t="s">
        <v>10780</v>
      </c>
      <c r="K494" s="21"/>
      <c r="L494" s="21" t="s">
        <v>10781</v>
      </c>
      <c r="M494" s="26">
        <v>45617</v>
      </c>
      <c r="N494" s="44">
        <v>57288</v>
      </c>
      <c r="O494" s="22" t="s">
        <v>15</v>
      </c>
      <c r="P494" s="44">
        <v>57288</v>
      </c>
      <c r="Q494" s="24">
        <f t="shared" si="55"/>
        <v>0</v>
      </c>
      <c r="R494" s="24">
        <f t="shared" si="56"/>
        <v>57288</v>
      </c>
    </row>
    <row r="495" spans="2:19" hidden="1" x14ac:dyDescent="0.25">
      <c r="B495" s="21" t="s">
        <v>395</v>
      </c>
      <c r="C495" s="22" t="s">
        <v>7372</v>
      </c>
      <c r="D495" s="22"/>
      <c r="E495" s="21" t="s">
        <v>75</v>
      </c>
      <c r="F495" s="21"/>
      <c r="G495" s="147" t="s">
        <v>10081</v>
      </c>
      <c r="H495" s="23" t="s">
        <v>7639</v>
      </c>
      <c r="I495" s="23"/>
      <c r="J495" s="21" t="s">
        <v>7643</v>
      </c>
      <c r="K495" s="21"/>
      <c r="L495" s="21"/>
      <c r="M495" s="23"/>
      <c r="N495" s="44">
        <v>22861</v>
      </c>
      <c r="O495" s="22" t="s">
        <v>15</v>
      </c>
      <c r="P495" s="44">
        <v>22861</v>
      </c>
      <c r="Q495" s="24">
        <f t="shared" si="55"/>
        <v>0</v>
      </c>
      <c r="R495" s="24">
        <f t="shared" si="56"/>
        <v>22861</v>
      </c>
      <c r="S495" s="5" t="s">
        <v>8615</v>
      </c>
    </row>
    <row r="496" spans="2:19" hidden="1" x14ac:dyDescent="0.25">
      <c r="B496" s="21" t="s">
        <v>395</v>
      </c>
      <c r="C496" s="22" t="s">
        <v>7372</v>
      </c>
      <c r="D496" s="22"/>
      <c r="E496" s="21" t="s">
        <v>75</v>
      </c>
      <c r="F496" s="21"/>
      <c r="G496" s="147" t="s">
        <v>10081</v>
      </c>
      <c r="H496" s="23" t="s">
        <v>7639</v>
      </c>
      <c r="I496" s="23"/>
      <c r="J496" s="21" t="s">
        <v>7641</v>
      </c>
      <c r="K496" s="21"/>
      <c r="L496" s="21"/>
      <c r="M496" s="23"/>
      <c r="N496" s="44">
        <v>0</v>
      </c>
      <c r="O496" s="22" t="s">
        <v>15</v>
      </c>
      <c r="P496" s="44"/>
      <c r="Q496" s="24">
        <f t="shared" si="55"/>
        <v>0</v>
      </c>
      <c r="R496" s="24">
        <f t="shared" si="56"/>
        <v>0</v>
      </c>
      <c r="S496" s="5" t="s">
        <v>8615</v>
      </c>
    </row>
    <row r="497" spans="1:19" hidden="1" x14ac:dyDescent="0.25">
      <c r="B497" s="21" t="s">
        <v>395</v>
      </c>
      <c r="C497" s="22" t="s">
        <v>7372</v>
      </c>
      <c r="D497" s="22"/>
      <c r="E497" s="21" t="s">
        <v>75</v>
      </c>
      <c r="F497" s="21"/>
      <c r="G497" s="147" t="s">
        <v>10081</v>
      </c>
      <c r="H497" s="23" t="s">
        <v>7639</v>
      </c>
      <c r="I497" s="23"/>
      <c r="J497" s="21" t="s">
        <v>7640</v>
      </c>
      <c r="K497" s="21"/>
      <c r="L497" s="21"/>
      <c r="M497" s="23"/>
      <c r="N497" s="44">
        <v>0</v>
      </c>
      <c r="O497" s="22" t="s">
        <v>15</v>
      </c>
      <c r="P497" s="44"/>
      <c r="Q497" s="24">
        <f t="shared" si="55"/>
        <v>0</v>
      </c>
      <c r="R497" s="24">
        <f t="shared" si="56"/>
        <v>0</v>
      </c>
      <c r="S497" s="5" t="s">
        <v>8615</v>
      </c>
    </row>
    <row r="498" spans="1:19" hidden="1" x14ac:dyDescent="0.25">
      <c r="B498" s="21" t="s">
        <v>395</v>
      </c>
      <c r="C498" s="22" t="s">
        <v>7372</v>
      </c>
      <c r="D498" s="22"/>
      <c r="E498" s="21" t="s">
        <v>75</v>
      </c>
      <c r="F498" s="21"/>
      <c r="G498" s="147" t="s">
        <v>10081</v>
      </c>
      <c r="H498" s="23" t="s">
        <v>7639</v>
      </c>
      <c r="I498" s="23"/>
      <c r="J498" s="21" t="s">
        <v>7642</v>
      </c>
      <c r="K498" s="21"/>
      <c r="L498" s="21"/>
      <c r="M498" s="23"/>
      <c r="N498" s="44">
        <v>0</v>
      </c>
      <c r="O498" s="22" t="s">
        <v>15</v>
      </c>
      <c r="P498" s="44"/>
      <c r="Q498" s="24">
        <f t="shared" si="55"/>
        <v>0</v>
      </c>
      <c r="R498" s="24">
        <f t="shared" si="56"/>
        <v>0</v>
      </c>
      <c r="S498" s="5" t="s">
        <v>8615</v>
      </c>
    </row>
    <row r="499" spans="1:19" hidden="1" x14ac:dyDescent="0.25">
      <c r="B499" s="21" t="s">
        <v>395</v>
      </c>
      <c r="C499" s="22" t="s">
        <v>9747</v>
      </c>
      <c r="D499" s="22"/>
      <c r="E499" s="21" t="s">
        <v>75</v>
      </c>
      <c r="F499" s="21" t="s">
        <v>9790</v>
      </c>
      <c r="G499" s="147" t="s">
        <v>10081</v>
      </c>
      <c r="H499" s="23" t="s">
        <v>10082</v>
      </c>
      <c r="I499" s="23"/>
      <c r="J499" s="21" t="s">
        <v>10083</v>
      </c>
      <c r="K499" s="21"/>
      <c r="L499" s="21" t="s">
        <v>10093</v>
      </c>
      <c r="M499" s="26">
        <v>45469</v>
      </c>
      <c r="N499" s="44">
        <v>158465</v>
      </c>
      <c r="O499" s="22" t="s">
        <v>15</v>
      </c>
      <c r="P499" s="44">
        <v>158456</v>
      </c>
      <c r="Q499" s="44">
        <f t="shared" si="55"/>
        <v>9</v>
      </c>
      <c r="R499" s="24">
        <f t="shared" ref="R499:R508" si="57">IF(P499="OK",N499-Q499,IF(P499="en cours",N499-Q499,P499))</f>
        <v>158456</v>
      </c>
    </row>
    <row r="500" spans="1:19" hidden="1" x14ac:dyDescent="0.25">
      <c r="B500" s="21" t="s">
        <v>395</v>
      </c>
      <c r="C500" s="22" t="s">
        <v>9747</v>
      </c>
      <c r="D500" s="22"/>
      <c r="E500" s="21" t="s">
        <v>75</v>
      </c>
      <c r="F500" s="21" t="s">
        <v>9790</v>
      </c>
      <c r="G500" s="147" t="s">
        <v>10081</v>
      </c>
      <c r="H500" s="23" t="s">
        <v>10082</v>
      </c>
      <c r="I500" s="23"/>
      <c r="J500" s="21" t="s">
        <v>10084</v>
      </c>
      <c r="K500" s="21"/>
      <c r="L500" s="21" t="s">
        <v>10665</v>
      </c>
      <c r="M500" s="26">
        <v>45560</v>
      </c>
      <c r="N500" s="44">
        <v>237698</v>
      </c>
      <c r="O500" s="22" t="s">
        <v>15</v>
      </c>
      <c r="P500" s="44">
        <v>237698</v>
      </c>
      <c r="Q500" s="44">
        <f t="shared" si="55"/>
        <v>0</v>
      </c>
      <c r="R500" s="24">
        <f t="shared" si="57"/>
        <v>237698</v>
      </c>
    </row>
    <row r="501" spans="1:19" hidden="1" x14ac:dyDescent="0.25">
      <c r="B501" s="21" t="s">
        <v>395</v>
      </c>
      <c r="C501" s="22" t="s">
        <v>9747</v>
      </c>
      <c r="D501" s="22"/>
      <c r="E501" s="21" t="s">
        <v>75</v>
      </c>
      <c r="F501" s="21" t="s">
        <v>9790</v>
      </c>
      <c r="G501" s="147" t="s">
        <v>10081</v>
      </c>
      <c r="H501" s="23" t="s">
        <v>10082</v>
      </c>
      <c r="I501" s="23"/>
      <c r="J501" s="21" t="s">
        <v>10085</v>
      </c>
      <c r="K501" s="21"/>
      <c r="L501" s="21" t="s">
        <v>11033</v>
      </c>
      <c r="M501" s="26">
        <v>45657</v>
      </c>
      <c r="N501" s="44">
        <v>190158</v>
      </c>
      <c r="O501" s="22" t="s">
        <v>15</v>
      </c>
      <c r="P501" s="44">
        <v>190158</v>
      </c>
      <c r="Q501" s="44">
        <f t="shared" si="55"/>
        <v>0</v>
      </c>
      <c r="R501" s="24">
        <f t="shared" si="57"/>
        <v>190158</v>
      </c>
    </row>
    <row r="502" spans="1:19" s="5" customFormat="1" hidden="1" x14ac:dyDescent="0.25">
      <c r="A502"/>
      <c r="B502" s="21" t="s">
        <v>395</v>
      </c>
      <c r="C502" s="22" t="s">
        <v>9747</v>
      </c>
      <c r="D502" s="22"/>
      <c r="E502" s="21" t="s">
        <v>75</v>
      </c>
      <c r="F502" s="21" t="s">
        <v>9790</v>
      </c>
      <c r="G502" s="147" t="s">
        <v>10081</v>
      </c>
      <c r="H502" s="23" t="s">
        <v>10082</v>
      </c>
      <c r="I502" s="23"/>
      <c r="J502" s="21" t="s">
        <v>10086</v>
      </c>
      <c r="K502" s="21"/>
      <c r="L502" s="21" t="s">
        <v>12900</v>
      </c>
      <c r="M502" s="26">
        <v>45951</v>
      </c>
      <c r="N502" s="44">
        <v>190158</v>
      </c>
      <c r="O502" s="22" t="s">
        <v>15</v>
      </c>
      <c r="P502" s="44">
        <v>190158</v>
      </c>
      <c r="Q502" s="44">
        <f t="shared" si="55"/>
        <v>0</v>
      </c>
      <c r="R502" s="24">
        <f t="shared" si="57"/>
        <v>190158</v>
      </c>
    </row>
    <row r="503" spans="1:19" s="5" customFormat="1" hidden="1" x14ac:dyDescent="0.25">
      <c r="A503"/>
      <c r="B503" s="21" t="s">
        <v>395</v>
      </c>
      <c r="C503" s="22" t="s">
        <v>9747</v>
      </c>
      <c r="D503" s="22"/>
      <c r="E503" s="21" t="s">
        <v>75</v>
      </c>
      <c r="F503" s="21" t="s">
        <v>9790</v>
      </c>
      <c r="G503" s="147" t="s">
        <v>10081</v>
      </c>
      <c r="H503" s="23" t="s">
        <v>10082</v>
      </c>
      <c r="I503" s="23"/>
      <c r="J503" s="21" t="s">
        <v>10087</v>
      </c>
      <c r="K503" s="21"/>
      <c r="L503" s="21" t="s">
        <v>12899</v>
      </c>
      <c r="M503" s="26">
        <v>45853</v>
      </c>
      <c r="N503" s="44">
        <v>190158</v>
      </c>
      <c r="O503" s="22" t="s">
        <v>15</v>
      </c>
      <c r="P503" s="44">
        <v>190158</v>
      </c>
      <c r="Q503" s="44">
        <f t="shared" si="55"/>
        <v>0</v>
      </c>
      <c r="R503" s="24">
        <f t="shared" si="57"/>
        <v>190158</v>
      </c>
    </row>
    <row r="504" spans="1:19" hidden="1" x14ac:dyDescent="0.25">
      <c r="B504" s="21" t="s">
        <v>395</v>
      </c>
      <c r="C504" s="22" t="s">
        <v>9747</v>
      </c>
      <c r="D504" s="22"/>
      <c r="E504" s="21" t="s">
        <v>75</v>
      </c>
      <c r="F504" s="21" t="s">
        <v>9790</v>
      </c>
      <c r="G504" s="147" t="s">
        <v>10081</v>
      </c>
      <c r="H504" s="23" t="s">
        <v>10082</v>
      </c>
      <c r="I504" s="23"/>
      <c r="J504" s="21" t="s">
        <v>10088</v>
      </c>
      <c r="K504" s="21"/>
      <c r="L504" s="21" t="s">
        <v>12830</v>
      </c>
      <c r="M504" s="26">
        <v>45938</v>
      </c>
      <c r="N504" s="44">
        <v>190158</v>
      </c>
      <c r="O504" s="22" t="s">
        <v>15</v>
      </c>
      <c r="P504" s="44">
        <v>190158</v>
      </c>
      <c r="Q504" s="44">
        <f t="shared" si="55"/>
        <v>0</v>
      </c>
      <c r="R504" s="24">
        <f t="shared" si="57"/>
        <v>190158</v>
      </c>
    </row>
    <row r="505" spans="1:19" hidden="1" x14ac:dyDescent="0.25">
      <c r="B505" s="21" t="s">
        <v>395</v>
      </c>
      <c r="C505" s="22" t="s">
        <v>9747</v>
      </c>
      <c r="D505" s="22"/>
      <c r="E505" s="21" t="s">
        <v>75</v>
      </c>
      <c r="F505" s="21" t="s">
        <v>9790</v>
      </c>
      <c r="G505" s="147" t="s">
        <v>10081</v>
      </c>
      <c r="H505" s="23" t="s">
        <v>10082</v>
      </c>
      <c r="I505" s="23"/>
      <c r="J505" s="21" t="s">
        <v>10089</v>
      </c>
      <c r="K505" s="47"/>
      <c r="L505" s="21" t="s">
        <v>12900</v>
      </c>
      <c r="M505" s="26">
        <v>45951</v>
      </c>
      <c r="N505" s="44">
        <v>190158</v>
      </c>
      <c r="O505" s="22" t="s">
        <v>15</v>
      </c>
      <c r="P505" s="44">
        <v>190158</v>
      </c>
      <c r="Q505" s="44">
        <f t="shared" si="55"/>
        <v>0</v>
      </c>
      <c r="R505" s="24">
        <f t="shared" si="57"/>
        <v>190158</v>
      </c>
    </row>
    <row r="506" spans="1:19" hidden="1" x14ac:dyDescent="0.25">
      <c r="B506" s="21" t="s">
        <v>395</v>
      </c>
      <c r="C506" s="22" t="s">
        <v>9747</v>
      </c>
      <c r="D506" s="22"/>
      <c r="E506" s="21" t="s">
        <v>75</v>
      </c>
      <c r="F506" s="21" t="s">
        <v>9790</v>
      </c>
      <c r="G506" s="147" t="s">
        <v>10081</v>
      </c>
      <c r="H506" s="23" t="s">
        <v>10082</v>
      </c>
      <c r="I506" s="23"/>
      <c r="J506" s="21" t="s">
        <v>10090</v>
      </c>
      <c r="K506" s="47"/>
      <c r="L506" s="21" t="s">
        <v>13490</v>
      </c>
      <c r="M506" s="26">
        <v>45992</v>
      </c>
      <c r="N506" s="44">
        <v>158465</v>
      </c>
      <c r="O506" s="22" t="s">
        <v>15</v>
      </c>
      <c r="P506" s="44">
        <v>158465</v>
      </c>
      <c r="Q506" s="44">
        <f t="shared" si="55"/>
        <v>0</v>
      </c>
      <c r="R506" s="24">
        <f t="shared" si="57"/>
        <v>158465</v>
      </c>
    </row>
    <row r="507" spans="1:19" hidden="1" x14ac:dyDescent="0.25">
      <c r="C507" s="4" t="s">
        <v>9747</v>
      </c>
      <c r="E507" s="5" t="s">
        <v>75</v>
      </c>
      <c r="F507" s="5" t="s">
        <v>9790</v>
      </c>
      <c r="G507" s="146" t="s">
        <v>10081</v>
      </c>
      <c r="H507" s="7" t="s">
        <v>10082</v>
      </c>
      <c r="J507" s="5" t="s">
        <v>10091</v>
      </c>
      <c r="K507" s="115">
        <v>45931</v>
      </c>
      <c r="N507" s="45">
        <v>79234</v>
      </c>
      <c r="O507" s="4" t="s">
        <v>15</v>
      </c>
      <c r="Q507" s="45">
        <f t="shared" si="55"/>
        <v>79234</v>
      </c>
      <c r="R507" s="3">
        <f t="shared" si="57"/>
        <v>0</v>
      </c>
    </row>
    <row r="508" spans="1:19" hidden="1" x14ac:dyDescent="0.25">
      <c r="C508" s="4" t="s">
        <v>9747</v>
      </c>
      <c r="E508" s="5" t="s">
        <v>75</v>
      </c>
      <c r="F508" s="5" t="s">
        <v>9790</v>
      </c>
      <c r="G508" s="146" t="s">
        <v>10081</v>
      </c>
      <c r="H508" s="7" t="s">
        <v>10082</v>
      </c>
      <c r="J508" s="5" t="s">
        <v>10092</v>
      </c>
      <c r="L508" s="5" t="s">
        <v>14359</v>
      </c>
      <c r="M508" s="12" t="s">
        <v>14358</v>
      </c>
      <c r="N508" s="45">
        <v>48616</v>
      </c>
      <c r="O508" s="4" t="s">
        <v>15</v>
      </c>
      <c r="P508" s="45">
        <f>6362.31+11538.37+2361.39+841.47+4407.78+2183.38+1264+4257.56+2264.25+1955.05+2952.08+2294.95+2054.85+33486.17+2544.1+1018.66</f>
        <v>81786.37000000001</v>
      </c>
      <c r="Q508" s="45">
        <f t="shared" si="55"/>
        <v>0</v>
      </c>
      <c r="R508" s="3">
        <f t="shared" si="57"/>
        <v>81786.37000000001</v>
      </c>
    </row>
    <row r="509" spans="1:19" hidden="1" x14ac:dyDescent="0.25">
      <c r="C509" s="4" t="s">
        <v>6267</v>
      </c>
      <c r="D509" s="4" t="s">
        <v>11500</v>
      </c>
      <c r="E509" s="5" t="s">
        <v>9707</v>
      </c>
      <c r="F509" s="5" t="s">
        <v>9776</v>
      </c>
      <c r="G509" s="146" t="s">
        <v>10892</v>
      </c>
      <c r="H509" s="7" t="s">
        <v>12058</v>
      </c>
      <c r="J509" s="5" t="s">
        <v>10894</v>
      </c>
      <c r="K509" s="5">
        <v>46082</v>
      </c>
      <c r="L509" s="5" t="s">
        <v>14282</v>
      </c>
      <c r="M509" s="12" t="s">
        <v>14283</v>
      </c>
      <c r="N509" s="45">
        <f>450492.08+53633.12+45003.43+7257.81</f>
        <v>556386.44000000006</v>
      </c>
      <c r="O509" s="4" t="s">
        <v>276</v>
      </c>
      <c r="P509" s="45">
        <f>45049.21+42299.21+8325.03+44152.48+25294.67+40916.24+932.23+6584.8+1439.02+3096.96+14196.21+1207.6</f>
        <v>233493.65999999995</v>
      </c>
      <c r="Q509" s="45">
        <f t="shared" si="55"/>
        <v>322892.78000000014</v>
      </c>
      <c r="R509" s="3">
        <f>IF(P509="OK",N509-Q509,IF(P509="en cours",M509-Q509,P509))</f>
        <v>233493.65999999995</v>
      </c>
    </row>
    <row r="510" spans="1:19" hidden="1" x14ac:dyDescent="0.25">
      <c r="C510" s="4" t="s">
        <v>8972</v>
      </c>
      <c r="D510" s="4" t="s">
        <v>11500</v>
      </c>
      <c r="E510" s="5" t="s">
        <v>9707</v>
      </c>
      <c r="F510" s="5" t="s">
        <v>9776</v>
      </c>
      <c r="G510" s="146" t="s">
        <v>10892</v>
      </c>
      <c r="H510" s="7" t="s">
        <v>10893</v>
      </c>
      <c r="J510" s="5" t="s">
        <v>10994</v>
      </c>
      <c r="K510" s="5">
        <v>46126</v>
      </c>
      <c r="L510" s="5" t="s">
        <v>14284</v>
      </c>
      <c r="M510" s="12" t="s">
        <v>14285</v>
      </c>
      <c r="N510" s="45">
        <v>389301.84</v>
      </c>
      <c r="O510" s="4" t="s">
        <v>276</v>
      </c>
      <c r="P510" s="45">
        <f>38930.18+3370.34+14885.74+1168.94+7551.97+44339.45+1168.94+21597.24+5293.62+2458.11+1168.94+2551.38+1168.95</f>
        <v>145653.79999999999</v>
      </c>
      <c r="Q510" s="45">
        <f t="shared" si="55"/>
        <v>243648.04000000004</v>
      </c>
      <c r="R510" s="3">
        <f>IF(P510="OK",N510-Q510,IF(P510="en cours",M510-Q510,P510))</f>
        <v>145653.79999999999</v>
      </c>
    </row>
    <row r="511" spans="1:19" hidden="1" x14ac:dyDescent="0.25">
      <c r="C511" s="4" t="s">
        <v>2450</v>
      </c>
      <c r="D511" s="4" t="s">
        <v>11500</v>
      </c>
      <c r="E511" s="5" t="s">
        <v>9707</v>
      </c>
      <c r="F511" s="5" t="s">
        <v>9776</v>
      </c>
      <c r="G511" s="146" t="s">
        <v>10892</v>
      </c>
      <c r="H511" s="7" t="s">
        <v>12504</v>
      </c>
      <c r="J511" s="5" t="s">
        <v>10895</v>
      </c>
      <c r="K511" s="5">
        <v>46143</v>
      </c>
      <c r="L511" s="5" t="s">
        <v>14286</v>
      </c>
      <c r="M511" s="12" t="s">
        <v>14287</v>
      </c>
      <c r="N511" s="45">
        <f>548170.12+123039.77</f>
        <v>671209.89</v>
      </c>
      <c r="O511" s="4" t="s">
        <v>276</v>
      </c>
      <c r="P511" s="45">
        <f>27408.51+12414.62+1938.94+53426.6+89455.17+49609.04+1365.58+9290.53+136991.77+797.65+797.65+7747.77+1374.96</f>
        <v>392618.7900000001</v>
      </c>
      <c r="Q511" s="45">
        <f t="shared" si="55"/>
        <v>278591.09999999992</v>
      </c>
      <c r="R511" s="3">
        <f>IF(P511="OK",N511-Q511,IF(P511="en cours",M511-Q511,P511))</f>
        <v>392618.7900000001</v>
      </c>
    </row>
    <row r="512" spans="1:19" hidden="1" x14ac:dyDescent="0.25">
      <c r="B512" s="21" t="s">
        <v>395</v>
      </c>
      <c r="C512" s="22" t="s">
        <v>2450</v>
      </c>
      <c r="D512" s="22"/>
      <c r="E512" s="21" t="s">
        <v>0</v>
      </c>
      <c r="F512" s="21"/>
      <c r="G512" s="147" t="s">
        <v>99</v>
      </c>
      <c r="H512" s="23" t="s">
        <v>120</v>
      </c>
      <c r="I512" s="23"/>
      <c r="J512" s="21" t="s">
        <v>2193</v>
      </c>
      <c r="K512" s="21">
        <v>46150</v>
      </c>
      <c r="L512" s="21"/>
      <c r="M512" s="28"/>
      <c r="N512" s="44">
        <v>35319</v>
      </c>
      <c r="O512" s="22" t="s">
        <v>15</v>
      </c>
      <c r="P512" s="22" t="s">
        <v>19</v>
      </c>
      <c r="Q512" s="24">
        <f t="shared" si="55"/>
        <v>0</v>
      </c>
      <c r="R512" s="24">
        <f t="shared" ref="R512:R570" si="58">IF(P512="OK",N512-Q512,IF(P512="en cours",N512-Q512,P512))</f>
        <v>35319</v>
      </c>
    </row>
    <row r="513" spans="2:18" hidden="1" x14ac:dyDescent="0.25">
      <c r="B513" s="21" t="s">
        <v>395</v>
      </c>
      <c r="C513" s="22" t="s">
        <v>2450</v>
      </c>
      <c r="D513" s="22"/>
      <c r="E513" s="21" t="s">
        <v>0</v>
      </c>
      <c r="F513" s="21"/>
      <c r="G513" s="147" t="s">
        <v>99</v>
      </c>
      <c r="H513" s="23" t="s">
        <v>120</v>
      </c>
      <c r="I513" s="23"/>
      <c r="J513" s="21" t="s">
        <v>2195</v>
      </c>
      <c r="K513" s="21">
        <v>46144</v>
      </c>
      <c r="L513" s="21"/>
      <c r="M513" s="28"/>
      <c r="N513" s="44">
        <v>39796</v>
      </c>
      <c r="O513" s="22" t="s">
        <v>15</v>
      </c>
      <c r="P513" s="22" t="s">
        <v>19</v>
      </c>
      <c r="Q513" s="24">
        <f t="shared" si="55"/>
        <v>0</v>
      </c>
      <c r="R513" s="24">
        <f t="shared" si="58"/>
        <v>39796</v>
      </c>
    </row>
    <row r="514" spans="2:18" hidden="1" x14ac:dyDescent="0.25">
      <c r="C514" s="4" t="s">
        <v>2450</v>
      </c>
      <c r="E514" s="5" t="s">
        <v>0</v>
      </c>
      <c r="G514" s="146" t="s">
        <v>99</v>
      </c>
      <c r="H514" s="7" t="s">
        <v>120</v>
      </c>
      <c r="J514" s="29" t="s">
        <v>2196</v>
      </c>
      <c r="K514" s="5">
        <v>46252</v>
      </c>
      <c r="N514" s="45">
        <v>18178</v>
      </c>
      <c r="O514" s="4" t="s">
        <v>15</v>
      </c>
      <c r="P514" s="4"/>
      <c r="Q514" s="3">
        <f t="shared" si="55"/>
        <v>18178</v>
      </c>
      <c r="R514" s="3">
        <f t="shared" si="58"/>
        <v>0</v>
      </c>
    </row>
    <row r="515" spans="2:18" hidden="1" x14ac:dyDescent="0.25">
      <c r="C515" s="4" t="s">
        <v>2450</v>
      </c>
      <c r="E515" s="5" t="s">
        <v>0</v>
      </c>
      <c r="G515" s="146" t="s">
        <v>99</v>
      </c>
      <c r="H515" s="7" t="s">
        <v>120</v>
      </c>
      <c r="J515" s="29" t="s">
        <v>2197</v>
      </c>
      <c r="K515" s="5">
        <v>46266</v>
      </c>
      <c r="N515" s="45">
        <v>53873</v>
      </c>
      <c r="O515" s="4" t="s">
        <v>15</v>
      </c>
      <c r="P515" s="4"/>
      <c r="Q515" s="3">
        <f t="shared" si="55"/>
        <v>53873</v>
      </c>
      <c r="R515" s="3">
        <f t="shared" si="58"/>
        <v>0</v>
      </c>
    </row>
    <row r="516" spans="2:18" hidden="1" x14ac:dyDescent="0.25">
      <c r="C516" s="4" t="s">
        <v>2450</v>
      </c>
      <c r="E516" s="5" t="s">
        <v>0</v>
      </c>
      <c r="G516" s="146" t="s">
        <v>99</v>
      </c>
      <c r="H516" s="7" t="s">
        <v>120</v>
      </c>
      <c r="J516" s="29" t="s">
        <v>2198</v>
      </c>
      <c r="K516" s="5">
        <v>46329</v>
      </c>
      <c r="N516" s="45">
        <v>18178</v>
      </c>
      <c r="O516" s="4" t="s">
        <v>15</v>
      </c>
      <c r="P516" s="4"/>
      <c r="Q516" s="3">
        <f t="shared" si="55"/>
        <v>18178</v>
      </c>
      <c r="R516" s="3">
        <f t="shared" si="58"/>
        <v>0</v>
      </c>
    </row>
    <row r="517" spans="2:18" hidden="1" x14ac:dyDescent="0.25">
      <c r="B517" s="21" t="s">
        <v>395</v>
      </c>
      <c r="C517" s="22" t="s">
        <v>2450</v>
      </c>
      <c r="D517" s="22"/>
      <c r="E517" s="21" t="s">
        <v>0</v>
      </c>
      <c r="F517" s="21"/>
      <c r="G517" s="147" t="s">
        <v>99</v>
      </c>
      <c r="H517" s="23" t="s">
        <v>120</v>
      </c>
      <c r="I517" s="23"/>
      <c r="J517" s="21" t="s">
        <v>2199</v>
      </c>
      <c r="K517" s="21">
        <v>46343</v>
      </c>
      <c r="L517" s="21" t="s">
        <v>3001</v>
      </c>
      <c r="M517" s="46">
        <v>42793</v>
      </c>
      <c r="N517" s="44">
        <v>3450</v>
      </c>
      <c r="O517" s="22" t="s">
        <v>15</v>
      </c>
      <c r="P517" s="22" t="s">
        <v>19</v>
      </c>
      <c r="Q517" s="24">
        <f t="shared" si="55"/>
        <v>0</v>
      </c>
      <c r="R517" s="24">
        <f t="shared" si="58"/>
        <v>3450</v>
      </c>
    </row>
    <row r="518" spans="2:18" hidden="1" x14ac:dyDescent="0.25">
      <c r="C518" s="4" t="s">
        <v>2450</v>
      </c>
      <c r="E518" s="5" t="s">
        <v>0</v>
      </c>
      <c r="G518" s="146" t="s">
        <v>99</v>
      </c>
      <c r="H518" s="7" t="s">
        <v>120</v>
      </c>
      <c r="J518" s="29" t="s">
        <v>3124</v>
      </c>
      <c r="M518" s="12"/>
      <c r="N518" s="45">
        <f>1312*36</f>
        <v>47232</v>
      </c>
      <c r="O518" s="4" t="s">
        <v>15</v>
      </c>
      <c r="P518" s="4">
        <f>1312+1312+2624+1312+1312+1312+1312+2624+1312</f>
        <v>14432</v>
      </c>
      <c r="Q518" s="3">
        <f t="shared" si="55"/>
        <v>32800</v>
      </c>
      <c r="R518" s="3">
        <f t="shared" si="58"/>
        <v>14432</v>
      </c>
    </row>
    <row r="519" spans="2:18" hidden="1" x14ac:dyDescent="0.25">
      <c r="B519" s="21" t="s">
        <v>395</v>
      </c>
      <c r="C519" s="22" t="s">
        <v>2450</v>
      </c>
      <c r="D519" s="22"/>
      <c r="E519" s="21" t="s">
        <v>0</v>
      </c>
      <c r="F519" s="21"/>
      <c r="G519" s="147" t="s">
        <v>99</v>
      </c>
      <c r="H519" s="23" t="s">
        <v>120</v>
      </c>
      <c r="I519" s="23"/>
      <c r="J519" s="21" t="s">
        <v>2200</v>
      </c>
      <c r="K519" s="21"/>
      <c r="L519" s="21"/>
      <c r="M519" s="26"/>
      <c r="N519" s="44">
        <v>3526</v>
      </c>
      <c r="O519" s="22" t="s">
        <v>15</v>
      </c>
      <c r="P519" s="22" t="s">
        <v>19</v>
      </c>
      <c r="Q519" s="24">
        <f t="shared" si="55"/>
        <v>0</v>
      </c>
      <c r="R519" s="24">
        <f t="shared" si="58"/>
        <v>3526</v>
      </c>
    </row>
    <row r="520" spans="2:18" hidden="1" x14ac:dyDescent="0.25">
      <c r="C520" s="4" t="s">
        <v>2450</v>
      </c>
      <c r="E520" s="5" t="s">
        <v>0</v>
      </c>
      <c r="G520" s="146" t="s">
        <v>99</v>
      </c>
      <c r="H520" s="7" t="s">
        <v>120</v>
      </c>
      <c r="J520" s="29" t="s">
        <v>2202</v>
      </c>
      <c r="M520" s="12"/>
      <c r="N520" s="45">
        <v>984</v>
      </c>
      <c r="O520" s="4" t="s">
        <v>15</v>
      </c>
      <c r="P520" s="4"/>
      <c r="Q520" s="3">
        <f t="shared" si="55"/>
        <v>984</v>
      </c>
      <c r="R520" s="3">
        <f t="shared" si="58"/>
        <v>0</v>
      </c>
    </row>
    <row r="521" spans="2:18" hidden="1" x14ac:dyDescent="0.25">
      <c r="C521" s="4" t="s">
        <v>2450</v>
      </c>
      <c r="E521" s="5" t="s">
        <v>0</v>
      </c>
      <c r="G521" s="146" t="s">
        <v>99</v>
      </c>
      <c r="H521" s="7" t="s">
        <v>120</v>
      </c>
      <c r="J521" s="29" t="s">
        <v>2203</v>
      </c>
      <c r="M521" s="12"/>
      <c r="N521" s="45">
        <v>984</v>
      </c>
      <c r="O521" s="4" t="s">
        <v>15</v>
      </c>
      <c r="P521" s="4"/>
      <c r="Q521" s="3">
        <f t="shared" si="55"/>
        <v>984</v>
      </c>
      <c r="R521" s="3">
        <f t="shared" si="58"/>
        <v>0</v>
      </c>
    </row>
    <row r="522" spans="2:18" hidden="1" x14ac:dyDescent="0.25">
      <c r="B522" s="21" t="s">
        <v>395</v>
      </c>
      <c r="C522" s="22" t="s">
        <v>2450</v>
      </c>
      <c r="D522" s="22"/>
      <c r="E522" s="21" t="s">
        <v>0</v>
      </c>
      <c r="F522" s="21"/>
      <c r="G522" s="147" t="s">
        <v>99</v>
      </c>
      <c r="H522" s="23" t="s">
        <v>120</v>
      </c>
      <c r="I522" s="23"/>
      <c r="J522" s="21" t="s">
        <v>2204</v>
      </c>
      <c r="K522" s="21"/>
      <c r="L522" s="21"/>
      <c r="M522" s="26">
        <v>43550</v>
      </c>
      <c r="N522" s="44">
        <v>3936</v>
      </c>
      <c r="O522" s="22" t="s">
        <v>15</v>
      </c>
      <c r="P522" s="22" t="s">
        <v>19</v>
      </c>
      <c r="Q522" s="24">
        <f t="shared" si="55"/>
        <v>0</v>
      </c>
      <c r="R522" s="24">
        <f t="shared" si="58"/>
        <v>3936</v>
      </c>
    </row>
    <row r="523" spans="2:18" hidden="1" x14ac:dyDescent="0.25">
      <c r="B523" s="21" t="s">
        <v>395</v>
      </c>
      <c r="C523" s="22" t="s">
        <v>2450</v>
      </c>
      <c r="D523" s="22"/>
      <c r="E523" s="21" t="s">
        <v>0</v>
      </c>
      <c r="F523" s="21"/>
      <c r="G523" s="147" t="s">
        <v>99</v>
      </c>
      <c r="H523" s="23" t="s">
        <v>120</v>
      </c>
      <c r="I523" s="23"/>
      <c r="J523" s="21" t="s">
        <v>2205</v>
      </c>
      <c r="K523" s="21"/>
      <c r="L523" s="21"/>
      <c r="M523" s="26"/>
      <c r="N523" s="44">
        <v>3444</v>
      </c>
      <c r="O523" s="22" t="s">
        <v>15</v>
      </c>
      <c r="P523" s="22" t="s">
        <v>19</v>
      </c>
      <c r="Q523" s="24">
        <f t="shared" si="55"/>
        <v>0</v>
      </c>
      <c r="R523" s="24">
        <f t="shared" si="58"/>
        <v>3444</v>
      </c>
    </row>
    <row r="524" spans="2:18" hidden="1" x14ac:dyDescent="0.25">
      <c r="C524" s="4" t="s">
        <v>2450</v>
      </c>
      <c r="E524" s="5" t="s">
        <v>0</v>
      </c>
      <c r="G524" s="146" t="s">
        <v>99</v>
      </c>
      <c r="H524" s="7" t="s">
        <v>120</v>
      </c>
      <c r="J524" s="29" t="s">
        <v>2206</v>
      </c>
      <c r="M524" s="12"/>
      <c r="N524" s="45">
        <v>3444</v>
      </c>
      <c r="O524" s="4" t="s">
        <v>15</v>
      </c>
      <c r="P524" s="4"/>
      <c r="Q524" s="3">
        <f t="shared" si="55"/>
        <v>3444</v>
      </c>
      <c r="R524" s="3">
        <f t="shared" si="58"/>
        <v>0</v>
      </c>
    </row>
    <row r="525" spans="2:18" hidden="1" x14ac:dyDescent="0.25">
      <c r="C525" s="4" t="s">
        <v>2450</v>
      </c>
      <c r="E525" s="5" t="s">
        <v>0</v>
      </c>
      <c r="G525" s="146" t="s">
        <v>99</v>
      </c>
      <c r="H525" s="7" t="s">
        <v>120</v>
      </c>
      <c r="J525" s="29" t="s">
        <v>2207</v>
      </c>
      <c r="M525" s="12"/>
      <c r="N525" s="45">
        <v>3444</v>
      </c>
      <c r="O525" s="4" t="s">
        <v>15</v>
      </c>
      <c r="P525" s="4"/>
      <c r="Q525" s="3">
        <f t="shared" si="55"/>
        <v>3444</v>
      </c>
      <c r="R525" s="3">
        <f t="shared" si="58"/>
        <v>0</v>
      </c>
    </row>
    <row r="526" spans="2:18" hidden="1" x14ac:dyDescent="0.25">
      <c r="B526" s="21" t="s">
        <v>395</v>
      </c>
      <c r="C526" s="22" t="s">
        <v>2450</v>
      </c>
      <c r="D526" s="22"/>
      <c r="E526" s="21" t="s">
        <v>0</v>
      </c>
      <c r="F526" s="21"/>
      <c r="G526" s="147" t="s">
        <v>99</v>
      </c>
      <c r="H526" s="23" t="s">
        <v>120</v>
      </c>
      <c r="I526" s="23"/>
      <c r="J526" s="21" t="s">
        <v>2240</v>
      </c>
      <c r="K526" s="21"/>
      <c r="L526" s="21" t="s">
        <v>2992</v>
      </c>
      <c r="M526" s="26">
        <v>43336</v>
      </c>
      <c r="N526" s="44">
        <v>2460</v>
      </c>
      <c r="O526" s="22" t="s">
        <v>15</v>
      </c>
      <c r="P526" s="22" t="s">
        <v>19</v>
      </c>
      <c r="Q526" s="24">
        <f t="shared" si="55"/>
        <v>0</v>
      </c>
      <c r="R526" s="24">
        <f t="shared" si="58"/>
        <v>2460</v>
      </c>
    </row>
    <row r="527" spans="2:18" hidden="1" x14ac:dyDescent="0.25">
      <c r="B527" s="21" t="s">
        <v>395</v>
      </c>
      <c r="C527" s="22" t="s">
        <v>2450</v>
      </c>
      <c r="D527" s="22"/>
      <c r="E527" s="21" t="s">
        <v>0</v>
      </c>
      <c r="F527" s="21"/>
      <c r="G527" s="147" t="s">
        <v>99</v>
      </c>
      <c r="H527" s="23" t="s">
        <v>120</v>
      </c>
      <c r="I527" s="23"/>
      <c r="J527" s="21" t="s">
        <v>2239</v>
      </c>
      <c r="K527" s="21"/>
      <c r="L527" s="21" t="s">
        <v>2993</v>
      </c>
      <c r="M527" s="26">
        <v>43395</v>
      </c>
      <c r="N527" s="44">
        <v>2460</v>
      </c>
      <c r="O527" s="22" t="s">
        <v>15</v>
      </c>
      <c r="P527" s="22" t="s">
        <v>19</v>
      </c>
      <c r="Q527" s="24">
        <f t="shared" si="55"/>
        <v>0</v>
      </c>
      <c r="R527" s="24">
        <f t="shared" si="58"/>
        <v>2460</v>
      </c>
    </row>
    <row r="528" spans="2:18" hidden="1" x14ac:dyDescent="0.25">
      <c r="C528" s="4" t="s">
        <v>2450</v>
      </c>
      <c r="E528" s="5" t="s">
        <v>0</v>
      </c>
      <c r="G528" s="146" t="s">
        <v>99</v>
      </c>
      <c r="H528" s="7" t="s">
        <v>120</v>
      </c>
      <c r="J528" s="29" t="s">
        <v>2208</v>
      </c>
      <c r="M528" s="12"/>
      <c r="N528" s="45">
        <v>2460</v>
      </c>
      <c r="O528" s="4" t="s">
        <v>15</v>
      </c>
      <c r="P528" s="4"/>
      <c r="Q528" s="3">
        <f t="shared" si="55"/>
        <v>2460</v>
      </c>
      <c r="R528" s="3">
        <f t="shared" si="58"/>
        <v>0</v>
      </c>
    </row>
    <row r="529" spans="2:18" hidden="1" x14ac:dyDescent="0.25">
      <c r="B529" s="450"/>
      <c r="C529" s="452" t="s">
        <v>2450</v>
      </c>
      <c r="D529" s="452"/>
      <c r="E529" s="453" t="s">
        <v>0</v>
      </c>
      <c r="F529" s="453"/>
      <c r="G529" s="454" t="s">
        <v>99</v>
      </c>
      <c r="H529" s="455" t="s">
        <v>120</v>
      </c>
      <c r="I529" s="455"/>
      <c r="J529" s="485" t="s">
        <v>2209</v>
      </c>
      <c r="L529" s="453"/>
      <c r="M529" s="12"/>
      <c r="N529" s="463">
        <v>2460</v>
      </c>
      <c r="O529" s="4" t="s">
        <v>15</v>
      </c>
      <c r="P529" s="4"/>
      <c r="Q529" s="3">
        <f t="shared" si="55"/>
        <v>2460</v>
      </c>
      <c r="R529" s="3">
        <f t="shared" si="58"/>
        <v>0</v>
      </c>
    </row>
    <row r="530" spans="2:18" hidden="1" x14ac:dyDescent="0.25">
      <c r="B530" s="479" t="s">
        <v>395</v>
      </c>
      <c r="C530" s="22" t="s">
        <v>2450</v>
      </c>
      <c r="D530" s="22"/>
      <c r="E530" s="21" t="s">
        <v>0</v>
      </c>
      <c r="F530" s="21"/>
      <c r="G530" s="147" t="s">
        <v>99</v>
      </c>
      <c r="H530" s="23" t="s">
        <v>120</v>
      </c>
      <c r="I530" s="23"/>
      <c r="J530" s="21" t="s">
        <v>2241</v>
      </c>
      <c r="K530" s="21"/>
      <c r="L530" s="21" t="s">
        <v>2994</v>
      </c>
      <c r="M530" s="26">
        <v>43522</v>
      </c>
      <c r="N530" s="492">
        <v>2788</v>
      </c>
      <c r="O530" s="22" t="s">
        <v>15</v>
      </c>
      <c r="P530" s="22" t="s">
        <v>19</v>
      </c>
      <c r="Q530" s="24">
        <f t="shared" si="55"/>
        <v>0</v>
      </c>
      <c r="R530" s="24">
        <f t="shared" si="58"/>
        <v>2788</v>
      </c>
    </row>
    <row r="531" spans="2:18" hidden="1" x14ac:dyDescent="0.25">
      <c r="B531" s="479" t="s">
        <v>395</v>
      </c>
      <c r="C531" s="22" t="s">
        <v>2450</v>
      </c>
      <c r="D531" s="22"/>
      <c r="E531" s="21" t="s">
        <v>0</v>
      </c>
      <c r="F531" s="21"/>
      <c r="G531" s="147" t="s">
        <v>99</v>
      </c>
      <c r="H531" s="23" t="s">
        <v>120</v>
      </c>
      <c r="I531" s="23"/>
      <c r="J531" s="21" t="s">
        <v>2242</v>
      </c>
      <c r="K531" s="21"/>
      <c r="L531" s="21" t="s">
        <v>2995</v>
      </c>
      <c r="M531" s="26">
        <v>43552</v>
      </c>
      <c r="N531" s="492">
        <v>2624</v>
      </c>
      <c r="O531" s="22" t="s">
        <v>15</v>
      </c>
      <c r="P531" s="22" t="s">
        <v>19</v>
      </c>
      <c r="Q531" s="24">
        <f t="shared" si="55"/>
        <v>0</v>
      </c>
      <c r="R531" s="24">
        <f t="shared" si="58"/>
        <v>2624</v>
      </c>
    </row>
    <row r="532" spans="2:18" hidden="1" x14ac:dyDescent="0.25">
      <c r="B532" s="451"/>
      <c r="C532" s="4" t="s">
        <v>2450</v>
      </c>
      <c r="E532" s="5" t="s">
        <v>0</v>
      </c>
      <c r="G532" s="146" t="s">
        <v>99</v>
      </c>
      <c r="H532" s="7" t="s">
        <v>120</v>
      </c>
      <c r="J532" s="29" t="s">
        <v>2210</v>
      </c>
      <c r="M532" s="12"/>
      <c r="N532" s="464">
        <v>2624</v>
      </c>
      <c r="O532" s="4" t="s">
        <v>15</v>
      </c>
      <c r="P532" s="4"/>
      <c r="Q532" s="3">
        <f t="shared" si="55"/>
        <v>2624</v>
      </c>
      <c r="R532" s="3">
        <f t="shared" si="58"/>
        <v>0</v>
      </c>
    </row>
    <row r="533" spans="2:18" hidden="1" x14ac:dyDescent="0.25">
      <c r="B533" s="451"/>
      <c r="C533" s="4" t="s">
        <v>2450</v>
      </c>
      <c r="E533" s="5" t="s">
        <v>0</v>
      </c>
      <c r="G533" s="146" t="s">
        <v>99</v>
      </c>
      <c r="H533" s="7" t="s">
        <v>120</v>
      </c>
      <c r="J533" s="29" t="s">
        <v>2211</v>
      </c>
      <c r="M533" s="12"/>
      <c r="N533" s="464">
        <v>2624</v>
      </c>
      <c r="O533" s="4" t="s">
        <v>15</v>
      </c>
      <c r="P533" s="4"/>
      <c r="Q533" s="3">
        <f t="shared" si="55"/>
        <v>2624</v>
      </c>
      <c r="R533" s="3">
        <f t="shared" si="58"/>
        <v>0</v>
      </c>
    </row>
    <row r="534" spans="2:18" ht="16.5" hidden="1" thickBot="1" x14ac:dyDescent="0.3">
      <c r="B534" s="478" t="s">
        <v>395</v>
      </c>
      <c r="C534" s="480" t="s">
        <v>2450</v>
      </c>
      <c r="D534" s="480"/>
      <c r="E534" s="481" t="s">
        <v>0</v>
      </c>
      <c r="F534" s="481"/>
      <c r="G534" s="482" t="s">
        <v>99</v>
      </c>
      <c r="H534" s="483" t="s">
        <v>120</v>
      </c>
      <c r="I534" s="483"/>
      <c r="J534" s="481" t="s">
        <v>2212</v>
      </c>
      <c r="K534" s="21"/>
      <c r="L534" s="481" t="s">
        <v>2990</v>
      </c>
      <c r="M534" s="214">
        <v>43887</v>
      </c>
      <c r="N534" s="491">
        <v>2788</v>
      </c>
      <c r="O534" s="22" t="s">
        <v>15</v>
      </c>
      <c r="P534" s="22" t="s">
        <v>19</v>
      </c>
      <c r="Q534" s="24">
        <f t="shared" si="55"/>
        <v>0</v>
      </c>
      <c r="R534" s="24">
        <f t="shared" si="58"/>
        <v>2788</v>
      </c>
    </row>
    <row r="535" spans="2:18" hidden="1" x14ac:dyDescent="0.25">
      <c r="B535" s="21" t="s">
        <v>395</v>
      </c>
      <c r="C535" s="22" t="s">
        <v>2450</v>
      </c>
      <c r="D535" s="22"/>
      <c r="E535" s="21" t="s">
        <v>0</v>
      </c>
      <c r="F535" s="21"/>
      <c r="G535" s="147" t="s">
        <v>99</v>
      </c>
      <c r="H535" s="23" t="s">
        <v>120</v>
      </c>
      <c r="I535" s="23"/>
      <c r="J535" s="21" t="s">
        <v>2213</v>
      </c>
      <c r="K535" s="21"/>
      <c r="L535" s="21" t="s">
        <v>3163</v>
      </c>
      <c r="M535" s="26">
        <v>43948</v>
      </c>
      <c r="N535" s="44">
        <v>2624</v>
      </c>
      <c r="O535" s="22" t="s">
        <v>15</v>
      </c>
      <c r="P535" s="22" t="s">
        <v>19</v>
      </c>
      <c r="Q535" s="24">
        <f t="shared" si="55"/>
        <v>0</v>
      </c>
      <c r="R535" s="24">
        <f t="shared" si="58"/>
        <v>2624</v>
      </c>
    </row>
    <row r="536" spans="2:18" hidden="1" x14ac:dyDescent="0.25">
      <c r="C536" s="4" t="s">
        <v>2450</v>
      </c>
      <c r="E536" s="5" t="s">
        <v>0</v>
      </c>
      <c r="G536" s="146" t="s">
        <v>99</v>
      </c>
      <c r="H536" s="7" t="s">
        <v>120</v>
      </c>
      <c r="J536" s="29" t="s">
        <v>2214</v>
      </c>
      <c r="M536" s="12"/>
      <c r="N536" s="45">
        <v>2624</v>
      </c>
      <c r="O536" s="4" t="s">
        <v>15</v>
      </c>
      <c r="P536" s="4"/>
      <c r="Q536" s="3">
        <f t="shared" ref="Q536:Q570" si="59">IF(P536="en cours",N536,IF(P536="OK",0,IF(N536-P536&lt;0,0,N536-P536)))</f>
        <v>2624</v>
      </c>
      <c r="R536" s="3">
        <f t="shared" si="58"/>
        <v>0</v>
      </c>
    </row>
    <row r="537" spans="2:18" hidden="1" x14ac:dyDescent="0.25">
      <c r="C537" s="4" t="s">
        <v>2450</v>
      </c>
      <c r="D537" s="452"/>
      <c r="E537" s="5" t="s">
        <v>0</v>
      </c>
      <c r="G537" s="146" t="s">
        <v>99</v>
      </c>
      <c r="H537" s="7" t="s">
        <v>120</v>
      </c>
      <c r="J537" s="29" t="s">
        <v>2215</v>
      </c>
      <c r="M537" s="12"/>
      <c r="N537" s="45">
        <v>2624</v>
      </c>
      <c r="O537" s="4" t="s">
        <v>15</v>
      </c>
      <c r="P537" s="4"/>
      <c r="Q537" s="3">
        <f t="shared" si="59"/>
        <v>2624</v>
      </c>
      <c r="R537" s="3">
        <f t="shared" si="58"/>
        <v>0</v>
      </c>
    </row>
    <row r="538" spans="2:18" hidden="1" x14ac:dyDescent="0.25">
      <c r="B538" s="21" t="s">
        <v>395</v>
      </c>
      <c r="C538" s="22" t="s">
        <v>2450</v>
      </c>
      <c r="D538" s="22"/>
      <c r="E538" s="21" t="s">
        <v>0</v>
      </c>
      <c r="F538" s="21"/>
      <c r="G538" s="147" t="s">
        <v>99</v>
      </c>
      <c r="H538" s="23" t="s">
        <v>120</v>
      </c>
      <c r="I538" s="23"/>
      <c r="J538" s="21" t="s">
        <v>2224</v>
      </c>
      <c r="K538" s="21"/>
      <c r="L538" s="21"/>
      <c r="M538" s="26"/>
      <c r="N538" s="44">
        <v>4428</v>
      </c>
      <c r="O538" s="22" t="s">
        <v>15</v>
      </c>
      <c r="P538" s="22" t="s">
        <v>19</v>
      </c>
      <c r="Q538" s="24">
        <f t="shared" si="59"/>
        <v>0</v>
      </c>
      <c r="R538" s="24">
        <f t="shared" si="58"/>
        <v>4428</v>
      </c>
    </row>
    <row r="539" spans="2:18" hidden="1" x14ac:dyDescent="0.25">
      <c r="B539" s="21" t="s">
        <v>395</v>
      </c>
      <c r="C539" s="22" t="s">
        <v>2450</v>
      </c>
      <c r="D539" s="22"/>
      <c r="E539" s="21" t="s">
        <v>0</v>
      </c>
      <c r="F539" s="21"/>
      <c r="G539" s="147" t="s">
        <v>99</v>
      </c>
      <c r="H539" s="23" t="s">
        <v>120</v>
      </c>
      <c r="I539" s="23"/>
      <c r="J539" s="21" t="s">
        <v>2225</v>
      </c>
      <c r="K539" s="21"/>
      <c r="L539" s="21"/>
      <c r="M539" s="26"/>
      <c r="N539" s="44">
        <v>3936</v>
      </c>
      <c r="O539" s="22" t="s">
        <v>15</v>
      </c>
      <c r="P539" s="22" t="s">
        <v>19</v>
      </c>
      <c r="Q539" s="24">
        <f t="shared" si="59"/>
        <v>0</v>
      </c>
      <c r="R539" s="24">
        <f t="shared" si="58"/>
        <v>3936</v>
      </c>
    </row>
    <row r="540" spans="2:18" hidden="1" x14ac:dyDescent="0.25">
      <c r="C540" s="4" t="s">
        <v>2450</v>
      </c>
      <c r="E540" s="5" t="s">
        <v>0</v>
      </c>
      <c r="G540" s="146" t="s">
        <v>99</v>
      </c>
      <c r="H540" s="7" t="s">
        <v>120</v>
      </c>
      <c r="J540" s="29" t="s">
        <v>2226</v>
      </c>
      <c r="M540" s="12"/>
      <c r="N540" s="45">
        <v>3936</v>
      </c>
      <c r="O540" s="4" t="s">
        <v>15</v>
      </c>
      <c r="P540" s="4"/>
      <c r="Q540" s="3">
        <f t="shared" si="59"/>
        <v>3936</v>
      </c>
      <c r="R540" s="3">
        <f t="shared" si="58"/>
        <v>0</v>
      </c>
    </row>
    <row r="541" spans="2:18" hidden="1" x14ac:dyDescent="0.25">
      <c r="C541" s="4" t="s">
        <v>2450</v>
      </c>
      <c r="E541" s="5" t="s">
        <v>0</v>
      </c>
      <c r="G541" s="146" t="s">
        <v>99</v>
      </c>
      <c r="H541" s="7" t="s">
        <v>120</v>
      </c>
      <c r="J541" s="29" t="s">
        <v>2227</v>
      </c>
      <c r="M541" s="12"/>
      <c r="N541" s="45">
        <v>3936</v>
      </c>
      <c r="O541" s="4" t="s">
        <v>15</v>
      </c>
      <c r="P541" s="4"/>
      <c r="Q541" s="3">
        <f t="shared" si="59"/>
        <v>3936</v>
      </c>
      <c r="R541" s="3">
        <f t="shared" si="58"/>
        <v>0</v>
      </c>
    </row>
    <row r="542" spans="2:18" hidden="1" x14ac:dyDescent="0.25">
      <c r="B542" s="21" t="s">
        <v>395</v>
      </c>
      <c r="C542" s="22" t="s">
        <v>2450</v>
      </c>
      <c r="D542" s="22"/>
      <c r="E542" s="21" t="s">
        <v>0</v>
      </c>
      <c r="F542" s="21"/>
      <c r="G542" s="147" t="s">
        <v>99</v>
      </c>
      <c r="H542" s="23" t="s">
        <v>120</v>
      </c>
      <c r="I542" s="23"/>
      <c r="J542" s="21" t="s">
        <v>2228</v>
      </c>
      <c r="K542" s="21"/>
      <c r="L542" s="21"/>
      <c r="M542" s="26"/>
      <c r="N542" s="44">
        <v>3280</v>
      </c>
      <c r="O542" s="22" t="s">
        <v>15</v>
      </c>
      <c r="P542" s="22" t="s">
        <v>19</v>
      </c>
      <c r="Q542" s="24">
        <f t="shared" si="59"/>
        <v>0</v>
      </c>
      <c r="R542" s="24">
        <f t="shared" si="58"/>
        <v>3280</v>
      </c>
    </row>
    <row r="543" spans="2:18" hidden="1" x14ac:dyDescent="0.25">
      <c r="B543" s="21" t="s">
        <v>395</v>
      </c>
      <c r="C543" s="22" t="s">
        <v>2450</v>
      </c>
      <c r="D543" s="22"/>
      <c r="E543" s="21" t="s">
        <v>0</v>
      </c>
      <c r="F543" s="21"/>
      <c r="G543" s="147" t="s">
        <v>99</v>
      </c>
      <c r="H543" s="23" t="s">
        <v>120</v>
      </c>
      <c r="I543" s="23"/>
      <c r="J543" s="21" t="s">
        <v>2229</v>
      </c>
      <c r="K543" s="21"/>
      <c r="L543" s="21"/>
      <c r="M543" s="26"/>
      <c r="N543" s="44">
        <v>3116</v>
      </c>
      <c r="O543" s="22" t="s">
        <v>15</v>
      </c>
      <c r="P543" s="22" t="s">
        <v>19</v>
      </c>
      <c r="Q543" s="24">
        <f t="shared" si="59"/>
        <v>0</v>
      </c>
      <c r="R543" s="24">
        <f t="shared" si="58"/>
        <v>3116</v>
      </c>
    </row>
    <row r="544" spans="2:18" hidden="1" x14ac:dyDescent="0.25">
      <c r="C544" s="4" t="s">
        <v>2450</v>
      </c>
      <c r="E544" s="5" t="s">
        <v>0</v>
      </c>
      <c r="G544" s="146" t="s">
        <v>99</v>
      </c>
      <c r="H544" s="7" t="s">
        <v>120</v>
      </c>
      <c r="J544" s="29" t="s">
        <v>2230</v>
      </c>
      <c r="M544" s="12"/>
      <c r="N544" s="45">
        <v>3116</v>
      </c>
      <c r="O544" s="4" t="s">
        <v>15</v>
      </c>
      <c r="P544" s="4"/>
      <c r="Q544" s="3">
        <f t="shared" si="59"/>
        <v>3116</v>
      </c>
      <c r="R544" s="3">
        <f t="shared" si="58"/>
        <v>0</v>
      </c>
    </row>
    <row r="545" spans="2:18" hidden="1" x14ac:dyDescent="0.25">
      <c r="C545" s="4" t="s">
        <v>2450</v>
      </c>
      <c r="E545" s="5" t="s">
        <v>0</v>
      </c>
      <c r="G545" s="146" t="s">
        <v>99</v>
      </c>
      <c r="H545" s="7" t="s">
        <v>120</v>
      </c>
      <c r="J545" s="29" t="s">
        <v>2231</v>
      </c>
      <c r="N545" s="45">
        <v>3116</v>
      </c>
      <c r="O545" s="4" t="s">
        <v>15</v>
      </c>
      <c r="P545" s="4"/>
      <c r="Q545" s="3">
        <f t="shared" si="59"/>
        <v>3116</v>
      </c>
      <c r="R545" s="3">
        <f t="shared" si="58"/>
        <v>0</v>
      </c>
    </row>
    <row r="546" spans="2:18" hidden="1" x14ac:dyDescent="0.25">
      <c r="B546" s="21" t="s">
        <v>395</v>
      </c>
      <c r="C546" s="22" t="s">
        <v>2450</v>
      </c>
      <c r="D546" s="22"/>
      <c r="E546" s="21" t="s">
        <v>0</v>
      </c>
      <c r="F546" s="21"/>
      <c r="G546" s="147" t="s">
        <v>99</v>
      </c>
      <c r="H546" s="23" t="s">
        <v>120</v>
      </c>
      <c r="I546" s="23"/>
      <c r="J546" s="21" t="s">
        <v>2232</v>
      </c>
      <c r="K546" s="21"/>
      <c r="L546" s="21"/>
      <c r="M546" s="28"/>
      <c r="N546" s="44">
        <v>14120</v>
      </c>
      <c r="O546" s="22" t="s">
        <v>15</v>
      </c>
      <c r="P546" s="22" t="s">
        <v>19</v>
      </c>
      <c r="Q546" s="24">
        <f t="shared" si="59"/>
        <v>0</v>
      </c>
      <c r="R546" s="24">
        <f t="shared" si="58"/>
        <v>14120</v>
      </c>
    </row>
    <row r="547" spans="2:18" hidden="1" x14ac:dyDescent="0.25">
      <c r="B547" s="21" t="s">
        <v>395</v>
      </c>
      <c r="C547" s="22" t="s">
        <v>2450</v>
      </c>
      <c r="D547" s="22"/>
      <c r="E547" s="21" t="s">
        <v>0</v>
      </c>
      <c r="F547" s="21"/>
      <c r="G547" s="147" t="s">
        <v>99</v>
      </c>
      <c r="H547" s="23" t="s">
        <v>120</v>
      </c>
      <c r="I547" s="23"/>
      <c r="J547" s="21" t="s">
        <v>2233</v>
      </c>
      <c r="K547" s="21"/>
      <c r="L547" s="21"/>
      <c r="M547" s="28"/>
      <c r="N547" s="44">
        <v>16678</v>
      </c>
      <c r="O547" s="22" t="s">
        <v>15</v>
      </c>
      <c r="P547" s="22" t="s">
        <v>19</v>
      </c>
      <c r="Q547" s="24">
        <f t="shared" si="59"/>
        <v>0</v>
      </c>
      <c r="R547" s="24">
        <f t="shared" si="58"/>
        <v>16678</v>
      </c>
    </row>
    <row r="548" spans="2:18" hidden="1" x14ac:dyDescent="0.25">
      <c r="B548" s="21" t="s">
        <v>395</v>
      </c>
      <c r="C548" s="22" t="s">
        <v>2450</v>
      </c>
      <c r="D548" s="22"/>
      <c r="E548" s="21" t="s">
        <v>0</v>
      </c>
      <c r="F548" s="21"/>
      <c r="G548" s="147" t="s">
        <v>99</v>
      </c>
      <c r="H548" s="23" t="s">
        <v>120</v>
      </c>
      <c r="I548" s="23"/>
      <c r="J548" s="21" t="s">
        <v>2234</v>
      </c>
      <c r="K548" s="21"/>
      <c r="L548" s="21"/>
      <c r="M548" s="28"/>
      <c r="N548" s="44">
        <v>5930</v>
      </c>
      <c r="O548" s="22" t="s">
        <v>15</v>
      </c>
      <c r="P548" s="22" t="s">
        <v>19</v>
      </c>
      <c r="Q548" s="24">
        <f t="shared" si="59"/>
        <v>0</v>
      </c>
      <c r="R548" s="24">
        <f t="shared" si="58"/>
        <v>5930</v>
      </c>
    </row>
    <row r="549" spans="2:18" hidden="1" x14ac:dyDescent="0.25">
      <c r="B549" s="21" t="s">
        <v>395</v>
      </c>
      <c r="C549" s="22" t="s">
        <v>2450</v>
      </c>
      <c r="D549" s="22"/>
      <c r="E549" s="21" t="s">
        <v>0</v>
      </c>
      <c r="F549" s="21"/>
      <c r="G549" s="147" t="s">
        <v>99</v>
      </c>
      <c r="H549" s="23" t="s">
        <v>120</v>
      </c>
      <c r="I549" s="23"/>
      <c r="J549" s="21" t="s">
        <v>2235</v>
      </c>
      <c r="K549" s="21"/>
      <c r="L549" s="21"/>
      <c r="M549" s="28"/>
      <c r="N549" s="44">
        <v>4100</v>
      </c>
      <c r="O549" s="22" t="s">
        <v>15</v>
      </c>
      <c r="P549" s="22" t="s">
        <v>19</v>
      </c>
      <c r="Q549" s="24">
        <f t="shared" si="59"/>
        <v>0</v>
      </c>
      <c r="R549" s="24">
        <f t="shared" si="58"/>
        <v>4100</v>
      </c>
    </row>
    <row r="550" spans="2:18" hidden="1" x14ac:dyDescent="0.25">
      <c r="B550" s="21" t="s">
        <v>395</v>
      </c>
      <c r="C550" s="22" t="s">
        <v>2450</v>
      </c>
      <c r="D550" s="22"/>
      <c r="E550" s="21" t="s">
        <v>0</v>
      </c>
      <c r="F550" s="21"/>
      <c r="G550" s="147" t="s">
        <v>99</v>
      </c>
      <c r="H550" s="23" t="s">
        <v>817</v>
      </c>
      <c r="I550" s="23"/>
      <c r="J550" s="21" t="s">
        <v>2237</v>
      </c>
      <c r="K550" s="21"/>
      <c r="L550" s="21" t="s">
        <v>2236</v>
      </c>
      <c r="M550" s="26" t="s">
        <v>2238</v>
      </c>
      <c r="N550" s="44">
        <v>53873</v>
      </c>
      <c r="O550" s="22" t="s">
        <v>15</v>
      </c>
      <c r="P550" s="24">
        <f>13468.25+40404.75</f>
        <v>53873</v>
      </c>
      <c r="Q550" s="24">
        <f t="shared" si="59"/>
        <v>0</v>
      </c>
      <c r="R550" s="24">
        <f t="shared" si="58"/>
        <v>53873</v>
      </c>
    </row>
    <row r="551" spans="2:18" hidden="1" x14ac:dyDescent="0.25">
      <c r="B551" s="21" t="s">
        <v>395</v>
      </c>
      <c r="C551" s="22" t="s">
        <v>2450</v>
      </c>
      <c r="D551" s="22"/>
      <c r="E551" s="21" t="s">
        <v>0</v>
      </c>
      <c r="F551" s="21"/>
      <c r="G551" s="147" t="s">
        <v>99</v>
      </c>
      <c r="H551" s="23" t="s">
        <v>290</v>
      </c>
      <c r="I551" s="23"/>
      <c r="J551" s="21" t="s">
        <v>2194</v>
      </c>
      <c r="K551" s="21"/>
      <c r="L551" s="21"/>
      <c r="M551" s="28"/>
      <c r="N551" s="44">
        <v>18178</v>
      </c>
      <c r="O551" s="22" t="s">
        <v>15</v>
      </c>
      <c r="P551" s="22" t="s">
        <v>19</v>
      </c>
      <c r="Q551" s="24">
        <f t="shared" si="59"/>
        <v>0</v>
      </c>
      <c r="R551" s="24">
        <f t="shared" si="58"/>
        <v>18178</v>
      </c>
    </row>
    <row r="552" spans="2:18" hidden="1" x14ac:dyDescent="0.25">
      <c r="B552" s="21" t="s">
        <v>395</v>
      </c>
      <c r="C552" s="22" t="s">
        <v>2450</v>
      </c>
      <c r="D552" s="22"/>
      <c r="E552" s="21" t="s">
        <v>0</v>
      </c>
      <c r="F552" s="21"/>
      <c r="G552" s="147" t="s">
        <v>99</v>
      </c>
      <c r="H552" s="23" t="s">
        <v>290</v>
      </c>
      <c r="I552" s="23"/>
      <c r="J552" s="21" t="s">
        <v>2201</v>
      </c>
      <c r="K552" s="21"/>
      <c r="L552" s="21" t="s">
        <v>3002</v>
      </c>
      <c r="M552" s="26">
        <v>42824</v>
      </c>
      <c r="N552" s="44">
        <v>984</v>
      </c>
      <c r="O552" s="22" t="s">
        <v>15</v>
      </c>
      <c r="P552" s="22" t="s">
        <v>19</v>
      </c>
      <c r="Q552" s="24">
        <f t="shared" si="59"/>
        <v>0</v>
      </c>
      <c r="R552" s="24">
        <f t="shared" si="58"/>
        <v>984</v>
      </c>
    </row>
    <row r="553" spans="2:18" hidden="1" x14ac:dyDescent="0.25">
      <c r="B553" s="21" t="s">
        <v>395</v>
      </c>
      <c r="C553" s="22" t="s">
        <v>2450</v>
      </c>
      <c r="D553" s="22"/>
      <c r="E553" s="21" t="s">
        <v>0</v>
      </c>
      <c r="F553" s="21"/>
      <c r="G553" s="147" t="s">
        <v>99</v>
      </c>
      <c r="H553" s="23" t="s">
        <v>290</v>
      </c>
      <c r="I553" s="23"/>
      <c r="J553" s="21" t="s">
        <v>2216</v>
      </c>
      <c r="K553" s="21"/>
      <c r="L553" s="21"/>
      <c r="M553" s="26"/>
      <c r="N553" s="44">
        <v>4100</v>
      </c>
      <c r="O553" s="22" t="s">
        <v>15</v>
      </c>
      <c r="P553" s="22" t="s">
        <v>19</v>
      </c>
      <c r="Q553" s="24">
        <f t="shared" si="59"/>
        <v>0</v>
      </c>
      <c r="R553" s="24">
        <f t="shared" si="58"/>
        <v>4100</v>
      </c>
    </row>
    <row r="554" spans="2:18" hidden="1" x14ac:dyDescent="0.25">
      <c r="B554" s="21" t="s">
        <v>395</v>
      </c>
      <c r="C554" s="22" t="s">
        <v>2450</v>
      </c>
      <c r="D554" s="22"/>
      <c r="E554" s="21" t="s">
        <v>0</v>
      </c>
      <c r="F554" s="21"/>
      <c r="G554" s="147" t="s">
        <v>99</v>
      </c>
      <c r="H554" s="23" t="s">
        <v>290</v>
      </c>
      <c r="I554" s="23"/>
      <c r="J554" s="21" t="s">
        <v>2217</v>
      </c>
      <c r="K554" s="21"/>
      <c r="L554" s="21"/>
      <c r="M554" s="26"/>
      <c r="N554" s="44">
        <v>3772</v>
      </c>
      <c r="O554" s="22" t="s">
        <v>15</v>
      </c>
      <c r="P554" s="22" t="s">
        <v>19</v>
      </c>
      <c r="Q554" s="24">
        <f t="shared" si="59"/>
        <v>0</v>
      </c>
      <c r="R554" s="24">
        <f t="shared" si="58"/>
        <v>3772</v>
      </c>
    </row>
    <row r="555" spans="2:18" hidden="1" x14ac:dyDescent="0.25">
      <c r="C555" s="4" t="s">
        <v>2450</v>
      </c>
      <c r="E555" s="5" t="s">
        <v>0</v>
      </c>
      <c r="G555" s="146" t="s">
        <v>99</v>
      </c>
      <c r="H555" s="7" t="s">
        <v>290</v>
      </c>
      <c r="J555" s="29" t="s">
        <v>2218</v>
      </c>
      <c r="M555" s="12"/>
      <c r="N555" s="45">
        <v>3772</v>
      </c>
      <c r="O555" s="4" t="s">
        <v>15</v>
      </c>
      <c r="P555" s="4"/>
      <c r="Q555" s="3">
        <f t="shared" si="59"/>
        <v>3772</v>
      </c>
      <c r="R555" s="3">
        <f t="shared" si="58"/>
        <v>0</v>
      </c>
    </row>
    <row r="556" spans="2:18" hidden="1" x14ac:dyDescent="0.25">
      <c r="C556" s="4" t="s">
        <v>2450</v>
      </c>
      <c r="E556" s="5" t="s">
        <v>0</v>
      </c>
      <c r="G556" s="146" t="s">
        <v>99</v>
      </c>
      <c r="H556" s="7" t="s">
        <v>290</v>
      </c>
      <c r="J556" s="29" t="s">
        <v>2219</v>
      </c>
      <c r="M556" s="12"/>
      <c r="N556" s="45">
        <v>3772</v>
      </c>
      <c r="O556" s="4" t="s">
        <v>15</v>
      </c>
      <c r="P556" s="4"/>
      <c r="Q556" s="3">
        <f t="shared" si="59"/>
        <v>3772</v>
      </c>
      <c r="R556" s="3">
        <f t="shared" si="58"/>
        <v>0</v>
      </c>
    </row>
    <row r="557" spans="2:18" hidden="1" x14ac:dyDescent="0.25">
      <c r="B557" s="21" t="s">
        <v>395</v>
      </c>
      <c r="C557" s="22" t="s">
        <v>2450</v>
      </c>
      <c r="D557" s="22"/>
      <c r="E557" s="21" t="s">
        <v>0</v>
      </c>
      <c r="F557" s="21"/>
      <c r="G557" s="147" t="s">
        <v>99</v>
      </c>
      <c r="H557" s="23" t="s">
        <v>728</v>
      </c>
      <c r="I557" s="23"/>
      <c r="J557" s="230" t="s">
        <v>2220</v>
      </c>
      <c r="K557" s="21"/>
      <c r="L557" s="21"/>
      <c r="M557" s="26"/>
      <c r="N557" s="44">
        <v>2788</v>
      </c>
      <c r="O557" s="22" t="s">
        <v>15</v>
      </c>
      <c r="P557" s="22">
        <v>4182</v>
      </c>
      <c r="Q557" s="24">
        <f t="shared" si="59"/>
        <v>0</v>
      </c>
      <c r="R557" s="24">
        <f t="shared" si="58"/>
        <v>4182</v>
      </c>
    </row>
    <row r="558" spans="2:18" hidden="1" x14ac:dyDescent="0.25">
      <c r="B558" s="21" t="s">
        <v>3210</v>
      </c>
      <c r="C558" s="22" t="s">
        <v>2450</v>
      </c>
      <c r="D558" s="22"/>
      <c r="E558" s="21" t="s">
        <v>0</v>
      </c>
      <c r="F558" s="21"/>
      <c r="G558" s="147" t="s">
        <v>99</v>
      </c>
      <c r="H558" s="23" t="s">
        <v>728</v>
      </c>
      <c r="I558" s="23"/>
      <c r="J558" s="230" t="s">
        <v>2221</v>
      </c>
      <c r="K558" s="21"/>
      <c r="L558" s="21"/>
      <c r="M558" s="26"/>
      <c r="N558" s="44">
        <v>0</v>
      </c>
      <c r="O558" s="22" t="s">
        <v>15</v>
      </c>
      <c r="P558" s="22"/>
      <c r="Q558" s="24">
        <f t="shared" si="59"/>
        <v>0</v>
      </c>
      <c r="R558" s="24">
        <f t="shared" si="58"/>
        <v>0</v>
      </c>
    </row>
    <row r="559" spans="2:18" hidden="1" x14ac:dyDescent="0.25">
      <c r="C559" s="4" t="s">
        <v>2450</v>
      </c>
      <c r="E559" s="5" t="s">
        <v>0</v>
      </c>
      <c r="G559" s="146" t="s">
        <v>99</v>
      </c>
      <c r="H559" s="7" t="s">
        <v>728</v>
      </c>
      <c r="J559" s="29" t="s">
        <v>2222</v>
      </c>
      <c r="M559" s="12"/>
      <c r="N559" s="45">
        <v>2624</v>
      </c>
      <c r="O559" s="4" t="s">
        <v>15</v>
      </c>
      <c r="P559" s="4"/>
      <c r="Q559" s="3">
        <f t="shared" si="59"/>
        <v>2624</v>
      </c>
      <c r="R559" s="3">
        <f t="shared" si="58"/>
        <v>0</v>
      </c>
    </row>
    <row r="560" spans="2:18" hidden="1" x14ac:dyDescent="0.25">
      <c r="C560" s="4" t="s">
        <v>2450</v>
      </c>
      <c r="E560" s="5" t="s">
        <v>0</v>
      </c>
      <c r="G560" s="146" t="s">
        <v>99</v>
      </c>
      <c r="H560" s="7" t="s">
        <v>728</v>
      </c>
      <c r="J560" s="29" t="s">
        <v>3125</v>
      </c>
      <c r="M560" s="12"/>
      <c r="N560" s="45">
        <v>2624</v>
      </c>
      <c r="O560" s="4" t="s">
        <v>15</v>
      </c>
      <c r="P560" s="4"/>
      <c r="Q560" s="3">
        <f t="shared" si="59"/>
        <v>2624</v>
      </c>
      <c r="R560" s="3">
        <f t="shared" si="58"/>
        <v>0</v>
      </c>
    </row>
    <row r="561" spans="2:19" hidden="1" x14ac:dyDescent="0.25">
      <c r="B561" s="21" t="s">
        <v>395</v>
      </c>
      <c r="C561" s="22" t="s">
        <v>2450</v>
      </c>
      <c r="D561" s="22"/>
      <c r="E561" s="21" t="s">
        <v>0</v>
      </c>
      <c r="F561" s="21"/>
      <c r="G561" s="147" t="s">
        <v>99</v>
      </c>
      <c r="H561" s="23" t="s">
        <v>1129</v>
      </c>
      <c r="I561" s="23"/>
      <c r="J561" s="21" t="s">
        <v>2221</v>
      </c>
      <c r="K561" s="21"/>
      <c r="L561" s="21" t="s">
        <v>4765</v>
      </c>
      <c r="M561" s="26">
        <v>44292</v>
      </c>
      <c r="N561" s="44">
        <v>2624</v>
      </c>
      <c r="O561" s="22" t="s">
        <v>15</v>
      </c>
      <c r="P561" s="22" t="s">
        <v>19</v>
      </c>
      <c r="Q561" s="24">
        <f t="shared" si="59"/>
        <v>0</v>
      </c>
      <c r="R561" s="24">
        <f t="shared" si="58"/>
        <v>2624</v>
      </c>
    </row>
    <row r="562" spans="2:19" hidden="1" x14ac:dyDescent="0.25">
      <c r="C562" s="4" t="s">
        <v>2450</v>
      </c>
      <c r="E562" s="5" t="s">
        <v>0</v>
      </c>
      <c r="G562" s="146" t="s">
        <v>99</v>
      </c>
      <c r="H562" s="7" t="s">
        <v>1129</v>
      </c>
      <c r="J562" s="29" t="s">
        <v>2222</v>
      </c>
      <c r="M562" s="12"/>
      <c r="N562" s="45">
        <v>2624</v>
      </c>
      <c r="O562" s="4" t="s">
        <v>15</v>
      </c>
      <c r="P562" s="4"/>
      <c r="Q562" s="3">
        <f t="shared" si="59"/>
        <v>2624</v>
      </c>
      <c r="R562" s="3">
        <f t="shared" si="58"/>
        <v>0</v>
      </c>
    </row>
    <row r="563" spans="2:19" hidden="1" x14ac:dyDescent="0.25">
      <c r="C563" s="4" t="s">
        <v>2450</v>
      </c>
      <c r="E563" s="5" t="s">
        <v>0</v>
      </c>
      <c r="G563" s="146" t="s">
        <v>99</v>
      </c>
      <c r="H563" s="7" t="s">
        <v>1129</v>
      </c>
      <c r="J563" s="29" t="s">
        <v>2223</v>
      </c>
      <c r="M563" s="12"/>
      <c r="N563" s="45">
        <v>2624</v>
      </c>
      <c r="O563" s="4" t="s">
        <v>15</v>
      </c>
      <c r="P563" s="4"/>
      <c r="Q563" s="3">
        <f t="shared" si="59"/>
        <v>2624</v>
      </c>
      <c r="R563" s="3">
        <f t="shared" si="58"/>
        <v>0</v>
      </c>
    </row>
    <row r="564" spans="2:19" hidden="1" x14ac:dyDescent="0.25">
      <c r="B564" s="21" t="s">
        <v>395</v>
      </c>
      <c r="C564" s="22" t="s">
        <v>2450</v>
      </c>
      <c r="D564" s="22"/>
      <c r="E564" s="21" t="s">
        <v>0</v>
      </c>
      <c r="F564" s="21"/>
      <c r="G564" s="147" t="s">
        <v>99</v>
      </c>
      <c r="H564" s="23" t="s">
        <v>1410</v>
      </c>
      <c r="I564" s="23"/>
      <c r="J564" s="21" t="s">
        <v>2243</v>
      </c>
      <c r="K564" s="21"/>
      <c r="L564" s="21" t="s">
        <v>2991</v>
      </c>
      <c r="M564" s="26">
        <v>43675</v>
      </c>
      <c r="N564" s="44">
        <f>2788+1394</f>
        <v>4182</v>
      </c>
      <c r="O564" s="22" t="s">
        <v>15</v>
      </c>
      <c r="P564" s="22" t="s">
        <v>19</v>
      </c>
      <c r="Q564" s="24">
        <f t="shared" si="59"/>
        <v>0</v>
      </c>
      <c r="R564" s="24">
        <f t="shared" si="58"/>
        <v>4182</v>
      </c>
    </row>
    <row r="565" spans="2:19" hidden="1" x14ac:dyDescent="0.25">
      <c r="B565" s="21" t="s">
        <v>395</v>
      </c>
      <c r="C565" s="22" t="s">
        <v>2450</v>
      </c>
      <c r="D565" s="22"/>
      <c r="E565" s="21" t="s">
        <v>0</v>
      </c>
      <c r="F565" s="21"/>
      <c r="G565" s="147" t="s">
        <v>99</v>
      </c>
      <c r="H565" s="23" t="s">
        <v>1410</v>
      </c>
      <c r="I565" s="23"/>
      <c r="J565" s="21" t="s">
        <v>2244</v>
      </c>
      <c r="K565" s="21"/>
      <c r="L565" s="21" t="s">
        <v>2245</v>
      </c>
      <c r="M565" s="26">
        <v>43752</v>
      </c>
      <c r="N565" s="44">
        <v>2624</v>
      </c>
      <c r="O565" s="22" t="s">
        <v>15</v>
      </c>
      <c r="P565" s="22" t="s">
        <v>19</v>
      </c>
      <c r="Q565" s="24">
        <f t="shared" si="59"/>
        <v>0</v>
      </c>
      <c r="R565" s="24">
        <f t="shared" si="58"/>
        <v>2624</v>
      </c>
    </row>
    <row r="566" spans="2:19" hidden="1" x14ac:dyDescent="0.25">
      <c r="B566" s="21" t="s">
        <v>395</v>
      </c>
      <c r="C566" s="22" t="s">
        <v>2450</v>
      </c>
      <c r="D566" s="22"/>
      <c r="E566" s="21" t="s">
        <v>0</v>
      </c>
      <c r="F566" s="21"/>
      <c r="G566" s="147" t="s">
        <v>99</v>
      </c>
      <c r="H566" s="23" t="s">
        <v>3118</v>
      </c>
      <c r="I566" s="23"/>
      <c r="J566" s="230" t="s">
        <v>3119</v>
      </c>
      <c r="K566" s="21"/>
      <c r="L566" s="21" t="s">
        <v>3770</v>
      </c>
      <c r="M566" s="26">
        <v>44095</v>
      </c>
      <c r="N566" s="44">
        <v>2788</v>
      </c>
      <c r="O566" s="22" t="s">
        <v>15</v>
      </c>
      <c r="P566" s="22" t="s">
        <v>19</v>
      </c>
      <c r="Q566" s="24">
        <f t="shared" si="59"/>
        <v>0</v>
      </c>
      <c r="R566" s="24">
        <f t="shared" si="58"/>
        <v>2788</v>
      </c>
    </row>
    <row r="567" spans="2:19" hidden="1" x14ac:dyDescent="0.25">
      <c r="B567" s="21" t="s">
        <v>395</v>
      </c>
      <c r="C567" s="22" t="s">
        <v>2450</v>
      </c>
      <c r="D567" s="22"/>
      <c r="E567" s="21" t="s">
        <v>0</v>
      </c>
      <c r="F567" s="21"/>
      <c r="G567" s="147" t="s">
        <v>99</v>
      </c>
      <c r="H567" s="23" t="s">
        <v>3118</v>
      </c>
      <c r="I567" s="23"/>
      <c r="J567" s="230" t="s">
        <v>3120</v>
      </c>
      <c r="K567" s="21"/>
      <c r="L567" s="21" t="s">
        <v>6533</v>
      </c>
      <c r="M567" s="26">
        <v>44616</v>
      </c>
      <c r="N567" s="44">
        <v>2788</v>
      </c>
      <c r="O567" s="22" t="s">
        <v>15</v>
      </c>
      <c r="P567" s="22" t="s">
        <v>19</v>
      </c>
      <c r="Q567" s="24">
        <f t="shared" si="59"/>
        <v>0</v>
      </c>
      <c r="R567" s="24">
        <f t="shared" si="58"/>
        <v>2788</v>
      </c>
    </row>
    <row r="568" spans="2:19" hidden="1" x14ac:dyDescent="0.25">
      <c r="B568" s="21" t="s">
        <v>395</v>
      </c>
      <c r="C568" s="22" t="s">
        <v>2450</v>
      </c>
      <c r="D568" s="22"/>
      <c r="E568" s="21" t="s">
        <v>0</v>
      </c>
      <c r="F568" s="21"/>
      <c r="G568" s="147" t="s">
        <v>99</v>
      </c>
      <c r="H568" s="23" t="s">
        <v>3118</v>
      </c>
      <c r="I568" s="23"/>
      <c r="J568" s="230" t="s">
        <v>3121</v>
      </c>
      <c r="K568" s="21"/>
      <c r="L568" s="21" t="s">
        <v>6624</v>
      </c>
      <c r="M568" s="26">
        <v>44651</v>
      </c>
      <c r="N568" s="44">
        <v>2624</v>
      </c>
      <c r="O568" s="22" t="s">
        <v>15</v>
      </c>
      <c r="P568" s="22" t="s">
        <v>19</v>
      </c>
      <c r="Q568" s="24">
        <f t="shared" si="59"/>
        <v>0</v>
      </c>
      <c r="R568" s="24">
        <f t="shared" si="58"/>
        <v>2624</v>
      </c>
    </row>
    <row r="569" spans="2:19" hidden="1" x14ac:dyDescent="0.25">
      <c r="C569" s="4" t="s">
        <v>2450</v>
      </c>
      <c r="E569" s="5" t="s">
        <v>0</v>
      </c>
      <c r="G569" s="146" t="s">
        <v>99</v>
      </c>
      <c r="H569" s="7" t="s">
        <v>3118</v>
      </c>
      <c r="J569" s="29" t="s">
        <v>3122</v>
      </c>
      <c r="M569" s="12"/>
      <c r="N569" s="45">
        <v>2624</v>
      </c>
      <c r="O569" s="4" t="s">
        <v>15</v>
      </c>
      <c r="P569" s="4"/>
      <c r="Q569" s="3">
        <f t="shared" si="59"/>
        <v>2624</v>
      </c>
      <c r="R569" s="3">
        <f t="shared" si="58"/>
        <v>0</v>
      </c>
    </row>
    <row r="570" spans="2:19" hidden="1" x14ac:dyDescent="0.25">
      <c r="C570" s="4" t="s">
        <v>2450</v>
      </c>
      <c r="E570" s="5" t="s">
        <v>0</v>
      </c>
      <c r="G570" s="146" t="s">
        <v>99</v>
      </c>
      <c r="H570" s="7" t="s">
        <v>3118</v>
      </c>
      <c r="J570" s="29" t="s">
        <v>3123</v>
      </c>
      <c r="M570" s="12"/>
      <c r="N570" s="45">
        <v>2624</v>
      </c>
      <c r="O570" s="4" t="s">
        <v>15</v>
      </c>
      <c r="P570" s="4"/>
      <c r="Q570" s="3">
        <f t="shared" si="59"/>
        <v>2624</v>
      </c>
      <c r="R570" s="3">
        <f t="shared" si="58"/>
        <v>0</v>
      </c>
    </row>
    <row r="571" spans="2:19" hidden="1" x14ac:dyDescent="0.25">
      <c r="B571" s="21" t="s">
        <v>395</v>
      </c>
      <c r="C571" s="22" t="s">
        <v>2450</v>
      </c>
      <c r="D571" s="22"/>
      <c r="E571" s="21" t="s">
        <v>0</v>
      </c>
      <c r="F571" s="21"/>
      <c r="G571" s="147" t="s">
        <v>6365</v>
      </c>
      <c r="H571" s="23" t="s">
        <v>7227</v>
      </c>
      <c r="I571" s="23"/>
      <c r="J571" s="21" t="s">
        <v>7228</v>
      </c>
      <c r="K571" s="21"/>
      <c r="L571" s="21" t="s">
        <v>7230</v>
      </c>
      <c r="M571" s="26">
        <v>44855</v>
      </c>
      <c r="N571" s="89">
        <v>2728</v>
      </c>
      <c r="O571" s="22" t="s">
        <v>15</v>
      </c>
      <c r="P571" s="22">
        <v>2728</v>
      </c>
      <c r="Q571" s="24">
        <f t="shared" ref="Q571:Q605" si="60">IF(P571="en cours",N571,IF(P571="OK",0,IF(N571-P571&lt;0,0,N571-P571)))</f>
        <v>0</v>
      </c>
      <c r="R571" s="24">
        <f t="shared" ref="R571:R577" si="61">IF(P571="OK",N571-Q571,IF(P571="en cours",N571-Q571,P571))</f>
        <v>2728</v>
      </c>
      <c r="S571"/>
    </row>
    <row r="572" spans="2:19" x14ac:dyDescent="0.25">
      <c r="C572" s="4" t="s">
        <v>2450</v>
      </c>
      <c r="E572" s="5" t="s">
        <v>0</v>
      </c>
      <c r="G572" s="146" t="s">
        <v>6365</v>
      </c>
      <c r="H572" s="7" t="s">
        <v>7227</v>
      </c>
      <c r="J572" s="5" t="s">
        <v>7229</v>
      </c>
      <c r="N572" s="45">
        <v>2678</v>
      </c>
      <c r="O572" s="4" t="s">
        <v>15</v>
      </c>
      <c r="Q572" s="3">
        <f t="shared" si="60"/>
        <v>2678</v>
      </c>
      <c r="R572" s="3">
        <f t="shared" si="61"/>
        <v>0</v>
      </c>
    </row>
    <row r="573" spans="2:19" hidden="1" x14ac:dyDescent="0.25">
      <c r="B573" s="21" t="s">
        <v>395</v>
      </c>
      <c r="C573" s="22" t="s">
        <v>2450</v>
      </c>
      <c r="D573" s="22"/>
      <c r="E573" s="21" t="s">
        <v>0</v>
      </c>
      <c r="F573" s="21"/>
      <c r="G573" s="147" t="s">
        <v>6365</v>
      </c>
      <c r="H573" s="23" t="s">
        <v>1131</v>
      </c>
      <c r="I573" s="23"/>
      <c r="J573" s="21" t="s">
        <v>1130</v>
      </c>
      <c r="K573" s="21"/>
      <c r="L573" s="21"/>
      <c r="M573" s="26" t="s">
        <v>1159</v>
      </c>
      <c r="N573" s="44">
        <v>4544.6000000000004</v>
      </c>
      <c r="O573" s="22" t="s">
        <v>15</v>
      </c>
      <c r="P573" s="22" t="s">
        <v>19</v>
      </c>
      <c r="Q573" s="24">
        <f t="shared" si="60"/>
        <v>0</v>
      </c>
      <c r="R573" s="24">
        <f t="shared" si="61"/>
        <v>4544.6000000000004</v>
      </c>
    </row>
    <row r="574" spans="2:19" hidden="1" x14ac:dyDescent="0.25">
      <c r="B574" s="21" t="s">
        <v>395</v>
      </c>
      <c r="C574" s="22" t="s">
        <v>2450</v>
      </c>
      <c r="D574" s="22"/>
      <c r="E574" s="21" t="s">
        <v>0</v>
      </c>
      <c r="F574" s="21"/>
      <c r="G574" s="147" t="s">
        <v>6365</v>
      </c>
      <c r="H574" s="23" t="s">
        <v>2096</v>
      </c>
      <c r="I574" s="23" t="s">
        <v>7891</v>
      </c>
      <c r="J574" s="21" t="s">
        <v>1534</v>
      </c>
      <c r="K574" s="120"/>
      <c r="L574" s="21" t="s">
        <v>2107</v>
      </c>
      <c r="M574" s="26">
        <v>43641</v>
      </c>
      <c r="N574" s="44">
        <v>658.25</v>
      </c>
      <c r="O574" s="22" t="s">
        <v>15</v>
      </c>
      <c r="P574" s="22" t="s">
        <v>19</v>
      </c>
      <c r="Q574" s="24">
        <f t="shared" si="60"/>
        <v>0</v>
      </c>
      <c r="R574" s="24">
        <f t="shared" si="61"/>
        <v>658.25</v>
      </c>
    </row>
    <row r="575" spans="2:19" hidden="1" x14ac:dyDescent="0.25">
      <c r="B575" s="21" t="s">
        <v>395</v>
      </c>
      <c r="C575" s="22" t="s">
        <v>2450</v>
      </c>
      <c r="D575" s="22"/>
      <c r="E575" s="21" t="s">
        <v>0</v>
      </c>
      <c r="F575" s="21"/>
      <c r="G575" s="147" t="s">
        <v>6365</v>
      </c>
      <c r="H575" s="23" t="s">
        <v>2096</v>
      </c>
      <c r="I575" s="23" t="s">
        <v>7891</v>
      </c>
      <c r="J575" s="21" t="s">
        <v>1535</v>
      </c>
      <c r="K575" s="120"/>
      <c r="L575" s="21" t="s">
        <v>2109</v>
      </c>
      <c r="M575" s="26">
        <v>43677</v>
      </c>
      <c r="N575" s="44">
        <v>1974.75</v>
      </c>
      <c r="O575" s="22" t="s">
        <v>15</v>
      </c>
      <c r="P575" s="22" t="s">
        <v>19</v>
      </c>
      <c r="Q575" s="24">
        <f t="shared" si="60"/>
        <v>0</v>
      </c>
      <c r="R575" s="24">
        <f t="shared" si="61"/>
        <v>1974.75</v>
      </c>
    </row>
    <row r="576" spans="2:19" hidden="1" x14ac:dyDescent="0.25">
      <c r="B576" s="21" t="s">
        <v>395</v>
      </c>
      <c r="C576" s="22" t="s">
        <v>2450</v>
      </c>
      <c r="D576" s="22"/>
      <c r="E576" s="21" t="s">
        <v>0</v>
      </c>
      <c r="F576" s="21"/>
      <c r="G576" s="147" t="s">
        <v>6365</v>
      </c>
      <c r="H576" s="23" t="s">
        <v>2096</v>
      </c>
      <c r="I576" s="23" t="s">
        <v>7891</v>
      </c>
      <c r="J576" s="21" t="s">
        <v>1536</v>
      </c>
      <c r="K576" s="120"/>
      <c r="L576" s="21" t="s">
        <v>2106</v>
      </c>
      <c r="M576" s="26">
        <v>43613</v>
      </c>
      <c r="N576" s="44">
        <v>4303.25</v>
      </c>
      <c r="O576" s="22" t="s">
        <v>15</v>
      </c>
      <c r="P576" s="22" t="s">
        <v>19</v>
      </c>
      <c r="Q576" s="24">
        <f t="shared" si="60"/>
        <v>0</v>
      </c>
      <c r="R576" s="24">
        <f t="shared" si="61"/>
        <v>4303.25</v>
      </c>
    </row>
    <row r="577" spans="2:18" hidden="1" x14ac:dyDescent="0.25">
      <c r="B577" s="21" t="s">
        <v>395</v>
      </c>
      <c r="C577" s="22" t="s">
        <v>2450</v>
      </c>
      <c r="D577" s="22"/>
      <c r="E577" s="21" t="s">
        <v>0</v>
      </c>
      <c r="F577" s="21"/>
      <c r="G577" s="147" t="s">
        <v>6365</v>
      </c>
      <c r="H577" s="23" t="s">
        <v>2096</v>
      </c>
      <c r="I577" s="23" t="s">
        <v>7891</v>
      </c>
      <c r="J577" s="21" t="s">
        <v>1537</v>
      </c>
      <c r="K577" s="120"/>
      <c r="L577" s="21" t="s">
        <v>2108</v>
      </c>
      <c r="M577" s="26">
        <v>43690</v>
      </c>
      <c r="N577" s="44">
        <v>12909.75</v>
      </c>
      <c r="O577" s="22" t="s">
        <v>15</v>
      </c>
      <c r="P577" s="22" t="s">
        <v>19</v>
      </c>
      <c r="Q577" s="24">
        <f t="shared" si="60"/>
        <v>0</v>
      </c>
      <c r="R577" s="24">
        <f t="shared" si="61"/>
        <v>12909.75</v>
      </c>
    </row>
    <row r="578" spans="2:18" hidden="1" x14ac:dyDescent="0.25">
      <c r="B578" s="21" t="s">
        <v>395</v>
      </c>
      <c r="C578" s="22" t="s">
        <v>2450</v>
      </c>
      <c r="D578" s="22"/>
      <c r="E578" s="21" t="s">
        <v>0</v>
      </c>
      <c r="F578" s="21"/>
      <c r="G578" s="147" t="s">
        <v>6365</v>
      </c>
      <c r="H578" s="23" t="s">
        <v>2096</v>
      </c>
      <c r="I578" s="23" t="s">
        <v>7891</v>
      </c>
      <c r="J578" s="21" t="s">
        <v>2097</v>
      </c>
      <c r="K578" s="120"/>
      <c r="L578" s="21" t="s">
        <v>2112</v>
      </c>
      <c r="M578" s="26">
        <v>43738</v>
      </c>
      <c r="N578" s="44">
        <v>1275</v>
      </c>
      <c r="O578" s="22" t="s">
        <v>15</v>
      </c>
      <c r="P578" s="22" t="s">
        <v>19</v>
      </c>
      <c r="Q578" s="24">
        <f t="shared" si="60"/>
        <v>0</v>
      </c>
      <c r="R578" s="24">
        <f t="shared" ref="R578:R635" si="62">IF(P578="OK",N578-Q578,IF(P578="en cours",N578-Q578,P578))</f>
        <v>1275</v>
      </c>
    </row>
    <row r="579" spans="2:18" hidden="1" x14ac:dyDescent="0.25">
      <c r="B579" s="21" t="s">
        <v>395</v>
      </c>
      <c r="C579" s="22" t="s">
        <v>2450</v>
      </c>
      <c r="D579" s="22"/>
      <c r="E579" s="21" t="s">
        <v>0</v>
      </c>
      <c r="F579" s="21"/>
      <c r="G579" s="147" t="s">
        <v>6365</v>
      </c>
      <c r="H579" s="23" t="s">
        <v>2096</v>
      </c>
      <c r="I579" s="23" t="s">
        <v>7891</v>
      </c>
      <c r="J579" s="21" t="s">
        <v>2098</v>
      </c>
      <c r="K579" s="120"/>
      <c r="L579" s="21" t="s">
        <v>2676</v>
      </c>
      <c r="M579" s="26">
        <v>43818</v>
      </c>
      <c r="N579" s="44">
        <v>4313</v>
      </c>
      <c r="O579" s="22" t="s">
        <v>15</v>
      </c>
      <c r="P579" s="22" t="s">
        <v>19</v>
      </c>
      <c r="Q579" s="24">
        <f t="shared" si="60"/>
        <v>0</v>
      </c>
      <c r="R579" s="24">
        <f t="shared" si="62"/>
        <v>4313</v>
      </c>
    </row>
    <row r="580" spans="2:18" hidden="1" x14ac:dyDescent="0.25">
      <c r="B580" s="21" t="s">
        <v>395</v>
      </c>
      <c r="C580" s="22" t="s">
        <v>2450</v>
      </c>
      <c r="D580" s="22"/>
      <c r="E580" s="21" t="s">
        <v>0</v>
      </c>
      <c r="F580" s="21"/>
      <c r="G580" s="147" t="s">
        <v>6365</v>
      </c>
      <c r="H580" s="23" t="s">
        <v>2096</v>
      </c>
      <c r="I580" s="23" t="s">
        <v>7891</v>
      </c>
      <c r="J580" s="21" t="s">
        <v>2099</v>
      </c>
      <c r="K580" s="120"/>
      <c r="L580" s="21" t="s">
        <v>2984</v>
      </c>
      <c r="M580" s="26">
        <v>43889</v>
      </c>
      <c r="N580" s="44">
        <v>4538</v>
      </c>
      <c r="O580" s="22" t="s">
        <v>15</v>
      </c>
      <c r="P580" s="22" t="s">
        <v>19</v>
      </c>
      <c r="Q580" s="24">
        <f t="shared" si="60"/>
        <v>0</v>
      </c>
      <c r="R580" s="24">
        <f t="shared" si="62"/>
        <v>4538</v>
      </c>
    </row>
    <row r="581" spans="2:18" hidden="1" x14ac:dyDescent="0.25">
      <c r="B581" s="21" t="s">
        <v>395</v>
      </c>
      <c r="C581" s="22" t="s">
        <v>2450</v>
      </c>
      <c r="D581" s="22"/>
      <c r="E581" s="21" t="s">
        <v>0</v>
      </c>
      <c r="F581" s="21"/>
      <c r="G581" s="147" t="s">
        <v>6365</v>
      </c>
      <c r="H581" s="23" t="s">
        <v>2096</v>
      </c>
      <c r="I581" s="23" t="s">
        <v>7891</v>
      </c>
      <c r="J581" s="21" t="s">
        <v>2100</v>
      </c>
      <c r="K581" s="120"/>
      <c r="L581" s="21" t="s">
        <v>4109</v>
      </c>
      <c r="M581" s="26" t="s">
        <v>4110</v>
      </c>
      <c r="N581" s="44">
        <v>3408</v>
      </c>
      <c r="O581" s="22" t="s">
        <v>15</v>
      </c>
      <c r="P581" s="22" t="s">
        <v>19</v>
      </c>
      <c r="Q581" s="24">
        <f t="shared" si="60"/>
        <v>0</v>
      </c>
      <c r="R581" s="24">
        <f t="shared" si="62"/>
        <v>3408</v>
      </c>
    </row>
    <row r="582" spans="2:18" hidden="1" x14ac:dyDescent="0.25">
      <c r="B582" s="21" t="s">
        <v>395</v>
      </c>
      <c r="C582" s="22" t="s">
        <v>2450</v>
      </c>
      <c r="D582" s="22"/>
      <c r="E582" s="21" t="s">
        <v>0</v>
      </c>
      <c r="F582" s="21"/>
      <c r="G582" s="147" t="s">
        <v>6365</v>
      </c>
      <c r="H582" s="23" t="s">
        <v>2096</v>
      </c>
      <c r="I582" s="23" t="s">
        <v>7891</v>
      </c>
      <c r="J582" s="21" t="s">
        <v>2101</v>
      </c>
      <c r="K582" s="120"/>
      <c r="L582" s="21" t="s">
        <v>3792</v>
      </c>
      <c r="M582" s="26">
        <v>44103</v>
      </c>
      <c r="N582" s="44">
        <v>3858</v>
      </c>
      <c r="O582" s="22" t="s">
        <v>15</v>
      </c>
      <c r="P582" s="22" t="s">
        <v>19</v>
      </c>
      <c r="Q582" s="24">
        <f t="shared" si="60"/>
        <v>0</v>
      </c>
      <c r="R582" s="24">
        <f t="shared" si="62"/>
        <v>3858</v>
      </c>
    </row>
    <row r="583" spans="2:18" hidden="1" x14ac:dyDescent="0.25">
      <c r="B583" s="21" t="s">
        <v>395</v>
      </c>
      <c r="C583" s="22" t="s">
        <v>2450</v>
      </c>
      <c r="D583" s="22"/>
      <c r="E583" s="21" t="s">
        <v>0</v>
      </c>
      <c r="F583" s="21"/>
      <c r="G583" s="147" t="s">
        <v>6365</v>
      </c>
      <c r="H583" s="23" t="s">
        <v>2096</v>
      </c>
      <c r="I583" s="23" t="s">
        <v>7891</v>
      </c>
      <c r="J583" s="21" t="s">
        <v>2104</v>
      </c>
      <c r="K583" s="120"/>
      <c r="L583" s="21" t="s">
        <v>4644</v>
      </c>
      <c r="M583" s="26" t="s">
        <v>4645</v>
      </c>
      <c r="N583" s="44">
        <v>2503</v>
      </c>
      <c r="O583" s="22" t="s">
        <v>15</v>
      </c>
      <c r="P583" s="22" t="s">
        <v>19</v>
      </c>
      <c r="Q583" s="24">
        <f t="shared" si="60"/>
        <v>0</v>
      </c>
      <c r="R583" s="24">
        <f t="shared" si="62"/>
        <v>2503</v>
      </c>
    </row>
    <row r="584" spans="2:18" hidden="1" x14ac:dyDescent="0.25">
      <c r="B584" s="21" t="s">
        <v>395</v>
      </c>
      <c r="C584" s="22" t="s">
        <v>2450</v>
      </c>
      <c r="D584" s="22"/>
      <c r="E584" s="21" t="s">
        <v>0</v>
      </c>
      <c r="F584" s="21"/>
      <c r="G584" s="147" t="s">
        <v>6365</v>
      </c>
      <c r="H584" s="23" t="s">
        <v>2096</v>
      </c>
      <c r="I584" s="23" t="s">
        <v>7891</v>
      </c>
      <c r="J584" s="21" t="s">
        <v>2102</v>
      </c>
      <c r="K584" s="120"/>
      <c r="L584" s="21" t="s">
        <v>5630</v>
      </c>
      <c r="M584" s="26">
        <v>44439</v>
      </c>
      <c r="N584" s="44">
        <v>2728</v>
      </c>
      <c r="O584" s="22" t="s">
        <v>15</v>
      </c>
      <c r="P584" s="22" t="s">
        <v>19</v>
      </c>
      <c r="Q584" s="24">
        <f t="shared" si="60"/>
        <v>0</v>
      </c>
      <c r="R584" s="24">
        <f t="shared" si="62"/>
        <v>2728</v>
      </c>
    </row>
    <row r="585" spans="2:18" hidden="1" x14ac:dyDescent="0.25">
      <c r="B585" s="21" t="s">
        <v>395</v>
      </c>
      <c r="C585" s="22" t="s">
        <v>2450</v>
      </c>
      <c r="D585" s="22"/>
      <c r="E585" s="21" t="s">
        <v>0</v>
      </c>
      <c r="F585" s="21"/>
      <c r="G585" s="147" t="s">
        <v>6365</v>
      </c>
      <c r="H585" s="23" t="s">
        <v>2096</v>
      </c>
      <c r="I585" s="23" t="s">
        <v>7891</v>
      </c>
      <c r="J585" s="21" t="s">
        <v>7111</v>
      </c>
      <c r="K585" s="120"/>
      <c r="L585" s="21" t="s">
        <v>8876</v>
      </c>
      <c r="M585" s="26">
        <v>45198</v>
      </c>
      <c r="N585" s="44">
        <v>2628</v>
      </c>
      <c r="O585" s="22" t="s">
        <v>15</v>
      </c>
      <c r="P585" s="22" t="s">
        <v>19</v>
      </c>
      <c r="Q585" s="24">
        <f t="shared" si="60"/>
        <v>0</v>
      </c>
      <c r="R585" s="24">
        <f t="shared" si="62"/>
        <v>2628</v>
      </c>
    </row>
    <row r="586" spans="2:18" x14ac:dyDescent="0.25">
      <c r="C586" s="4" t="s">
        <v>2450</v>
      </c>
      <c r="E586" s="5" t="s">
        <v>0</v>
      </c>
      <c r="G586" s="146" t="s">
        <v>6365</v>
      </c>
      <c r="H586" s="7" t="s">
        <v>2096</v>
      </c>
      <c r="I586" s="7" t="s">
        <v>7891</v>
      </c>
      <c r="J586" s="5" t="s">
        <v>2105</v>
      </c>
      <c r="K586" s="13">
        <v>43830</v>
      </c>
      <c r="L586" s="5" t="s">
        <v>2110</v>
      </c>
      <c r="M586" s="12" t="s">
        <v>2111</v>
      </c>
      <c r="N586" s="45">
        <f>820*6</f>
        <v>4920</v>
      </c>
      <c r="O586" s="4" t="s">
        <v>15</v>
      </c>
      <c r="P586" s="4">
        <f>820+820</f>
        <v>1640</v>
      </c>
      <c r="Q586" s="3">
        <f t="shared" si="60"/>
        <v>3280</v>
      </c>
      <c r="R586" s="3">
        <f t="shared" si="62"/>
        <v>1640</v>
      </c>
    </row>
    <row r="587" spans="2:18" hidden="1" x14ac:dyDescent="0.25">
      <c r="B587" s="21" t="s">
        <v>395</v>
      </c>
      <c r="C587" s="22" t="s">
        <v>2450</v>
      </c>
      <c r="D587" s="22"/>
      <c r="E587" s="21" t="s">
        <v>0</v>
      </c>
      <c r="F587" s="21"/>
      <c r="G587" s="147" t="s">
        <v>6365</v>
      </c>
      <c r="H587" s="23" t="s">
        <v>3127</v>
      </c>
      <c r="I587" s="23"/>
      <c r="J587" s="21" t="s">
        <v>3126</v>
      </c>
      <c r="K587" s="120"/>
      <c r="L587" s="21" t="s">
        <v>6534</v>
      </c>
      <c r="M587" s="26">
        <v>44616</v>
      </c>
      <c r="N587" s="44">
        <v>2728</v>
      </c>
      <c r="O587" s="22" t="s">
        <v>15</v>
      </c>
      <c r="P587" s="22" t="s">
        <v>19</v>
      </c>
      <c r="Q587" s="24">
        <f t="shared" si="60"/>
        <v>0</v>
      </c>
      <c r="R587" s="24">
        <f t="shared" si="62"/>
        <v>2728</v>
      </c>
    </row>
    <row r="588" spans="2:18" hidden="1" x14ac:dyDescent="0.25">
      <c r="B588" s="21" t="s">
        <v>395</v>
      </c>
      <c r="C588" s="22" t="s">
        <v>2450</v>
      </c>
      <c r="D588" s="22"/>
      <c r="E588" s="21" t="s">
        <v>0</v>
      </c>
      <c r="F588" s="21"/>
      <c r="G588" s="147" t="s">
        <v>6365</v>
      </c>
      <c r="H588" s="23" t="s">
        <v>3127</v>
      </c>
      <c r="I588" s="23"/>
      <c r="J588" s="21" t="s">
        <v>3128</v>
      </c>
      <c r="K588" s="120"/>
      <c r="L588" s="21" t="s">
        <v>10691</v>
      </c>
      <c r="M588" s="26">
        <v>45565</v>
      </c>
      <c r="N588" s="44">
        <v>2728</v>
      </c>
      <c r="O588" s="22" t="s">
        <v>15</v>
      </c>
      <c r="P588" s="22">
        <v>2678</v>
      </c>
      <c r="Q588" s="24">
        <f t="shared" si="60"/>
        <v>50</v>
      </c>
      <c r="R588" s="24">
        <f t="shared" si="62"/>
        <v>2678</v>
      </c>
    </row>
    <row r="589" spans="2:18" hidden="1" x14ac:dyDescent="0.25">
      <c r="B589" s="21" t="s">
        <v>395</v>
      </c>
      <c r="C589" s="22" t="s">
        <v>2450</v>
      </c>
      <c r="D589" s="22"/>
      <c r="E589" s="21" t="s">
        <v>0</v>
      </c>
      <c r="F589" s="21"/>
      <c r="G589" s="147" t="s">
        <v>6365</v>
      </c>
      <c r="H589" s="23" t="s">
        <v>7109</v>
      </c>
      <c r="I589" s="23" t="s">
        <v>7891</v>
      </c>
      <c r="J589" s="21" t="s">
        <v>2103</v>
      </c>
      <c r="K589" s="120"/>
      <c r="L589" s="21" t="s">
        <v>7110</v>
      </c>
      <c r="M589" s="26">
        <v>44825</v>
      </c>
      <c r="N589" s="44">
        <v>2728</v>
      </c>
      <c r="O589" s="22" t="s">
        <v>15</v>
      </c>
      <c r="P589" s="22" t="s">
        <v>19</v>
      </c>
      <c r="Q589" s="24">
        <f t="shared" si="60"/>
        <v>0</v>
      </c>
      <c r="R589" s="24">
        <f t="shared" si="62"/>
        <v>2728</v>
      </c>
    </row>
    <row r="590" spans="2:18" x14ac:dyDescent="0.25">
      <c r="C590" s="4" t="s">
        <v>2450</v>
      </c>
      <c r="E590" s="5" t="s">
        <v>0</v>
      </c>
      <c r="G590" s="146" t="s">
        <v>6365</v>
      </c>
      <c r="H590" s="7" t="s">
        <v>3497</v>
      </c>
      <c r="I590" s="7" t="s">
        <v>7929</v>
      </c>
      <c r="J590" s="5" t="s">
        <v>3498</v>
      </c>
      <c r="K590" s="13"/>
      <c r="N590" s="45">
        <f>36558*0.25</f>
        <v>9139.5</v>
      </c>
      <c r="O590" s="4" t="s">
        <v>15</v>
      </c>
      <c r="P590" s="4"/>
      <c r="Q590" s="45">
        <f t="shared" si="60"/>
        <v>9139.5</v>
      </c>
      <c r="R590" s="3">
        <f t="shared" si="62"/>
        <v>0</v>
      </c>
    </row>
    <row r="591" spans="2:18" x14ac:dyDescent="0.25">
      <c r="C591" s="4" t="s">
        <v>2450</v>
      </c>
      <c r="E591" s="5" t="s">
        <v>0</v>
      </c>
      <c r="G591" s="146" t="s">
        <v>6365</v>
      </c>
      <c r="H591" s="7" t="s">
        <v>3497</v>
      </c>
      <c r="I591" s="7" t="s">
        <v>7929</v>
      </c>
      <c r="J591" s="5" t="s">
        <v>3500</v>
      </c>
      <c r="K591" s="13"/>
      <c r="N591" s="45">
        <f>36558*0.75</f>
        <v>27418.5</v>
      </c>
      <c r="O591" s="4" t="s">
        <v>15</v>
      </c>
      <c r="P591" s="4"/>
      <c r="Q591" s="45">
        <f t="shared" si="60"/>
        <v>27418.5</v>
      </c>
      <c r="R591" s="3">
        <f t="shared" si="62"/>
        <v>0</v>
      </c>
    </row>
    <row r="592" spans="2:18" x14ac:dyDescent="0.25">
      <c r="C592" s="4" t="s">
        <v>2450</v>
      </c>
      <c r="E592" s="5" t="s">
        <v>0</v>
      </c>
      <c r="G592" s="146" t="s">
        <v>6365</v>
      </c>
      <c r="H592" s="7" t="s">
        <v>3497</v>
      </c>
      <c r="I592" s="7" t="s">
        <v>7929</v>
      </c>
      <c r="J592" s="5" t="s">
        <v>3499</v>
      </c>
      <c r="K592" s="13"/>
      <c r="N592" s="45">
        <f>0.25*72822</f>
        <v>18205.5</v>
      </c>
      <c r="O592" s="4" t="s">
        <v>15</v>
      </c>
      <c r="P592" s="4"/>
      <c r="Q592" s="45">
        <f t="shared" si="60"/>
        <v>18205.5</v>
      </c>
      <c r="R592" s="3">
        <f t="shared" si="62"/>
        <v>0</v>
      </c>
    </row>
    <row r="593" spans="3:18" x14ac:dyDescent="0.25">
      <c r="C593" s="4" t="s">
        <v>2450</v>
      </c>
      <c r="E593" s="5" t="s">
        <v>0</v>
      </c>
      <c r="G593" s="146" t="s">
        <v>6365</v>
      </c>
      <c r="H593" s="7" t="s">
        <v>3497</v>
      </c>
      <c r="I593" s="7" t="s">
        <v>7929</v>
      </c>
      <c r="J593" s="5" t="s">
        <v>3499</v>
      </c>
      <c r="K593" s="13"/>
      <c r="N593" s="45">
        <f>0.75*72822</f>
        <v>54616.5</v>
      </c>
      <c r="O593" s="4" t="s">
        <v>15</v>
      </c>
      <c r="P593" s="4"/>
      <c r="Q593" s="45">
        <f t="shared" si="60"/>
        <v>54616.5</v>
      </c>
      <c r="R593" s="3">
        <f t="shared" si="62"/>
        <v>0</v>
      </c>
    </row>
    <row r="594" spans="3:18" x14ac:dyDescent="0.25">
      <c r="C594" s="4" t="s">
        <v>2450</v>
      </c>
      <c r="E594" s="5" t="s">
        <v>0</v>
      </c>
      <c r="G594" s="146" t="s">
        <v>6365</v>
      </c>
      <c r="H594" s="7" t="s">
        <v>3497</v>
      </c>
      <c r="I594" s="7" t="s">
        <v>7929</v>
      </c>
      <c r="J594" s="5" t="s">
        <v>3501</v>
      </c>
      <c r="K594" s="13">
        <v>44044</v>
      </c>
      <c r="N594" s="45">
        <v>1275</v>
      </c>
      <c r="O594" s="4" t="s">
        <v>15</v>
      </c>
      <c r="P594" s="4"/>
      <c r="Q594" s="45">
        <f t="shared" si="60"/>
        <v>1275</v>
      </c>
      <c r="R594" s="3">
        <f t="shared" si="62"/>
        <v>0</v>
      </c>
    </row>
    <row r="595" spans="3:18" x14ac:dyDescent="0.25">
      <c r="C595" s="4" t="s">
        <v>2450</v>
      </c>
      <c r="E595" s="5" t="s">
        <v>0</v>
      </c>
      <c r="G595" s="146" t="s">
        <v>6365</v>
      </c>
      <c r="H595" s="7" t="s">
        <v>3497</v>
      </c>
      <c r="I595" s="7" t="s">
        <v>7929</v>
      </c>
      <c r="J595" s="5" t="s">
        <v>3502</v>
      </c>
      <c r="K595" s="13">
        <v>44136</v>
      </c>
      <c r="N595" s="45">
        <v>4313</v>
      </c>
      <c r="O595" s="4" t="s">
        <v>15</v>
      </c>
      <c r="P595" s="4"/>
      <c r="Q595" s="45">
        <f t="shared" si="60"/>
        <v>4313</v>
      </c>
      <c r="R595" s="3">
        <f t="shared" si="62"/>
        <v>0</v>
      </c>
    </row>
    <row r="596" spans="3:18" x14ac:dyDescent="0.25">
      <c r="C596" s="4" t="s">
        <v>2450</v>
      </c>
      <c r="E596" s="5" t="s">
        <v>0</v>
      </c>
      <c r="G596" s="146" t="s">
        <v>6365</v>
      </c>
      <c r="H596" s="7" t="s">
        <v>3497</v>
      </c>
      <c r="I596" s="7" t="s">
        <v>7929</v>
      </c>
      <c r="J596" s="5" t="s">
        <v>3503</v>
      </c>
      <c r="K596" s="13">
        <v>44228</v>
      </c>
      <c r="N596" s="45">
        <v>4538</v>
      </c>
      <c r="O596" s="4" t="s">
        <v>15</v>
      </c>
      <c r="P596" s="4"/>
      <c r="Q596" s="45">
        <f t="shared" si="60"/>
        <v>4538</v>
      </c>
      <c r="R596" s="3">
        <f t="shared" si="62"/>
        <v>0</v>
      </c>
    </row>
    <row r="597" spans="3:18" x14ac:dyDescent="0.25">
      <c r="C597" s="4" t="s">
        <v>2450</v>
      </c>
      <c r="E597" s="5" t="s">
        <v>0</v>
      </c>
      <c r="G597" s="146" t="s">
        <v>6365</v>
      </c>
      <c r="H597" s="7" t="s">
        <v>3497</v>
      </c>
      <c r="I597" s="7" t="s">
        <v>7929</v>
      </c>
      <c r="J597" s="5" t="s">
        <v>3504</v>
      </c>
      <c r="K597" s="13">
        <v>44317</v>
      </c>
      <c r="N597" s="45">
        <v>3408</v>
      </c>
      <c r="O597" s="4" t="s">
        <v>15</v>
      </c>
      <c r="P597" s="4"/>
      <c r="Q597" s="45">
        <f t="shared" si="60"/>
        <v>3408</v>
      </c>
      <c r="R597" s="3">
        <f t="shared" si="62"/>
        <v>0</v>
      </c>
    </row>
    <row r="598" spans="3:18" x14ac:dyDescent="0.25">
      <c r="C598" s="4" t="s">
        <v>2450</v>
      </c>
      <c r="E598" s="5" t="s">
        <v>0</v>
      </c>
      <c r="G598" s="146" t="s">
        <v>6365</v>
      </c>
      <c r="H598" s="7" t="s">
        <v>3497</v>
      </c>
      <c r="I598" s="7" t="s">
        <v>7929</v>
      </c>
      <c r="J598" s="5" t="s">
        <v>3505</v>
      </c>
      <c r="K598" s="13">
        <v>44409</v>
      </c>
      <c r="N598" s="45">
        <v>3858</v>
      </c>
      <c r="O598" s="4" t="s">
        <v>15</v>
      </c>
      <c r="P598" s="4"/>
      <c r="Q598" s="45">
        <f t="shared" si="60"/>
        <v>3858</v>
      </c>
      <c r="R598" s="3">
        <f t="shared" si="62"/>
        <v>0</v>
      </c>
    </row>
    <row r="599" spans="3:18" x14ac:dyDescent="0.25">
      <c r="C599" s="4" t="s">
        <v>2450</v>
      </c>
      <c r="E599" s="5" t="s">
        <v>0</v>
      </c>
      <c r="G599" s="146" t="s">
        <v>6365</v>
      </c>
      <c r="H599" s="7" t="s">
        <v>3497</v>
      </c>
      <c r="I599" s="7" t="s">
        <v>7929</v>
      </c>
      <c r="J599" s="5" t="s">
        <v>3506</v>
      </c>
      <c r="K599" s="13">
        <v>44593</v>
      </c>
      <c r="N599" s="45">
        <v>2503</v>
      </c>
      <c r="O599" s="4" t="s">
        <v>15</v>
      </c>
      <c r="P599" s="4"/>
      <c r="Q599" s="45">
        <f t="shared" si="60"/>
        <v>2503</v>
      </c>
      <c r="R599" s="3">
        <f t="shared" si="62"/>
        <v>0</v>
      </c>
    </row>
    <row r="600" spans="3:18" x14ac:dyDescent="0.25">
      <c r="C600" s="4" t="s">
        <v>2450</v>
      </c>
      <c r="E600" s="5" t="s">
        <v>0</v>
      </c>
      <c r="G600" s="146" t="s">
        <v>6365</v>
      </c>
      <c r="H600" s="7" t="s">
        <v>3497</v>
      </c>
      <c r="I600" s="7" t="s">
        <v>7929</v>
      </c>
      <c r="J600" s="5" t="s">
        <v>3507</v>
      </c>
      <c r="K600" s="13">
        <v>44774</v>
      </c>
      <c r="N600" s="45">
        <v>2728</v>
      </c>
      <c r="O600" s="4" t="s">
        <v>15</v>
      </c>
      <c r="P600" s="4"/>
      <c r="Q600" s="45">
        <f t="shared" si="60"/>
        <v>2728</v>
      </c>
      <c r="R600" s="3">
        <f t="shared" si="62"/>
        <v>0</v>
      </c>
    </row>
    <row r="601" spans="3:18" x14ac:dyDescent="0.25">
      <c r="C601" s="4" t="s">
        <v>2450</v>
      </c>
      <c r="E601" s="5" t="s">
        <v>0</v>
      </c>
      <c r="G601" s="146" t="s">
        <v>6365</v>
      </c>
      <c r="H601" s="7" t="s">
        <v>3497</v>
      </c>
      <c r="I601" s="7" t="s">
        <v>7929</v>
      </c>
      <c r="J601" s="5" t="s">
        <v>3508</v>
      </c>
      <c r="K601" s="13">
        <v>44958</v>
      </c>
      <c r="N601" s="45">
        <v>2728</v>
      </c>
      <c r="O601" s="4" t="s">
        <v>15</v>
      </c>
      <c r="P601" s="4"/>
      <c r="Q601" s="45">
        <f t="shared" si="60"/>
        <v>2728</v>
      </c>
      <c r="R601" s="3">
        <f t="shared" si="62"/>
        <v>0</v>
      </c>
    </row>
    <row r="602" spans="3:18" x14ac:dyDescent="0.25">
      <c r="C602" s="4" t="s">
        <v>2450</v>
      </c>
      <c r="E602" s="5" t="s">
        <v>0</v>
      </c>
      <c r="G602" s="146" t="s">
        <v>6365</v>
      </c>
      <c r="H602" s="7" t="s">
        <v>3497</v>
      </c>
      <c r="I602" s="7" t="s">
        <v>7929</v>
      </c>
      <c r="J602" s="5" t="s">
        <v>3509</v>
      </c>
      <c r="K602" s="13">
        <v>45139</v>
      </c>
      <c r="N602" s="45">
        <v>2728</v>
      </c>
      <c r="O602" s="4" t="s">
        <v>15</v>
      </c>
      <c r="P602" s="4"/>
      <c r="Q602" s="45">
        <f t="shared" si="60"/>
        <v>2728</v>
      </c>
      <c r="R602" s="3">
        <f t="shared" si="62"/>
        <v>0</v>
      </c>
    </row>
    <row r="603" spans="3:18" x14ac:dyDescent="0.25">
      <c r="C603" s="4" t="s">
        <v>2450</v>
      </c>
      <c r="E603" s="5" t="s">
        <v>0</v>
      </c>
      <c r="G603" s="146" t="s">
        <v>6365</v>
      </c>
      <c r="H603" s="7" t="s">
        <v>3497</v>
      </c>
      <c r="I603" s="7" t="s">
        <v>7929</v>
      </c>
      <c r="J603" s="5" t="s">
        <v>3510</v>
      </c>
      <c r="K603" s="13">
        <v>45505</v>
      </c>
      <c r="N603" s="45">
        <v>2728</v>
      </c>
      <c r="O603" s="4" t="s">
        <v>15</v>
      </c>
      <c r="P603" s="4"/>
      <c r="Q603" s="45">
        <f t="shared" si="60"/>
        <v>2728</v>
      </c>
      <c r="R603" s="3">
        <f t="shared" si="62"/>
        <v>0</v>
      </c>
    </row>
    <row r="604" spans="3:18" x14ac:dyDescent="0.25">
      <c r="C604" s="4" t="s">
        <v>2450</v>
      </c>
      <c r="E604" s="5" t="s">
        <v>0</v>
      </c>
      <c r="G604" s="146" t="s">
        <v>6365</v>
      </c>
      <c r="H604" s="7" t="s">
        <v>3497</v>
      </c>
      <c r="I604" s="7" t="s">
        <v>7929</v>
      </c>
      <c r="J604" s="5" t="s">
        <v>3511</v>
      </c>
      <c r="K604" s="13">
        <v>45870</v>
      </c>
      <c r="N604" s="45">
        <v>2678</v>
      </c>
      <c r="O604" s="4" t="s">
        <v>15</v>
      </c>
      <c r="P604" s="4"/>
      <c r="Q604" s="45">
        <f t="shared" si="60"/>
        <v>2678</v>
      </c>
      <c r="R604" s="3">
        <f t="shared" si="62"/>
        <v>0</v>
      </c>
    </row>
    <row r="605" spans="3:18" x14ac:dyDescent="0.25">
      <c r="C605" s="4" t="s">
        <v>2450</v>
      </c>
      <c r="E605" s="5" t="s">
        <v>0</v>
      </c>
      <c r="G605" s="146" t="s">
        <v>6365</v>
      </c>
      <c r="H605" s="7" t="s">
        <v>3497</v>
      </c>
      <c r="I605" s="7" t="s">
        <v>7929</v>
      </c>
      <c r="J605" s="5" t="s">
        <v>3512</v>
      </c>
      <c r="K605" s="13">
        <v>44044</v>
      </c>
      <c r="N605" s="45">
        <v>1650</v>
      </c>
      <c r="O605" s="4" t="s">
        <v>15</v>
      </c>
      <c r="P605" s="4"/>
      <c r="Q605" s="45">
        <f t="shared" si="60"/>
        <v>1650</v>
      </c>
      <c r="R605" s="3">
        <f t="shared" si="62"/>
        <v>0</v>
      </c>
    </row>
    <row r="606" spans="3:18" x14ac:dyDescent="0.25">
      <c r="C606" s="4" t="s">
        <v>2450</v>
      </c>
      <c r="E606" s="5" t="s">
        <v>0</v>
      </c>
      <c r="G606" s="146" t="s">
        <v>6365</v>
      </c>
      <c r="H606" s="7" t="s">
        <v>3497</v>
      </c>
      <c r="I606" s="7" t="s">
        <v>7929</v>
      </c>
      <c r="J606" s="5" t="s">
        <v>3513</v>
      </c>
      <c r="K606" s="13">
        <v>44136</v>
      </c>
      <c r="N606" s="45">
        <v>7028</v>
      </c>
      <c r="O606" s="4" t="s">
        <v>15</v>
      </c>
      <c r="P606" s="4"/>
      <c r="Q606" s="45">
        <f t="shared" ref="Q606:Q663" si="63">IF(P606="en cours",N606,IF(P606="OK",0,IF(N606-P606&lt;0,0,N606-P606)))</f>
        <v>7028</v>
      </c>
      <c r="R606" s="3">
        <f t="shared" si="62"/>
        <v>0</v>
      </c>
    </row>
    <row r="607" spans="3:18" x14ac:dyDescent="0.25">
      <c r="C607" s="4" t="s">
        <v>2450</v>
      </c>
      <c r="E607" s="5" t="s">
        <v>0</v>
      </c>
      <c r="G607" s="146" t="s">
        <v>6365</v>
      </c>
      <c r="H607" s="7" t="s">
        <v>3497</v>
      </c>
      <c r="I607" s="7" t="s">
        <v>7929</v>
      </c>
      <c r="J607" s="5" t="s">
        <v>3514</v>
      </c>
      <c r="K607" s="13">
        <v>44228</v>
      </c>
      <c r="N607" s="45">
        <v>7478</v>
      </c>
      <c r="O607" s="4" t="s">
        <v>15</v>
      </c>
      <c r="P607" s="4"/>
      <c r="Q607" s="45">
        <f t="shared" si="63"/>
        <v>7478</v>
      </c>
      <c r="R607" s="3">
        <f t="shared" si="62"/>
        <v>0</v>
      </c>
    </row>
    <row r="608" spans="3:18" x14ac:dyDescent="0.25">
      <c r="C608" s="4" t="s">
        <v>2450</v>
      </c>
      <c r="E608" s="5" t="s">
        <v>0</v>
      </c>
      <c r="G608" s="146" t="s">
        <v>6365</v>
      </c>
      <c r="H608" s="7" t="s">
        <v>3497</v>
      </c>
      <c r="I608" s="7" t="s">
        <v>7929</v>
      </c>
      <c r="J608" s="5" t="s">
        <v>3515</v>
      </c>
      <c r="K608" s="13">
        <v>44317</v>
      </c>
      <c r="N608" s="45">
        <v>5218</v>
      </c>
      <c r="O608" s="4" t="s">
        <v>15</v>
      </c>
      <c r="P608" s="4"/>
      <c r="Q608" s="45">
        <f t="shared" si="63"/>
        <v>5218</v>
      </c>
      <c r="R608" s="3">
        <f t="shared" si="62"/>
        <v>0</v>
      </c>
    </row>
    <row r="609" spans="2:18" x14ac:dyDescent="0.25">
      <c r="C609" s="4" t="s">
        <v>2450</v>
      </c>
      <c r="E609" s="5" t="s">
        <v>0</v>
      </c>
      <c r="G609" s="146" t="s">
        <v>6365</v>
      </c>
      <c r="H609" s="7" t="s">
        <v>3497</v>
      </c>
      <c r="I609" s="7" t="s">
        <v>7929</v>
      </c>
      <c r="J609" s="5" t="s">
        <v>3516</v>
      </c>
      <c r="K609" s="13">
        <v>44409</v>
      </c>
      <c r="N609" s="45">
        <v>6118</v>
      </c>
      <c r="O609" s="4" t="s">
        <v>15</v>
      </c>
      <c r="P609" s="4"/>
      <c r="Q609" s="45">
        <f t="shared" si="63"/>
        <v>6118</v>
      </c>
      <c r="R609" s="3">
        <f t="shared" si="62"/>
        <v>0</v>
      </c>
    </row>
    <row r="610" spans="2:18" x14ac:dyDescent="0.25">
      <c r="C610" s="4" t="s">
        <v>2450</v>
      </c>
      <c r="E610" s="5" t="s">
        <v>0</v>
      </c>
      <c r="G610" s="146" t="s">
        <v>6365</v>
      </c>
      <c r="H610" s="7" t="s">
        <v>3497</v>
      </c>
      <c r="I610" s="7" t="s">
        <v>7929</v>
      </c>
      <c r="J610" s="5" t="s">
        <v>3517</v>
      </c>
      <c r="K610" s="13">
        <v>44593</v>
      </c>
      <c r="N610" s="45">
        <v>3408</v>
      </c>
      <c r="O610" s="4" t="s">
        <v>15</v>
      </c>
      <c r="P610" s="4"/>
      <c r="Q610" s="45">
        <f t="shared" si="63"/>
        <v>3408</v>
      </c>
      <c r="R610" s="3">
        <f t="shared" si="62"/>
        <v>0</v>
      </c>
    </row>
    <row r="611" spans="2:18" x14ac:dyDescent="0.25">
      <c r="C611" s="4" t="s">
        <v>2450</v>
      </c>
      <c r="E611" s="5" t="s">
        <v>0</v>
      </c>
      <c r="G611" s="146" t="s">
        <v>6365</v>
      </c>
      <c r="H611" s="7" t="s">
        <v>3497</v>
      </c>
      <c r="I611" s="7" t="s">
        <v>7929</v>
      </c>
      <c r="J611" s="5" t="s">
        <v>3518</v>
      </c>
      <c r="K611" s="13">
        <v>44774</v>
      </c>
      <c r="N611" s="45">
        <v>3633</v>
      </c>
      <c r="O611" s="4" t="s">
        <v>15</v>
      </c>
      <c r="P611" s="4"/>
      <c r="Q611" s="45">
        <f t="shared" si="63"/>
        <v>3633</v>
      </c>
      <c r="R611" s="3">
        <f t="shared" si="62"/>
        <v>0</v>
      </c>
    </row>
    <row r="612" spans="2:18" x14ac:dyDescent="0.25">
      <c r="C612" s="4" t="s">
        <v>2450</v>
      </c>
      <c r="E612" s="5" t="s">
        <v>0</v>
      </c>
      <c r="G612" s="146" t="s">
        <v>6365</v>
      </c>
      <c r="H612" s="7" t="s">
        <v>3497</v>
      </c>
      <c r="I612" s="7" t="s">
        <v>7929</v>
      </c>
      <c r="J612" s="5" t="s">
        <v>3519</v>
      </c>
      <c r="K612" s="13">
        <v>44958</v>
      </c>
      <c r="N612" s="45">
        <v>3633</v>
      </c>
      <c r="O612" s="4" t="s">
        <v>15</v>
      </c>
      <c r="P612" s="4"/>
      <c r="Q612" s="45">
        <f t="shared" si="63"/>
        <v>3633</v>
      </c>
      <c r="R612" s="3">
        <f t="shared" si="62"/>
        <v>0</v>
      </c>
    </row>
    <row r="613" spans="2:18" x14ac:dyDescent="0.25">
      <c r="C613" s="4" t="s">
        <v>2450</v>
      </c>
      <c r="E613" s="5" t="s">
        <v>0</v>
      </c>
      <c r="G613" s="146" t="s">
        <v>6365</v>
      </c>
      <c r="H613" s="7" t="s">
        <v>3497</v>
      </c>
      <c r="I613" s="7" t="s">
        <v>7929</v>
      </c>
      <c r="J613" s="5" t="s">
        <v>3520</v>
      </c>
      <c r="K613" s="13">
        <v>45139</v>
      </c>
      <c r="N613" s="45">
        <v>3633</v>
      </c>
      <c r="O613" s="4" t="s">
        <v>15</v>
      </c>
      <c r="P613" s="4"/>
      <c r="Q613" s="45">
        <f t="shared" si="63"/>
        <v>3633</v>
      </c>
      <c r="R613" s="3">
        <f t="shared" si="62"/>
        <v>0</v>
      </c>
    </row>
    <row r="614" spans="2:18" x14ac:dyDescent="0.25">
      <c r="C614" s="4" t="s">
        <v>2450</v>
      </c>
      <c r="E614" s="5" t="s">
        <v>0</v>
      </c>
      <c r="G614" s="146" t="s">
        <v>6365</v>
      </c>
      <c r="H614" s="7" t="s">
        <v>3497</v>
      </c>
      <c r="I614" s="7" t="s">
        <v>7929</v>
      </c>
      <c r="J614" s="5" t="s">
        <v>3521</v>
      </c>
      <c r="K614" s="13">
        <v>45505</v>
      </c>
      <c r="N614" s="45">
        <v>3633</v>
      </c>
      <c r="O614" s="4" t="s">
        <v>15</v>
      </c>
      <c r="P614" s="4"/>
      <c r="Q614" s="45">
        <f t="shared" si="63"/>
        <v>3633</v>
      </c>
      <c r="R614" s="3">
        <f t="shared" si="62"/>
        <v>0</v>
      </c>
    </row>
    <row r="615" spans="2:18" x14ac:dyDescent="0.25">
      <c r="C615" s="4" t="s">
        <v>2450</v>
      </c>
      <c r="E615" s="5" t="s">
        <v>0</v>
      </c>
      <c r="G615" s="146" t="s">
        <v>6365</v>
      </c>
      <c r="H615" s="7" t="s">
        <v>3497</v>
      </c>
      <c r="I615" s="7" t="s">
        <v>7929</v>
      </c>
      <c r="J615" s="5" t="s">
        <v>3522</v>
      </c>
      <c r="K615" s="13">
        <v>45870</v>
      </c>
      <c r="N615" s="45">
        <v>3533</v>
      </c>
      <c r="O615" s="4" t="s">
        <v>15</v>
      </c>
      <c r="P615" s="4"/>
      <c r="Q615" s="45">
        <f t="shared" si="63"/>
        <v>3533</v>
      </c>
      <c r="R615" s="3">
        <f t="shared" si="62"/>
        <v>0</v>
      </c>
    </row>
    <row r="616" spans="2:18" x14ac:dyDescent="0.25">
      <c r="C616" s="4" t="s">
        <v>2450</v>
      </c>
      <c r="E616" s="5" t="s">
        <v>0</v>
      </c>
      <c r="G616" s="146" t="s">
        <v>6365</v>
      </c>
      <c r="H616" s="7" t="s">
        <v>3497</v>
      </c>
      <c r="I616" s="7" t="s">
        <v>7929</v>
      </c>
      <c r="J616" s="5" t="s">
        <v>3523</v>
      </c>
      <c r="K616" s="13">
        <v>44044</v>
      </c>
      <c r="N616" s="45">
        <v>1640</v>
      </c>
      <c r="O616" s="4" t="s">
        <v>15</v>
      </c>
      <c r="P616" s="4"/>
      <c r="Q616" s="45">
        <f t="shared" si="63"/>
        <v>1640</v>
      </c>
      <c r="R616" s="3">
        <f t="shared" si="62"/>
        <v>0</v>
      </c>
    </row>
    <row r="617" spans="2:18" x14ac:dyDescent="0.25">
      <c r="C617" s="4" t="s">
        <v>2450</v>
      </c>
      <c r="E617" s="5" t="s">
        <v>0</v>
      </c>
      <c r="G617" s="146" t="s">
        <v>6365</v>
      </c>
      <c r="H617" s="7" t="s">
        <v>3497</v>
      </c>
      <c r="I617" s="7" t="s">
        <v>7929</v>
      </c>
      <c r="J617" s="5" t="s">
        <v>3523</v>
      </c>
      <c r="K617" s="13" t="s">
        <v>1541</v>
      </c>
      <c r="N617" s="45">
        <v>1640</v>
      </c>
      <c r="O617" s="4" t="s">
        <v>15</v>
      </c>
      <c r="P617" s="4"/>
      <c r="Q617" s="45">
        <f t="shared" si="63"/>
        <v>1640</v>
      </c>
      <c r="R617" s="3">
        <f t="shared" si="62"/>
        <v>0</v>
      </c>
    </row>
    <row r="618" spans="2:18" x14ac:dyDescent="0.25">
      <c r="C618" s="4" t="s">
        <v>2450</v>
      </c>
      <c r="E618" s="5" t="s">
        <v>0</v>
      </c>
      <c r="G618" s="146" t="s">
        <v>6365</v>
      </c>
      <c r="H618" s="7" t="s">
        <v>3497</v>
      </c>
      <c r="I618" s="7" t="s">
        <v>7929</v>
      </c>
      <c r="J618" s="5" t="s">
        <v>3523</v>
      </c>
      <c r="K618" s="13" t="s">
        <v>1541</v>
      </c>
      <c r="N618" s="45">
        <v>1640</v>
      </c>
      <c r="O618" s="4" t="s">
        <v>15</v>
      </c>
      <c r="P618" s="4"/>
      <c r="Q618" s="45">
        <f t="shared" si="63"/>
        <v>1640</v>
      </c>
      <c r="R618" s="3">
        <f t="shared" si="62"/>
        <v>0</v>
      </c>
    </row>
    <row r="619" spans="2:18" x14ac:dyDescent="0.25">
      <c r="C619" s="4" t="s">
        <v>2450</v>
      </c>
      <c r="E619" s="5" t="s">
        <v>0</v>
      </c>
      <c r="G619" s="146" t="s">
        <v>6365</v>
      </c>
      <c r="H619" s="7" t="s">
        <v>3497</v>
      </c>
      <c r="I619" s="7" t="s">
        <v>7929</v>
      </c>
      <c r="J619" s="5" t="s">
        <v>3523</v>
      </c>
      <c r="K619" s="13" t="s">
        <v>1541</v>
      </c>
      <c r="N619" s="45">
        <v>1640</v>
      </c>
      <c r="O619" s="4" t="s">
        <v>15</v>
      </c>
      <c r="P619" s="4"/>
      <c r="Q619" s="45">
        <f t="shared" si="63"/>
        <v>1640</v>
      </c>
      <c r="R619" s="3">
        <f t="shared" si="62"/>
        <v>0</v>
      </c>
    </row>
    <row r="620" spans="2:18" x14ac:dyDescent="0.25">
      <c r="C620" s="4" t="s">
        <v>2450</v>
      </c>
      <c r="E620" s="5" t="s">
        <v>0</v>
      </c>
      <c r="G620" s="146" t="s">
        <v>6365</v>
      </c>
      <c r="H620" s="7" t="s">
        <v>3497</v>
      </c>
      <c r="I620" s="7" t="s">
        <v>7929</v>
      </c>
      <c r="J620" s="5" t="s">
        <v>3524</v>
      </c>
      <c r="K620" s="13" t="s">
        <v>1541</v>
      </c>
      <c r="N620" s="45">
        <v>30000</v>
      </c>
      <c r="O620" s="4" t="s">
        <v>15</v>
      </c>
      <c r="P620" s="4"/>
      <c r="Q620" s="45">
        <f t="shared" si="63"/>
        <v>30000</v>
      </c>
      <c r="R620" s="3">
        <f t="shared" si="62"/>
        <v>0</v>
      </c>
    </row>
    <row r="621" spans="2:18" hidden="1" x14ac:dyDescent="0.25">
      <c r="B621" s="21" t="s">
        <v>395</v>
      </c>
      <c r="C621" s="22" t="s">
        <v>2450</v>
      </c>
      <c r="D621" s="22"/>
      <c r="E621" s="21" t="s">
        <v>0</v>
      </c>
      <c r="F621" s="21"/>
      <c r="G621" s="147" t="s">
        <v>6365</v>
      </c>
      <c r="H621" s="23" t="s">
        <v>3565</v>
      </c>
      <c r="I621" s="23" t="s">
        <v>8327</v>
      </c>
      <c r="J621" s="21" t="s">
        <v>3568</v>
      </c>
      <c r="K621" s="120"/>
      <c r="L621" s="21" t="s">
        <v>4328</v>
      </c>
      <c r="M621" s="26">
        <v>44225</v>
      </c>
      <c r="N621" s="44">
        <v>5218</v>
      </c>
      <c r="O621" s="22" t="s">
        <v>15</v>
      </c>
      <c r="P621" s="22">
        <v>5218</v>
      </c>
      <c r="Q621" s="24">
        <f t="shared" si="63"/>
        <v>0</v>
      </c>
      <c r="R621" s="24">
        <f t="shared" si="62"/>
        <v>5218</v>
      </c>
    </row>
    <row r="622" spans="2:18" hidden="1" x14ac:dyDescent="0.25">
      <c r="B622" s="21" t="s">
        <v>395</v>
      </c>
      <c r="C622" s="22" t="s">
        <v>2450</v>
      </c>
      <c r="D622" s="22"/>
      <c r="E622" s="21" t="s">
        <v>0</v>
      </c>
      <c r="F622" s="21"/>
      <c r="G622" s="147" t="s">
        <v>6365</v>
      </c>
      <c r="H622" s="23" t="s">
        <v>3565</v>
      </c>
      <c r="I622" s="23" t="s">
        <v>8327</v>
      </c>
      <c r="J622" s="21" t="s">
        <v>3569</v>
      </c>
      <c r="K622" s="120"/>
      <c r="L622" s="21" t="s">
        <v>4872</v>
      </c>
      <c r="M622" s="26">
        <v>44316</v>
      </c>
      <c r="N622" s="44">
        <v>5443</v>
      </c>
      <c r="O622" s="22" t="s">
        <v>15</v>
      </c>
      <c r="P622" s="22">
        <v>5443</v>
      </c>
      <c r="Q622" s="24">
        <f t="shared" si="63"/>
        <v>0</v>
      </c>
      <c r="R622" s="24">
        <f t="shared" si="62"/>
        <v>5443</v>
      </c>
    </row>
    <row r="623" spans="2:18" hidden="1" x14ac:dyDescent="0.25">
      <c r="B623" s="21" t="s">
        <v>395</v>
      </c>
      <c r="C623" s="22" t="s">
        <v>2450</v>
      </c>
      <c r="D623" s="22"/>
      <c r="E623" s="21" t="s">
        <v>0</v>
      </c>
      <c r="F623" s="21"/>
      <c r="G623" s="147" t="s">
        <v>6365</v>
      </c>
      <c r="H623" s="23" t="s">
        <v>3565</v>
      </c>
      <c r="I623" s="23" t="s">
        <v>8327</v>
      </c>
      <c r="J623" s="21" t="s">
        <v>3570</v>
      </c>
      <c r="K623" s="120"/>
      <c r="L623" s="21" t="s">
        <v>5632</v>
      </c>
      <c r="M623" s="26">
        <v>44439</v>
      </c>
      <c r="N623" s="44">
        <v>4313</v>
      </c>
      <c r="O623" s="22" t="s">
        <v>15</v>
      </c>
      <c r="P623" s="22">
        <v>4313</v>
      </c>
      <c r="Q623" s="24">
        <f t="shared" si="63"/>
        <v>0</v>
      </c>
      <c r="R623" s="24">
        <f t="shared" si="62"/>
        <v>4313</v>
      </c>
    </row>
    <row r="624" spans="2:18" hidden="1" x14ac:dyDescent="0.25">
      <c r="B624" s="21" t="s">
        <v>395</v>
      </c>
      <c r="C624" s="22" t="s">
        <v>2450</v>
      </c>
      <c r="D624" s="22"/>
      <c r="E624" s="21" t="s">
        <v>0</v>
      </c>
      <c r="F624" s="21"/>
      <c r="G624" s="147" t="s">
        <v>6365</v>
      </c>
      <c r="H624" s="23" t="s">
        <v>3565</v>
      </c>
      <c r="I624" s="23" t="s">
        <v>8327</v>
      </c>
      <c r="J624" s="21" t="s">
        <v>3571</v>
      </c>
      <c r="K624" s="120"/>
      <c r="L624" s="21" t="s">
        <v>6000</v>
      </c>
      <c r="M624" s="26">
        <v>44495</v>
      </c>
      <c r="N624" s="44">
        <v>4988</v>
      </c>
      <c r="O624" s="22" t="s">
        <v>15</v>
      </c>
      <c r="P624" s="22">
        <v>4988</v>
      </c>
      <c r="Q624" s="24">
        <f t="shared" si="63"/>
        <v>0</v>
      </c>
      <c r="R624" s="24">
        <f t="shared" si="62"/>
        <v>4988</v>
      </c>
    </row>
    <row r="625" spans="2:18" hidden="1" x14ac:dyDescent="0.25">
      <c r="B625" s="21" t="s">
        <v>395</v>
      </c>
      <c r="C625" s="22" t="s">
        <v>2450</v>
      </c>
      <c r="D625" s="22"/>
      <c r="E625" s="21" t="s">
        <v>0</v>
      </c>
      <c r="F625" s="21"/>
      <c r="G625" s="147" t="s">
        <v>6365</v>
      </c>
      <c r="H625" s="23" t="s">
        <v>3565</v>
      </c>
      <c r="I625" s="23" t="s">
        <v>8327</v>
      </c>
      <c r="J625" s="21" t="s">
        <v>3572</v>
      </c>
      <c r="K625" s="120"/>
      <c r="L625" s="21" t="s">
        <v>6736</v>
      </c>
      <c r="M625" s="26">
        <v>44697</v>
      </c>
      <c r="N625" s="44">
        <v>3408</v>
      </c>
      <c r="O625" s="22" t="s">
        <v>15</v>
      </c>
      <c r="P625" s="22">
        <v>3408</v>
      </c>
      <c r="Q625" s="24">
        <f t="shared" si="63"/>
        <v>0</v>
      </c>
      <c r="R625" s="24">
        <f t="shared" si="62"/>
        <v>3408</v>
      </c>
    </row>
    <row r="626" spans="2:18" hidden="1" x14ac:dyDescent="0.25">
      <c r="B626" s="21" t="s">
        <v>395</v>
      </c>
      <c r="C626" s="22" t="s">
        <v>2450</v>
      </c>
      <c r="D626" s="22"/>
      <c r="E626" s="21" t="s">
        <v>0</v>
      </c>
      <c r="F626" s="21"/>
      <c r="G626" s="147" t="s">
        <v>6365</v>
      </c>
      <c r="H626" s="23" t="s">
        <v>3565</v>
      </c>
      <c r="I626" s="23" t="s">
        <v>8327</v>
      </c>
      <c r="J626" s="21" t="s">
        <v>3573</v>
      </c>
      <c r="K626" s="120"/>
      <c r="L626" s="21" t="s">
        <v>7308</v>
      </c>
      <c r="M626" s="26">
        <v>44895</v>
      </c>
      <c r="N626" s="44">
        <v>3633</v>
      </c>
      <c r="O626" s="22" t="s">
        <v>15</v>
      </c>
      <c r="P626" s="22">
        <v>3633</v>
      </c>
      <c r="Q626" s="24">
        <f t="shared" si="63"/>
        <v>0</v>
      </c>
      <c r="R626" s="24">
        <f t="shared" si="62"/>
        <v>3633</v>
      </c>
    </row>
    <row r="627" spans="2:18" hidden="1" x14ac:dyDescent="0.25">
      <c r="B627" s="21" t="s">
        <v>395</v>
      </c>
      <c r="C627" s="22" t="s">
        <v>2450</v>
      </c>
      <c r="D627" s="22"/>
      <c r="E627" s="21" t="s">
        <v>0</v>
      </c>
      <c r="F627" s="21"/>
      <c r="G627" s="147" t="s">
        <v>6365</v>
      </c>
      <c r="H627" s="23" t="s">
        <v>3565</v>
      </c>
      <c r="I627" s="23" t="s">
        <v>8327</v>
      </c>
      <c r="J627" s="21" t="s">
        <v>3574</v>
      </c>
      <c r="K627" s="120"/>
      <c r="L627" s="21" t="s">
        <v>8510</v>
      </c>
      <c r="M627" s="26">
        <v>45100</v>
      </c>
      <c r="N627" s="44">
        <v>3633</v>
      </c>
      <c r="O627" s="22" t="s">
        <v>15</v>
      </c>
      <c r="P627" s="22">
        <f>3633</f>
        <v>3633</v>
      </c>
      <c r="Q627" s="24">
        <f t="shared" si="63"/>
        <v>0</v>
      </c>
      <c r="R627" s="24">
        <f t="shared" si="62"/>
        <v>3633</v>
      </c>
    </row>
    <row r="628" spans="2:18" hidden="1" x14ac:dyDescent="0.25">
      <c r="B628" s="21" t="s">
        <v>395</v>
      </c>
      <c r="C628" s="22" t="s">
        <v>2450</v>
      </c>
      <c r="D628" s="22"/>
      <c r="E628" s="21" t="s">
        <v>0</v>
      </c>
      <c r="F628" s="21"/>
      <c r="G628" s="147" t="s">
        <v>6365</v>
      </c>
      <c r="H628" s="23" t="s">
        <v>3565</v>
      </c>
      <c r="I628" s="23" t="s">
        <v>8327</v>
      </c>
      <c r="J628" s="21" t="s">
        <v>3575</v>
      </c>
      <c r="K628" s="120"/>
      <c r="L628" s="21" t="s">
        <v>9177</v>
      </c>
      <c r="M628" s="26">
        <v>45260</v>
      </c>
      <c r="N628" s="44">
        <v>3633</v>
      </c>
      <c r="O628" s="22" t="s">
        <v>15</v>
      </c>
      <c r="P628" s="22">
        <f>3633</f>
        <v>3633</v>
      </c>
      <c r="Q628" s="24">
        <f t="shared" si="63"/>
        <v>0</v>
      </c>
      <c r="R628" s="24">
        <f t="shared" si="62"/>
        <v>3633</v>
      </c>
    </row>
    <row r="629" spans="2:18" hidden="1" x14ac:dyDescent="0.25">
      <c r="B629" s="21" t="s">
        <v>395</v>
      </c>
      <c r="C629" s="22" t="s">
        <v>2450</v>
      </c>
      <c r="D629" s="22"/>
      <c r="E629" s="21" t="s">
        <v>0</v>
      </c>
      <c r="F629" s="21"/>
      <c r="G629" s="147" t="s">
        <v>6365</v>
      </c>
      <c r="H629" s="23" t="s">
        <v>3565</v>
      </c>
      <c r="I629" s="23" t="s">
        <v>8327</v>
      </c>
      <c r="J629" s="21" t="s">
        <v>3576</v>
      </c>
      <c r="K629" s="120"/>
      <c r="L629" s="21" t="s">
        <v>10799</v>
      </c>
      <c r="M629" s="26">
        <v>45624</v>
      </c>
      <c r="N629" s="44">
        <v>3633</v>
      </c>
      <c r="O629" s="22" t="s">
        <v>15</v>
      </c>
      <c r="P629" s="22">
        <v>3633</v>
      </c>
      <c r="Q629" s="24">
        <f t="shared" si="63"/>
        <v>0</v>
      </c>
      <c r="R629" s="24">
        <f t="shared" si="62"/>
        <v>3633</v>
      </c>
    </row>
    <row r="630" spans="2:18" hidden="1" x14ac:dyDescent="0.25">
      <c r="B630" s="21" t="s">
        <v>395</v>
      </c>
      <c r="C630" s="22" t="s">
        <v>2450</v>
      </c>
      <c r="D630" s="22"/>
      <c r="E630" s="21" t="s">
        <v>0</v>
      </c>
      <c r="F630" s="21"/>
      <c r="G630" s="147" t="s">
        <v>6365</v>
      </c>
      <c r="H630" s="23" t="s">
        <v>3565</v>
      </c>
      <c r="I630" s="23" t="s">
        <v>8327</v>
      </c>
      <c r="J630" s="21" t="s">
        <v>3577</v>
      </c>
      <c r="K630" s="120"/>
      <c r="L630" s="21" t="s">
        <v>13393</v>
      </c>
      <c r="M630" s="26">
        <v>45986</v>
      </c>
      <c r="N630" s="44">
        <v>3533</v>
      </c>
      <c r="O630" s="22" t="s">
        <v>15</v>
      </c>
      <c r="P630" s="22">
        <v>3533</v>
      </c>
      <c r="Q630" s="24">
        <f t="shared" si="63"/>
        <v>0</v>
      </c>
      <c r="R630" s="24">
        <f t="shared" si="62"/>
        <v>3533</v>
      </c>
    </row>
    <row r="631" spans="2:18" hidden="1" x14ac:dyDescent="0.25">
      <c r="B631" s="21" t="s">
        <v>395</v>
      </c>
      <c r="C631" s="22" t="s">
        <v>2450</v>
      </c>
      <c r="D631" s="22"/>
      <c r="E631" s="21" t="s">
        <v>0</v>
      </c>
      <c r="F631" s="21"/>
      <c r="G631" s="147" t="s">
        <v>6365</v>
      </c>
      <c r="H631" s="23" t="s">
        <v>8375</v>
      </c>
      <c r="I631" s="23" t="s">
        <v>8376</v>
      </c>
      <c r="J631" s="21" t="s">
        <v>8377</v>
      </c>
      <c r="K631" s="21"/>
      <c r="L631" s="21" t="s">
        <v>8388</v>
      </c>
      <c r="M631" s="26">
        <v>45068</v>
      </c>
      <c r="N631" s="44">
        <v>2706.93</v>
      </c>
      <c r="O631" s="22" t="s">
        <v>15</v>
      </c>
      <c r="P631" s="44">
        <f>2706.93</f>
        <v>2706.93</v>
      </c>
      <c r="Q631" s="44">
        <f t="shared" si="63"/>
        <v>0</v>
      </c>
      <c r="R631" s="24">
        <f t="shared" si="62"/>
        <v>2706.93</v>
      </c>
    </row>
    <row r="632" spans="2:18" hidden="1" x14ac:dyDescent="0.25">
      <c r="B632" s="21" t="s">
        <v>395</v>
      </c>
      <c r="C632" s="22" t="s">
        <v>2450</v>
      </c>
      <c r="D632" s="22"/>
      <c r="E632" s="21" t="s">
        <v>0</v>
      </c>
      <c r="F632" s="21"/>
      <c r="G632" s="147" t="s">
        <v>6365</v>
      </c>
      <c r="H632" s="23" t="s">
        <v>4538</v>
      </c>
      <c r="I632" s="23" t="s">
        <v>8312</v>
      </c>
      <c r="J632" s="21" t="s">
        <v>4456</v>
      </c>
      <c r="K632" s="21"/>
      <c r="L632" s="21" t="s">
        <v>4701</v>
      </c>
      <c r="M632" s="26" t="s">
        <v>4702</v>
      </c>
      <c r="N632" s="44">
        <v>26177</v>
      </c>
      <c r="O632" s="22" t="s">
        <v>15</v>
      </c>
      <c r="P632" s="22">
        <f>(810+22037+900)+2430</f>
        <v>26177</v>
      </c>
      <c r="Q632" s="24">
        <f t="shared" si="63"/>
        <v>0</v>
      </c>
      <c r="R632" s="24">
        <f t="shared" si="62"/>
        <v>26177</v>
      </c>
    </row>
    <row r="633" spans="2:18" hidden="1" x14ac:dyDescent="0.25">
      <c r="B633" s="21" t="s">
        <v>395</v>
      </c>
      <c r="C633" s="22" t="s">
        <v>2450</v>
      </c>
      <c r="D633" s="22"/>
      <c r="E633" s="21" t="s">
        <v>0</v>
      </c>
      <c r="F633" s="21"/>
      <c r="G633" s="147" t="s">
        <v>6365</v>
      </c>
      <c r="H633" s="23" t="s">
        <v>4538</v>
      </c>
      <c r="I633" s="23" t="s">
        <v>8312</v>
      </c>
      <c r="J633" s="21" t="s">
        <v>4457</v>
      </c>
      <c r="K633" s="21"/>
      <c r="L633" s="21" t="s">
        <v>4821</v>
      </c>
      <c r="M633" s="26" t="s">
        <v>4822</v>
      </c>
      <c r="N633" s="44">
        <v>42852</v>
      </c>
      <c r="O633" s="22" t="s">
        <v>15</v>
      </c>
      <c r="P633" s="22">
        <f>33672+(3240+5940)</f>
        <v>42852</v>
      </c>
      <c r="Q633" s="24">
        <f t="shared" si="63"/>
        <v>0</v>
      </c>
      <c r="R633" s="24">
        <f t="shared" si="62"/>
        <v>42852</v>
      </c>
    </row>
    <row r="634" spans="2:18" hidden="1" x14ac:dyDescent="0.25">
      <c r="B634" s="21" t="s">
        <v>395</v>
      </c>
      <c r="C634" s="22" t="s">
        <v>2450</v>
      </c>
      <c r="D634" s="22"/>
      <c r="E634" s="21" t="s">
        <v>0</v>
      </c>
      <c r="F634" s="21"/>
      <c r="G634" s="147" t="s">
        <v>6365</v>
      </c>
      <c r="H634" s="23" t="s">
        <v>4538</v>
      </c>
      <c r="I634" s="23" t="s">
        <v>8312</v>
      </c>
      <c r="J634" s="21" t="s">
        <v>4458</v>
      </c>
      <c r="K634" s="21"/>
      <c r="L634" s="21" t="s">
        <v>4518</v>
      </c>
      <c r="M634" s="26">
        <v>44253</v>
      </c>
      <c r="N634" s="44">
        <v>1640</v>
      </c>
      <c r="O634" s="22" t="s">
        <v>15</v>
      </c>
      <c r="P634" s="22" t="s">
        <v>19</v>
      </c>
      <c r="Q634" s="24">
        <f t="shared" si="63"/>
        <v>0</v>
      </c>
      <c r="R634" s="24">
        <f t="shared" si="62"/>
        <v>1640</v>
      </c>
    </row>
    <row r="635" spans="2:18" hidden="1" x14ac:dyDescent="0.25">
      <c r="B635" s="21" t="s">
        <v>395</v>
      </c>
      <c r="C635" s="22" t="s">
        <v>2450</v>
      </c>
      <c r="D635" s="22"/>
      <c r="E635" s="21" t="s">
        <v>0</v>
      </c>
      <c r="F635" s="21"/>
      <c r="G635" s="147" t="s">
        <v>6365</v>
      </c>
      <c r="H635" s="23" t="s">
        <v>4538</v>
      </c>
      <c r="I635" s="23" t="s">
        <v>8312</v>
      </c>
      <c r="J635" s="21" t="s">
        <v>4458</v>
      </c>
      <c r="K635" s="21"/>
      <c r="L635" s="21" t="s">
        <v>4700</v>
      </c>
      <c r="M635" s="26">
        <v>44284</v>
      </c>
      <c r="N635" s="44">
        <v>1640</v>
      </c>
      <c r="O635" s="22" t="s">
        <v>15</v>
      </c>
      <c r="P635" s="22" t="s">
        <v>19</v>
      </c>
      <c r="Q635" s="24">
        <f t="shared" si="63"/>
        <v>0</v>
      </c>
      <c r="R635" s="24">
        <f t="shared" si="62"/>
        <v>1640</v>
      </c>
    </row>
    <row r="636" spans="2:18" hidden="1" x14ac:dyDescent="0.25">
      <c r="B636" s="21" t="s">
        <v>395</v>
      </c>
      <c r="C636" s="22" t="s">
        <v>2450</v>
      </c>
      <c r="D636" s="22"/>
      <c r="E636" s="21" t="s">
        <v>0</v>
      </c>
      <c r="F636" s="21"/>
      <c r="G636" s="147" t="s">
        <v>6365</v>
      </c>
      <c r="H636" s="23" t="s">
        <v>4538</v>
      </c>
      <c r="I636" s="23" t="s">
        <v>8312</v>
      </c>
      <c r="J636" s="21" t="s">
        <v>4458</v>
      </c>
      <c r="K636" s="21"/>
      <c r="L636" s="21" t="s">
        <v>4823</v>
      </c>
      <c r="M636" s="26">
        <v>44312</v>
      </c>
      <c r="N636" s="44">
        <v>1640</v>
      </c>
      <c r="O636" s="22" t="s">
        <v>15</v>
      </c>
      <c r="P636" s="22" t="s">
        <v>19</v>
      </c>
      <c r="Q636" s="24">
        <f t="shared" si="63"/>
        <v>0</v>
      </c>
      <c r="R636" s="24">
        <f t="shared" ref="R636:R692" si="64">IF(P636="OK",N636-Q636,IF(P636="en cours",N636-Q636,P636))</f>
        <v>1640</v>
      </c>
    </row>
    <row r="637" spans="2:18" x14ac:dyDescent="0.25">
      <c r="C637" s="4" t="s">
        <v>2450</v>
      </c>
      <c r="E637" s="5" t="s">
        <v>0</v>
      </c>
      <c r="G637" s="146" t="s">
        <v>6365</v>
      </c>
      <c r="H637" s="7" t="s">
        <v>4538</v>
      </c>
      <c r="I637" s="7" t="s">
        <v>8312</v>
      </c>
      <c r="J637" s="5" t="s">
        <v>4459</v>
      </c>
      <c r="N637" s="45">
        <v>800</v>
      </c>
      <c r="O637" s="4" t="s">
        <v>15</v>
      </c>
      <c r="P637" s="4"/>
      <c r="Q637" s="3">
        <f t="shared" si="63"/>
        <v>800</v>
      </c>
      <c r="R637" s="3">
        <f t="shared" si="64"/>
        <v>0</v>
      </c>
    </row>
    <row r="638" spans="2:18" x14ac:dyDescent="0.25">
      <c r="C638" s="4" t="s">
        <v>2450</v>
      </c>
      <c r="E638" s="5" t="s">
        <v>0</v>
      </c>
      <c r="G638" s="146" t="s">
        <v>6365</v>
      </c>
      <c r="H638" s="7" t="s">
        <v>4538</v>
      </c>
      <c r="I638" s="7" t="s">
        <v>8312</v>
      </c>
      <c r="J638" s="5" t="s">
        <v>4460</v>
      </c>
      <c r="N638" s="45">
        <v>1000</v>
      </c>
      <c r="O638" s="4" t="s">
        <v>15</v>
      </c>
      <c r="P638" s="4"/>
      <c r="Q638" s="3">
        <f t="shared" si="63"/>
        <v>1000</v>
      </c>
      <c r="R638" s="3">
        <f t="shared" si="64"/>
        <v>0</v>
      </c>
    </row>
    <row r="639" spans="2:18" x14ac:dyDescent="0.25">
      <c r="C639" s="4" t="s">
        <v>2450</v>
      </c>
      <c r="E639" s="5" t="s">
        <v>0</v>
      </c>
      <c r="G639" s="146" t="s">
        <v>6365</v>
      </c>
      <c r="H639" s="7" t="s">
        <v>4538</v>
      </c>
      <c r="I639" s="7" t="s">
        <v>8312</v>
      </c>
      <c r="J639" s="5" t="s">
        <v>4461</v>
      </c>
      <c r="L639" s="5" t="s">
        <v>5325</v>
      </c>
      <c r="M639" s="12">
        <v>44383</v>
      </c>
      <c r="N639" s="45">
        <v>2210</v>
      </c>
      <c r="O639" s="4" t="s">
        <v>15</v>
      </c>
      <c r="P639" s="4">
        <v>734.43</v>
      </c>
      <c r="Q639" s="3">
        <f t="shared" si="63"/>
        <v>1475.5700000000002</v>
      </c>
      <c r="R639" s="3">
        <f t="shared" si="64"/>
        <v>734.43</v>
      </c>
    </row>
    <row r="640" spans="2:18" hidden="1" x14ac:dyDescent="0.25">
      <c r="B640" s="21" t="s">
        <v>395</v>
      </c>
      <c r="C640" s="22" t="s">
        <v>2450</v>
      </c>
      <c r="D640" s="22"/>
      <c r="E640" s="21" t="s">
        <v>0</v>
      </c>
      <c r="F640" s="21"/>
      <c r="G640" s="147" t="s">
        <v>6365</v>
      </c>
      <c r="H640" s="23" t="s">
        <v>7819</v>
      </c>
      <c r="I640" s="23" t="s">
        <v>8300</v>
      </c>
      <c r="J640" s="21" t="s">
        <v>5846</v>
      </c>
      <c r="K640" s="21"/>
      <c r="L640" s="21" t="s">
        <v>8875</v>
      </c>
      <c r="M640" s="26">
        <v>45198</v>
      </c>
      <c r="N640" s="44">
        <v>2598</v>
      </c>
      <c r="O640" s="22" t="s">
        <v>15</v>
      </c>
      <c r="P640" s="22">
        <v>2598</v>
      </c>
      <c r="Q640" s="24">
        <f t="shared" si="63"/>
        <v>0</v>
      </c>
      <c r="R640" s="24">
        <f t="shared" si="64"/>
        <v>2598</v>
      </c>
    </row>
    <row r="641" spans="1:18" x14ac:dyDescent="0.25">
      <c r="A641" s="265"/>
      <c r="C641" s="4" t="s">
        <v>2450</v>
      </c>
      <c r="E641" s="5" t="s">
        <v>0</v>
      </c>
      <c r="G641" s="146" t="s">
        <v>6365</v>
      </c>
      <c r="H641" s="7" t="s">
        <v>7819</v>
      </c>
      <c r="I641" s="7" t="s">
        <v>8300</v>
      </c>
      <c r="J641" s="5" t="s">
        <v>5847</v>
      </c>
      <c r="L641" s="5" t="s">
        <v>10519</v>
      </c>
      <c r="M641" s="12">
        <v>45565</v>
      </c>
      <c r="N641" s="45">
        <v>2598</v>
      </c>
      <c r="O641" s="4" t="s">
        <v>15</v>
      </c>
      <c r="P641" s="4">
        <v>2598</v>
      </c>
      <c r="Q641" s="3">
        <f t="shared" si="63"/>
        <v>0</v>
      </c>
      <c r="R641" s="3">
        <f t="shared" si="64"/>
        <v>2598</v>
      </c>
    </row>
    <row r="642" spans="1:18" hidden="1" x14ac:dyDescent="0.25">
      <c r="B642" s="21" t="s">
        <v>395</v>
      </c>
      <c r="C642" s="22" t="s">
        <v>2450</v>
      </c>
      <c r="D642" s="22"/>
      <c r="E642" s="21" t="s">
        <v>0</v>
      </c>
      <c r="F642" s="21"/>
      <c r="G642" s="147" t="s">
        <v>6365</v>
      </c>
      <c r="H642" s="23" t="s">
        <v>7819</v>
      </c>
      <c r="I642" s="23" t="s">
        <v>8300</v>
      </c>
      <c r="J642" s="21" t="s">
        <v>5848</v>
      </c>
      <c r="K642" s="21"/>
      <c r="L642" s="21" t="s">
        <v>12692</v>
      </c>
      <c r="M642" s="26">
        <v>45929</v>
      </c>
      <c r="N642" s="44">
        <v>2723</v>
      </c>
      <c r="O642" s="22" t="s">
        <v>15</v>
      </c>
      <c r="P642" s="22">
        <v>2723</v>
      </c>
      <c r="Q642" s="24">
        <f t="shared" si="63"/>
        <v>0</v>
      </c>
      <c r="R642" s="24">
        <f t="shared" si="64"/>
        <v>2723</v>
      </c>
    </row>
    <row r="643" spans="1:18" hidden="1" x14ac:dyDescent="0.25">
      <c r="B643" s="21" t="s">
        <v>395</v>
      </c>
      <c r="C643" s="22" t="s">
        <v>2450</v>
      </c>
      <c r="D643" s="22"/>
      <c r="E643" s="21" t="s">
        <v>0</v>
      </c>
      <c r="F643" s="21"/>
      <c r="G643" s="147" t="s">
        <v>6365</v>
      </c>
      <c r="H643" s="23" t="s">
        <v>7819</v>
      </c>
      <c r="I643" s="23" t="s">
        <v>8300</v>
      </c>
      <c r="J643" s="21" t="s">
        <v>5854</v>
      </c>
      <c r="K643" s="21"/>
      <c r="L643" s="21" t="s">
        <v>8511</v>
      </c>
      <c r="M643" s="26">
        <v>45100</v>
      </c>
      <c r="N643" s="44">
        <v>7028</v>
      </c>
      <c r="O643" s="22" t="s">
        <v>15</v>
      </c>
      <c r="P643" s="22">
        <f>7028</f>
        <v>7028</v>
      </c>
      <c r="Q643" s="24">
        <f t="shared" si="63"/>
        <v>0</v>
      </c>
      <c r="R643" s="24">
        <f t="shared" si="64"/>
        <v>7028</v>
      </c>
    </row>
    <row r="644" spans="1:18" hidden="1" x14ac:dyDescent="0.25">
      <c r="B644" s="21" t="s">
        <v>395</v>
      </c>
      <c r="C644" s="22" t="s">
        <v>2450</v>
      </c>
      <c r="D644" s="22"/>
      <c r="E644" s="21" t="s">
        <v>0</v>
      </c>
      <c r="F644" s="21"/>
      <c r="G644" s="147" t="s">
        <v>6365</v>
      </c>
      <c r="H644" s="23" t="s">
        <v>7819</v>
      </c>
      <c r="I644" s="23" t="s">
        <v>8300</v>
      </c>
      <c r="J644" s="21" t="s">
        <v>5855</v>
      </c>
      <c r="K644" s="21"/>
      <c r="L644" s="21" t="s">
        <v>8874</v>
      </c>
      <c r="M644" s="26">
        <v>45198</v>
      </c>
      <c r="N644" s="44">
        <v>8378</v>
      </c>
      <c r="O644" s="22" t="s">
        <v>15</v>
      </c>
      <c r="P644" s="22">
        <v>8378</v>
      </c>
      <c r="Q644" s="24">
        <f t="shared" si="63"/>
        <v>0</v>
      </c>
      <c r="R644" s="24">
        <f t="shared" si="64"/>
        <v>8378</v>
      </c>
    </row>
    <row r="645" spans="1:18" hidden="1" x14ac:dyDescent="0.25">
      <c r="B645" s="21" t="s">
        <v>395</v>
      </c>
      <c r="C645" s="22" t="s">
        <v>2450</v>
      </c>
      <c r="D645" s="22"/>
      <c r="E645" s="21" t="s">
        <v>0</v>
      </c>
      <c r="F645" s="21"/>
      <c r="G645" s="147" t="s">
        <v>6365</v>
      </c>
      <c r="H645" s="23" t="s">
        <v>7819</v>
      </c>
      <c r="I645" s="23" t="s">
        <v>8300</v>
      </c>
      <c r="J645" s="21" t="s">
        <v>5856</v>
      </c>
      <c r="K645" s="21"/>
      <c r="L645" s="21"/>
      <c r="M645" s="26"/>
      <c r="N645" s="44">
        <v>8378</v>
      </c>
      <c r="O645" s="22" t="s">
        <v>15</v>
      </c>
      <c r="P645" s="22"/>
      <c r="Q645" s="24">
        <f t="shared" si="63"/>
        <v>8378</v>
      </c>
      <c r="R645" s="24">
        <f t="shared" si="64"/>
        <v>0</v>
      </c>
    </row>
    <row r="646" spans="1:18" hidden="1" x14ac:dyDescent="0.25">
      <c r="B646" s="21" t="s">
        <v>395</v>
      </c>
      <c r="C646" s="22" t="s">
        <v>2450</v>
      </c>
      <c r="D646" s="22"/>
      <c r="E646" s="21" t="s">
        <v>0</v>
      </c>
      <c r="F646" s="21"/>
      <c r="G646" s="147" t="s">
        <v>6365</v>
      </c>
      <c r="H646" s="23" t="s">
        <v>7819</v>
      </c>
      <c r="I646" s="23" t="s">
        <v>8300</v>
      </c>
      <c r="J646" s="21" t="s">
        <v>5857</v>
      </c>
      <c r="K646" s="21"/>
      <c r="L646" s="21" t="s">
        <v>10687</v>
      </c>
      <c r="M646" s="26">
        <v>45596</v>
      </c>
      <c r="N646" s="44">
        <v>8378</v>
      </c>
      <c r="O646" s="22" t="s">
        <v>15</v>
      </c>
      <c r="P646" s="22">
        <v>8378</v>
      </c>
      <c r="Q646" s="24">
        <f t="shared" si="63"/>
        <v>0</v>
      </c>
      <c r="R646" s="24">
        <f t="shared" si="64"/>
        <v>8378</v>
      </c>
    </row>
    <row r="647" spans="1:18" hidden="1" x14ac:dyDescent="0.25">
      <c r="B647" s="5" t="s">
        <v>395</v>
      </c>
      <c r="C647" s="4" t="s">
        <v>2450</v>
      </c>
      <c r="E647" s="5" t="s">
        <v>0</v>
      </c>
      <c r="G647" s="146" t="s">
        <v>6365</v>
      </c>
      <c r="H647" s="7" t="s">
        <v>7819</v>
      </c>
      <c r="I647" s="7" t="s">
        <v>8300</v>
      </c>
      <c r="J647" s="5" t="s">
        <v>5858</v>
      </c>
      <c r="M647" s="12">
        <v>45964</v>
      </c>
      <c r="N647" s="45">
        <v>8378</v>
      </c>
      <c r="O647" s="4" t="s">
        <v>15</v>
      </c>
      <c r="P647" s="4">
        <v>8378</v>
      </c>
      <c r="Q647" s="3">
        <f t="shared" si="63"/>
        <v>0</v>
      </c>
      <c r="R647" s="3">
        <f t="shared" si="64"/>
        <v>8378</v>
      </c>
    </row>
    <row r="648" spans="1:18" x14ac:dyDescent="0.25">
      <c r="C648" s="4" t="s">
        <v>2450</v>
      </c>
      <c r="E648" s="5" t="s">
        <v>0</v>
      </c>
      <c r="G648" s="146" t="s">
        <v>6365</v>
      </c>
      <c r="H648" s="7" t="s">
        <v>7819</v>
      </c>
      <c r="I648" s="7" t="s">
        <v>8300</v>
      </c>
      <c r="J648" s="5" t="s">
        <v>5859</v>
      </c>
      <c r="M648" s="12"/>
      <c r="N648" s="45">
        <v>8078</v>
      </c>
      <c r="O648" s="4" t="s">
        <v>15</v>
      </c>
      <c r="P648" s="4"/>
      <c r="Q648" s="3">
        <f t="shared" si="63"/>
        <v>8078</v>
      </c>
      <c r="R648" s="3">
        <f t="shared" si="64"/>
        <v>0</v>
      </c>
    </row>
    <row r="649" spans="1:18" hidden="1" x14ac:dyDescent="0.25">
      <c r="B649" s="21" t="s">
        <v>395</v>
      </c>
      <c r="C649" s="22" t="s">
        <v>2450</v>
      </c>
      <c r="D649" s="22" t="s">
        <v>5863</v>
      </c>
      <c r="E649" s="21" t="s">
        <v>0</v>
      </c>
      <c r="F649" s="21"/>
      <c r="G649" s="147" t="s">
        <v>6365</v>
      </c>
      <c r="H649" s="23" t="s">
        <v>5860</v>
      </c>
      <c r="I649" s="23" t="s">
        <v>8309</v>
      </c>
      <c r="J649" s="21" t="s">
        <v>4978</v>
      </c>
      <c r="K649" s="21"/>
      <c r="L649" s="21" t="s">
        <v>5376</v>
      </c>
      <c r="M649" s="26">
        <v>44347</v>
      </c>
      <c r="N649" s="44">
        <v>1710</v>
      </c>
      <c r="O649" s="22" t="s">
        <v>15</v>
      </c>
      <c r="P649" s="22">
        <v>1710</v>
      </c>
      <c r="Q649" s="24">
        <f t="shared" si="63"/>
        <v>0</v>
      </c>
      <c r="R649" s="24">
        <f t="shared" si="64"/>
        <v>1710</v>
      </c>
    </row>
    <row r="650" spans="1:18" hidden="1" x14ac:dyDescent="0.25">
      <c r="B650" s="21" t="s">
        <v>395</v>
      </c>
      <c r="C650" s="22" t="s">
        <v>2450</v>
      </c>
      <c r="D650" s="22" t="s">
        <v>5863</v>
      </c>
      <c r="E650" s="21" t="s">
        <v>0</v>
      </c>
      <c r="F650" s="21"/>
      <c r="G650" s="147" t="s">
        <v>6365</v>
      </c>
      <c r="H650" s="23" t="s">
        <v>5861</v>
      </c>
      <c r="I650" s="23" t="s">
        <v>8309</v>
      </c>
      <c r="J650" s="21" t="s">
        <v>4979</v>
      </c>
      <c r="K650" s="21"/>
      <c r="L650" s="21" t="s">
        <v>5972</v>
      </c>
      <c r="M650" s="26" t="s">
        <v>5973</v>
      </c>
      <c r="N650" s="44">
        <v>5760</v>
      </c>
      <c r="O650" s="22" t="s">
        <v>15</v>
      </c>
      <c r="P650" s="22">
        <f>1440+4320</f>
        <v>5760</v>
      </c>
      <c r="Q650" s="24">
        <f t="shared" si="63"/>
        <v>0</v>
      </c>
      <c r="R650" s="24">
        <f t="shared" si="64"/>
        <v>5760</v>
      </c>
    </row>
    <row r="651" spans="1:18" hidden="1" x14ac:dyDescent="0.25">
      <c r="B651" s="21" t="s">
        <v>395</v>
      </c>
      <c r="C651" s="22" t="s">
        <v>2450</v>
      </c>
      <c r="D651" s="22" t="s">
        <v>5863</v>
      </c>
      <c r="E651" s="21" t="s">
        <v>0</v>
      </c>
      <c r="F651" s="21"/>
      <c r="G651" s="147" t="s">
        <v>6365</v>
      </c>
      <c r="H651" s="23" t="s">
        <v>5860</v>
      </c>
      <c r="I651" s="23" t="s">
        <v>8309</v>
      </c>
      <c r="J651" s="21" t="s">
        <v>4981</v>
      </c>
      <c r="K651" s="21"/>
      <c r="L651" s="21" t="s">
        <v>5626</v>
      </c>
      <c r="M651" s="26" t="s">
        <v>5627</v>
      </c>
      <c r="N651" s="44">
        <v>47830</v>
      </c>
      <c r="O651" s="22" t="s">
        <v>15</v>
      </c>
      <c r="P651" s="22">
        <f>11322.5+36507.5</f>
        <v>47830</v>
      </c>
      <c r="Q651" s="24">
        <f t="shared" si="63"/>
        <v>0</v>
      </c>
      <c r="R651" s="24">
        <f t="shared" si="64"/>
        <v>47830</v>
      </c>
    </row>
    <row r="652" spans="1:18" hidden="1" x14ac:dyDescent="0.25">
      <c r="B652" s="21" t="s">
        <v>395</v>
      </c>
      <c r="C652" s="22" t="s">
        <v>2450</v>
      </c>
      <c r="D652" s="22" t="s">
        <v>5863</v>
      </c>
      <c r="E652" s="21" t="s">
        <v>0</v>
      </c>
      <c r="F652" s="21"/>
      <c r="G652" s="147" t="s">
        <v>6365</v>
      </c>
      <c r="H652" s="23" t="s">
        <v>5860</v>
      </c>
      <c r="I652" s="23" t="s">
        <v>8309</v>
      </c>
      <c r="J652" s="21" t="s">
        <v>4980</v>
      </c>
      <c r="K652" s="21"/>
      <c r="L652" s="21" t="s">
        <v>5512</v>
      </c>
      <c r="M652" s="26">
        <v>44406</v>
      </c>
      <c r="N652" s="44">
        <v>7830</v>
      </c>
      <c r="O652" s="22" t="s">
        <v>15</v>
      </c>
      <c r="P652" s="22">
        <v>7830</v>
      </c>
      <c r="Q652" s="24">
        <f t="shared" si="63"/>
        <v>0</v>
      </c>
      <c r="R652" s="24">
        <f t="shared" si="64"/>
        <v>7830</v>
      </c>
    </row>
    <row r="653" spans="1:18" hidden="1" x14ac:dyDescent="0.25">
      <c r="B653" s="21" t="s">
        <v>395</v>
      </c>
      <c r="C653" s="22" t="s">
        <v>2450</v>
      </c>
      <c r="D653" s="22" t="s">
        <v>5863</v>
      </c>
      <c r="E653" s="21" t="s">
        <v>0</v>
      </c>
      <c r="F653" s="21"/>
      <c r="G653" s="147" t="s">
        <v>6365</v>
      </c>
      <c r="H653" s="23" t="s">
        <v>5861</v>
      </c>
      <c r="I653" s="23" t="s">
        <v>8309</v>
      </c>
      <c r="J653" s="21" t="s">
        <v>4982</v>
      </c>
      <c r="K653" s="21"/>
      <c r="L653" s="21" t="s">
        <v>5974</v>
      </c>
      <c r="M653" s="26" t="s">
        <v>5975</v>
      </c>
      <c r="N653" s="44">
        <v>3780</v>
      </c>
      <c r="O653" s="22" t="s">
        <v>15</v>
      </c>
      <c r="P653" s="22">
        <f>720+3060</f>
        <v>3780</v>
      </c>
      <c r="Q653" s="24">
        <f t="shared" si="63"/>
        <v>0</v>
      </c>
      <c r="R653" s="24">
        <f t="shared" si="64"/>
        <v>3780</v>
      </c>
    </row>
    <row r="654" spans="1:18" hidden="1" x14ac:dyDescent="0.25">
      <c r="B654" s="21" t="s">
        <v>395</v>
      </c>
      <c r="C654" s="22" t="s">
        <v>2450</v>
      </c>
      <c r="D654" s="22" t="s">
        <v>5863</v>
      </c>
      <c r="E654" s="21" t="s">
        <v>0</v>
      </c>
      <c r="F654" s="21"/>
      <c r="G654" s="147" t="s">
        <v>6365</v>
      </c>
      <c r="H654" s="23" t="s">
        <v>5860</v>
      </c>
      <c r="I654" s="23" t="s">
        <v>8309</v>
      </c>
      <c r="J654" s="21" t="s">
        <v>4983</v>
      </c>
      <c r="K654" s="21"/>
      <c r="L654" s="21" t="s">
        <v>5626</v>
      </c>
      <c r="M654" s="26" t="s">
        <v>5628</v>
      </c>
      <c r="N654" s="44">
        <v>38009</v>
      </c>
      <c r="O654" s="22" t="s">
        <v>15</v>
      </c>
      <c r="P654" s="22">
        <f>9484.75+28524.25</f>
        <v>38009</v>
      </c>
      <c r="Q654" s="24">
        <f t="shared" si="63"/>
        <v>0</v>
      </c>
      <c r="R654" s="24">
        <f t="shared" si="64"/>
        <v>38009</v>
      </c>
    </row>
    <row r="655" spans="1:18" hidden="1" x14ac:dyDescent="0.25">
      <c r="B655" s="21" t="s">
        <v>395</v>
      </c>
      <c r="C655" s="22" t="s">
        <v>2450</v>
      </c>
      <c r="D655" s="22" t="s">
        <v>5863</v>
      </c>
      <c r="E655" s="21" t="s">
        <v>0</v>
      </c>
      <c r="F655" s="21"/>
      <c r="G655" s="147" t="s">
        <v>6365</v>
      </c>
      <c r="H655" s="23" t="s">
        <v>5861</v>
      </c>
      <c r="I655" s="23" t="s">
        <v>8309</v>
      </c>
      <c r="J655" s="21" t="s">
        <v>4984</v>
      </c>
      <c r="K655" s="21"/>
      <c r="L655" s="21" t="s">
        <v>5976</v>
      </c>
      <c r="M655" s="26" t="s">
        <v>5977</v>
      </c>
      <c r="N655" s="44">
        <v>11430</v>
      </c>
      <c r="O655" s="22" t="s">
        <v>15</v>
      </c>
      <c r="P655" s="22">
        <f>2857.5+8572.5</f>
        <v>11430</v>
      </c>
      <c r="Q655" s="24">
        <f t="shared" si="63"/>
        <v>0</v>
      </c>
      <c r="R655" s="24">
        <f t="shared" si="64"/>
        <v>11430</v>
      </c>
    </row>
    <row r="656" spans="1:18" hidden="1" x14ac:dyDescent="0.25">
      <c r="B656" s="21" t="s">
        <v>395</v>
      </c>
      <c r="C656" s="22" t="s">
        <v>2450</v>
      </c>
      <c r="D656" s="22" t="s">
        <v>5863</v>
      </c>
      <c r="E656" s="21" t="s">
        <v>0</v>
      </c>
      <c r="F656" s="21"/>
      <c r="G656" s="147" t="s">
        <v>6365</v>
      </c>
      <c r="H656" s="23" t="s">
        <v>5860</v>
      </c>
      <c r="I656" s="23" t="s">
        <v>8309</v>
      </c>
      <c r="J656" s="21" t="s">
        <v>4985</v>
      </c>
      <c r="K656" s="21"/>
      <c r="L656" s="21" t="s">
        <v>5042</v>
      </c>
      <c r="M656" s="26">
        <v>44335</v>
      </c>
      <c r="N656" s="44">
        <v>1640</v>
      </c>
      <c r="O656" s="22" t="s">
        <v>15</v>
      </c>
      <c r="P656" s="22">
        <v>1640</v>
      </c>
      <c r="Q656" s="24">
        <f t="shared" si="63"/>
        <v>0</v>
      </c>
      <c r="R656" s="24">
        <f t="shared" si="64"/>
        <v>1640</v>
      </c>
    </row>
    <row r="657" spans="2:18" hidden="1" x14ac:dyDescent="0.25">
      <c r="B657" s="21" t="s">
        <v>395</v>
      </c>
      <c r="C657" s="22" t="s">
        <v>2450</v>
      </c>
      <c r="D657" s="22" t="s">
        <v>5863</v>
      </c>
      <c r="E657" s="21" t="s">
        <v>0</v>
      </c>
      <c r="F657" s="21"/>
      <c r="G657" s="147" t="s">
        <v>6365</v>
      </c>
      <c r="H657" s="23" t="s">
        <v>5860</v>
      </c>
      <c r="I657" s="23" t="s">
        <v>8309</v>
      </c>
      <c r="J657" s="21" t="s">
        <v>4985</v>
      </c>
      <c r="K657" s="21"/>
      <c r="L657" s="21" t="s">
        <v>5042</v>
      </c>
      <c r="M657" s="26">
        <v>44335</v>
      </c>
      <c r="N657" s="44">
        <v>1640</v>
      </c>
      <c r="O657" s="22" t="s">
        <v>15</v>
      </c>
      <c r="P657" s="22">
        <v>1640</v>
      </c>
      <c r="Q657" s="24">
        <f t="shared" si="63"/>
        <v>0</v>
      </c>
      <c r="R657" s="24">
        <f t="shared" si="64"/>
        <v>1640</v>
      </c>
    </row>
    <row r="658" spans="2:18" hidden="1" x14ac:dyDescent="0.25">
      <c r="B658" s="21" t="s">
        <v>395</v>
      </c>
      <c r="C658" s="22" t="s">
        <v>2450</v>
      </c>
      <c r="D658" s="22" t="s">
        <v>5863</v>
      </c>
      <c r="E658" s="21" t="s">
        <v>0</v>
      </c>
      <c r="F658" s="21"/>
      <c r="G658" s="147" t="s">
        <v>6365</v>
      </c>
      <c r="H658" s="23" t="s">
        <v>5860</v>
      </c>
      <c r="I658" s="23" t="s">
        <v>8309</v>
      </c>
      <c r="J658" s="21" t="s">
        <v>4985</v>
      </c>
      <c r="K658" s="21"/>
      <c r="L658" s="21" t="s">
        <v>5283</v>
      </c>
      <c r="M658" s="26">
        <v>44373</v>
      </c>
      <c r="N658" s="44">
        <v>1640</v>
      </c>
      <c r="O658" s="22" t="s">
        <v>15</v>
      </c>
      <c r="P658" s="22">
        <v>1640</v>
      </c>
      <c r="Q658" s="24">
        <f t="shared" si="63"/>
        <v>0</v>
      </c>
      <c r="R658" s="24">
        <f t="shared" si="64"/>
        <v>1640</v>
      </c>
    </row>
    <row r="659" spans="2:18" hidden="1" x14ac:dyDescent="0.25">
      <c r="B659" s="21" t="s">
        <v>395</v>
      </c>
      <c r="C659" s="22" t="s">
        <v>2450</v>
      </c>
      <c r="D659" s="22" t="s">
        <v>5863</v>
      </c>
      <c r="E659" s="21" t="s">
        <v>0</v>
      </c>
      <c r="F659" s="21"/>
      <c r="G659" s="147" t="s">
        <v>6365</v>
      </c>
      <c r="H659" s="23" t="s">
        <v>5860</v>
      </c>
      <c r="I659" s="23" t="s">
        <v>8309</v>
      </c>
      <c r="J659" s="21" t="s">
        <v>4985</v>
      </c>
      <c r="K659" s="21"/>
      <c r="L659" s="21" t="s">
        <v>5512</v>
      </c>
      <c r="M659" s="26">
        <v>44406</v>
      </c>
      <c r="N659" s="44">
        <v>1640</v>
      </c>
      <c r="O659" s="22" t="s">
        <v>15</v>
      </c>
      <c r="P659" s="22">
        <v>1640</v>
      </c>
      <c r="Q659" s="24">
        <f t="shared" si="63"/>
        <v>0</v>
      </c>
      <c r="R659" s="24">
        <f t="shared" si="64"/>
        <v>1640</v>
      </c>
    </row>
    <row r="660" spans="2:18" hidden="1" x14ac:dyDescent="0.25">
      <c r="B660" s="21" t="s">
        <v>395</v>
      </c>
      <c r="C660" s="22" t="s">
        <v>2450</v>
      </c>
      <c r="D660" s="22" t="s">
        <v>5863</v>
      </c>
      <c r="E660" s="21" t="s">
        <v>0</v>
      </c>
      <c r="F660" s="21"/>
      <c r="G660" s="147" t="s">
        <v>6365</v>
      </c>
      <c r="H660" s="23" t="s">
        <v>5862</v>
      </c>
      <c r="I660" s="23" t="s">
        <v>8300</v>
      </c>
      <c r="J660" s="21" t="s">
        <v>5841</v>
      </c>
      <c r="K660" s="21"/>
      <c r="L660" s="21" t="s">
        <v>5864</v>
      </c>
      <c r="M660" s="26">
        <v>44469</v>
      </c>
      <c r="N660" s="44">
        <v>1370</v>
      </c>
      <c r="O660" s="22" t="s">
        <v>15</v>
      </c>
      <c r="P660" s="22">
        <v>1370</v>
      </c>
      <c r="Q660" s="24">
        <f t="shared" si="63"/>
        <v>0</v>
      </c>
      <c r="R660" s="24">
        <f t="shared" si="64"/>
        <v>1370</v>
      </c>
    </row>
    <row r="661" spans="2:18" hidden="1" x14ac:dyDescent="0.25">
      <c r="B661" s="21" t="s">
        <v>395</v>
      </c>
      <c r="C661" s="22" t="s">
        <v>2450</v>
      </c>
      <c r="D661" s="22" t="s">
        <v>5863</v>
      </c>
      <c r="E661" s="21" t="s">
        <v>0</v>
      </c>
      <c r="F661" s="21"/>
      <c r="G661" s="147" t="s">
        <v>6365</v>
      </c>
      <c r="H661" s="23" t="s">
        <v>5862</v>
      </c>
      <c r="I661" s="23" t="s">
        <v>8300</v>
      </c>
      <c r="J661" s="21" t="s">
        <v>5842</v>
      </c>
      <c r="K661" s="21"/>
      <c r="L661" s="21" t="s">
        <v>6680</v>
      </c>
      <c r="M661" s="26">
        <v>44663</v>
      </c>
      <c r="N661" s="44">
        <v>2598</v>
      </c>
      <c r="O661" s="22" t="s">
        <v>15</v>
      </c>
      <c r="P661" s="22">
        <v>2598</v>
      </c>
      <c r="Q661" s="24">
        <f t="shared" si="63"/>
        <v>0</v>
      </c>
      <c r="R661" s="24">
        <f t="shared" si="64"/>
        <v>2598</v>
      </c>
    </row>
    <row r="662" spans="2:18" hidden="1" x14ac:dyDescent="0.25">
      <c r="B662" s="21" t="s">
        <v>395</v>
      </c>
      <c r="C662" s="22" t="s">
        <v>2450</v>
      </c>
      <c r="D662" s="22" t="s">
        <v>5863</v>
      </c>
      <c r="E662" s="21" t="s">
        <v>0</v>
      </c>
      <c r="F662" s="21"/>
      <c r="G662" s="147" t="s">
        <v>6365</v>
      </c>
      <c r="H662" s="23" t="s">
        <v>5862</v>
      </c>
      <c r="I662" s="23" t="s">
        <v>8300</v>
      </c>
      <c r="J662" s="21" t="s">
        <v>5843</v>
      </c>
      <c r="K662" s="21"/>
      <c r="L662" s="21" t="s">
        <v>6869</v>
      </c>
      <c r="M662" s="26">
        <v>44741</v>
      </c>
      <c r="N662" s="44">
        <v>2598</v>
      </c>
      <c r="O662" s="22" t="s">
        <v>15</v>
      </c>
      <c r="P662" s="22">
        <v>2598</v>
      </c>
      <c r="Q662" s="24">
        <f t="shared" si="63"/>
        <v>0</v>
      </c>
      <c r="R662" s="24">
        <f t="shared" si="64"/>
        <v>2598</v>
      </c>
    </row>
    <row r="663" spans="2:18" hidden="1" x14ac:dyDescent="0.25">
      <c r="B663" s="21" t="s">
        <v>395</v>
      </c>
      <c r="C663" s="22" t="s">
        <v>2450</v>
      </c>
      <c r="D663" s="22" t="s">
        <v>5863</v>
      </c>
      <c r="E663" s="21" t="s">
        <v>0</v>
      </c>
      <c r="F663" s="21"/>
      <c r="G663" s="147" t="s">
        <v>6365</v>
      </c>
      <c r="H663" s="23" t="s">
        <v>5862</v>
      </c>
      <c r="I663" s="23" t="s">
        <v>8300</v>
      </c>
      <c r="J663" s="21" t="s">
        <v>5844</v>
      </c>
      <c r="K663" s="21"/>
      <c r="L663" s="21" t="s">
        <v>7124</v>
      </c>
      <c r="M663" s="26">
        <v>44834</v>
      </c>
      <c r="N663" s="44">
        <v>2598</v>
      </c>
      <c r="O663" s="22" t="s">
        <v>15</v>
      </c>
      <c r="P663" s="22">
        <v>2598</v>
      </c>
      <c r="Q663" s="24">
        <f t="shared" si="63"/>
        <v>0</v>
      </c>
      <c r="R663" s="24">
        <f t="shared" si="64"/>
        <v>2598</v>
      </c>
    </row>
    <row r="664" spans="2:18" hidden="1" x14ac:dyDescent="0.25">
      <c r="B664" s="21" t="s">
        <v>395</v>
      </c>
      <c r="C664" s="22" t="s">
        <v>2450</v>
      </c>
      <c r="D664" s="22" t="s">
        <v>5863</v>
      </c>
      <c r="E664" s="21" t="s">
        <v>0</v>
      </c>
      <c r="F664" s="21"/>
      <c r="G664" s="147" t="s">
        <v>6365</v>
      </c>
      <c r="H664" s="23" t="s">
        <v>5862</v>
      </c>
      <c r="I664" s="23" t="s">
        <v>8300</v>
      </c>
      <c r="J664" s="21" t="s">
        <v>5845</v>
      </c>
      <c r="K664" s="21"/>
      <c r="L664" s="21" t="s">
        <v>7715</v>
      </c>
      <c r="M664" s="26">
        <v>45012</v>
      </c>
      <c r="N664" s="44">
        <v>2598</v>
      </c>
      <c r="O664" s="22" t="s">
        <v>15</v>
      </c>
      <c r="P664" s="22">
        <v>2598</v>
      </c>
      <c r="Q664" s="24">
        <f t="shared" ref="Q664:Q707" si="65">IF(P664="en cours",N664,IF(P664="OK",0,IF(N664-P664&lt;0,0,N664-P664)))</f>
        <v>0</v>
      </c>
      <c r="R664" s="24">
        <f t="shared" si="64"/>
        <v>2598</v>
      </c>
    </row>
    <row r="665" spans="2:18" hidden="1" x14ac:dyDescent="0.25">
      <c r="B665" s="21" t="s">
        <v>395</v>
      </c>
      <c r="C665" s="22" t="s">
        <v>2450</v>
      </c>
      <c r="D665" s="22" t="s">
        <v>5863</v>
      </c>
      <c r="E665" s="21" t="s">
        <v>0</v>
      </c>
      <c r="F665" s="21"/>
      <c r="G665" s="147" t="s">
        <v>6365</v>
      </c>
      <c r="H665" s="23" t="s">
        <v>5862</v>
      </c>
      <c r="I665" s="23" t="s">
        <v>8300</v>
      </c>
      <c r="J665" s="21" t="s">
        <v>5849</v>
      </c>
      <c r="K665" s="21"/>
      <c r="L665" s="21" t="s">
        <v>6016</v>
      </c>
      <c r="M665" s="26">
        <v>44498</v>
      </c>
      <c r="N665" s="44">
        <v>6203</v>
      </c>
      <c r="O665" s="22" t="s">
        <v>15</v>
      </c>
      <c r="P665" s="22">
        <v>6203</v>
      </c>
      <c r="Q665" s="24">
        <f t="shared" si="65"/>
        <v>0</v>
      </c>
      <c r="R665" s="24">
        <f t="shared" si="64"/>
        <v>6203</v>
      </c>
    </row>
    <row r="666" spans="2:18" hidden="1" x14ac:dyDescent="0.25">
      <c r="B666" s="21" t="s">
        <v>395</v>
      </c>
      <c r="C666" s="22" t="s">
        <v>2450</v>
      </c>
      <c r="D666" s="22" t="s">
        <v>5863</v>
      </c>
      <c r="E666" s="21" t="s">
        <v>0</v>
      </c>
      <c r="F666" s="21"/>
      <c r="G666" s="147" t="s">
        <v>6365</v>
      </c>
      <c r="H666" s="23" t="s">
        <v>5862</v>
      </c>
      <c r="I666" s="23" t="s">
        <v>8300</v>
      </c>
      <c r="J666" s="21" t="s">
        <v>5850</v>
      </c>
      <c r="K666" s="21"/>
      <c r="L666" s="21" t="s">
        <v>6360</v>
      </c>
      <c r="M666" s="26">
        <v>44582</v>
      </c>
      <c r="N666" s="44">
        <v>12458</v>
      </c>
      <c r="O666" s="22" t="s">
        <v>15</v>
      </c>
      <c r="P666" s="22">
        <v>12458</v>
      </c>
      <c r="Q666" s="24">
        <f t="shared" si="65"/>
        <v>0</v>
      </c>
      <c r="R666" s="24">
        <f t="shared" si="64"/>
        <v>12458</v>
      </c>
    </row>
    <row r="667" spans="2:18" hidden="1" x14ac:dyDescent="0.25">
      <c r="B667" s="21" t="s">
        <v>395</v>
      </c>
      <c r="C667" s="22" t="s">
        <v>2450</v>
      </c>
      <c r="D667" s="22" t="s">
        <v>5863</v>
      </c>
      <c r="E667" s="21" t="s">
        <v>0</v>
      </c>
      <c r="F667" s="21"/>
      <c r="G667" s="147" t="s">
        <v>6365</v>
      </c>
      <c r="H667" s="23" t="s">
        <v>5862</v>
      </c>
      <c r="I667" s="23" t="s">
        <v>8300</v>
      </c>
      <c r="J667" s="21" t="s">
        <v>5851</v>
      </c>
      <c r="K667" s="21"/>
      <c r="L667" s="21" t="s">
        <v>6691</v>
      </c>
      <c r="M667" s="26">
        <v>44677</v>
      </c>
      <c r="N667" s="44">
        <v>13133</v>
      </c>
      <c r="O667" s="22" t="s">
        <v>15</v>
      </c>
      <c r="P667" s="22">
        <v>13133</v>
      </c>
      <c r="Q667" s="24">
        <f t="shared" si="65"/>
        <v>0</v>
      </c>
      <c r="R667" s="24">
        <f t="shared" si="64"/>
        <v>13133</v>
      </c>
    </row>
    <row r="668" spans="2:18" hidden="1" x14ac:dyDescent="0.25">
      <c r="B668" s="21" t="s">
        <v>395</v>
      </c>
      <c r="C668" s="22" t="s">
        <v>2450</v>
      </c>
      <c r="D668" s="22" t="s">
        <v>5863</v>
      </c>
      <c r="E668" s="21" t="s">
        <v>0</v>
      </c>
      <c r="F668" s="21"/>
      <c r="G668" s="147" t="s">
        <v>6365</v>
      </c>
      <c r="H668" s="23" t="s">
        <v>5862</v>
      </c>
      <c r="I668" s="23" t="s">
        <v>8300</v>
      </c>
      <c r="J668" s="21" t="s">
        <v>5852</v>
      </c>
      <c r="K668" s="21"/>
      <c r="L668" s="21" t="s">
        <v>6909</v>
      </c>
      <c r="M668" s="26">
        <v>44748</v>
      </c>
      <c r="N668" s="44">
        <v>9743</v>
      </c>
      <c r="O668" s="22" t="s">
        <v>15</v>
      </c>
      <c r="P668" s="22">
        <v>9743</v>
      </c>
      <c r="Q668" s="24">
        <f t="shared" si="65"/>
        <v>0</v>
      </c>
      <c r="R668" s="24">
        <f t="shared" si="64"/>
        <v>9743</v>
      </c>
    </row>
    <row r="669" spans="2:18" hidden="1" x14ac:dyDescent="0.25">
      <c r="B669" s="21" t="s">
        <v>395</v>
      </c>
      <c r="C669" s="22" t="s">
        <v>2450</v>
      </c>
      <c r="D669" s="22" t="s">
        <v>5863</v>
      </c>
      <c r="E669" s="21" t="s">
        <v>0</v>
      </c>
      <c r="F669" s="21"/>
      <c r="G669" s="147" t="s">
        <v>6365</v>
      </c>
      <c r="H669" s="23" t="s">
        <v>5862</v>
      </c>
      <c r="I669" s="23" t="s">
        <v>8300</v>
      </c>
      <c r="J669" s="21" t="s">
        <v>5853</v>
      </c>
      <c r="K669" s="21"/>
      <c r="L669" s="21" t="s">
        <v>7307</v>
      </c>
      <c r="M669" s="26">
        <v>44895</v>
      </c>
      <c r="N669" s="44">
        <v>11768</v>
      </c>
      <c r="O669" s="22" t="s">
        <v>15</v>
      </c>
      <c r="P669" s="22">
        <v>11768</v>
      </c>
      <c r="Q669" s="24">
        <f t="shared" si="65"/>
        <v>0</v>
      </c>
      <c r="R669" s="24">
        <f t="shared" si="64"/>
        <v>11768</v>
      </c>
    </row>
    <row r="670" spans="2:18" hidden="1" x14ac:dyDescent="0.25">
      <c r="B670" s="21" t="s">
        <v>395</v>
      </c>
      <c r="C670" s="22" t="s">
        <v>2450</v>
      </c>
      <c r="D670" s="22"/>
      <c r="E670" s="21" t="s">
        <v>0</v>
      </c>
      <c r="F670" s="21"/>
      <c r="G670" s="147" t="s">
        <v>6365</v>
      </c>
      <c r="H670" s="23" t="s">
        <v>7749</v>
      </c>
      <c r="I670" s="23" t="s">
        <v>8290</v>
      </c>
      <c r="J670" s="21" t="s">
        <v>7745</v>
      </c>
      <c r="K670" s="21"/>
      <c r="L670" s="21" t="s">
        <v>7750</v>
      </c>
      <c r="M670" s="26">
        <v>45015</v>
      </c>
      <c r="N670" s="44">
        <v>6900.01</v>
      </c>
      <c r="O670" s="22" t="s">
        <v>15</v>
      </c>
      <c r="P670" s="44">
        <v>6900.01</v>
      </c>
      <c r="Q670" s="44">
        <f t="shared" si="65"/>
        <v>0</v>
      </c>
      <c r="R670" s="24">
        <f t="shared" si="64"/>
        <v>6900.01</v>
      </c>
    </row>
    <row r="671" spans="2:18" hidden="1" x14ac:dyDescent="0.25">
      <c r="B671" s="21" t="s">
        <v>395</v>
      </c>
      <c r="C671" s="22" t="s">
        <v>2450</v>
      </c>
      <c r="D671" s="22"/>
      <c r="E671" s="21" t="s">
        <v>0</v>
      </c>
      <c r="F671" s="21"/>
      <c r="G671" s="147" t="s">
        <v>6365</v>
      </c>
      <c r="H671" s="23" t="s">
        <v>7749</v>
      </c>
      <c r="I671" s="23" t="s">
        <v>8290</v>
      </c>
      <c r="J671" s="21" t="s">
        <v>7746</v>
      </c>
      <c r="K671" s="21"/>
      <c r="L671" s="21" t="s">
        <v>7750</v>
      </c>
      <c r="M671" s="26">
        <v>45015</v>
      </c>
      <c r="N671" s="44">
        <v>4725.6000000000004</v>
      </c>
      <c r="O671" s="22" t="s">
        <v>15</v>
      </c>
      <c r="P671" s="44">
        <v>4725.6000000000004</v>
      </c>
      <c r="Q671" s="44">
        <f t="shared" si="65"/>
        <v>0</v>
      </c>
      <c r="R671" s="24">
        <f t="shared" si="64"/>
        <v>4725.6000000000004</v>
      </c>
    </row>
    <row r="672" spans="2:18" hidden="1" x14ac:dyDescent="0.25">
      <c r="B672" s="21" t="s">
        <v>395</v>
      </c>
      <c r="C672" s="22" t="s">
        <v>2450</v>
      </c>
      <c r="D672" s="22"/>
      <c r="E672" s="21" t="s">
        <v>0</v>
      </c>
      <c r="F672" s="21"/>
      <c r="G672" s="147" t="s">
        <v>6365</v>
      </c>
      <c r="H672" s="23" t="s">
        <v>7749</v>
      </c>
      <c r="I672" s="23" t="s">
        <v>8290</v>
      </c>
      <c r="J672" s="21" t="s">
        <v>7747</v>
      </c>
      <c r="K672" s="21"/>
      <c r="L672" s="21" t="s">
        <v>7750</v>
      </c>
      <c r="M672" s="26">
        <v>45015</v>
      </c>
      <c r="N672" s="44">
        <v>1520.5</v>
      </c>
      <c r="O672" s="22" t="s">
        <v>15</v>
      </c>
      <c r="P672" s="44">
        <v>1520.5</v>
      </c>
      <c r="Q672" s="44">
        <f t="shared" si="65"/>
        <v>0</v>
      </c>
      <c r="R672" s="24">
        <f t="shared" si="64"/>
        <v>1520.5</v>
      </c>
    </row>
    <row r="673" spans="1:19" hidden="1" x14ac:dyDescent="0.25">
      <c r="B673" s="21" t="s">
        <v>395</v>
      </c>
      <c r="C673" s="22" t="s">
        <v>2450</v>
      </c>
      <c r="D673" s="22"/>
      <c r="E673" s="21" t="s">
        <v>0</v>
      </c>
      <c r="F673" s="21"/>
      <c r="G673" s="147" t="s">
        <v>6365</v>
      </c>
      <c r="H673" s="23" t="s">
        <v>7749</v>
      </c>
      <c r="I673" s="23" t="s">
        <v>8290</v>
      </c>
      <c r="J673" s="21" t="s">
        <v>7748</v>
      </c>
      <c r="K673" s="21"/>
      <c r="L673" s="21" t="s">
        <v>7750</v>
      </c>
      <c r="M673" s="26">
        <v>45015</v>
      </c>
      <c r="N673" s="44">
        <v>1520.5</v>
      </c>
      <c r="O673" s="22" t="s">
        <v>15</v>
      </c>
      <c r="P673" s="44">
        <v>1520.5</v>
      </c>
      <c r="Q673" s="44">
        <f t="shared" si="65"/>
        <v>0</v>
      </c>
      <c r="R673" s="24">
        <f t="shared" si="64"/>
        <v>1520.5</v>
      </c>
    </row>
    <row r="674" spans="1:19" hidden="1" x14ac:dyDescent="0.25">
      <c r="B674" s="21" t="s">
        <v>395</v>
      </c>
      <c r="C674" s="22" t="s">
        <v>2450</v>
      </c>
      <c r="D674" s="22"/>
      <c r="E674" s="21" t="s">
        <v>0</v>
      </c>
      <c r="F674" s="21"/>
      <c r="G674" s="147" t="s">
        <v>6365</v>
      </c>
      <c r="H674" s="23" t="s">
        <v>6366</v>
      </c>
      <c r="I674" s="23" t="s">
        <v>8136</v>
      </c>
      <c r="J674" s="21" t="s">
        <v>6367</v>
      </c>
      <c r="K674" s="21"/>
      <c r="L674" s="21" t="s">
        <v>6770</v>
      </c>
      <c r="M674" s="26" t="s">
        <v>6771</v>
      </c>
      <c r="N674" s="44">
        <v>0</v>
      </c>
      <c r="O674" s="22" t="s">
        <v>15</v>
      </c>
      <c r="P674" s="44">
        <v>0</v>
      </c>
      <c r="Q674" s="24">
        <f t="shared" si="65"/>
        <v>0</v>
      </c>
      <c r="R674" s="24">
        <f t="shared" si="64"/>
        <v>0</v>
      </c>
      <c r="S674" s="5" t="s">
        <v>6837</v>
      </c>
    </row>
    <row r="675" spans="1:19" x14ac:dyDescent="0.25">
      <c r="A675" s="265"/>
      <c r="C675" s="4" t="s">
        <v>2450</v>
      </c>
      <c r="E675" s="5" t="s">
        <v>0</v>
      </c>
      <c r="G675" s="146" t="s">
        <v>6365</v>
      </c>
      <c r="H675" s="7" t="s">
        <v>6800</v>
      </c>
      <c r="I675" s="7" t="s">
        <v>8164</v>
      </c>
      <c r="J675" s="5" t="s">
        <v>6801</v>
      </c>
      <c r="L675" s="5" t="s">
        <v>12690</v>
      </c>
      <c r="M675" s="12" t="s">
        <v>12691</v>
      </c>
      <c r="N675" s="45">
        <v>470836</v>
      </c>
      <c r="O675" s="4" t="s">
        <v>15</v>
      </c>
      <c r="P675" s="45">
        <f>40273.5+21285+3274+1248.75+27146.75+9133+3375+950+38968.5+66677+20895+2000+13669+2503+(3408+4363+7128+7128)+5911+4588+14706+3408+2503+6816+5543+9226+3003.6+3408+3408+13844+3633+3408+3408+10886+16094+2503+2503+3408+3408+16094</f>
        <v>415135.1</v>
      </c>
      <c r="Q675" s="3">
        <f t="shared" si="65"/>
        <v>55700.900000000023</v>
      </c>
      <c r="R675" s="3">
        <f t="shared" si="64"/>
        <v>415135.1</v>
      </c>
    </row>
    <row r="676" spans="1:19" x14ac:dyDescent="0.25">
      <c r="C676" s="4" t="s">
        <v>2450</v>
      </c>
      <c r="E676" s="5" t="s">
        <v>0</v>
      </c>
      <c r="G676" s="146" t="s">
        <v>6365</v>
      </c>
      <c r="H676" s="7" t="s">
        <v>7326</v>
      </c>
      <c r="I676" s="7" t="s">
        <v>8219</v>
      </c>
      <c r="J676" s="5" t="s">
        <v>7317</v>
      </c>
      <c r="L676" s="5" t="s">
        <v>7488</v>
      </c>
      <c r="M676" s="12" t="s">
        <v>7489</v>
      </c>
      <c r="N676" s="45">
        <v>12929</v>
      </c>
      <c r="O676" s="4" t="s">
        <v>15</v>
      </c>
      <c r="P676" s="45">
        <f>(393.75+4349.5+540)-(393.75+4349.5+540)+(393.75+4349.5+540)</f>
        <v>5283.25</v>
      </c>
      <c r="Q676" s="45">
        <f t="shared" si="65"/>
        <v>7645.75</v>
      </c>
      <c r="R676" s="3">
        <f t="shared" si="64"/>
        <v>5283.25</v>
      </c>
      <c r="S676" s="5" t="s">
        <v>7490</v>
      </c>
    </row>
    <row r="677" spans="1:19" x14ac:dyDescent="0.25">
      <c r="C677" s="4" t="s">
        <v>2450</v>
      </c>
      <c r="E677" s="5" t="s">
        <v>0</v>
      </c>
      <c r="G677" s="146" t="s">
        <v>6365</v>
      </c>
      <c r="H677" s="7" t="s">
        <v>7326</v>
      </c>
      <c r="I677" s="7" t="s">
        <v>8219</v>
      </c>
      <c r="J677" s="5" t="s">
        <v>7318</v>
      </c>
      <c r="L677" s="5" t="s">
        <v>7488</v>
      </c>
      <c r="M677" s="12" t="s">
        <v>7489</v>
      </c>
      <c r="N677" s="45">
        <v>20631</v>
      </c>
      <c r="O677" s="4" t="s">
        <v>15</v>
      </c>
      <c r="P677" s="45">
        <f>(281.25+5793+832.5)-(281.25+5793+832.5)+(281.25+5793+697.5)</f>
        <v>6771.75</v>
      </c>
      <c r="Q677" s="45">
        <f t="shared" si="65"/>
        <v>13859.25</v>
      </c>
      <c r="R677" s="3">
        <f t="shared" si="64"/>
        <v>6771.75</v>
      </c>
      <c r="S677" s="5" t="s">
        <v>7490</v>
      </c>
    </row>
    <row r="678" spans="1:19" x14ac:dyDescent="0.25">
      <c r="C678" s="4" t="s">
        <v>2450</v>
      </c>
      <c r="E678" s="5" t="s">
        <v>0</v>
      </c>
      <c r="G678" s="146" t="s">
        <v>6365</v>
      </c>
      <c r="H678" s="7" t="s">
        <v>7326</v>
      </c>
      <c r="I678" s="7" t="s">
        <v>8219</v>
      </c>
      <c r="J678" s="5" t="s">
        <v>7319</v>
      </c>
      <c r="N678" s="45">
        <v>33981</v>
      </c>
      <c r="O678" s="4" t="s">
        <v>15</v>
      </c>
      <c r="Q678" s="45">
        <f t="shared" si="65"/>
        <v>33981</v>
      </c>
      <c r="R678" s="3">
        <f t="shared" si="64"/>
        <v>0</v>
      </c>
      <c r="S678" s="5" t="s">
        <v>7490</v>
      </c>
    </row>
    <row r="679" spans="1:19" x14ac:dyDescent="0.25">
      <c r="C679" s="4" t="s">
        <v>2450</v>
      </c>
      <c r="E679" s="5" t="s">
        <v>0</v>
      </c>
      <c r="G679" s="146" t="s">
        <v>6365</v>
      </c>
      <c r="H679" s="7" t="s">
        <v>7326</v>
      </c>
      <c r="I679" s="7" t="s">
        <v>8219</v>
      </c>
      <c r="J679" s="5" t="s">
        <v>7320</v>
      </c>
      <c r="N679" s="45">
        <v>42440</v>
      </c>
      <c r="O679" s="4" t="s">
        <v>15</v>
      </c>
      <c r="Q679" s="45">
        <f t="shared" si="65"/>
        <v>42440</v>
      </c>
      <c r="R679" s="3">
        <f t="shared" si="64"/>
        <v>0</v>
      </c>
      <c r="S679" s="5" t="s">
        <v>7490</v>
      </c>
    </row>
    <row r="680" spans="1:19" hidden="1" x14ac:dyDescent="0.25">
      <c r="B680" s="21" t="s">
        <v>395</v>
      </c>
      <c r="C680" s="22" t="s">
        <v>2450</v>
      </c>
      <c r="D680" s="22"/>
      <c r="E680" s="21" t="s">
        <v>0</v>
      </c>
      <c r="F680" s="21"/>
      <c r="G680" s="147" t="s">
        <v>6365</v>
      </c>
      <c r="H680" s="23" t="s">
        <v>7326</v>
      </c>
      <c r="I680" s="23" t="s">
        <v>8219</v>
      </c>
      <c r="J680" s="21" t="s">
        <v>7325</v>
      </c>
      <c r="K680" s="21"/>
      <c r="L680" s="21"/>
      <c r="M680" s="26"/>
      <c r="N680" s="44">
        <v>-16780</v>
      </c>
      <c r="O680" s="22" t="s">
        <v>15</v>
      </c>
      <c r="P680" s="44"/>
      <c r="Q680" s="44">
        <f t="shared" si="65"/>
        <v>0</v>
      </c>
      <c r="R680" s="24">
        <f t="shared" si="64"/>
        <v>0</v>
      </c>
      <c r="S680" s="5" t="s">
        <v>7490</v>
      </c>
    </row>
    <row r="681" spans="1:19" hidden="1" x14ac:dyDescent="0.25">
      <c r="B681" s="21" t="s">
        <v>395</v>
      </c>
      <c r="C681" s="22" t="s">
        <v>2450</v>
      </c>
      <c r="D681" s="22"/>
      <c r="E681" s="21" t="s">
        <v>0</v>
      </c>
      <c r="F681" s="21"/>
      <c r="G681" s="147" t="s">
        <v>6365</v>
      </c>
      <c r="H681" s="23" t="s">
        <v>7326</v>
      </c>
      <c r="I681" s="23" t="s">
        <v>8219</v>
      </c>
      <c r="J681" s="21" t="s">
        <v>7321</v>
      </c>
      <c r="K681" s="21"/>
      <c r="L681" s="21" t="s">
        <v>7488</v>
      </c>
      <c r="M681" s="26" t="s">
        <v>7489</v>
      </c>
      <c r="N681" s="44">
        <v>1800</v>
      </c>
      <c r="O681" s="22" t="s">
        <v>15</v>
      </c>
      <c r="P681" s="44">
        <f>1800-1800+1800</f>
        <v>1800</v>
      </c>
      <c r="Q681" s="44">
        <f t="shared" si="65"/>
        <v>0</v>
      </c>
      <c r="R681" s="24">
        <f t="shared" si="64"/>
        <v>1800</v>
      </c>
      <c r="S681" s="5" t="s">
        <v>7490</v>
      </c>
    </row>
    <row r="682" spans="1:19" hidden="1" x14ac:dyDescent="0.25">
      <c r="B682" s="21" t="s">
        <v>395</v>
      </c>
      <c r="C682" s="22" t="s">
        <v>2450</v>
      </c>
      <c r="D682" s="22"/>
      <c r="E682" s="21" t="s">
        <v>0</v>
      </c>
      <c r="F682" s="21"/>
      <c r="G682" s="147" t="s">
        <v>6365</v>
      </c>
      <c r="H682" s="23" t="s">
        <v>7326</v>
      </c>
      <c r="I682" s="23" t="s">
        <v>8219</v>
      </c>
      <c r="J682" s="21" t="s">
        <v>7322</v>
      </c>
      <c r="K682" s="21"/>
      <c r="L682" s="21" t="s">
        <v>7488</v>
      </c>
      <c r="M682" s="26" t="s">
        <v>7489</v>
      </c>
      <c r="N682" s="44">
        <v>1800</v>
      </c>
      <c r="O682" s="22" t="s">
        <v>15</v>
      </c>
      <c r="P682" s="44">
        <f>1800-1800+1800</f>
        <v>1800</v>
      </c>
      <c r="Q682" s="44">
        <f t="shared" si="65"/>
        <v>0</v>
      </c>
      <c r="R682" s="24">
        <f t="shared" si="64"/>
        <v>1800</v>
      </c>
      <c r="S682" s="5" t="s">
        <v>7490</v>
      </c>
    </row>
    <row r="683" spans="1:19" x14ac:dyDescent="0.25">
      <c r="C683" s="4" t="s">
        <v>2450</v>
      </c>
      <c r="E683" s="5" t="s">
        <v>0</v>
      </c>
      <c r="G683" s="146" t="s">
        <v>6365</v>
      </c>
      <c r="H683" s="7" t="s">
        <v>7326</v>
      </c>
      <c r="I683" s="7" t="s">
        <v>8219</v>
      </c>
      <c r="J683" s="5" t="s">
        <v>7323</v>
      </c>
      <c r="M683" s="12"/>
      <c r="N683" s="45">
        <v>1800</v>
      </c>
      <c r="O683" s="4" t="s">
        <v>15</v>
      </c>
      <c r="Q683" s="45">
        <f t="shared" si="65"/>
        <v>1800</v>
      </c>
      <c r="R683" s="3">
        <f t="shared" si="64"/>
        <v>0</v>
      </c>
      <c r="S683" s="5" t="s">
        <v>7490</v>
      </c>
    </row>
    <row r="684" spans="1:19" x14ac:dyDescent="0.25">
      <c r="C684" s="4" t="s">
        <v>2450</v>
      </c>
      <c r="E684" s="5" t="s">
        <v>0</v>
      </c>
      <c r="G684" s="146" t="s">
        <v>6365</v>
      </c>
      <c r="H684" s="7" t="s">
        <v>7326</v>
      </c>
      <c r="I684" s="7" t="s">
        <v>8219</v>
      </c>
      <c r="J684" s="5" t="s">
        <v>7324</v>
      </c>
      <c r="M684" s="12"/>
      <c r="N684" s="45">
        <v>1800</v>
      </c>
      <c r="O684" s="4" t="s">
        <v>15</v>
      </c>
      <c r="Q684" s="45">
        <f t="shared" si="65"/>
        <v>1800</v>
      </c>
      <c r="R684" s="3">
        <f t="shared" si="64"/>
        <v>0</v>
      </c>
      <c r="S684" s="5" t="s">
        <v>7490</v>
      </c>
    </row>
    <row r="685" spans="1:19" hidden="1" x14ac:dyDescent="0.25">
      <c r="B685" s="21" t="s">
        <v>395</v>
      </c>
      <c r="C685" s="22" t="s">
        <v>2450</v>
      </c>
      <c r="D685" s="22"/>
      <c r="E685" s="21" t="s">
        <v>0</v>
      </c>
      <c r="F685" s="21"/>
      <c r="G685" s="147" t="s">
        <v>6365</v>
      </c>
      <c r="H685" s="23" t="s">
        <v>7463</v>
      </c>
      <c r="I685" s="23" t="s">
        <v>8241</v>
      </c>
      <c r="J685" s="21" t="s">
        <v>7486</v>
      </c>
      <c r="K685" s="21"/>
      <c r="L685" s="21" t="s">
        <v>7487</v>
      </c>
      <c r="M685" s="26">
        <v>44949</v>
      </c>
      <c r="N685" s="44">
        <v>4500</v>
      </c>
      <c r="O685" s="22" t="s">
        <v>15</v>
      </c>
      <c r="P685" s="44">
        <f>4500</f>
        <v>4500</v>
      </c>
      <c r="Q685" s="44">
        <f t="shared" si="65"/>
        <v>0</v>
      </c>
      <c r="R685" s="24">
        <f t="shared" si="64"/>
        <v>4500</v>
      </c>
    </row>
    <row r="686" spans="1:19" x14ac:dyDescent="0.25">
      <c r="C686" s="4" t="s">
        <v>2450</v>
      </c>
      <c r="E686" s="5" t="s">
        <v>0</v>
      </c>
      <c r="G686" s="146" t="s">
        <v>6365</v>
      </c>
      <c r="H686" s="7" t="s">
        <v>8394</v>
      </c>
      <c r="I686" s="7" t="s">
        <v>8291</v>
      </c>
      <c r="J686" s="5" t="s">
        <v>7799</v>
      </c>
      <c r="L686" s="5" t="s">
        <v>12693</v>
      </c>
      <c r="M686" s="12" t="s">
        <v>12694</v>
      </c>
      <c r="N686" s="45">
        <v>167375</v>
      </c>
      <c r="O686" s="4" t="s">
        <v>15</v>
      </c>
      <c r="P686" s="45">
        <f>18739+1800+70951+17502+7627+1800+4968+7128+5318+5543+5218+5443</f>
        <v>152037</v>
      </c>
      <c r="Q686" s="45">
        <f t="shared" si="65"/>
        <v>15338</v>
      </c>
      <c r="R686" s="3">
        <f t="shared" si="64"/>
        <v>152037</v>
      </c>
    </row>
    <row r="687" spans="1:19" x14ac:dyDescent="0.25">
      <c r="C687" s="4" t="s">
        <v>2450</v>
      </c>
      <c r="E687" s="5" t="s">
        <v>0</v>
      </c>
      <c r="G687" s="146" t="s">
        <v>6365</v>
      </c>
      <c r="H687" s="7" t="s">
        <v>8498</v>
      </c>
      <c r="I687" s="7" t="s">
        <v>8499</v>
      </c>
      <c r="J687" s="5" t="s">
        <v>8500</v>
      </c>
      <c r="N687" s="45">
        <v>3000</v>
      </c>
      <c r="O687" s="4" t="s">
        <v>15</v>
      </c>
      <c r="Q687" s="45">
        <f t="shared" si="65"/>
        <v>3000</v>
      </c>
      <c r="R687" s="25">
        <f t="shared" si="64"/>
        <v>0</v>
      </c>
    </row>
    <row r="688" spans="1:19" hidden="1" x14ac:dyDescent="0.25">
      <c r="B688" s="21" t="s">
        <v>395</v>
      </c>
      <c r="C688" s="22" t="s">
        <v>2450</v>
      </c>
      <c r="D688" s="22"/>
      <c r="E688" s="21" t="s">
        <v>0</v>
      </c>
      <c r="F688" s="21"/>
      <c r="G688" s="147" t="s">
        <v>6365</v>
      </c>
      <c r="H688" s="23" t="s">
        <v>8498</v>
      </c>
      <c r="I688" s="23" t="s">
        <v>8499</v>
      </c>
      <c r="J688" s="21" t="s">
        <v>8501</v>
      </c>
      <c r="K688" s="21"/>
      <c r="L688" s="21" t="s">
        <v>8695</v>
      </c>
      <c r="M688" s="26" t="s">
        <v>8696</v>
      </c>
      <c r="N688" s="44">
        <f>7902+500+650</f>
        <v>9052</v>
      </c>
      <c r="O688" s="22" t="s">
        <v>15</v>
      </c>
      <c r="P688" s="44">
        <f>4526+4526</f>
        <v>9052</v>
      </c>
      <c r="Q688" s="44">
        <f t="shared" si="65"/>
        <v>0</v>
      </c>
      <c r="R688" s="116">
        <f t="shared" si="64"/>
        <v>9052</v>
      </c>
    </row>
    <row r="689" spans="2:18" hidden="1" x14ac:dyDescent="0.25">
      <c r="B689" s="21" t="s">
        <v>395</v>
      </c>
      <c r="C689" s="22" t="s">
        <v>2450</v>
      </c>
      <c r="D689" s="22"/>
      <c r="E689" s="21" t="s">
        <v>0</v>
      </c>
      <c r="F689" s="21"/>
      <c r="G689" s="147" t="s">
        <v>6365</v>
      </c>
      <c r="H689" s="23" t="s">
        <v>8954</v>
      </c>
      <c r="I689" s="23" t="s">
        <v>8955</v>
      </c>
      <c r="J689" s="21" t="s">
        <v>8956</v>
      </c>
      <c r="K689" s="21"/>
      <c r="L689" s="21" t="s">
        <v>9051</v>
      </c>
      <c r="M689" s="26">
        <v>45212</v>
      </c>
      <c r="N689" s="44">
        <v>1273</v>
      </c>
      <c r="O689" s="22" t="s">
        <v>15</v>
      </c>
      <c r="P689" s="44">
        <f>1273</f>
        <v>1273</v>
      </c>
      <c r="Q689" s="44">
        <f t="shared" si="65"/>
        <v>0</v>
      </c>
      <c r="R689" s="24">
        <f t="shared" si="64"/>
        <v>1273</v>
      </c>
    </row>
    <row r="690" spans="2:18" x14ac:dyDescent="0.25">
      <c r="C690" s="4" t="s">
        <v>2450</v>
      </c>
      <c r="E690" s="5" t="s">
        <v>0</v>
      </c>
      <c r="G690" s="146" t="s">
        <v>6365</v>
      </c>
      <c r="H690" s="7" t="s">
        <v>9495</v>
      </c>
      <c r="I690" s="7" t="s">
        <v>9496</v>
      </c>
      <c r="J690" s="5" t="s">
        <v>9497</v>
      </c>
      <c r="N690" s="45">
        <v>1200</v>
      </c>
      <c r="O690" s="4" t="s">
        <v>15</v>
      </c>
      <c r="Q690" s="45">
        <f t="shared" si="65"/>
        <v>1200</v>
      </c>
      <c r="R690" s="3">
        <f t="shared" si="64"/>
        <v>0</v>
      </c>
    </row>
    <row r="691" spans="2:18" x14ac:dyDescent="0.25">
      <c r="C691" s="4" t="s">
        <v>2450</v>
      </c>
      <c r="E691" s="5" t="s">
        <v>0</v>
      </c>
      <c r="G691" s="146" t="s">
        <v>6365</v>
      </c>
      <c r="H691" s="7" t="s">
        <v>9498</v>
      </c>
      <c r="I691" s="7" t="s">
        <v>9499</v>
      </c>
      <c r="J691" s="5" t="s">
        <v>9500</v>
      </c>
      <c r="L691" s="5" t="s">
        <v>9706</v>
      </c>
      <c r="M691" s="12">
        <v>45380</v>
      </c>
      <c r="N691" s="45">
        <v>77100</v>
      </c>
      <c r="O691" s="4" t="s">
        <v>15</v>
      </c>
      <c r="P691" s="45">
        <f>38175</f>
        <v>38175</v>
      </c>
      <c r="Q691" s="45">
        <f t="shared" si="65"/>
        <v>38925</v>
      </c>
      <c r="R691" s="3">
        <f t="shared" si="64"/>
        <v>38175</v>
      </c>
    </row>
    <row r="692" spans="2:18" x14ac:dyDescent="0.25">
      <c r="C692" s="4" t="s">
        <v>2450</v>
      </c>
      <c r="E692" s="5" t="s">
        <v>0</v>
      </c>
      <c r="F692" s="5" t="s">
        <v>9807</v>
      </c>
      <c r="G692" s="146" t="s">
        <v>6365</v>
      </c>
      <c r="H692" s="7" t="s">
        <v>9804</v>
      </c>
      <c r="I692" s="7" t="s">
        <v>9805</v>
      </c>
      <c r="J692" s="5" t="s">
        <v>9806</v>
      </c>
      <c r="L692" s="5" t="s">
        <v>10504</v>
      </c>
      <c r="M692" s="12">
        <v>45441</v>
      </c>
      <c r="N692" s="45">
        <v>50300</v>
      </c>
      <c r="O692" s="4" t="s">
        <v>15</v>
      </c>
      <c r="P692" s="45">
        <v>38175</v>
      </c>
      <c r="Q692" s="3">
        <f t="shared" si="65"/>
        <v>12125</v>
      </c>
      <c r="R692" s="3">
        <f t="shared" si="64"/>
        <v>38175</v>
      </c>
    </row>
    <row r="693" spans="2:18" x14ac:dyDescent="0.25">
      <c r="C693" s="4" t="s">
        <v>2450</v>
      </c>
      <c r="E693" s="5" t="s">
        <v>0</v>
      </c>
      <c r="F693" s="5" t="s">
        <v>9807</v>
      </c>
      <c r="G693" s="146" t="s">
        <v>6365</v>
      </c>
      <c r="H693" s="7" t="s">
        <v>10837</v>
      </c>
      <c r="I693" s="7" t="s">
        <v>10838</v>
      </c>
      <c r="J693" s="5" t="s">
        <v>10839</v>
      </c>
      <c r="L693" s="5" t="s">
        <v>11003</v>
      </c>
      <c r="M693" s="12" t="s">
        <v>11004</v>
      </c>
      <c r="N693" s="45">
        <v>50300</v>
      </c>
      <c r="O693" s="4" t="s">
        <v>15</v>
      </c>
      <c r="P693" s="45">
        <f>38175+12125</f>
        <v>50300</v>
      </c>
      <c r="Q693" s="3">
        <f t="shared" si="65"/>
        <v>0</v>
      </c>
      <c r="R693" s="3">
        <f>IF(P693="OK",N693-Q693,IF(P693="en cours",M693-Q693,P693))</f>
        <v>50300</v>
      </c>
    </row>
    <row r="694" spans="2:18" x14ac:dyDescent="0.25">
      <c r="C694" s="4" t="s">
        <v>2450</v>
      </c>
      <c r="E694" s="5" t="s">
        <v>0</v>
      </c>
      <c r="F694" s="5" t="s">
        <v>9807</v>
      </c>
      <c r="G694" s="146" t="s">
        <v>6365</v>
      </c>
      <c r="H694" s="7" t="s">
        <v>11131</v>
      </c>
      <c r="I694" s="7" t="s">
        <v>11132</v>
      </c>
      <c r="J694" s="5" t="s">
        <v>11133</v>
      </c>
      <c r="N694" s="45">
        <v>11213.3</v>
      </c>
      <c r="O694" s="4" t="s">
        <v>15</v>
      </c>
      <c r="Q694" s="45">
        <f t="shared" si="65"/>
        <v>11213.3</v>
      </c>
      <c r="R694" s="3">
        <f t="shared" ref="R694:R714" si="66">IF(P694="OK",N694-Q694,IF(P694="en cours",N694-Q694,P694))</f>
        <v>0</v>
      </c>
    </row>
    <row r="695" spans="2:18" hidden="1" x14ac:dyDescent="0.25">
      <c r="B695" s="21" t="s">
        <v>395</v>
      </c>
      <c r="C695" s="22" t="s">
        <v>2450</v>
      </c>
      <c r="D695" s="22"/>
      <c r="E695" s="21" t="s">
        <v>0</v>
      </c>
      <c r="F695" s="21" t="s">
        <v>9807</v>
      </c>
      <c r="G695" s="147" t="s">
        <v>6365</v>
      </c>
      <c r="H695" s="23" t="s">
        <v>11141</v>
      </c>
      <c r="I695" s="23" t="s">
        <v>11142</v>
      </c>
      <c r="J695" s="21" t="s">
        <v>11143</v>
      </c>
      <c r="K695" s="21"/>
      <c r="L695" s="21" t="s">
        <v>11726</v>
      </c>
      <c r="M695" s="26" t="s">
        <v>11727</v>
      </c>
      <c r="N695" s="44">
        <v>104160</v>
      </c>
      <c r="O695" s="22" t="s">
        <v>15</v>
      </c>
      <c r="P695" s="44">
        <f>14370+37710+14370+37710</f>
        <v>104160</v>
      </c>
      <c r="Q695" s="24">
        <f t="shared" si="65"/>
        <v>0</v>
      </c>
      <c r="R695" s="24">
        <f t="shared" si="66"/>
        <v>104160</v>
      </c>
    </row>
    <row r="696" spans="2:18" hidden="1" x14ac:dyDescent="0.25">
      <c r="C696" s="4" t="s">
        <v>2450</v>
      </c>
      <c r="E696" s="5" t="s">
        <v>0</v>
      </c>
      <c r="G696" s="146" t="s">
        <v>5405</v>
      </c>
      <c r="H696" s="7" t="s">
        <v>9004</v>
      </c>
      <c r="I696" s="7" t="s">
        <v>9005</v>
      </c>
      <c r="J696" s="5" t="s">
        <v>8778</v>
      </c>
      <c r="L696" s="5" t="s">
        <v>9573</v>
      </c>
      <c r="M696" s="12">
        <v>45292</v>
      </c>
      <c r="N696" s="45">
        <v>8480</v>
      </c>
      <c r="O696" s="4" t="s">
        <v>15</v>
      </c>
      <c r="P696" s="45">
        <f>6180</f>
        <v>6180</v>
      </c>
      <c r="Q696" s="45">
        <f t="shared" si="65"/>
        <v>2300</v>
      </c>
      <c r="R696" s="3">
        <f t="shared" si="66"/>
        <v>6180</v>
      </c>
    </row>
    <row r="697" spans="2:18" hidden="1" x14ac:dyDescent="0.25">
      <c r="C697" s="4" t="s">
        <v>2450</v>
      </c>
      <c r="E697" s="5" t="s">
        <v>0</v>
      </c>
      <c r="G697" s="146" t="s">
        <v>5405</v>
      </c>
      <c r="H697" s="7" t="s">
        <v>12542</v>
      </c>
      <c r="I697" s="7" t="s">
        <v>9436</v>
      </c>
      <c r="J697" s="5" t="s">
        <v>9437</v>
      </c>
      <c r="L697" s="5" t="s">
        <v>9574</v>
      </c>
      <c r="M697" s="12">
        <v>45370</v>
      </c>
      <c r="N697" s="45">
        <v>7330</v>
      </c>
      <c r="O697" s="4" t="s">
        <v>15</v>
      </c>
      <c r="P697" s="45">
        <f>3880</f>
        <v>3880</v>
      </c>
      <c r="Q697" s="45">
        <f t="shared" si="65"/>
        <v>3450</v>
      </c>
      <c r="R697" s="3">
        <f t="shared" si="66"/>
        <v>3880</v>
      </c>
    </row>
    <row r="698" spans="2:18" hidden="1" x14ac:dyDescent="0.25">
      <c r="B698" s="21" t="s">
        <v>395</v>
      </c>
      <c r="C698" s="22" t="s">
        <v>2450</v>
      </c>
      <c r="D698" s="22"/>
      <c r="E698" s="21" t="s">
        <v>0</v>
      </c>
      <c r="F698" s="21"/>
      <c r="G698" s="147" t="s">
        <v>5405</v>
      </c>
      <c r="H698" s="23" t="s">
        <v>9594</v>
      </c>
      <c r="I698" s="23" t="s">
        <v>9595</v>
      </c>
      <c r="J698" s="21" t="s">
        <v>9596</v>
      </c>
      <c r="K698" s="21"/>
      <c r="L698" s="21" t="s">
        <v>9703</v>
      </c>
      <c r="M698" s="26">
        <v>45379</v>
      </c>
      <c r="N698" s="44">
        <v>3880</v>
      </c>
      <c r="O698" s="22" t="s">
        <v>15</v>
      </c>
      <c r="P698" s="44">
        <v>3880</v>
      </c>
      <c r="Q698" s="24">
        <f t="shared" si="65"/>
        <v>0</v>
      </c>
      <c r="R698" s="24">
        <f t="shared" si="66"/>
        <v>3880</v>
      </c>
    </row>
    <row r="699" spans="2:18" hidden="1" x14ac:dyDescent="0.25">
      <c r="C699" s="4" t="s">
        <v>2450</v>
      </c>
      <c r="E699" s="5" t="s">
        <v>0</v>
      </c>
      <c r="G699" s="146" t="s">
        <v>5405</v>
      </c>
      <c r="H699" s="7" t="s">
        <v>9647</v>
      </c>
      <c r="I699" s="7" t="s">
        <v>9648</v>
      </c>
      <c r="J699" s="5" t="s">
        <v>9649</v>
      </c>
      <c r="N699" s="45">
        <v>2730</v>
      </c>
      <c r="O699" s="4" t="s">
        <v>15</v>
      </c>
      <c r="Q699" s="3">
        <f t="shared" si="65"/>
        <v>2730</v>
      </c>
      <c r="R699" s="3">
        <f t="shared" si="66"/>
        <v>0</v>
      </c>
    </row>
    <row r="700" spans="2:18" hidden="1" x14ac:dyDescent="0.25">
      <c r="C700" s="4" t="s">
        <v>2450</v>
      </c>
      <c r="E700" s="5" t="s">
        <v>0</v>
      </c>
      <c r="F700" s="5" t="s">
        <v>9823</v>
      </c>
      <c r="G700" s="146" t="s">
        <v>5405</v>
      </c>
      <c r="H700" s="7" t="s">
        <v>9872</v>
      </c>
      <c r="I700" s="7" t="s">
        <v>9873</v>
      </c>
      <c r="J700" s="5" t="s">
        <v>9874</v>
      </c>
      <c r="N700" s="45">
        <v>1580</v>
      </c>
      <c r="O700" s="4" t="s">
        <v>15</v>
      </c>
      <c r="Q700" s="3">
        <f t="shared" si="65"/>
        <v>1580</v>
      </c>
      <c r="R700" s="3">
        <f t="shared" si="66"/>
        <v>0</v>
      </c>
    </row>
    <row r="701" spans="2:18" hidden="1" x14ac:dyDescent="0.25">
      <c r="B701" s="21" t="s">
        <v>395</v>
      </c>
      <c r="C701" s="22" t="s">
        <v>2450</v>
      </c>
      <c r="D701" s="22"/>
      <c r="E701" s="21" t="s">
        <v>0</v>
      </c>
      <c r="F701" s="21" t="s">
        <v>9823</v>
      </c>
      <c r="G701" s="147" t="s">
        <v>5405</v>
      </c>
      <c r="H701" s="23" t="s">
        <v>9919</v>
      </c>
      <c r="I701" s="23" t="s">
        <v>9920</v>
      </c>
      <c r="J701" s="21" t="s">
        <v>9921</v>
      </c>
      <c r="K701" s="21"/>
      <c r="L701" s="21" t="s">
        <v>9928</v>
      </c>
      <c r="M701" s="26">
        <v>45453</v>
      </c>
      <c r="N701" s="44">
        <v>460.16</v>
      </c>
      <c r="O701" s="22" t="s">
        <v>15</v>
      </c>
      <c r="P701" s="44">
        <v>460.16</v>
      </c>
      <c r="Q701" s="24">
        <f t="shared" si="65"/>
        <v>0</v>
      </c>
      <c r="R701" s="24">
        <f t="shared" si="66"/>
        <v>460.16</v>
      </c>
    </row>
    <row r="702" spans="2:18" hidden="1" x14ac:dyDescent="0.25">
      <c r="B702" s="21" t="s">
        <v>395</v>
      </c>
      <c r="C702" s="22" t="s">
        <v>2450</v>
      </c>
      <c r="D702" s="22"/>
      <c r="E702" s="21" t="s">
        <v>0</v>
      </c>
      <c r="F702" s="21"/>
      <c r="G702" s="147" t="s">
        <v>5405</v>
      </c>
      <c r="H702" s="23" t="s">
        <v>9978</v>
      </c>
      <c r="I702" s="23" t="s">
        <v>9977</v>
      </c>
      <c r="J702" s="21" t="s">
        <v>9979</v>
      </c>
      <c r="K702" s="21"/>
      <c r="L702" s="21" t="s">
        <v>9980</v>
      </c>
      <c r="M702" s="26">
        <v>45468</v>
      </c>
      <c r="N702" s="44">
        <v>3880</v>
      </c>
      <c r="O702" s="22" t="s">
        <v>15</v>
      </c>
      <c r="P702" s="44">
        <f>3880</f>
        <v>3880</v>
      </c>
      <c r="Q702" s="44">
        <f t="shared" si="65"/>
        <v>0</v>
      </c>
      <c r="R702" s="24">
        <f t="shared" si="66"/>
        <v>3880</v>
      </c>
    </row>
    <row r="703" spans="2:18" hidden="1" x14ac:dyDescent="0.25">
      <c r="B703" s="21" t="s">
        <v>395</v>
      </c>
      <c r="C703" s="22" t="s">
        <v>2450</v>
      </c>
      <c r="D703" s="22"/>
      <c r="E703" s="21" t="s">
        <v>0</v>
      </c>
      <c r="F703" s="21" t="s">
        <v>9823</v>
      </c>
      <c r="G703" s="147" t="s">
        <v>5405</v>
      </c>
      <c r="H703" s="23" t="s">
        <v>10254</v>
      </c>
      <c r="I703" s="23" t="s">
        <v>10255</v>
      </c>
      <c r="J703" s="21" t="s">
        <v>9596</v>
      </c>
      <c r="K703" s="21"/>
      <c r="L703" s="21" t="s">
        <v>10309</v>
      </c>
      <c r="M703" s="26">
        <v>45531</v>
      </c>
      <c r="N703" s="44">
        <v>1580</v>
      </c>
      <c r="O703" s="22" t="s">
        <v>15</v>
      </c>
      <c r="P703" s="44">
        <v>1580</v>
      </c>
      <c r="Q703" s="24">
        <f t="shared" si="65"/>
        <v>0</v>
      </c>
      <c r="R703" s="24">
        <f t="shared" si="66"/>
        <v>1580</v>
      </c>
    </row>
    <row r="704" spans="2:18" hidden="1" x14ac:dyDescent="0.25">
      <c r="B704" s="21" t="s">
        <v>395</v>
      </c>
      <c r="C704" s="22" t="s">
        <v>2450</v>
      </c>
      <c r="D704" s="22"/>
      <c r="E704" s="21" t="s">
        <v>0</v>
      </c>
      <c r="F704" s="21" t="s">
        <v>9823</v>
      </c>
      <c r="G704" s="147" t="s">
        <v>5405</v>
      </c>
      <c r="H704" s="23" t="s">
        <v>10505</v>
      </c>
      <c r="I704" s="23" t="s">
        <v>10506</v>
      </c>
      <c r="J704" s="21" t="s">
        <v>9596</v>
      </c>
      <c r="K704" s="21"/>
      <c r="L704" s="21" t="s">
        <v>10507</v>
      </c>
      <c r="M704" s="26">
        <v>45559</v>
      </c>
      <c r="N704" s="44">
        <v>2730</v>
      </c>
      <c r="O704" s="22" t="s">
        <v>15</v>
      </c>
      <c r="P704" s="44">
        <f>2730</f>
        <v>2730</v>
      </c>
      <c r="Q704" s="24">
        <f t="shared" si="65"/>
        <v>0</v>
      </c>
      <c r="R704" s="24">
        <f t="shared" si="66"/>
        <v>2730</v>
      </c>
    </row>
    <row r="705" spans="2:19" hidden="1" x14ac:dyDescent="0.25">
      <c r="C705" s="4" t="s">
        <v>2450</v>
      </c>
      <c r="E705" s="5" t="s">
        <v>0</v>
      </c>
      <c r="F705" s="5" t="s">
        <v>9823</v>
      </c>
      <c r="G705" s="146" t="s">
        <v>5405</v>
      </c>
      <c r="H705" s="7" t="s">
        <v>10535</v>
      </c>
      <c r="I705" s="7" t="s">
        <v>10536</v>
      </c>
      <c r="J705" s="5" t="s">
        <v>9596</v>
      </c>
      <c r="N705" s="45">
        <v>2730</v>
      </c>
      <c r="O705" s="4" t="s">
        <v>15</v>
      </c>
      <c r="Q705" s="45">
        <f t="shared" si="65"/>
        <v>2730</v>
      </c>
      <c r="R705" s="3">
        <f t="shared" si="66"/>
        <v>0</v>
      </c>
    </row>
    <row r="706" spans="2:19" hidden="1" x14ac:dyDescent="0.25">
      <c r="B706" s="21" t="s">
        <v>395</v>
      </c>
      <c r="C706" s="22" t="s">
        <v>2450</v>
      </c>
      <c r="D706" s="22"/>
      <c r="E706" s="21" t="s">
        <v>0</v>
      </c>
      <c r="F706" s="21" t="s">
        <v>9823</v>
      </c>
      <c r="G706" s="147" t="s">
        <v>5405</v>
      </c>
      <c r="H706" s="23" t="s">
        <v>10605</v>
      </c>
      <c r="I706" s="23" t="s">
        <v>10606</v>
      </c>
      <c r="J706" s="21" t="s">
        <v>9596</v>
      </c>
      <c r="K706" s="21"/>
      <c r="L706" s="21"/>
      <c r="M706" s="26"/>
      <c r="N706" s="44">
        <v>9630</v>
      </c>
      <c r="O706" s="22" t="s">
        <v>15</v>
      </c>
      <c r="P706" s="44"/>
      <c r="Q706" s="24">
        <f t="shared" si="65"/>
        <v>9630</v>
      </c>
      <c r="R706" s="24">
        <f t="shared" si="66"/>
        <v>0</v>
      </c>
    </row>
    <row r="707" spans="2:19" hidden="1" x14ac:dyDescent="0.25">
      <c r="B707" s="21" t="s">
        <v>395</v>
      </c>
      <c r="C707" s="22" t="s">
        <v>2450</v>
      </c>
      <c r="D707" s="22"/>
      <c r="E707" s="21" t="s">
        <v>0</v>
      </c>
      <c r="F707" s="21" t="s">
        <v>9823</v>
      </c>
      <c r="G707" s="147" t="s">
        <v>5405</v>
      </c>
      <c r="H707" s="23" t="s">
        <v>11075</v>
      </c>
      <c r="I707" s="23" t="s">
        <v>11076</v>
      </c>
      <c r="J707" s="21" t="s">
        <v>9596</v>
      </c>
      <c r="K707" s="21"/>
      <c r="L707" s="21" t="s">
        <v>11088</v>
      </c>
      <c r="M707" s="26">
        <v>45680</v>
      </c>
      <c r="N707" s="44">
        <v>1580</v>
      </c>
      <c r="O707" s="22" t="s">
        <v>15</v>
      </c>
      <c r="P707" s="44">
        <v>1580</v>
      </c>
      <c r="Q707" s="24">
        <f t="shared" si="65"/>
        <v>0</v>
      </c>
      <c r="R707" s="24">
        <f t="shared" si="66"/>
        <v>1580</v>
      </c>
    </row>
    <row r="708" spans="2:19" hidden="1" x14ac:dyDescent="0.25">
      <c r="B708" s="21" t="s">
        <v>395</v>
      </c>
      <c r="C708" s="22" t="s">
        <v>2450</v>
      </c>
      <c r="D708" s="22"/>
      <c r="E708" s="21" t="s">
        <v>0</v>
      </c>
      <c r="F708" s="21"/>
      <c r="G708" s="147" t="s">
        <v>3687</v>
      </c>
      <c r="H708" s="23" t="s">
        <v>7824</v>
      </c>
      <c r="I708" s="23"/>
      <c r="J708" s="21" t="s">
        <v>5253</v>
      </c>
      <c r="K708" s="120"/>
      <c r="L708" s="21"/>
      <c r="M708" s="26"/>
      <c r="N708" s="44">
        <f>P708</f>
        <v>0</v>
      </c>
      <c r="O708" s="22" t="s">
        <v>15</v>
      </c>
      <c r="P708" s="44">
        <v>0</v>
      </c>
      <c r="Q708" s="24">
        <f t="shared" ref="Q708:Q746" si="67">IF(P708="en cours",N708,IF(P708="OK",0,IF(N708-P708&lt;0,0,N708-P708)))</f>
        <v>0</v>
      </c>
      <c r="R708" s="24">
        <f t="shared" si="66"/>
        <v>0</v>
      </c>
    </row>
    <row r="709" spans="2:19" hidden="1" x14ac:dyDescent="0.25">
      <c r="B709" s="21" t="s">
        <v>395</v>
      </c>
      <c r="C709" s="22" t="s">
        <v>2450</v>
      </c>
      <c r="D709" s="22"/>
      <c r="E709" s="21" t="s">
        <v>0</v>
      </c>
      <c r="F709" s="21"/>
      <c r="G709" s="147" t="s">
        <v>3687</v>
      </c>
      <c r="H709" s="23" t="s">
        <v>7824</v>
      </c>
      <c r="I709" s="23"/>
      <c r="J709" s="21" t="s">
        <v>5254</v>
      </c>
      <c r="K709" s="120"/>
      <c r="L709" s="21"/>
      <c r="M709" s="26"/>
      <c r="N709" s="44">
        <f>P709</f>
        <v>0</v>
      </c>
      <c r="O709" s="22" t="s">
        <v>15</v>
      </c>
      <c r="P709" s="44">
        <v>0</v>
      </c>
      <c r="Q709" s="24">
        <f t="shared" si="67"/>
        <v>0</v>
      </c>
      <c r="R709" s="24">
        <f t="shared" si="66"/>
        <v>0</v>
      </c>
    </row>
    <row r="710" spans="2:19" hidden="1" x14ac:dyDescent="0.25">
      <c r="C710" s="4" t="s">
        <v>2450</v>
      </c>
      <c r="E710" s="5" t="s">
        <v>0</v>
      </c>
      <c r="G710" s="146" t="s">
        <v>3687</v>
      </c>
      <c r="H710" s="7" t="s">
        <v>8414</v>
      </c>
      <c r="I710" s="7" t="s">
        <v>8302</v>
      </c>
      <c r="J710" s="5" t="s">
        <v>5461</v>
      </c>
      <c r="K710" s="13"/>
      <c r="L710" s="5" t="s">
        <v>11579</v>
      </c>
      <c r="M710" s="12" t="s">
        <v>11580</v>
      </c>
      <c r="N710" s="45">
        <v>121241</v>
      </c>
      <c r="O710" s="4" t="s">
        <v>15</v>
      </c>
      <c r="P710" s="45">
        <f>14443+5352+14944+3568+14945+3568+5316+9629+3568+3568+9629+3568</f>
        <v>92098</v>
      </c>
      <c r="Q710" s="3">
        <f t="shared" si="67"/>
        <v>29143</v>
      </c>
      <c r="R710" s="3">
        <f t="shared" si="66"/>
        <v>92098</v>
      </c>
      <c r="S710" s="5" t="s">
        <v>5460</v>
      </c>
    </row>
    <row r="711" spans="2:19" hidden="1" x14ac:dyDescent="0.25">
      <c r="B711" s="21" t="s">
        <v>395</v>
      </c>
      <c r="C711" s="22" t="s">
        <v>2450</v>
      </c>
      <c r="D711" s="22"/>
      <c r="E711" s="21" t="s">
        <v>0</v>
      </c>
      <c r="F711" s="21"/>
      <c r="G711" s="147" t="s">
        <v>3687</v>
      </c>
      <c r="H711" s="23" t="s">
        <v>7821</v>
      </c>
      <c r="I711" s="23" t="s">
        <v>7930</v>
      </c>
      <c r="J711" s="21" t="s">
        <v>4073</v>
      </c>
      <c r="K711" s="120"/>
      <c r="L711" s="21" t="s">
        <v>6381</v>
      </c>
      <c r="M711" s="26" t="s">
        <v>6382</v>
      </c>
      <c r="N711" s="44">
        <f>P711</f>
        <v>251317</v>
      </c>
      <c r="O711" s="22" t="s">
        <v>15</v>
      </c>
      <c r="P711" s="44">
        <f>3176+15000+(14350+1400+1050)+(17920+5250+11690+300)+44500+21350+3776+37206+40836+4798+5352+14443+5352+3568</f>
        <v>251317</v>
      </c>
      <c r="Q711" s="24">
        <f t="shared" si="67"/>
        <v>0</v>
      </c>
      <c r="R711" s="24">
        <f t="shared" si="66"/>
        <v>251317</v>
      </c>
    </row>
    <row r="712" spans="2:19" hidden="1" x14ac:dyDescent="0.25">
      <c r="B712" s="21" t="s">
        <v>395</v>
      </c>
      <c r="C712" s="22" t="s">
        <v>2450</v>
      </c>
      <c r="D712" s="22"/>
      <c r="E712" s="21" t="s">
        <v>0</v>
      </c>
      <c r="F712" s="21"/>
      <c r="G712" s="147" t="s">
        <v>3687</v>
      </c>
      <c r="H712" s="23" t="s">
        <v>7821</v>
      </c>
      <c r="I712" s="23" t="s">
        <v>7930</v>
      </c>
      <c r="J712" s="21" t="s">
        <v>3378</v>
      </c>
      <c r="K712" s="120"/>
      <c r="L712" s="21" t="s">
        <v>3424</v>
      </c>
      <c r="M712" s="26">
        <v>44006</v>
      </c>
      <c r="N712" s="44">
        <f>0.3*246300</f>
        <v>73890</v>
      </c>
      <c r="O712" s="22" t="s">
        <v>15</v>
      </c>
      <c r="P712" s="44">
        <v>73890</v>
      </c>
      <c r="Q712" s="24">
        <f t="shared" si="67"/>
        <v>0</v>
      </c>
      <c r="R712" s="24">
        <f t="shared" si="66"/>
        <v>73890</v>
      </c>
    </row>
    <row r="713" spans="2:19" hidden="1" x14ac:dyDescent="0.25">
      <c r="C713" s="4" t="s">
        <v>2450</v>
      </c>
      <c r="E713" s="5" t="s">
        <v>0</v>
      </c>
      <c r="G713" s="146" t="s">
        <v>3687</v>
      </c>
      <c r="H713" s="7" t="s">
        <v>8413</v>
      </c>
      <c r="I713" s="7" t="s">
        <v>8304</v>
      </c>
      <c r="J713" s="5" t="s">
        <v>5463</v>
      </c>
      <c r="K713" s="13"/>
      <c r="L713" s="5" t="s">
        <v>12019</v>
      </c>
      <c r="M713" s="12" t="s">
        <v>12020</v>
      </c>
      <c r="N713" s="45">
        <v>61236</v>
      </c>
      <c r="O713" s="4" t="s">
        <v>15</v>
      </c>
      <c r="P713" s="45">
        <f>8748+8748+1195+8748+5832+5832+5832+5832+5832+5832</f>
        <v>62431</v>
      </c>
      <c r="Q713" s="3">
        <f t="shared" si="67"/>
        <v>0</v>
      </c>
      <c r="R713" s="3">
        <f t="shared" si="66"/>
        <v>62431</v>
      </c>
      <c r="S713" s="5" t="s">
        <v>5460</v>
      </c>
    </row>
    <row r="714" spans="2:19" hidden="1" x14ac:dyDescent="0.25">
      <c r="B714" s="21" t="s">
        <v>395</v>
      </c>
      <c r="C714" s="22" t="s">
        <v>2450</v>
      </c>
      <c r="D714" s="22"/>
      <c r="E714" s="21" t="s">
        <v>0</v>
      </c>
      <c r="F714" s="21"/>
      <c r="G714" s="147" t="s">
        <v>3687</v>
      </c>
      <c r="H714" s="23" t="s">
        <v>7825</v>
      </c>
      <c r="I714" s="23" t="s">
        <v>8304</v>
      </c>
      <c r="J714" s="21" t="s">
        <v>4407</v>
      </c>
      <c r="K714" s="47"/>
      <c r="L714" s="21" t="s">
        <v>4707</v>
      </c>
      <c r="M714" s="26" t="s">
        <v>4708</v>
      </c>
      <c r="N714" s="44">
        <f>0.3*177600</f>
        <v>53280</v>
      </c>
      <c r="O714" s="22" t="s">
        <v>15</v>
      </c>
      <c r="P714" s="44">
        <f>32430+6090+14760</f>
        <v>53280</v>
      </c>
      <c r="Q714" s="24">
        <f t="shared" si="67"/>
        <v>0</v>
      </c>
      <c r="R714" s="24">
        <f t="shared" si="66"/>
        <v>53280</v>
      </c>
    </row>
    <row r="715" spans="2:19" hidden="1" x14ac:dyDescent="0.25">
      <c r="B715" s="21" t="s">
        <v>395</v>
      </c>
      <c r="C715" s="22" t="s">
        <v>2450</v>
      </c>
      <c r="D715" s="22"/>
      <c r="E715" s="21" t="s">
        <v>0</v>
      </c>
      <c r="F715" s="21"/>
      <c r="G715" s="147" t="s">
        <v>3687</v>
      </c>
      <c r="H715" s="23" t="s">
        <v>7825</v>
      </c>
      <c r="I715" s="23" t="s">
        <v>8304</v>
      </c>
      <c r="J715" s="21" t="s">
        <v>5256</v>
      </c>
      <c r="K715" s="120" t="s">
        <v>5006</v>
      </c>
      <c r="L715" s="21" t="s">
        <v>5259</v>
      </c>
      <c r="M715" s="26" t="s">
        <v>5260</v>
      </c>
      <c r="N715" s="44">
        <f>P715</f>
        <v>65947</v>
      </c>
      <c r="O715" s="22" t="s">
        <v>15</v>
      </c>
      <c r="P715" s="44">
        <f>27160+8363+(42250-26210)+14384</f>
        <v>65947</v>
      </c>
      <c r="Q715" s="24">
        <f t="shared" si="67"/>
        <v>0</v>
      </c>
      <c r="R715" s="24">
        <f t="shared" ref="R715:R732" si="68">IF(P715="OK",N715-Q715,IF(P715="en cours",N715-Q715,P715))</f>
        <v>65947</v>
      </c>
    </row>
    <row r="716" spans="2:19" hidden="1" x14ac:dyDescent="0.25">
      <c r="C716" s="4" t="s">
        <v>2450</v>
      </c>
      <c r="E716" s="5" t="s">
        <v>0</v>
      </c>
      <c r="G716" s="146" t="s">
        <v>3687</v>
      </c>
      <c r="H716" s="7" t="s">
        <v>8384</v>
      </c>
      <c r="I716" s="7" t="s">
        <v>8303</v>
      </c>
      <c r="J716" s="5" t="s">
        <v>5462</v>
      </c>
      <c r="K716" s="115"/>
      <c r="L716" s="5" t="s">
        <v>12021</v>
      </c>
      <c r="M716" s="12" t="s">
        <v>12022</v>
      </c>
      <c r="N716" s="45">
        <v>27468</v>
      </c>
      <c r="O716" s="4" t="s">
        <v>15</v>
      </c>
      <c r="P716" s="45">
        <f>3924+3924+3924+2616+2616+2616+2616+2616+2616</f>
        <v>27468</v>
      </c>
      <c r="Q716" s="3">
        <f t="shared" si="67"/>
        <v>0</v>
      </c>
      <c r="R716" s="3">
        <f t="shared" si="68"/>
        <v>27468</v>
      </c>
      <c r="S716" s="5" t="s">
        <v>5460</v>
      </c>
    </row>
    <row r="717" spans="2:19" hidden="1" x14ac:dyDescent="0.25">
      <c r="B717" s="21" t="s">
        <v>395</v>
      </c>
      <c r="C717" s="22" t="s">
        <v>2450</v>
      </c>
      <c r="D717" s="22"/>
      <c r="E717" s="21" t="s">
        <v>0</v>
      </c>
      <c r="F717" s="21"/>
      <c r="G717" s="147" t="s">
        <v>3687</v>
      </c>
      <c r="H717" s="23" t="s">
        <v>7822</v>
      </c>
      <c r="I717" s="23" t="s">
        <v>8303</v>
      </c>
      <c r="J717" s="21" t="s">
        <v>4298</v>
      </c>
      <c r="K717" s="47"/>
      <c r="L717" s="21" t="s">
        <v>4703</v>
      </c>
      <c r="M717" s="26" t="s">
        <v>4704</v>
      </c>
      <c r="N717" s="44">
        <f>0.3*282000</f>
        <v>84600</v>
      </c>
      <c r="O717" s="22" t="s">
        <v>15</v>
      </c>
      <c r="P717" s="44">
        <f>50340+21385+12875</f>
        <v>84600</v>
      </c>
      <c r="Q717" s="24">
        <f t="shared" si="67"/>
        <v>0</v>
      </c>
      <c r="R717" s="24">
        <f t="shared" si="68"/>
        <v>84600</v>
      </c>
    </row>
    <row r="718" spans="2:19" hidden="1" x14ac:dyDescent="0.25">
      <c r="B718" s="21" t="s">
        <v>395</v>
      </c>
      <c r="C718" s="22" t="s">
        <v>2450</v>
      </c>
      <c r="D718" s="22"/>
      <c r="E718" s="21" t="s">
        <v>0</v>
      </c>
      <c r="F718" s="21"/>
      <c r="G718" s="147" t="s">
        <v>3687</v>
      </c>
      <c r="H718" s="23" t="s">
        <v>7822</v>
      </c>
      <c r="I718" s="23" t="s">
        <v>8303</v>
      </c>
      <c r="J718" s="21" t="s">
        <v>5255</v>
      </c>
      <c r="K718" s="120" t="s">
        <v>5006</v>
      </c>
      <c r="L718" s="21" t="s">
        <v>5261</v>
      </c>
      <c r="M718" s="26" t="s">
        <v>5262</v>
      </c>
      <c r="N718" s="44">
        <f>P718</f>
        <v>33057</v>
      </c>
      <c r="O718" s="22" t="s">
        <v>15</v>
      </c>
      <c r="P718" s="44">
        <f>2268+19775+(6948-1166)+5232</f>
        <v>33057</v>
      </c>
      <c r="Q718" s="24">
        <f t="shared" si="67"/>
        <v>0</v>
      </c>
      <c r="R718" s="24">
        <f t="shared" si="68"/>
        <v>33057</v>
      </c>
    </row>
    <row r="719" spans="2:19" hidden="1" x14ac:dyDescent="0.25">
      <c r="B719" s="21" t="s">
        <v>395</v>
      </c>
      <c r="C719" s="22" t="s">
        <v>2450</v>
      </c>
      <c r="D719" s="22"/>
      <c r="E719" s="21" t="s">
        <v>0</v>
      </c>
      <c r="F719" s="21"/>
      <c r="G719" s="147" t="s">
        <v>3687</v>
      </c>
      <c r="H719" s="23" t="s">
        <v>3421</v>
      </c>
      <c r="I719" s="23"/>
      <c r="J719" s="21" t="s">
        <v>3376</v>
      </c>
      <c r="K719" s="120"/>
      <c r="L719" s="21" t="s">
        <v>3423</v>
      </c>
      <c r="M719" s="26">
        <v>44006</v>
      </c>
      <c r="N719" s="44">
        <f>0.3*34100</f>
        <v>10230</v>
      </c>
      <c r="O719" s="22" t="s">
        <v>15</v>
      </c>
      <c r="P719" s="44" t="s">
        <v>19</v>
      </c>
      <c r="Q719" s="24">
        <f t="shared" si="67"/>
        <v>0</v>
      </c>
      <c r="R719" s="24">
        <f t="shared" si="68"/>
        <v>10230</v>
      </c>
    </row>
    <row r="720" spans="2:19" hidden="1" x14ac:dyDescent="0.25">
      <c r="B720" s="21" t="s">
        <v>395</v>
      </c>
      <c r="C720" s="22" t="s">
        <v>2450</v>
      </c>
      <c r="D720" s="22"/>
      <c r="E720" s="21" t="s">
        <v>0</v>
      </c>
      <c r="F720" s="21"/>
      <c r="G720" s="147" t="s">
        <v>3687</v>
      </c>
      <c r="H720" s="23" t="s">
        <v>3422</v>
      </c>
      <c r="I720" s="23"/>
      <c r="J720" s="21" t="s">
        <v>3377</v>
      </c>
      <c r="K720" s="120"/>
      <c r="L720" s="21" t="s">
        <v>5470</v>
      </c>
      <c r="M720" s="26" t="s">
        <v>5471</v>
      </c>
      <c r="N720" s="44">
        <f>0.7*34100</f>
        <v>23870</v>
      </c>
      <c r="O720" s="22" t="s">
        <v>15</v>
      </c>
      <c r="P720" s="44">
        <f>1050+3010+9030+4480+3290+3010</f>
        <v>23870</v>
      </c>
      <c r="Q720" s="24">
        <f t="shared" si="67"/>
        <v>0</v>
      </c>
      <c r="R720" s="24">
        <f t="shared" si="68"/>
        <v>23870</v>
      </c>
    </row>
    <row r="721" spans="2:19" hidden="1" x14ac:dyDescent="0.25">
      <c r="B721" s="21" t="s">
        <v>395</v>
      </c>
      <c r="C721" s="22" t="s">
        <v>2450</v>
      </c>
      <c r="D721" s="22"/>
      <c r="E721" s="21" t="s">
        <v>0</v>
      </c>
      <c r="F721" s="21"/>
      <c r="G721" s="147" t="s">
        <v>3687</v>
      </c>
      <c r="H721" s="23" t="s">
        <v>3398</v>
      </c>
      <c r="I721" s="23" t="s">
        <v>7929</v>
      </c>
      <c r="J721" s="21" t="s">
        <v>3399</v>
      </c>
      <c r="K721" s="120"/>
      <c r="L721" s="21" t="s">
        <v>3445</v>
      </c>
      <c r="M721" s="26">
        <v>44012</v>
      </c>
      <c r="N721" s="44">
        <f>0.3*150000</f>
        <v>45000</v>
      </c>
      <c r="O721" s="22" t="s">
        <v>15</v>
      </c>
      <c r="P721" s="44" t="s">
        <v>19</v>
      </c>
      <c r="Q721" s="24">
        <f t="shared" si="67"/>
        <v>0</v>
      </c>
      <c r="R721" s="24">
        <f t="shared" si="68"/>
        <v>45000</v>
      </c>
    </row>
    <row r="722" spans="2:19" hidden="1" x14ac:dyDescent="0.25">
      <c r="C722" s="4" t="s">
        <v>2450</v>
      </c>
      <c r="E722" s="5" t="s">
        <v>0</v>
      </c>
      <c r="G722" s="146" t="s">
        <v>3687</v>
      </c>
      <c r="H722" s="7" t="s">
        <v>3398</v>
      </c>
      <c r="I722" s="7" t="s">
        <v>7929</v>
      </c>
      <c r="J722" s="5" t="s">
        <v>4074</v>
      </c>
      <c r="K722" s="13" t="s">
        <v>1682</v>
      </c>
      <c r="N722" s="45">
        <f>0.7*150000</f>
        <v>105000</v>
      </c>
      <c r="O722" s="4" t="s">
        <v>15</v>
      </c>
      <c r="Q722" s="3">
        <f t="shared" si="67"/>
        <v>105000</v>
      </c>
      <c r="R722" s="3">
        <f t="shared" si="68"/>
        <v>0</v>
      </c>
    </row>
    <row r="723" spans="2:19" hidden="1" x14ac:dyDescent="0.25">
      <c r="B723" s="21" t="s">
        <v>395</v>
      </c>
      <c r="C723" s="22" t="s">
        <v>2450</v>
      </c>
      <c r="D723" s="22"/>
      <c r="E723" s="21" t="s">
        <v>0</v>
      </c>
      <c r="F723" s="21"/>
      <c r="G723" s="147" t="s">
        <v>3687</v>
      </c>
      <c r="H723" s="23" t="s">
        <v>4537</v>
      </c>
      <c r="I723" s="23" t="s">
        <v>8019</v>
      </c>
      <c r="J723" s="21" t="s">
        <v>4455</v>
      </c>
      <c r="K723" s="21"/>
      <c r="L723" s="21" t="s">
        <v>4831</v>
      </c>
      <c r="M723" s="26" t="s">
        <v>4832</v>
      </c>
      <c r="N723" s="44">
        <v>9600</v>
      </c>
      <c r="O723" s="22" t="s">
        <v>15</v>
      </c>
      <c r="P723" s="44">
        <f>2880+6720</f>
        <v>9600</v>
      </c>
      <c r="Q723" s="44">
        <f t="shared" si="67"/>
        <v>0</v>
      </c>
      <c r="R723" s="24">
        <f t="shared" si="68"/>
        <v>9600</v>
      </c>
    </row>
    <row r="724" spans="2:19" hidden="1" x14ac:dyDescent="0.25">
      <c r="C724" s="4" t="s">
        <v>2450</v>
      </c>
      <c r="E724" s="5" t="s">
        <v>0</v>
      </c>
      <c r="G724" s="146" t="s">
        <v>3687</v>
      </c>
      <c r="H724" s="7" t="s">
        <v>4537</v>
      </c>
      <c r="I724" s="7" t="s">
        <v>8019</v>
      </c>
      <c r="J724" s="5" t="s">
        <v>4830</v>
      </c>
      <c r="L724" s="5" t="s">
        <v>5469</v>
      </c>
      <c r="M724" s="12">
        <v>44399</v>
      </c>
      <c r="N724" s="45">
        <v>4800</v>
      </c>
      <c r="O724" s="4" t="s">
        <v>15</v>
      </c>
      <c r="P724" s="45">
        <v>863</v>
      </c>
      <c r="Q724" s="45">
        <f t="shared" si="67"/>
        <v>3937</v>
      </c>
      <c r="R724" s="3">
        <f t="shared" si="68"/>
        <v>863</v>
      </c>
    </row>
    <row r="725" spans="2:19" hidden="1" x14ac:dyDescent="0.25">
      <c r="B725" s="21" t="s">
        <v>395</v>
      </c>
      <c r="C725" s="22" t="s">
        <v>2450</v>
      </c>
      <c r="D725" s="22"/>
      <c r="E725" s="21" t="s">
        <v>0</v>
      </c>
      <c r="F725" s="21"/>
      <c r="G725" s="147" t="s">
        <v>3687</v>
      </c>
      <c r="H725" s="23" t="s">
        <v>5218</v>
      </c>
      <c r="I725" s="23" t="s">
        <v>8060</v>
      </c>
      <c r="J725" s="21" t="s">
        <v>5287</v>
      </c>
      <c r="K725" s="21"/>
      <c r="L725" s="21" t="s">
        <v>6014</v>
      </c>
      <c r="M725" s="26" t="s">
        <v>6015</v>
      </c>
      <c r="N725" s="44">
        <v>77100</v>
      </c>
      <c r="O725" s="22" t="s">
        <v>15</v>
      </c>
      <c r="P725" s="44">
        <f>(23130+367)+6860+6110+10630+6860+2114+20580+449</f>
        <v>77100</v>
      </c>
      <c r="Q725" s="44">
        <f t="shared" si="67"/>
        <v>0</v>
      </c>
      <c r="R725" s="24">
        <f t="shared" si="68"/>
        <v>77100</v>
      </c>
    </row>
    <row r="726" spans="2:19" hidden="1" x14ac:dyDescent="0.25">
      <c r="C726" s="4" t="s">
        <v>2450</v>
      </c>
      <c r="E726" s="5" t="s">
        <v>0</v>
      </c>
      <c r="G726" s="146" t="s">
        <v>3687</v>
      </c>
      <c r="H726" s="7" t="s">
        <v>5218</v>
      </c>
      <c r="I726" s="7" t="s">
        <v>8060</v>
      </c>
      <c r="J726" s="5" t="s">
        <v>5288</v>
      </c>
      <c r="L726" s="5" t="s">
        <v>6153</v>
      </c>
      <c r="M726" s="12" t="s">
        <v>6154</v>
      </c>
      <c r="N726" s="45">
        <f>3600+32800</f>
        <v>36400</v>
      </c>
      <c r="O726" s="4" t="s">
        <v>15</v>
      </c>
      <c r="P726" s="45">
        <f>(17520-449)+5950</f>
        <v>23021</v>
      </c>
      <c r="Q726" s="45">
        <f t="shared" si="67"/>
        <v>13379</v>
      </c>
      <c r="R726" s="3">
        <f t="shared" si="68"/>
        <v>23021</v>
      </c>
    </row>
    <row r="727" spans="2:19" hidden="1" x14ac:dyDescent="0.25">
      <c r="B727" s="21" t="s">
        <v>395</v>
      </c>
      <c r="C727" s="22" t="s">
        <v>2450</v>
      </c>
      <c r="D727" s="22"/>
      <c r="E727" s="21" t="s">
        <v>0</v>
      </c>
      <c r="F727" s="21"/>
      <c r="G727" s="147" t="s">
        <v>3687</v>
      </c>
      <c r="H727" s="23" t="s">
        <v>5935</v>
      </c>
      <c r="I727" s="23" t="s">
        <v>8108</v>
      </c>
      <c r="J727" s="21" t="s">
        <v>5936</v>
      </c>
      <c r="K727" s="21"/>
      <c r="L727" s="21" t="s">
        <v>13340</v>
      </c>
      <c r="M727" s="26" t="s">
        <v>13341</v>
      </c>
      <c r="N727" s="44">
        <v>247500</v>
      </c>
      <c r="O727" s="22" t="s">
        <v>15</v>
      </c>
      <c r="P727" s="44">
        <f>10900+29700+5400+29700+29700+2400+3600+3600+29700+1600+19800+2000+19800+1200+19800+19800+2800+400+19800</f>
        <v>251700</v>
      </c>
      <c r="Q727" s="24">
        <f t="shared" si="67"/>
        <v>0</v>
      </c>
      <c r="R727" s="24">
        <f t="shared" si="68"/>
        <v>251700</v>
      </c>
      <c r="S727" s="21"/>
    </row>
    <row r="728" spans="2:19" hidden="1" x14ac:dyDescent="0.25">
      <c r="B728" s="21" t="s">
        <v>395</v>
      </c>
      <c r="C728" s="22" t="s">
        <v>2450</v>
      </c>
      <c r="D728" s="22"/>
      <c r="E728" s="21" t="s">
        <v>0</v>
      </c>
      <c r="F728" s="21"/>
      <c r="G728" s="147" t="s">
        <v>3687</v>
      </c>
      <c r="H728" s="23" t="s">
        <v>6332</v>
      </c>
      <c r="I728" s="23" t="s">
        <v>8116</v>
      </c>
      <c r="J728" s="21" t="s">
        <v>6144</v>
      </c>
      <c r="K728" s="21"/>
      <c r="L728" s="21" t="s">
        <v>6252</v>
      </c>
      <c r="M728" s="26" t="s">
        <v>6253</v>
      </c>
      <c r="N728" s="44">
        <v>39500</v>
      </c>
      <c r="O728" s="22" t="s">
        <v>15</v>
      </c>
      <c r="P728" s="44">
        <f>11850+27650</f>
        <v>39500</v>
      </c>
      <c r="Q728" s="24">
        <f t="shared" si="67"/>
        <v>0</v>
      </c>
      <c r="R728" s="24">
        <f t="shared" si="68"/>
        <v>39500</v>
      </c>
    </row>
    <row r="729" spans="2:19" hidden="1" x14ac:dyDescent="0.25">
      <c r="C729" s="4" t="s">
        <v>2450</v>
      </c>
      <c r="E729" s="5" t="s">
        <v>0</v>
      </c>
      <c r="G729" s="146" t="s">
        <v>3687</v>
      </c>
      <c r="H729" s="7" t="s">
        <v>6288</v>
      </c>
      <c r="I729" s="7" t="s">
        <v>8127</v>
      </c>
      <c r="J729" s="5" t="s">
        <v>6287</v>
      </c>
      <c r="L729" s="5" t="s">
        <v>6531</v>
      </c>
      <c r="M729" s="12" t="s">
        <v>6532</v>
      </c>
      <c r="N729" s="45">
        <v>77100</v>
      </c>
      <c r="O729" s="4" t="s">
        <v>15</v>
      </c>
      <c r="P729" s="45">
        <f>23900+15960+10000+689+21140</f>
        <v>71689</v>
      </c>
      <c r="Q729" s="45">
        <f t="shared" si="67"/>
        <v>5411</v>
      </c>
      <c r="R729" s="3">
        <f t="shared" si="68"/>
        <v>71689</v>
      </c>
    </row>
    <row r="730" spans="2:19" hidden="1" x14ac:dyDescent="0.25">
      <c r="C730" s="4" t="s">
        <v>2450</v>
      </c>
      <c r="E730" s="5" t="s">
        <v>0</v>
      </c>
      <c r="G730" s="146" t="s">
        <v>3687</v>
      </c>
      <c r="H730" s="7" t="s">
        <v>6289</v>
      </c>
      <c r="I730" s="7" t="s">
        <v>8128</v>
      </c>
      <c r="J730" s="5" t="s">
        <v>6290</v>
      </c>
      <c r="L730" s="5" t="s">
        <v>14109</v>
      </c>
      <c r="M730" s="12" t="s">
        <v>14110</v>
      </c>
      <c r="N730" s="45">
        <v>158500</v>
      </c>
      <c r="O730" s="4" t="s">
        <v>15</v>
      </c>
      <c r="P730" s="45">
        <f>14175+14175+14175+14175+3320+9450+9450+9450+954+9450+9450+9450</f>
        <v>117674</v>
      </c>
      <c r="Q730" s="45">
        <f t="shared" si="67"/>
        <v>40826</v>
      </c>
      <c r="R730" s="3">
        <f t="shared" si="68"/>
        <v>117674</v>
      </c>
    </row>
    <row r="731" spans="2:19" hidden="1" x14ac:dyDescent="0.25">
      <c r="C731" s="4" t="s">
        <v>2450</v>
      </c>
      <c r="E731" s="5" t="s">
        <v>0</v>
      </c>
      <c r="G731" s="146" t="s">
        <v>3687</v>
      </c>
      <c r="H731" s="7" t="s">
        <v>6380</v>
      </c>
      <c r="I731" s="7" t="s">
        <v>8137</v>
      </c>
      <c r="J731" s="5" t="s">
        <v>6290</v>
      </c>
      <c r="L731" s="5" t="s">
        <v>14105</v>
      </c>
      <c r="M731" s="12" t="s">
        <v>14106</v>
      </c>
      <c r="N731" s="45">
        <v>145000</v>
      </c>
      <c r="O731" s="4" t="s">
        <v>15</v>
      </c>
      <c r="P731" s="45">
        <f>2100+13100+6300+6300+10500+6300+10500+4200+3150+4200+3150+6300+4200+6300+6300+4200+6300+4200</f>
        <v>107600</v>
      </c>
      <c r="Q731" s="45">
        <f t="shared" si="67"/>
        <v>37400</v>
      </c>
      <c r="R731" s="3">
        <f t="shared" si="68"/>
        <v>107600</v>
      </c>
    </row>
    <row r="732" spans="2:19" hidden="1" x14ac:dyDescent="0.25">
      <c r="C732" s="4" t="s">
        <v>2450</v>
      </c>
      <c r="E732" s="5" t="s">
        <v>0</v>
      </c>
      <c r="G732" s="146" t="s">
        <v>3687</v>
      </c>
      <c r="H732" s="7" t="s">
        <v>6671</v>
      </c>
      <c r="I732" s="7" t="s">
        <v>8155</v>
      </c>
      <c r="J732" s="5" t="s">
        <v>6669</v>
      </c>
      <c r="L732" s="5" t="s">
        <v>12015</v>
      </c>
      <c r="M732" s="12" t="s">
        <v>12016</v>
      </c>
      <c r="N732" s="45">
        <v>126625</v>
      </c>
      <c r="O732" s="4" t="s">
        <v>15</v>
      </c>
      <c r="P732" s="45">
        <f>6025+15075+15075+3690+15075+15075+1323+10050+1050+2233+3032+10050+10050+10050</f>
        <v>117853</v>
      </c>
      <c r="Q732" s="45">
        <f t="shared" si="67"/>
        <v>8772</v>
      </c>
      <c r="R732" s="3">
        <f t="shared" si="68"/>
        <v>117853</v>
      </c>
    </row>
    <row r="733" spans="2:19" hidden="1" x14ac:dyDescent="0.25">
      <c r="C733" s="4" t="s">
        <v>2450</v>
      </c>
      <c r="E733" s="5" t="s">
        <v>0</v>
      </c>
      <c r="G733" s="146" t="s">
        <v>3687</v>
      </c>
      <c r="H733" s="7" t="s">
        <v>9492</v>
      </c>
      <c r="I733" s="7" t="s">
        <v>9493</v>
      </c>
      <c r="J733" s="5" t="s">
        <v>9494</v>
      </c>
      <c r="L733" s="5" t="s">
        <v>11575</v>
      </c>
      <c r="M733" s="12" t="s">
        <v>11576</v>
      </c>
      <c r="N733" s="45">
        <v>44000</v>
      </c>
      <c r="O733" s="4" t="s">
        <v>15</v>
      </c>
      <c r="P733" s="45">
        <f>5200+6020+7800+2600+2600</f>
        <v>24220</v>
      </c>
      <c r="Q733" s="45">
        <f t="shared" si="67"/>
        <v>19780</v>
      </c>
      <c r="R733" s="3">
        <f t="shared" ref="R733:R737" si="69">IF(P733="OK",N733-Q733,IF(P733="en cours",N733-Q733,P733))</f>
        <v>24220</v>
      </c>
    </row>
    <row r="734" spans="2:19" hidden="1" x14ac:dyDescent="0.25">
      <c r="C734" s="4" t="s">
        <v>2450</v>
      </c>
      <c r="E734" s="5" t="s">
        <v>0</v>
      </c>
      <c r="G734" s="146" t="s">
        <v>3687</v>
      </c>
      <c r="H734" s="58" t="s">
        <v>9682</v>
      </c>
      <c r="I734" s="7" t="s">
        <v>9683</v>
      </c>
      <c r="J734" s="5" t="s">
        <v>9684</v>
      </c>
      <c r="L734" s="5" t="s">
        <v>9803</v>
      </c>
      <c r="M734" s="12">
        <v>45440</v>
      </c>
      <c r="N734" s="45">
        <v>42600</v>
      </c>
      <c r="O734" s="4" t="s">
        <v>15</v>
      </c>
      <c r="P734" s="45">
        <v>2100</v>
      </c>
      <c r="Q734" s="3">
        <f t="shared" si="67"/>
        <v>40500</v>
      </c>
      <c r="R734" s="3">
        <f t="shared" si="69"/>
        <v>2100</v>
      </c>
    </row>
    <row r="735" spans="2:19" hidden="1" x14ac:dyDescent="0.25">
      <c r="C735" s="4" t="s">
        <v>2450</v>
      </c>
      <c r="E735" s="5" t="s">
        <v>0</v>
      </c>
      <c r="F735" s="5" t="s">
        <v>9823</v>
      </c>
      <c r="G735" s="146" t="s">
        <v>3687</v>
      </c>
      <c r="H735" s="7" t="s">
        <v>9922</v>
      </c>
      <c r="I735" s="7" t="s">
        <v>9923</v>
      </c>
      <c r="J735" s="5" t="s">
        <v>9924</v>
      </c>
      <c r="L735" s="5" t="s">
        <v>10264</v>
      </c>
      <c r="M735" s="12" t="s">
        <v>10265</v>
      </c>
      <c r="N735" s="45">
        <v>13000</v>
      </c>
      <c r="O735" s="4" t="s">
        <v>15</v>
      </c>
      <c r="P735" s="45">
        <f>4600+6580+910</f>
        <v>12090</v>
      </c>
      <c r="Q735" s="3">
        <f t="shared" si="67"/>
        <v>910</v>
      </c>
      <c r="R735" s="3">
        <f t="shared" si="69"/>
        <v>12090</v>
      </c>
    </row>
    <row r="736" spans="2:19" hidden="1" x14ac:dyDescent="0.25">
      <c r="C736" s="4" t="s">
        <v>2450</v>
      </c>
      <c r="E736" s="5" t="s">
        <v>0</v>
      </c>
      <c r="F736" s="5" t="s">
        <v>9807</v>
      </c>
      <c r="G736" s="146" t="s">
        <v>3687</v>
      </c>
      <c r="H736" s="7" t="s">
        <v>10532</v>
      </c>
      <c r="I736" s="7" t="s">
        <v>10533</v>
      </c>
      <c r="J736" s="5" t="s">
        <v>10534</v>
      </c>
      <c r="L736" s="5" t="s">
        <v>11577</v>
      </c>
      <c r="M736" s="12" t="s">
        <v>11578</v>
      </c>
      <c r="N736" s="45">
        <v>13100</v>
      </c>
      <c r="O736" s="4" t="s">
        <v>15</v>
      </c>
      <c r="P736" s="45">
        <f>500+2900+4200</f>
        <v>7600</v>
      </c>
      <c r="Q736" s="45">
        <f t="shared" si="67"/>
        <v>5500</v>
      </c>
      <c r="R736" s="3">
        <f t="shared" si="69"/>
        <v>7600</v>
      </c>
    </row>
    <row r="737" spans="2:20" hidden="1" x14ac:dyDescent="0.25">
      <c r="B737" s="21" t="s">
        <v>395</v>
      </c>
      <c r="C737" s="22" t="s">
        <v>2450</v>
      </c>
      <c r="D737" s="22"/>
      <c r="E737" s="21" t="s">
        <v>0</v>
      </c>
      <c r="F737" s="21" t="s">
        <v>9823</v>
      </c>
      <c r="G737" s="147" t="s">
        <v>3687</v>
      </c>
      <c r="H737" s="23" t="s">
        <v>10618</v>
      </c>
      <c r="I737" s="23" t="s">
        <v>10619</v>
      </c>
      <c r="J737" s="21" t="s">
        <v>10620</v>
      </c>
      <c r="K737" s="21"/>
      <c r="L737" s="21" t="s">
        <v>11210</v>
      </c>
      <c r="M737" s="26" t="s">
        <v>11211</v>
      </c>
      <c r="N737" s="44">
        <v>2900</v>
      </c>
      <c r="O737" s="22" t="s">
        <v>15</v>
      </c>
      <c r="P737" s="44">
        <f>870+2030</f>
        <v>2900</v>
      </c>
      <c r="Q737" s="44">
        <f t="shared" si="67"/>
        <v>0</v>
      </c>
      <c r="R737" s="24">
        <f t="shared" si="69"/>
        <v>2900</v>
      </c>
    </row>
    <row r="738" spans="2:20" hidden="1" x14ac:dyDescent="0.25">
      <c r="C738" s="4" t="s">
        <v>2450</v>
      </c>
      <c r="E738" s="5" t="s">
        <v>0</v>
      </c>
      <c r="G738" s="146" t="s">
        <v>3687</v>
      </c>
      <c r="H738" s="7" t="s">
        <v>10749</v>
      </c>
      <c r="I738" s="7" t="s">
        <v>10750</v>
      </c>
      <c r="J738" s="5" t="s">
        <v>10751</v>
      </c>
      <c r="L738" s="5" t="s">
        <v>13667</v>
      </c>
      <c r="M738" s="12" t="s">
        <v>13668</v>
      </c>
      <c r="N738" s="45">
        <v>26500</v>
      </c>
      <c r="O738" s="4" t="s">
        <v>15</v>
      </c>
      <c r="P738" s="45">
        <f>500+200+6000+6371+6000+4000+4000</f>
        <v>27071</v>
      </c>
      <c r="Q738" s="3">
        <f t="shared" si="67"/>
        <v>0</v>
      </c>
      <c r="R738" s="3">
        <f>IF(P738="OK",N738-Q738,IF(P738="en cours",M738-Q738,P738))</f>
        <v>27071</v>
      </c>
    </row>
    <row r="739" spans="2:20" hidden="1" x14ac:dyDescent="0.25">
      <c r="B739" s="21" t="s">
        <v>395</v>
      </c>
      <c r="C739" s="22" t="s">
        <v>158</v>
      </c>
      <c r="D739" s="22"/>
      <c r="E739" s="21" t="s">
        <v>0</v>
      </c>
      <c r="F739" s="21" t="s">
        <v>9807</v>
      </c>
      <c r="G739" s="147" t="s">
        <v>3687</v>
      </c>
      <c r="H739" s="23" t="s">
        <v>10938</v>
      </c>
      <c r="I739" s="23" t="s">
        <v>10939</v>
      </c>
      <c r="J739" s="21" t="s">
        <v>10940</v>
      </c>
      <c r="K739" s="21"/>
      <c r="L739" s="21" t="s">
        <v>11109</v>
      </c>
      <c r="M739" s="26" t="s">
        <v>11110</v>
      </c>
      <c r="N739" s="44">
        <v>52600</v>
      </c>
      <c r="O739" s="22" t="s">
        <v>15</v>
      </c>
      <c r="P739" s="44">
        <f>16130+560+35910</f>
        <v>52600</v>
      </c>
      <c r="Q739" s="44">
        <f t="shared" si="67"/>
        <v>0</v>
      </c>
      <c r="R739" s="24">
        <f t="shared" ref="R739:R746" si="70">IF(P739="OK",N739-Q739,IF(P739="en cours",N739-Q739,P739))</f>
        <v>52600</v>
      </c>
    </row>
    <row r="740" spans="2:20" hidden="1" x14ac:dyDescent="0.25">
      <c r="B740" s="21" t="s">
        <v>395</v>
      </c>
      <c r="C740" s="22" t="s">
        <v>2450</v>
      </c>
      <c r="D740" s="22"/>
      <c r="E740" s="21" t="s">
        <v>0</v>
      </c>
      <c r="F740" s="21" t="s">
        <v>9823</v>
      </c>
      <c r="G740" s="147" t="s">
        <v>3687</v>
      </c>
      <c r="H740" s="23" t="s">
        <v>10947</v>
      </c>
      <c r="I740" s="23" t="s">
        <v>10948</v>
      </c>
      <c r="J740" s="21" t="s">
        <v>11061</v>
      </c>
      <c r="K740" s="21"/>
      <c r="L740" s="21" t="s">
        <v>11733</v>
      </c>
      <c r="M740" s="26" t="s">
        <v>11734</v>
      </c>
      <c r="N740" s="44">
        <v>10800</v>
      </c>
      <c r="O740" s="22" t="s">
        <v>15</v>
      </c>
      <c r="P740" s="44">
        <f>2920+2940+2000+2940</f>
        <v>10800</v>
      </c>
      <c r="Q740" s="24">
        <f t="shared" si="67"/>
        <v>0</v>
      </c>
      <c r="R740" s="24">
        <f t="shared" si="70"/>
        <v>10800</v>
      </c>
      <c r="S740" s="21"/>
      <c r="T740" s="21"/>
    </row>
    <row r="741" spans="2:20" hidden="1" x14ac:dyDescent="0.25">
      <c r="B741" s="21" t="s">
        <v>395</v>
      </c>
      <c r="C741" s="22" t="s">
        <v>2450</v>
      </c>
      <c r="D741" s="22"/>
      <c r="E741" s="21" t="s">
        <v>0</v>
      </c>
      <c r="F741" s="21" t="s">
        <v>9823</v>
      </c>
      <c r="G741" s="147" t="s">
        <v>3687</v>
      </c>
      <c r="H741" s="23" t="s">
        <v>11058</v>
      </c>
      <c r="I741" s="23" t="s">
        <v>11059</v>
      </c>
      <c r="J741" s="21" t="s">
        <v>11060</v>
      </c>
      <c r="K741" s="21"/>
      <c r="L741" s="21" t="s">
        <v>11256</v>
      </c>
      <c r="M741" s="26" t="s">
        <v>11257</v>
      </c>
      <c r="N741" s="44">
        <v>6000</v>
      </c>
      <c r="O741" s="22" t="s">
        <v>15</v>
      </c>
      <c r="P741" s="44">
        <f>1800+4200</f>
        <v>6000</v>
      </c>
      <c r="Q741" s="24">
        <f t="shared" si="67"/>
        <v>0</v>
      </c>
      <c r="R741" s="24">
        <f t="shared" si="70"/>
        <v>6000</v>
      </c>
    </row>
    <row r="742" spans="2:20" hidden="1" x14ac:dyDescent="0.25">
      <c r="C742" s="4" t="s">
        <v>2450</v>
      </c>
      <c r="E742" s="5" t="s">
        <v>0</v>
      </c>
      <c r="F742" s="5" t="s">
        <v>9823</v>
      </c>
      <c r="G742" s="146" t="s">
        <v>3687</v>
      </c>
      <c r="H742" s="7" t="s">
        <v>11062</v>
      </c>
      <c r="I742" s="7" t="s">
        <v>11063</v>
      </c>
      <c r="J742" s="5" t="s">
        <v>11064</v>
      </c>
      <c r="L742" s="5" t="s">
        <v>11735</v>
      </c>
      <c r="M742" s="12" t="s">
        <v>11736</v>
      </c>
      <c r="N742" s="45">
        <v>31400</v>
      </c>
      <c r="O742" s="4" t="s">
        <v>15</v>
      </c>
      <c r="P742" s="45">
        <f>9000+700+5800+11200+700</f>
        <v>27400</v>
      </c>
      <c r="Q742" s="45">
        <f t="shared" si="67"/>
        <v>4000</v>
      </c>
      <c r="R742" s="3">
        <f t="shared" si="70"/>
        <v>27400</v>
      </c>
    </row>
    <row r="743" spans="2:20" hidden="1" x14ac:dyDescent="0.25">
      <c r="B743" s="21" t="s">
        <v>395</v>
      </c>
      <c r="C743" s="22" t="s">
        <v>2450</v>
      </c>
      <c r="D743" s="22"/>
      <c r="E743" s="21" t="s">
        <v>0</v>
      </c>
      <c r="F743" s="21" t="s">
        <v>9807</v>
      </c>
      <c r="G743" s="147" t="s">
        <v>3687</v>
      </c>
      <c r="H743" s="23" t="s">
        <v>11128</v>
      </c>
      <c r="I743" s="23" t="s">
        <v>11129</v>
      </c>
      <c r="J743" s="21" t="s">
        <v>11130</v>
      </c>
      <c r="K743" s="21"/>
      <c r="L743" s="21" t="s">
        <v>11573</v>
      </c>
      <c r="M743" s="26" t="s">
        <v>11574</v>
      </c>
      <c r="N743" s="44">
        <v>4300</v>
      </c>
      <c r="O743" s="22" t="s">
        <v>15</v>
      </c>
      <c r="P743" s="44">
        <f>2040+4760</f>
        <v>6800</v>
      </c>
      <c r="Q743" s="24">
        <f t="shared" ref="Q743" si="71">IF(P743="en cours",N743,IF(P743="OK",0,IF(N743-P743&lt;0,0,N743-P743)))</f>
        <v>0</v>
      </c>
      <c r="R743" s="24">
        <f t="shared" ref="R743" si="72">IF(P743="OK",N743-Q743,IF(P743="en cours",N743-Q743,P743))</f>
        <v>6800</v>
      </c>
    </row>
    <row r="744" spans="2:20" hidden="1" x14ac:dyDescent="0.25">
      <c r="B744" s="21" t="s">
        <v>395</v>
      </c>
      <c r="C744" s="22" t="s">
        <v>2450</v>
      </c>
      <c r="D744" s="22"/>
      <c r="E744" s="21" t="s">
        <v>0</v>
      </c>
      <c r="F744" s="21" t="s">
        <v>9807</v>
      </c>
      <c r="G744" s="147" t="s">
        <v>6365</v>
      </c>
      <c r="H744" s="23" t="s">
        <v>11128</v>
      </c>
      <c r="I744" s="23" t="s">
        <v>11129</v>
      </c>
      <c r="J744" s="21" t="s">
        <v>11130</v>
      </c>
      <c r="K744" s="21"/>
      <c r="L744" s="21" t="s">
        <v>11728</v>
      </c>
      <c r="M744" s="26" t="s">
        <v>11729</v>
      </c>
      <c r="N744" s="44">
        <f>2500</f>
        <v>2500</v>
      </c>
      <c r="O744" s="22" t="s">
        <v>15</v>
      </c>
      <c r="P744" s="44">
        <f>625+1875</f>
        <v>2500</v>
      </c>
      <c r="Q744" s="24">
        <f t="shared" si="67"/>
        <v>0</v>
      </c>
      <c r="R744" s="24">
        <f t="shared" si="70"/>
        <v>2500</v>
      </c>
    </row>
    <row r="745" spans="2:20" hidden="1" x14ac:dyDescent="0.25">
      <c r="C745" s="4" t="s">
        <v>2450</v>
      </c>
      <c r="E745" s="5" t="s">
        <v>0</v>
      </c>
      <c r="F745" s="5" t="s">
        <v>9807</v>
      </c>
      <c r="G745" s="146" t="s">
        <v>3687</v>
      </c>
      <c r="H745" s="7" t="s">
        <v>11154</v>
      </c>
      <c r="I745" s="7" t="s">
        <v>11155</v>
      </c>
      <c r="J745" s="5" t="s">
        <v>11156</v>
      </c>
      <c r="L745" s="5" t="s">
        <v>12063</v>
      </c>
      <c r="M745" s="12" t="s">
        <v>12064</v>
      </c>
      <c r="N745" s="45">
        <v>56900</v>
      </c>
      <c r="O745" s="4" t="s">
        <v>15</v>
      </c>
      <c r="P745" s="45">
        <f>17980+19495+490+1750</f>
        <v>39715</v>
      </c>
      <c r="Q745" s="45">
        <f t="shared" si="67"/>
        <v>17185</v>
      </c>
      <c r="R745" s="3">
        <f t="shared" si="70"/>
        <v>39715</v>
      </c>
    </row>
    <row r="746" spans="2:20" hidden="1" x14ac:dyDescent="0.25">
      <c r="B746" s="5" t="s">
        <v>12228</v>
      </c>
      <c r="C746" s="4" t="s">
        <v>2427</v>
      </c>
      <c r="E746" s="5" t="s">
        <v>0</v>
      </c>
      <c r="G746" s="146" t="s">
        <v>340</v>
      </c>
      <c r="H746" s="7" t="s">
        <v>436</v>
      </c>
      <c r="I746" s="7" t="s">
        <v>8333</v>
      </c>
      <c r="J746" s="5" t="s">
        <v>2433</v>
      </c>
      <c r="N746" s="45">
        <v>52000</v>
      </c>
      <c r="O746" s="4" t="s">
        <v>341</v>
      </c>
      <c r="P746" s="57">
        <f>9240+4800+52000</f>
        <v>66040</v>
      </c>
      <c r="Q746" s="3">
        <f t="shared" si="67"/>
        <v>0</v>
      </c>
      <c r="R746" s="3">
        <f t="shared" si="70"/>
        <v>66040</v>
      </c>
    </row>
    <row r="747" spans="2:20" hidden="1" x14ac:dyDescent="0.25">
      <c r="B747" s="21" t="s">
        <v>395</v>
      </c>
      <c r="C747" s="22" t="s">
        <v>2450</v>
      </c>
      <c r="D747" s="22"/>
      <c r="E747" s="21" t="s">
        <v>159</v>
      </c>
      <c r="F747" s="21"/>
      <c r="G747" s="147" t="s">
        <v>1817</v>
      </c>
      <c r="H747" s="23" t="s">
        <v>5394</v>
      </c>
      <c r="I747" s="23" t="s">
        <v>8065</v>
      </c>
      <c r="J747" s="21" t="s">
        <v>5354</v>
      </c>
      <c r="K747" s="21"/>
      <c r="L747" s="21" t="s">
        <v>6567</v>
      </c>
      <c r="M747" s="26" t="s">
        <v>6568</v>
      </c>
      <c r="N747" s="44">
        <v>40205</v>
      </c>
      <c r="O747" s="22" t="s">
        <v>341</v>
      </c>
      <c r="P747" s="44">
        <f>442.5+(2137.5+630)+(70+3277.5)+14442.5+7320+4340+140+6973.75+(12748.75+1625+120+693.75+420)</f>
        <v>55381.25</v>
      </c>
      <c r="Q747" s="24">
        <f t="shared" ref="Q747:Q752" si="73">IF(P747="en cours",N747,IF(P747="OK",0,IF(N747-P747&lt;0,0,N747-P747)))</f>
        <v>0</v>
      </c>
      <c r="R747" s="24">
        <f t="shared" ref="R747:R761" si="74">IF(P747="OK",N747-Q747,IF(P747="en cours",N747-Q747,P747))</f>
        <v>55381.25</v>
      </c>
    </row>
    <row r="748" spans="2:20" hidden="1" x14ac:dyDescent="0.25">
      <c r="B748" s="5" t="s">
        <v>12228</v>
      </c>
      <c r="C748" s="4" t="s">
        <v>2450</v>
      </c>
      <c r="E748" s="5" t="s">
        <v>159</v>
      </c>
      <c r="G748" s="146" t="s">
        <v>1817</v>
      </c>
      <c r="H748" s="7" t="s">
        <v>5394</v>
      </c>
      <c r="I748" s="7" t="s">
        <v>8065</v>
      </c>
      <c r="J748" s="5" t="s">
        <v>5275</v>
      </c>
      <c r="L748" s="5" t="s">
        <v>7442</v>
      </c>
      <c r="M748" s="12" t="s">
        <v>7443</v>
      </c>
      <c r="N748" s="45">
        <v>25455</v>
      </c>
      <c r="O748" s="4" t="s">
        <v>341</v>
      </c>
      <c r="P748" s="3">
        <f>3380+262.5+3315</f>
        <v>6957.5</v>
      </c>
      <c r="Q748" s="3">
        <f t="shared" si="73"/>
        <v>18497.5</v>
      </c>
      <c r="R748" s="3">
        <f t="shared" si="74"/>
        <v>6957.5</v>
      </c>
      <c r="S748" s="5" t="s">
        <v>8610</v>
      </c>
    </row>
    <row r="749" spans="2:20" hidden="1" x14ac:dyDescent="0.25">
      <c r="B749" s="5" t="s">
        <v>12228</v>
      </c>
      <c r="C749" s="4" t="s">
        <v>2450</v>
      </c>
      <c r="E749" s="5" t="s">
        <v>159</v>
      </c>
      <c r="G749" s="146" t="s">
        <v>1817</v>
      </c>
      <c r="H749" s="7" t="s">
        <v>5395</v>
      </c>
      <c r="I749" s="7" t="s">
        <v>8064</v>
      </c>
      <c r="J749" s="5" t="s">
        <v>5274</v>
      </c>
      <c r="L749" s="5" t="s">
        <v>6667</v>
      </c>
      <c r="M749" s="12">
        <v>44651</v>
      </c>
      <c r="N749" s="45">
        <v>6350</v>
      </c>
      <c r="O749" s="4" t="s">
        <v>341</v>
      </c>
      <c r="P749" s="3">
        <f>472.5</f>
        <v>472.5</v>
      </c>
      <c r="Q749" s="3">
        <f t="shared" si="73"/>
        <v>5877.5</v>
      </c>
      <c r="R749" s="3">
        <f t="shared" si="74"/>
        <v>472.5</v>
      </c>
      <c r="S749" s="5" t="s">
        <v>8610</v>
      </c>
    </row>
    <row r="750" spans="2:20" hidden="1" x14ac:dyDescent="0.25">
      <c r="B750" s="5" t="s">
        <v>12228</v>
      </c>
      <c r="C750" s="4" t="s">
        <v>2450</v>
      </c>
      <c r="E750" s="5" t="s">
        <v>159</v>
      </c>
      <c r="G750" s="146" t="s">
        <v>1817</v>
      </c>
      <c r="H750" s="7" t="s">
        <v>6918</v>
      </c>
      <c r="I750" s="7" t="s">
        <v>8180</v>
      </c>
      <c r="J750" s="5" t="s">
        <v>6919</v>
      </c>
      <c r="L750" s="5" t="s">
        <v>7064</v>
      </c>
      <c r="M750" s="12">
        <v>44804</v>
      </c>
      <c r="N750" s="45">
        <v>30460</v>
      </c>
      <c r="O750" s="4" t="s">
        <v>341</v>
      </c>
      <c r="P750" s="45">
        <f>2562.5</f>
        <v>2562.5</v>
      </c>
      <c r="Q750" s="3">
        <f t="shared" si="73"/>
        <v>27897.5</v>
      </c>
      <c r="R750" s="3">
        <f t="shared" si="74"/>
        <v>2562.5</v>
      </c>
      <c r="S750" s="5" t="s">
        <v>8610</v>
      </c>
    </row>
    <row r="751" spans="2:20" hidden="1" x14ac:dyDescent="0.25">
      <c r="B751" s="5" t="s">
        <v>12228</v>
      </c>
      <c r="C751" s="4" t="s">
        <v>2450</v>
      </c>
      <c r="E751" s="5" t="s">
        <v>159</v>
      </c>
      <c r="G751" s="146" t="s">
        <v>1817</v>
      </c>
      <c r="H751" s="7" t="s">
        <v>7653</v>
      </c>
      <c r="I751" s="7" t="s">
        <v>8193</v>
      </c>
      <c r="J751" s="5" t="s">
        <v>6919</v>
      </c>
      <c r="N751" s="45">
        <v>43485</v>
      </c>
      <c r="O751" s="4" t="s">
        <v>341</v>
      </c>
      <c r="Q751" s="3">
        <f t="shared" si="73"/>
        <v>43485</v>
      </c>
      <c r="R751" s="3">
        <f t="shared" si="74"/>
        <v>0</v>
      </c>
      <c r="S751" s="5" t="s">
        <v>8611</v>
      </c>
    </row>
    <row r="752" spans="2:20" hidden="1" x14ac:dyDescent="0.25">
      <c r="B752" s="5" t="s">
        <v>12228</v>
      </c>
      <c r="C752" s="4" t="s">
        <v>2450</v>
      </c>
      <c r="E752" s="5" t="s">
        <v>159</v>
      </c>
      <c r="G752" s="146" t="s">
        <v>1817</v>
      </c>
      <c r="H752" s="7" t="s">
        <v>7260</v>
      </c>
      <c r="I752" s="7" t="s">
        <v>8207</v>
      </c>
      <c r="J752" s="5" t="s">
        <v>7335</v>
      </c>
      <c r="L752" s="5" t="s">
        <v>8698</v>
      </c>
      <c r="M752" s="12" t="s">
        <v>8699</v>
      </c>
      <c r="N752" s="45">
        <v>61425</v>
      </c>
      <c r="O752" s="4" t="s">
        <v>341</v>
      </c>
      <c r="P752" s="45">
        <f>7481.25+3255+1691.25+4672.5+9030+14105+12787.5+2790+1242.5</f>
        <v>57055</v>
      </c>
      <c r="Q752" s="3">
        <f t="shared" si="73"/>
        <v>4370</v>
      </c>
      <c r="R752" s="3">
        <f t="shared" si="74"/>
        <v>57055</v>
      </c>
      <c r="S752" s="5" t="s">
        <v>8610</v>
      </c>
    </row>
    <row r="753" spans="1:19" hidden="1" x14ac:dyDescent="0.25">
      <c r="B753" s="21" t="s">
        <v>395</v>
      </c>
      <c r="C753" s="22" t="s">
        <v>158</v>
      </c>
      <c r="D753" s="22"/>
      <c r="E753" s="21" t="s">
        <v>10</v>
      </c>
      <c r="F753" s="21" t="s">
        <v>9721</v>
      </c>
      <c r="G753" s="147" t="s">
        <v>1201</v>
      </c>
      <c r="H753" s="23" t="s">
        <v>11119</v>
      </c>
      <c r="I753" s="23" t="s">
        <v>11120</v>
      </c>
      <c r="J753" s="21" t="s">
        <v>6557</v>
      </c>
      <c r="K753" s="21"/>
      <c r="L753" s="21" t="s">
        <v>11179</v>
      </c>
      <c r="M753" s="26">
        <v>45681</v>
      </c>
      <c r="N753" s="44">
        <v>864.44</v>
      </c>
      <c r="O753" s="22" t="s">
        <v>15</v>
      </c>
      <c r="P753" s="44">
        <v>864.44</v>
      </c>
      <c r="Q753" s="44">
        <f t="shared" ref="Q753:Q792" si="75">IF(P753="en cours",N753,IF(P753="OK",0,IF(N753-P753&lt;0,0,N753-P753)))</f>
        <v>0</v>
      </c>
      <c r="R753" s="24">
        <f t="shared" si="74"/>
        <v>864.44</v>
      </c>
    </row>
    <row r="754" spans="1:19" hidden="1" x14ac:dyDescent="0.25">
      <c r="C754" s="4" t="s">
        <v>6267</v>
      </c>
      <c r="E754" s="5" t="s">
        <v>9707</v>
      </c>
      <c r="F754" s="5" t="s">
        <v>9776</v>
      </c>
      <c r="G754" s="146" t="s">
        <v>10449</v>
      </c>
      <c r="H754" s="7" t="s">
        <v>12749</v>
      </c>
      <c r="J754" s="5" t="s">
        <v>11710</v>
      </c>
      <c r="L754" s="5" t="s">
        <v>13650</v>
      </c>
      <c r="M754" s="12" t="s">
        <v>13653</v>
      </c>
      <c r="N754" s="45">
        <f>359450+235759</f>
        <v>595209</v>
      </c>
      <c r="O754" s="4" t="s">
        <v>276</v>
      </c>
      <c r="P754" s="45">
        <f>11689.92+29875.2+64427.88+107897.76+27037.2+82234.83+3307.2+9624.24+13503.76+22561.6+52994.68-825+27159.68+12319+17122.8</f>
        <v>480930.75</v>
      </c>
      <c r="Q754" s="45">
        <f t="shared" si="75"/>
        <v>114278.25</v>
      </c>
      <c r="R754" s="3">
        <f t="shared" si="74"/>
        <v>480930.75</v>
      </c>
    </row>
    <row r="755" spans="1:19" hidden="1" x14ac:dyDescent="0.25">
      <c r="C755" s="4" t="s">
        <v>6675</v>
      </c>
      <c r="E755" s="5" t="s">
        <v>9707</v>
      </c>
      <c r="F755" s="5" t="s">
        <v>9776</v>
      </c>
      <c r="G755" s="146" t="s">
        <v>10449</v>
      </c>
      <c r="H755" s="7" t="s">
        <v>12750</v>
      </c>
      <c r="J755" s="5" t="s">
        <v>11711</v>
      </c>
      <c r="L755" s="5" t="s">
        <v>13651</v>
      </c>
      <c r="M755" s="12" t="s">
        <v>13652</v>
      </c>
      <c r="N755" s="45">
        <f>355174+198506</f>
        <v>553680</v>
      </c>
      <c r="O755" s="4" t="s">
        <v>276</v>
      </c>
      <c r="P755" s="45">
        <f>5397.84+15964.56+12011.28+12966.24+9893.2+30724.08+39863.67+39531.24+148975.08+17068.2+59918.16-2062.5+9336.56+19326+78421.2</f>
        <v>497334.80999999994</v>
      </c>
      <c r="Q755" s="45">
        <f t="shared" si="75"/>
        <v>56345.190000000061</v>
      </c>
      <c r="R755" s="3">
        <f t="shared" si="74"/>
        <v>497334.80999999994</v>
      </c>
    </row>
    <row r="756" spans="1:19" hidden="1" x14ac:dyDescent="0.25">
      <c r="C756" s="4" t="s">
        <v>6047</v>
      </c>
      <c r="E756" s="5" t="s">
        <v>9707</v>
      </c>
      <c r="F756" s="5" t="s">
        <v>9776</v>
      </c>
      <c r="G756" s="146" t="s">
        <v>10449</v>
      </c>
      <c r="H756" s="7" t="s">
        <v>10450</v>
      </c>
      <c r="J756" s="5" t="s">
        <v>11712</v>
      </c>
      <c r="L756" s="5" t="s">
        <v>13654</v>
      </c>
      <c r="M756" s="12" t="s">
        <v>13655</v>
      </c>
      <c r="N756" s="45">
        <v>622346</v>
      </c>
      <c r="O756" s="4" t="s">
        <v>276</v>
      </c>
      <c r="P756" s="45">
        <f>5232.6+5089.05+5953.2+4027.8+97425.4+7599.6+2897.1+10870.8+4462.2-834-417+4892.4+3434.4+12187.4+1942.8+5002.5</f>
        <v>169766.24999999997</v>
      </c>
      <c r="Q756" s="45">
        <f t="shared" si="75"/>
        <v>452579.75</v>
      </c>
      <c r="R756" s="3">
        <f t="shared" si="74"/>
        <v>169766.24999999997</v>
      </c>
    </row>
    <row r="757" spans="1:19" hidden="1" x14ac:dyDescent="0.25">
      <c r="C757" s="4" t="s">
        <v>8972</v>
      </c>
      <c r="E757" s="5" t="s">
        <v>9707</v>
      </c>
      <c r="F757" s="5" t="s">
        <v>9776</v>
      </c>
      <c r="G757" s="146" t="s">
        <v>10449</v>
      </c>
      <c r="H757" s="7" t="s">
        <v>10451</v>
      </c>
      <c r="J757" s="5" t="s">
        <v>11713</v>
      </c>
      <c r="L757" s="5" t="s">
        <v>13656</v>
      </c>
      <c r="M757" s="12" t="s">
        <v>13657</v>
      </c>
      <c r="N757" s="45">
        <v>784541</v>
      </c>
      <c r="O757" s="4" t="s">
        <v>276</v>
      </c>
      <c r="P757" s="45">
        <f>5886.68+5079.68+6451.43+2250+3414.45+3852+3111.3-16597.28+6351.38-8883.45-6351.38+300+17038.95+524.25</f>
        <v>22428.010000000002</v>
      </c>
      <c r="Q757" s="45">
        <f t="shared" si="75"/>
        <v>762112.99</v>
      </c>
      <c r="R757" s="3">
        <f t="shared" si="74"/>
        <v>22428.010000000002</v>
      </c>
    </row>
    <row r="758" spans="1:19" hidden="1" x14ac:dyDescent="0.25">
      <c r="B758" s="21" t="s">
        <v>395</v>
      </c>
      <c r="C758" s="22" t="s">
        <v>2450</v>
      </c>
      <c r="D758" s="22"/>
      <c r="E758" s="21" t="s">
        <v>0</v>
      </c>
      <c r="F758" s="21" t="s">
        <v>9823</v>
      </c>
      <c r="G758" s="147" t="s">
        <v>10624</v>
      </c>
      <c r="H758" s="23" t="s">
        <v>10625</v>
      </c>
      <c r="I758" s="23" t="s">
        <v>10626</v>
      </c>
      <c r="J758" s="21" t="s">
        <v>10627</v>
      </c>
      <c r="K758" s="21"/>
      <c r="L758" s="21" t="s">
        <v>12240</v>
      </c>
      <c r="M758" s="26">
        <v>45568</v>
      </c>
      <c r="N758" s="44">
        <v>2166</v>
      </c>
      <c r="O758" s="22" t="s">
        <v>15</v>
      </c>
      <c r="P758" s="44">
        <v>2166</v>
      </c>
      <c r="Q758" s="44">
        <f t="shared" si="75"/>
        <v>0</v>
      </c>
      <c r="R758" s="24">
        <f t="shared" si="74"/>
        <v>2166</v>
      </c>
    </row>
    <row r="759" spans="1:19" hidden="1" x14ac:dyDescent="0.25">
      <c r="B759" s="21" t="s">
        <v>395</v>
      </c>
      <c r="C759" s="22" t="s">
        <v>2450</v>
      </c>
      <c r="D759" s="22"/>
      <c r="E759" s="21" t="s">
        <v>10</v>
      </c>
      <c r="F759" s="21" t="s">
        <v>9721</v>
      </c>
      <c r="G759" s="147" t="s">
        <v>6393</v>
      </c>
      <c r="H759" s="23" t="s">
        <v>10923</v>
      </c>
      <c r="I759" s="23" t="s">
        <v>10924</v>
      </c>
      <c r="J759" s="21" t="s">
        <v>10917</v>
      </c>
      <c r="K759" s="47"/>
      <c r="L759" s="21" t="s">
        <v>11662</v>
      </c>
      <c r="M759" s="23" t="s">
        <v>11659</v>
      </c>
      <c r="N759" s="44">
        <v>735.86</v>
      </c>
      <c r="O759" s="22" t="s">
        <v>15</v>
      </c>
      <c r="P759" s="44">
        <f>63.62+123.8+63.62+123.8-(120.36+60.18+120.36+60.18)+(120.35+240.7+120.35+240.7)</f>
        <v>735.8599999999999</v>
      </c>
      <c r="Q759" s="24">
        <v>0</v>
      </c>
      <c r="R759" s="24">
        <f t="shared" si="74"/>
        <v>735.8599999999999</v>
      </c>
    </row>
    <row r="760" spans="1:19" hidden="1" x14ac:dyDescent="0.25">
      <c r="B760" s="21" t="s">
        <v>395</v>
      </c>
      <c r="C760" s="22" t="s">
        <v>2450</v>
      </c>
      <c r="D760" s="22"/>
      <c r="E760" s="21" t="s">
        <v>10</v>
      </c>
      <c r="F760" s="21" t="s">
        <v>9721</v>
      </c>
      <c r="G760" s="147" t="s">
        <v>6393</v>
      </c>
      <c r="H760" s="23" t="s">
        <v>10925</v>
      </c>
      <c r="I760" s="23" t="s">
        <v>10926</v>
      </c>
      <c r="J760" s="21" t="s">
        <v>10918</v>
      </c>
      <c r="K760" s="47"/>
      <c r="L760" s="21" t="s">
        <v>11661</v>
      </c>
      <c r="M760" s="23" t="s">
        <v>11660</v>
      </c>
      <c r="N760" s="44">
        <v>1471.72</v>
      </c>
      <c r="O760" s="22" t="s">
        <v>15</v>
      </c>
      <c r="P760" s="44">
        <f>63.62+123.8+63.62+63.62+123.8+123.8-(120.36+60.18+120.36+60.18+60.18+120.36)+(240.7+120.35+240.7+120.35+120.35+240.7)</f>
        <v>1103.79</v>
      </c>
      <c r="Q760" s="24">
        <v>0</v>
      </c>
      <c r="R760" s="24">
        <f t="shared" si="74"/>
        <v>1103.79</v>
      </c>
    </row>
    <row r="761" spans="1:19" hidden="1" x14ac:dyDescent="0.25">
      <c r="B761" s="21" t="s">
        <v>395</v>
      </c>
      <c r="C761" s="22" t="s">
        <v>2450</v>
      </c>
      <c r="D761" s="22"/>
      <c r="E761" s="21" t="s">
        <v>10</v>
      </c>
      <c r="F761" s="21" t="s">
        <v>9721</v>
      </c>
      <c r="G761" s="147" t="s">
        <v>6393</v>
      </c>
      <c r="H761" s="23" t="s">
        <v>10927</v>
      </c>
      <c r="I761" s="23" t="s">
        <v>10928</v>
      </c>
      <c r="J761" s="21" t="s">
        <v>10919</v>
      </c>
      <c r="K761" s="47"/>
      <c r="L761" s="21" t="s">
        <v>11663</v>
      </c>
      <c r="M761" s="26">
        <v>45747</v>
      </c>
      <c r="N761" s="44">
        <v>1471.72</v>
      </c>
      <c r="O761" s="22" t="s">
        <v>15</v>
      </c>
      <c r="P761" s="44">
        <f>244.14+123.79+244.14+123.79+244.14+123.79+244.14+123.79</f>
        <v>1471.7199999999998</v>
      </c>
      <c r="Q761" s="24">
        <f t="shared" si="75"/>
        <v>2.2737367544323206E-13</v>
      </c>
      <c r="R761" s="24">
        <f t="shared" si="74"/>
        <v>1471.7199999999998</v>
      </c>
    </row>
    <row r="762" spans="1:19" hidden="1" x14ac:dyDescent="0.25">
      <c r="B762" s="21" t="s">
        <v>395</v>
      </c>
      <c r="C762" s="22" t="s">
        <v>2450</v>
      </c>
      <c r="D762" s="22"/>
      <c r="E762" s="21" t="s">
        <v>10</v>
      </c>
      <c r="F762" s="21" t="s">
        <v>9721</v>
      </c>
      <c r="G762" s="147" t="s">
        <v>6393</v>
      </c>
      <c r="H762" s="23" t="s">
        <v>10929</v>
      </c>
      <c r="I762" s="23" t="s">
        <v>10930</v>
      </c>
      <c r="J762" s="21" t="s">
        <v>10920</v>
      </c>
      <c r="K762" s="47"/>
      <c r="L762" s="21" t="s">
        <v>11759</v>
      </c>
      <c r="M762" s="23" t="s">
        <v>11760</v>
      </c>
      <c r="N762" s="44">
        <v>1103.79</v>
      </c>
      <c r="O762" s="22" t="s">
        <v>15</v>
      </c>
      <c r="P762" s="44">
        <f>123.79+244.14+123.79+123.79+123.79</f>
        <v>739.3</v>
      </c>
      <c r="Q762" s="24">
        <v>0</v>
      </c>
      <c r="R762" s="24">
        <f t="shared" ref="R762:R780" si="76">IF(P762="OK",N762-Q762,IF(P762="en cours",N762-Q762,P762))</f>
        <v>739.3</v>
      </c>
    </row>
    <row r="763" spans="1:19" hidden="1" x14ac:dyDescent="0.25">
      <c r="B763" s="21" t="s">
        <v>395</v>
      </c>
      <c r="C763" s="22" t="s">
        <v>2450</v>
      </c>
      <c r="D763" s="22"/>
      <c r="E763" s="21" t="s">
        <v>10</v>
      </c>
      <c r="F763" s="21" t="s">
        <v>9721</v>
      </c>
      <c r="G763" s="147" t="s">
        <v>6393</v>
      </c>
      <c r="H763" s="23" t="s">
        <v>10931</v>
      </c>
      <c r="I763" s="23" t="s">
        <v>10932</v>
      </c>
      <c r="J763" s="21" t="s">
        <v>10921</v>
      </c>
      <c r="K763" s="47"/>
      <c r="L763" s="21" t="s">
        <v>11992</v>
      </c>
      <c r="M763" s="26" t="s">
        <v>11993</v>
      </c>
      <c r="N763" s="44">
        <v>367.93</v>
      </c>
      <c r="O763" s="22" t="s">
        <v>15</v>
      </c>
      <c r="P763" s="44">
        <f>123.79+123.79</f>
        <v>247.58</v>
      </c>
      <c r="Q763" s="24">
        <v>0</v>
      </c>
      <c r="R763" s="24">
        <f t="shared" si="76"/>
        <v>247.58</v>
      </c>
    </row>
    <row r="764" spans="1:19" hidden="1" x14ac:dyDescent="0.25">
      <c r="B764" s="21" t="s">
        <v>395</v>
      </c>
      <c r="C764" s="22" t="s">
        <v>2450</v>
      </c>
      <c r="D764" s="22"/>
      <c r="E764" s="21" t="s">
        <v>10</v>
      </c>
      <c r="F764" s="21" t="s">
        <v>9721</v>
      </c>
      <c r="G764" s="147" t="s">
        <v>6393</v>
      </c>
      <c r="H764" s="23" t="s">
        <v>10933</v>
      </c>
      <c r="I764" s="23" t="s">
        <v>10934</v>
      </c>
      <c r="J764" s="21" t="s">
        <v>10922</v>
      </c>
      <c r="K764" s="47"/>
      <c r="L764" s="21" t="s">
        <v>12137</v>
      </c>
      <c r="M764" s="26">
        <v>45838</v>
      </c>
      <c r="N764" s="44">
        <v>735.86</v>
      </c>
      <c r="O764" s="22" t="s">
        <v>15</v>
      </c>
      <c r="P764" s="44">
        <f>123.79+244.14+123.79+244.14</f>
        <v>735.86</v>
      </c>
      <c r="Q764" s="24">
        <f t="shared" si="75"/>
        <v>0</v>
      </c>
      <c r="R764" s="24">
        <f t="shared" si="76"/>
        <v>735.86</v>
      </c>
    </row>
    <row r="765" spans="1:19" hidden="1" x14ac:dyDescent="0.25">
      <c r="B765" s="5" t="s">
        <v>12228</v>
      </c>
      <c r="C765" s="4" t="s">
        <v>2568</v>
      </c>
      <c r="E765" s="5" t="s">
        <v>159</v>
      </c>
      <c r="G765" s="146" t="s">
        <v>5785</v>
      </c>
      <c r="H765" s="7" t="s">
        <v>5787</v>
      </c>
      <c r="I765" s="7" t="s">
        <v>8098</v>
      </c>
      <c r="J765" s="5" t="s">
        <v>5786</v>
      </c>
      <c r="N765" s="45">
        <v>6680</v>
      </c>
      <c r="O765" s="4" t="s">
        <v>15</v>
      </c>
      <c r="Q765" s="3">
        <f t="shared" si="75"/>
        <v>6680</v>
      </c>
      <c r="R765" s="3">
        <f t="shared" si="76"/>
        <v>0</v>
      </c>
    </row>
    <row r="766" spans="1:19" hidden="1" x14ac:dyDescent="0.25">
      <c r="A766" t="s">
        <v>6753</v>
      </c>
      <c r="B766" s="21" t="s">
        <v>395</v>
      </c>
      <c r="C766" s="22" t="s">
        <v>2459</v>
      </c>
      <c r="D766" s="22"/>
      <c r="E766" s="280" t="s">
        <v>75</v>
      </c>
      <c r="F766" s="280"/>
      <c r="G766" s="295" t="s">
        <v>238</v>
      </c>
      <c r="H766" s="294" t="s">
        <v>5138</v>
      </c>
      <c r="I766" s="294"/>
      <c r="J766" s="280" t="s">
        <v>5139</v>
      </c>
      <c r="K766" s="280"/>
      <c r="L766" s="280" t="s">
        <v>5140</v>
      </c>
      <c r="M766" s="145">
        <v>43480</v>
      </c>
      <c r="N766" s="284">
        <f>P766</f>
        <v>42600</v>
      </c>
      <c r="O766" s="283" t="s">
        <v>15</v>
      </c>
      <c r="P766" s="296">
        <v>42600</v>
      </c>
      <c r="Q766" s="24">
        <f t="shared" si="75"/>
        <v>0</v>
      </c>
      <c r="R766" s="24">
        <f t="shared" si="76"/>
        <v>42600</v>
      </c>
      <c r="S766" s="5" t="s">
        <v>12267</v>
      </c>
    </row>
    <row r="767" spans="1:19" hidden="1" x14ac:dyDescent="0.25">
      <c r="A767" t="s">
        <v>6753</v>
      </c>
      <c r="B767" s="21" t="s">
        <v>395</v>
      </c>
      <c r="C767" s="22" t="s">
        <v>2459</v>
      </c>
      <c r="D767" s="22"/>
      <c r="E767" s="21" t="s">
        <v>75</v>
      </c>
      <c r="F767" s="21"/>
      <c r="G767" s="147" t="s">
        <v>238</v>
      </c>
      <c r="H767" s="23" t="s">
        <v>5138</v>
      </c>
      <c r="I767" s="23"/>
      <c r="J767" s="21" t="s">
        <v>5141</v>
      </c>
      <c r="K767" s="21"/>
      <c r="L767" s="21" t="s">
        <v>5142</v>
      </c>
      <c r="M767" s="26" t="s">
        <v>5143</v>
      </c>
      <c r="N767" s="44">
        <f>P767</f>
        <v>44462.5</v>
      </c>
      <c r="O767" s="22" t="s">
        <v>15</v>
      </c>
      <c r="P767" s="114">
        <f>6762.5+24500+13200</f>
        <v>44462.5</v>
      </c>
      <c r="Q767" s="24">
        <f t="shared" si="75"/>
        <v>0</v>
      </c>
      <c r="R767" s="24">
        <f t="shared" si="76"/>
        <v>44462.5</v>
      </c>
      <c r="S767" s="5" t="s">
        <v>12267</v>
      </c>
    </row>
    <row r="768" spans="1:19" hidden="1" x14ac:dyDescent="0.25">
      <c r="A768" t="s">
        <v>6753</v>
      </c>
      <c r="B768" s="21" t="s">
        <v>395</v>
      </c>
      <c r="C768" s="22" t="s">
        <v>2459</v>
      </c>
      <c r="D768" s="22"/>
      <c r="E768" s="307" t="s">
        <v>75</v>
      </c>
      <c r="F768" s="307"/>
      <c r="G768" s="340" t="s">
        <v>238</v>
      </c>
      <c r="H768" s="306" t="s">
        <v>5138</v>
      </c>
      <c r="I768" s="306"/>
      <c r="J768" s="307" t="s">
        <v>5144</v>
      </c>
      <c r="K768" s="307"/>
      <c r="L768" s="307" t="s">
        <v>5624</v>
      </c>
      <c r="M768" s="309" t="s">
        <v>5625</v>
      </c>
      <c r="N768" s="308">
        <f>P768</f>
        <v>6000</v>
      </c>
      <c r="O768" s="341" t="s">
        <v>15</v>
      </c>
      <c r="P768" s="342">
        <f>1000+5000</f>
        <v>6000</v>
      </c>
      <c r="Q768" s="24">
        <f t="shared" si="75"/>
        <v>0</v>
      </c>
      <c r="R768" s="24">
        <f t="shared" si="76"/>
        <v>6000</v>
      </c>
      <c r="S768" s="5" t="s">
        <v>12267</v>
      </c>
    </row>
    <row r="769" spans="1:20" hidden="1" x14ac:dyDescent="0.25">
      <c r="A769" t="s">
        <v>6753</v>
      </c>
      <c r="C769" s="4" t="s">
        <v>2459</v>
      </c>
      <c r="E769" s="43" t="s">
        <v>75</v>
      </c>
      <c r="F769" s="43"/>
      <c r="G769" s="334" t="s">
        <v>238</v>
      </c>
      <c r="H769" s="335" t="s">
        <v>5138</v>
      </c>
      <c r="I769" s="335"/>
      <c r="J769" s="43" t="s">
        <v>7395</v>
      </c>
      <c r="K769" s="43"/>
      <c r="L769" s="43"/>
      <c r="M769" s="336"/>
      <c r="N769" s="337">
        <v>501</v>
      </c>
      <c r="O769" s="338" t="s">
        <v>15</v>
      </c>
      <c r="P769" s="339"/>
      <c r="Q769" s="3">
        <f t="shared" si="75"/>
        <v>501</v>
      </c>
      <c r="R769" s="3">
        <f t="shared" si="76"/>
        <v>0</v>
      </c>
      <c r="S769" s="5" t="s">
        <v>12267</v>
      </c>
    </row>
    <row r="770" spans="1:20" hidden="1" x14ac:dyDescent="0.25">
      <c r="A770" t="s">
        <v>6753</v>
      </c>
      <c r="B770" s="21" t="s">
        <v>395</v>
      </c>
      <c r="C770" s="22" t="s">
        <v>2459</v>
      </c>
      <c r="D770" s="22"/>
      <c r="E770" s="280" t="s">
        <v>75</v>
      </c>
      <c r="F770" s="280"/>
      <c r="G770" s="295" t="s">
        <v>238</v>
      </c>
      <c r="H770" s="294" t="s">
        <v>5138</v>
      </c>
      <c r="I770" s="294"/>
      <c r="J770" s="280" t="s">
        <v>5145</v>
      </c>
      <c r="K770" s="280"/>
      <c r="L770" s="280" t="s">
        <v>5146</v>
      </c>
      <c r="M770" s="145" t="s">
        <v>5147</v>
      </c>
      <c r="N770" s="284">
        <f>P770</f>
        <v>20030.5</v>
      </c>
      <c r="O770" s="283" t="s">
        <v>15</v>
      </c>
      <c r="P770" s="296">
        <f>2400+2400+2400+2400+3296+7134.5</f>
        <v>20030.5</v>
      </c>
      <c r="Q770" s="24">
        <f t="shared" si="75"/>
        <v>0</v>
      </c>
      <c r="R770" s="24">
        <f t="shared" si="76"/>
        <v>20030.5</v>
      </c>
      <c r="S770" s="5" t="s">
        <v>12267</v>
      </c>
    </row>
    <row r="771" spans="1:20" hidden="1" x14ac:dyDescent="0.25">
      <c r="A771" t="s">
        <v>6753</v>
      </c>
      <c r="B771" s="21" t="s">
        <v>395</v>
      </c>
      <c r="C771" s="22" t="s">
        <v>2459</v>
      </c>
      <c r="D771" s="22"/>
      <c r="E771" s="21" t="s">
        <v>75</v>
      </c>
      <c r="F771" s="21"/>
      <c r="G771" s="147" t="s">
        <v>238</v>
      </c>
      <c r="H771" s="23" t="s">
        <v>5138</v>
      </c>
      <c r="I771" s="23"/>
      <c r="J771" s="21" t="s">
        <v>5148</v>
      </c>
      <c r="K771" s="21"/>
      <c r="L771" s="21" t="s">
        <v>5149</v>
      </c>
      <c r="M771" s="26" t="s">
        <v>5150</v>
      </c>
      <c r="N771" s="44">
        <f>P771</f>
        <v>136608.82999999999</v>
      </c>
      <c r="O771" s="22" t="s">
        <v>15</v>
      </c>
      <c r="P771" s="114">
        <f>5102+6796+16767.75+7184.2+13201.4+11950.6+14986.54+17086.59+19506.05+18527.7+(2400+350)+(2400+350)</f>
        <v>136608.82999999999</v>
      </c>
      <c r="Q771" s="24">
        <f t="shared" si="75"/>
        <v>0</v>
      </c>
      <c r="R771" s="24">
        <f t="shared" si="76"/>
        <v>136608.82999999999</v>
      </c>
      <c r="S771" s="5" t="s">
        <v>12267</v>
      </c>
    </row>
    <row r="772" spans="1:20" hidden="1" x14ac:dyDescent="0.25">
      <c r="A772" t="s">
        <v>6753</v>
      </c>
      <c r="C772" s="4" t="s">
        <v>2459</v>
      </c>
      <c r="E772" s="267" t="s">
        <v>75</v>
      </c>
      <c r="F772" s="267"/>
      <c r="G772" s="268" t="s">
        <v>238</v>
      </c>
      <c r="H772" s="269" t="s">
        <v>5138</v>
      </c>
      <c r="I772" s="269"/>
      <c r="J772" s="267" t="s">
        <v>7391</v>
      </c>
      <c r="K772" s="267"/>
      <c r="L772" s="267" t="s">
        <v>6528</v>
      </c>
      <c r="M772" s="270" t="s">
        <v>6529</v>
      </c>
      <c r="N772" s="467">
        <v>-101639.32999999999</v>
      </c>
      <c r="O772" s="271" t="s">
        <v>15</v>
      </c>
      <c r="P772" s="272">
        <f>(2400+350)+(2400+350)+(1800+350)+(2400+350)+(7500+350)+7500+7500+(1500+3150)</f>
        <v>37900</v>
      </c>
      <c r="Q772" s="3">
        <f t="shared" si="75"/>
        <v>0</v>
      </c>
      <c r="R772" s="3">
        <f t="shared" si="76"/>
        <v>37900</v>
      </c>
      <c r="S772" s="5" t="s">
        <v>12267</v>
      </c>
    </row>
    <row r="773" spans="1:20" hidden="1" x14ac:dyDescent="0.25">
      <c r="A773" t="s">
        <v>6753</v>
      </c>
      <c r="B773" s="21" t="s">
        <v>395</v>
      </c>
      <c r="C773" s="22" t="s">
        <v>2459</v>
      </c>
      <c r="D773" s="22"/>
      <c r="E773" s="280" t="s">
        <v>75</v>
      </c>
      <c r="F773" s="280"/>
      <c r="G773" s="295" t="s">
        <v>238</v>
      </c>
      <c r="H773" s="294" t="s">
        <v>5138</v>
      </c>
      <c r="I773" s="294"/>
      <c r="J773" s="280" t="s">
        <v>5152</v>
      </c>
      <c r="K773" s="298"/>
      <c r="L773" s="280" t="s">
        <v>5153</v>
      </c>
      <c r="M773" s="145" t="s">
        <v>5154</v>
      </c>
      <c r="N773" s="284">
        <f>P773</f>
        <v>194904.36</v>
      </c>
      <c r="O773" s="283" t="s">
        <v>15</v>
      </c>
      <c r="P773" s="296">
        <f>73287.19+51980.63+69636.54</f>
        <v>194904.36</v>
      </c>
      <c r="Q773" s="24">
        <f t="shared" si="75"/>
        <v>0</v>
      </c>
      <c r="R773" s="24">
        <f t="shared" si="76"/>
        <v>194904.36</v>
      </c>
      <c r="S773" s="5" t="s">
        <v>12267</v>
      </c>
    </row>
    <row r="774" spans="1:20" hidden="1" x14ac:dyDescent="0.25">
      <c r="A774" t="s">
        <v>6753</v>
      </c>
      <c r="B774" s="21" t="s">
        <v>395</v>
      </c>
      <c r="C774" s="22" t="s">
        <v>2459</v>
      </c>
      <c r="D774" s="22"/>
      <c r="E774" s="21" t="s">
        <v>75</v>
      </c>
      <c r="F774" s="21"/>
      <c r="G774" s="147" t="s">
        <v>238</v>
      </c>
      <c r="H774" s="23" t="s">
        <v>5138</v>
      </c>
      <c r="I774" s="23"/>
      <c r="J774" s="21" t="s">
        <v>5155</v>
      </c>
      <c r="K774" s="47"/>
      <c r="L774" s="21" t="s">
        <v>5149</v>
      </c>
      <c r="M774" s="26" t="s">
        <v>5156</v>
      </c>
      <c r="N774" s="44">
        <f>P774</f>
        <v>328097.5</v>
      </c>
      <c r="O774" s="22" t="s">
        <v>15</v>
      </c>
      <c r="P774" s="114">
        <f>58561.9+47542.45+31293.19+23362.22+15018.94+9459.9+28468.77+35473.63+30377.75+21578.83+21696.05+5263.87</f>
        <v>328097.5</v>
      </c>
      <c r="Q774" s="24">
        <f t="shared" si="75"/>
        <v>0</v>
      </c>
      <c r="R774" s="24">
        <f t="shared" si="76"/>
        <v>328097.5</v>
      </c>
      <c r="S774" s="5" t="s">
        <v>12267</v>
      </c>
    </row>
    <row r="775" spans="1:20" hidden="1" x14ac:dyDescent="0.25">
      <c r="A775" t="s">
        <v>6753</v>
      </c>
      <c r="B775" s="21" t="s">
        <v>395</v>
      </c>
      <c r="C775" s="22" t="s">
        <v>2459</v>
      </c>
      <c r="D775" s="22"/>
      <c r="E775" s="307" t="s">
        <v>75</v>
      </c>
      <c r="F775" s="307"/>
      <c r="G775" s="340" t="s">
        <v>238</v>
      </c>
      <c r="H775" s="306" t="s">
        <v>5138</v>
      </c>
      <c r="I775" s="306"/>
      <c r="J775" s="307" t="s">
        <v>5157</v>
      </c>
      <c r="K775" s="307"/>
      <c r="L775" s="307" t="s">
        <v>5508</v>
      </c>
      <c r="M775" s="309" t="s">
        <v>5509</v>
      </c>
      <c r="N775" s="308">
        <f>P775</f>
        <v>19290.38</v>
      </c>
      <c r="O775" s="341" t="s">
        <v>15</v>
      </c>
      <c r="P775" s="342">
        <f>4142.21+2501.81+730.56+195+11057.46+663.34</f>
        <v>19290.38</v>
      </c>
      <c r="Q775" s="24">
        <f t="shared" si="75"/>
        <v>0</v>
      </c>
      <c r="R775" s="24">
        <f t="shared" si="76"/>
        <v>19290.38</v>
      </c>
      <c r="S775" s="5" t="s">
        <v>12267</v>
      </c>
    </row>
    <row r="776" spans="1:20" hidden="1" x14ac:dyDescent="0.25">
      <c r="A776" t="s">
        <v>6753</v>
      </c>
      <c r="C776" s="4" t="s">
        <v>2459</v>
      </c>
      <c r="E776" s="43" t="s">
        <v>75</v>
      </c>
      <c r="F776" s="43"/>
      <c r="G776" s="334" t="s">
        <v>238</v>
      </c>
      <c r="H776" s="335" t="s">
        <v>5138</v>
      </c>
      <c r="I776" s="335"/>
      <c r="J776" s="43" t="s">
        <v>7390</v>
      </c>
      <c r="K776" s="343"/>
      <c r="L776" s="43" t="s">
        <v>6530</v>
      </c>
      <c r="M776" s="336">
        <v>44613</v>
      </c>
      <c r="N776" s="337">
        <v>67889.760000000009</v>
      </c>
      <c r="O776" s="338" t="s">
        <v>15</v>
      </c>
      <c r="P776" s="339">
        <f>1340.69</f>
        <v>1340.69</v>
      </c>
      <c r="Q776" s="3">
        <f t="shared" si="75"/>
        <v>66549.070000000007</v>
      </c>
      <c r="R776" s="3">
        <f t="shared" si="76"/>
        <v>1340.69</v>
      </c>
      <c r="S776" s="5" t="s">
        <v>12267</v>
      </c>
    </row>
    <row r="777" spans="1:20" hidden="1" x14ac:dyDescent="0.25">
      <c r="A777" t="s">
        <v>6753</v>
      </c>
      <c r="B777" s="21" t="s">
        <v>395</v>
      </c>
      <c r="C777" s="22" t="s">
        <v>2459</v>
      </c>
      <c r="D777" s="22"/>
      <c r="E777" s="280" t="s">
        <v>75</v>
      </c>
      <c r="F777" s="280"/>
      <c r="G777" s="295" t="s">
        <v>238</v>
      </c>
      <c r="H777" s="294" t="s">
        <v>5138</v>
      </c>
      <c r="I777" s="294"/>
      <c r="J777" s="280" t="s">
        <v>5158</v>
      </c>
      <c r="K777" s="298"/>
      <c r="L777" s="280"/>
      <c r="M777" s="145"/>
      <c r="N777" s="284">
        <f>P777</f>
        <v>0</v>
      </c>
      <c r="O777" s="283" t="s">
        <v>15</v>
      </c>
      <c r="P777" s="296"/>
      <c r="Q777" s="24">
        <f t="shared" si="75"/>
        <v>0</v>
      </c>
      <c r="R777" s="24">
        <f t="shared" si="76"/>
        <v>0</v>
      </c>
      <c r="S777" s="5" t="s">
        <v>12267</v>
      </c>
    </row>
    <row r="778" spans="1:20" hidden="1" x14ac:dyDescent="0.25">
      <c r="A778" t="s">
        <v>6753</v>
      </c>
      <c r="B778" s="21" t="s">
        <v>395</v>
      </c>
      <c r="C778" s="22" t="s">
        <v>2459</v>
      </c>
      <c r="D778" s="22"/>
      <c r="E778" s="21" t="s">
        <v>75</v>
      </c>
      <c r="F778" s="21"/>
      <c r="G778" s="147" t="s">
        <v>238</v>
      </c>
      <c r="H778" s="23" t="s">
        <v>5138</v>
      </c>
      <c r="I778" s="23"/>
      <c r="J778" s="21" t="s">
        <v>5159</v>
      </c>
      <c r="K778" s="47"/>
      <c r="L778" s="21" t="s">
        <v>5160</v>
      </c>
      <c r="M778" s="26" t="s">
        <v>4208</v>
      </c>
      <c r="N778" s="44">
        <f>P778</f>
        <v>27485.260000000002</v>
      </c>
      <c r="O778" s="22" t="s">
        <v>15</v>
      </c>
      <c r="P778" s="114">
        <f>13754.68+13730.58</f>
        <v>27485.260000000002</v>
      </c>
      <c r="Q778" s="24">
        <f t="shared" si="75"/>
        <v>0</v>
      </c>
      <c r="R778" s="24">
        <f t="shared" si="76"/>
        <v>27485.260000000002</v>
      </c>
      <c r="S778" s="5" t="s">
        <v>12267</v>
      </c>
    </row>
    <row r="779" spans="1:20" hidden="1" x14ac:dyDescent="0.25">
      <c r="A779" t="s">
        <v>6753</v>
      </c>
      <c r="B779" s="21" t="s">
        <v>395</v>
      </c>
      <c r="C779" s="22" t="s">
        <v>2459</v>
      </c>
      <c r="D779" s="22"/>
      <c r="E779" s="307" t="s">
        <v>75</v>
      </c>
      <c r="F779" s="307"/>
      <c r="G779" s="340" t="s">
        <v>238</v>
      </c>
      <c r="H779" s="306" t="s">
        <v>5138</v>
      </c>
      <c r="I779" s="306"/>
      <c r="J779" s="307" t="s">
        <v>5161</v>
      </c>
      <c r="K779" s="307"/>
      <c r="L779" s="307" t="s">
        <v>6303</v>
      </c>
      <c r="M779" s="309" t="s">
        <v>6304</v>
      </c>
      <c r="N779" s="308">
        <f>P779</f>
        <v>119550.70999999999</v>
      </c>
      <c r="O779" s="341" t="s">
        <v>15</v>
      </c>
      <c r="P779" s="342">
        <f>21512.29+15281.48+11837.17+11298.78+20927.29+7415.61+9370.22+203.02+5450.93+5476.7+5448.07+5329.15</f>
        <v>119550.70999999999</v>
      </c>
      <c r="Q779" s="24">
        <f t="shared" si="75"/>
        <v>0</v>
      </c>
      <c r="R779" s="24">
        <f t="shared" si="76"/>
        <v>119550.70999999999</v>
      </c>
      <c r="S779" s="5" t="s">
        <v>12267</v>
      </c>
    </row>
    <row r="780" spans="1:20" hidden="1" x14ac:dyDescent="0.25">
      <c r="A780" t="s">
        <v>6753</v>
      </c>
      <c r="B780" s="21" t="s">
        <v>395</v>
      </c>
      <c r="C780" s="22" t="s">
        <v>2459</v>
      </c>
      <c r="D780" s="22"/>
      <c r="E780" s="274" t="s">
        <v>75</v>
      </c>
      <c r="F780" s="274"/>
      <c r="G780" s="410" t="s">
        <v>238</v>
      </c>
      <c r="H780" s="293" t="s">
        <v>5138</v>
      </c>
      <c r="I780" s="293"/>
      <c r="J780" s="274" t="s">
        <v>6373</v>
      </c>
      <c r="K780" s="365"/>
      <c r="L780" s="274" t="s">
        <v>7388</v>
      </c>
      <c r="M780" s="276" t="s">
        <v>7385</v>
      </c>
      <c r="N780" s="279">
        <f>P780</f>
        <v>69801.780000000013</v>
      </c>
      <c r="O780" s="278" t="s">
        <v>15</v>
      </c>
      <c r="P780" s="411">
        <f>5416.41+10838.02+5266.59+5577.49+5225.57+5274.07+5302.86+5269.93+5501.26+8089.23+5385.52+2654.83</f>
        <v>69801.780000000013</v>
      </c>
      <c r="Q780" s="24">
        <f t="shared" si="75"/>
        <v>0</v>
      </c>
      <c r="R780" s="24">
        <f t="shared" si="76"/>
        <v>69801.780000000013</v>
      </c>
      <c r="S780" s="5" t="s">
        <v>12267</v>
      </c>
    </row>
    <row r="781" spans="1:20" s="252" customFormat="1" hidden="1" x14ac:dyDescent="0.25">
      <c r="A781" t="s">
        <v>6753</v>
      </c>
      <c r="B781" s="5"/>
      <c r="C781" s="386" t="s">
        <v>2459</v>
      </c>
      <c r="D781" s="386"/>
      <c r="E781" s="388" t="s">
        <v>75</v>
      </c>
      <c r="F781" s="388"/>
      <c r="G781" s="379" t="s">
        <v>238</v>
      </c>
      <c r="H781" s="380" t="s">
        <v>5138</v>
      </c>
      <c r="I781" s="380"/>
      <c r="J781" s="388" t="s">
        <v>7392</v>
      </c>
      <c r="K781" s="398"/>
      <c r="L781" s="388" t="s">
        <v>7520</v>
      </c>
      <c r="M781" s="399">
        <v>44946</v>
      </c>
      <c r="N781" s="387">
        <v>83707.25</v>
      </c>
      <c r="O781" s="386" t="s">
        <v>15</v>
      </c>
      <c r="P781" s="400">
        <f>2652.19</f>
        <v>2652.19</v>
      </c>
      <c r="Q781" s="3">
        <f t="shared" si="75"/>
        <v>81055.06</v>
      </c>
      <c r="R781" s="3">
        <f t="shared" ref="R781:R812" si="77">IF(P781="OK",N781-Q781,IF(P781="en cours",N781-Q781,P781))</f>
        <v>2652.19</v>
      </c>
      <c r="S781" s="5" t="s">
        <v>12267</v>
      </c>
      <c r="T781" s="5"/>
    </row>
    <row r="782" spans="1:20" hidden="1" x14ac:dyDescent="0.25">
      <c r="A782" t="s">
        <v>6753</v>
      </c>
      <c r="B782" s="21" t="s">
        <v>395</v>
      </c>
      <c r="C782" s="22" t="s">
        <v>2459</v>
      </c>
      <c r="D782" s="22"/>
      <c r="E782" s="280" t="s">
        <v>75</v>
      </c>
      <c r="F782" s="280"/>
      <c r="G782" s="295" t="s">
        <v>238</v>
      </c>
      <c r="H782" s="294" t="s">
        <v>5138</v>
      </c>
      <c r="I782" s="294"/>
      <c r="J782" s="280" t="s">
        <v>5162</v>
      </c>
      <c r="K782" s="298"/>
      <c r="L782" s="280"/>
      <c r="M782" s="145"/>
      <c r="N782" s="284">
        <v>0</v>
      </c>
      <c r="O782" s="283" t="s">
        <v>15</v>
      </c>
      <c r="P782" s="296"/>
      <c r="Q782" s="24">
        <f t="shared" si="75"/>
        <v>0</v>
      </c>
      <c r="R782" s="24">
        <f t="shared" si="77"/>
        <v>0</v>
      </c>
      <c r="S782" s="5" t="s">
        <v>12267</v>
      </c>
    </row>
    <row r="783" spans="1:20" hidden="1" x14ac:dyDescent="0.25">
      <c r="A783" t="s">
        <v>6753</v>
      </c>
      <c r="B783" s="21" t="s">
        <v>395</v>
      </c>
      <c r="C783" s="22" t="s">
        <v>2459</v>
      </c>
      <c r="D783" s="22"/>
      <c r="E783" s="21" t="s">
        <v>75</v>
      </c>
      <c r="F783" s="21"/>
      <c r="G783" s="147" t="s">
        <v>238</v>
      </c>
      <c r="H783" s="23" t="s">
        <v>5138</v>
      </c>
      <c r="I783" s="23"/>
      <c r="J783" s="21" t="s">
        <v>5163</v>
      </c>
      <c r="K783" s="47"/>
      <c r="L783" s="21" t="s">
        <v>5164</v>
      </c>
      <c r="M783" s="26" t="s">
        <v>5165</v>
      </c>
      <c r="N783" s="44">
        <f>P783</f>
        <v>271821.99</v>
      </c>
      <c r="O783" s="22" t="s">
        <v>15</v>
      </c>
      <c r="P783" s="114">
        <f>64825+15651.2+13171.9+16758+22120.66+19325.09+24398.2+30040.41+35302.79+30228.74</f>
        <v>271821.99</v>
      </c>
      <c r="Q783" s="24">
        <f t="shared" si="75"/>
        <v>0</v>
      </c>
      <c r="R783" s="24">
        <f t="shared" si="77"/>
        <v>271821.99</v>
      </c>
      <c r="S783" s="5" t="s">
        <v>12267</v>
      </c>
    </row>
    <row r="784" spans="1:20" hidden="1" x14ac:dyDescent="0.25">
      <c r="A784" t="s">
        <v>6753</v>
      </c>
      <c r="B784" s="21" t="s">
        <v>395</v>
      </c>
      <c r="C784" s="22" t="s">
        <v>2459</v>
      </c>
      <c r="D784" s="22"/>
      <c r="E784" s="307" t="s">
        <v>75</v>
      </c>
      <c r="F784" s="307"/>
      <c r="G784" s="340" t="s">
        <v>238</v>
      </c>
      <c r="H784" s="306" t="s">
        <v>5138</v>
      </c>
      <c r="I784" s="306"/>
      <c r="J784" s="307" t="s">
        <v>5166</v>
      </c>
      <c r="K784" s="307"/>
      <c r="L784" s="307" t="s">
        <v>5833</v>
      </c>
      <c r="M784" s="309" t="s">
        <v>5834</v>
      </c>
      <c r="N784" s="308">
        <f>P784</f>
        <v>154629.57</v>
      </c>
      <c r="O784" s="341" t="s">
        <v>15</v>
      </c>
      <c r="P784" s="342">
        <f>18344.36+29916.69+45338.13+9010.71+50900.86+322.5+796.32</f>
        <v>154629.57</v>
      </c>
      <c r="Q784" s="24">
        <f t="shared" si="75"/>
        <v>0</v>
      </c>
      <c r="R784" s="24">
        <f t="shared" si="77"/>
        <v>154629.57</v>
      </c>
      <c r="S784" s="5" t="s">
        <v>12267</v>
      </c>
    </row>
    <row r="785" spans="1:19" hidden="1" x14ac:dyDescent="0.25">
      <c r="A785" t="s">
        <v>6753</v>
      </c>
      <c r="C785" s="4" t="s">
        <v>2459</v>
      </c>
      <c r="E785" s="43" t="s">
        <v>75</v>
      </c>
      <c r="F785" s="43"/>
      <c r="G785" s="334" t="s">
        <v>238</v>
      </c>
      <c r="H785" s="335" t="s">
        <v>5138</v>
      </c>
      <c r="I785" s="335"/>
      <c r="J785" s="43" t="s">
        <v>7393</v>
      </c>
      <c r="K785" s="343"/>
      <c r="L785" s="43" t="s">
        <v>6530</v>
      </c>
      <c r="M785" s="336">
        <v>44613</v>
      </c>
      <c r="N785" s="337">
        <v>74273.440000000002</v>
      </c>
      <c r="O785" s="338" t="s">
        <v>15</v>
      </c>
      <c r="P785" s="339">
        <f>-1445.85</f>
        <v>-1445.85</v>
      </c>
      <c r="Q785" s="3">
        <f t="shared" si="75"/>
        <v>75719.290000000008</v>
      </c>
      <c r="R785" s="3">
        <f t="shared" si="77"/>
        <v>-1445.85</v>
      </c>
      <c r="S785" s="5" t="s">
        <v>12267</v>
      </c>
    </row>
    <row r="786" spans="1:19" hidden="1" x14ac:dyDescent="0.25">
      <c r="A786" t="s">
        <v>6753</v>
      </c>
      <c r="B786" s="21" t="s">
        <v>395</v>
      </c>
      <c r="C786" s="22" t="s">
        <v>2459</v>
      </c>
      <c r="D786" s="22"/>
      <c r="E786" s="280" t="s">
        <v>75</v>
      </c>
      <c r="F786" s="280"/>
      <c r="G786" s="295" t="s">
        <v>238</v>
      </c>
      <c r="H786" s="294" t="s">
        <v>5138</v>
      </c>
      <c r="I786" s="294"/>
      <c r="J786" s="280" t="s">
        <v>5167</v>
      </c>
      <c r="K786" s="298"/>
      <c r="L786" s="280" t="s">
        <v>5146</v>
      </c>
      <c r="M786" s="145" t="s">
        <v>5168</v>
      </c>
      <c r="N786" s="284">
        <f>P786</f>
        <v>30706.559999999998</v>
      </c>
      <c r="O786" s="283" t="s">
        <v>15</v>
      </c>
      <c r="P786" s="296">
        <f>50.76+1389.89+3330.01+1607.66+8666.41+15661.83</f>
        <v>30706.559999999998</v>
      </c>
      <c r="Q786" s="24">
        <f t="shared" si="75"/>
        <v>0</v>
      </c>
      <c r="R786" s="24">
        <f t="shared" si="77"/>
        <v>30706.559999999998</v>
      </c>
      <c r="S786" s="5" t="s">
        <v>12267</v>
      </c>
    </row>
    <row r="787" spans="1:19" hidden="1" x14ac:dyDescent="0.25">
      <c r="A787" t="s">
        <v>6753</v>
      </c>
      <c r="B787" s="21" t="s">
        <v>395</v>
      </c>
      <c r="C787" s="22" t="s">
        <v>2459</v>
      </c>
      <c r="D787" s="22"/>
      <c r="E787" s="21" t="s">
        <v>75</v>
      </c>
      <c r="F787" s="21"/>
      <c r="G787" s="147" t="s">
        <v>238</v>
      </c>
      <c r="H787" s="23" t="s">
        <v>5138</v>
      </c>
      <c r="I787" s="23"/>
      <c r="J787" s="21" t="s">
        <v>5169</v>
      </c>
      <c r="K787" s="47"/>
      <c r="L787" s="21" t="s">
        <v>5149</v>
      </c>
      <c r="M787" s="26" t="s">
        <v>5156</v>
      </c>
      <c r="N787" s="44">
        <f>P787</f>
        <v>330442.26999999996</v>
      </c>
      <c r="O787" s="22" t="s">
        <v>15</v>
      </c>
      <c r="P787" s="114">
        <f>18427.32+16884.4+24709.98+4305.7+23529.01+19981.37+20440.28+61474.86+30824.82+35778.55+(42959.09+776.6)+(34019.4+974-4643.11)</f>
        <v>330442.26999999996</v>
      </c>
      <c r="Q787" s="24">
        <f t="shared" si="75"/>
        <v>0</v>
      </c>
      <c r="R787" s="24">
        <f t="shared" si="77"/>
        <v>330442.26999999996</v>
      </c>
      <c r="S787" s="5" t="s">
        <v>12267</v>
      </c>
    </row>
    <row r="788" spans="1:19" hidden="1" x14ac:dyDescent="0.25">
      <c r="A788" t="s">
        <v>6753</v>
      </c>
      <c r="B788" s="21" t="s">
        <v>395</v>
      </c>
      <c r="C788" s="22" t="s">
        <v>2459</v>
      </c>
      <c r="D788" s="22"/>
      <c r="E788" s="307" t="s">
        <v>75</v>
      </c>
      <c r="F788" s="307"/>
      <c r="G788" s="340" t="s">
        <v>238</v>
      </c>
      <c r="H788" s="306" t="s">
        <v>5138</v>
      </c>
      <c r="I788" s="306"/>
      <c r="J788" s="307" t="s">
        <v>5170</v>
      </c>
      <c r="K788" s="307"/>
      <c r="L788" s="307" t="s">
        <v>6305</v>
      </c>
      <c r="M788" s="309" t="s">
        <v>6306</v>
      </c>
      <c r="N788" s="308">
        <f>P788</f>
        <v>95658.54</v>
      </c>
      <c r="O788" s="341" t="s">
        <v>15</v>
      </c>
      <c r="P788" s="342">
        <f>(25999.69+824.27)+(19161.31+920.88)+(13600.48+775.12)+(10038.05+679.41)+(10261.53+1255.19)+(2199.5+584.82)+(2309.42+652.14)+(4128.85+536.28)+865.8+432.9+432.9</f>
        <v>95658.54</v>
      </c>
      <c r="Q788" s="24">
        <f t="shared" si="75"/>
        <v>0</v>
      </c>
      <c r="R788" s="24">
        <f t="shared" si="77"/>
        <v>95658.54</v>
      </c>
      <c r="S788" s="5" t="s">
        <v>12267</v>
      </c>
    </row>
    <row r="789" spans="1:19" hidden="1" x14ac:dyDescent="0.25">
      <c r="A789" t="s">
        <v>6753</v>
      </c>
      <c r="B789" s="21" t="s">
        <v>395</v>
      </c>
      <c r="C789" s="22" t="s">
        <v>2459</v>
      </c>
      <c r="D789" s="22"/>
      <c r="E789" s="274" t="s">
        <v>75</v>
      </c>
      <c r="F789" s="274"/>
      <c r="G789" s="410" t="s">
        <v>238</v>
      </c>
      <c r="H789" s="293" t="s">
        <v>5138</v>
      </c>
      <c r="I789" s="293"/>
      <c r="J789" s="274" t="s">
        <v>6371</v>
      </c>
      <c r="K789" s="365"/>
      <c r="L789" s="274" t="s">
        <v>7388</v>
      </c>
      <c r="M789" s="276" t="s">
        <v>7389</v>
      </c>
      <c r="N789" s="279">
        <f>P789</f>
        <v>16962.420000000002</v>
      </c>
      <c r="O789" s="278" t="s">
        <v>15</v>
      </c>
      <c r="P789" s="411">
        <f>(5603.44+432.9)+(130.12+449.2)+(858.75+381.1)+(435.08+774.45)+(447.36+96.2)+(63.88+96.2)+111.74+(121.94+111.74)+171.5+436.17+5787.34+453.31</f>
        <v>16962.420000000002</v>
      </c>
      <c r="Q789" s="24">
        <f t="shared" si="75"/>
        <v>0</v>
      </c>
      <c r="R789" s="24">
        <f t="shared" si="77"/>
        <v>16962.420000000002</v>
      </c>
      <c r="S789" s="5" t="s">
        <v>12267</v>
      </c>
    </row>
    <row r="790" spans="1:19" hidden="1" x14ac:dyDescent="0.25">
      <c r="A790" t="s">
        <v>6753</v>
      </c>
      <c r="C790" s="386" t="s">
        <v>2459</v>
      </c>
      <c r="D790" s="386"/>
      <c r="E790" s="388" t="s">
        <v>75</v>
      </c>
      <c r="F790" s="388"/>
      <c r="G790" s="379" t="s">
        <v>238</v>
      </c>
      <c r="H790" s="380" t="s">
        <v>5138</v>
      </c>
      <c r="I790" s="380"/>
      <c r="J790" s="388" t="s">
        <v>7394</v>
      </c>
      <c r="K790" s="398"/>
      <c r="L790" s="388" t="s">
        <v>7520</v>
      </c>
      <c r="M790" s="399">
        <v>44946</v>
      </c>
      <c r="N790" s="387">
        <v>194971.21</v>
      </c>
      <c r="O790" s="386" t="s">
        <v>15</v>
      </c>
      <c r="P790" s="400">
        <f>360.46</f>
        <v>360.46</v>
      </c>
      <c r="Q790" s="3">
        <f t="shared" si="75"/>
        <v>194610.75</v>
      </c>
      <c r="R790" s="3">
        <f t="shared" si="77"/>
        <v>360.46</v>
      </c>
      <c r="S790" s="5" t="s">
        <v>12267</v>
      </c>
    </row>
    <row r="791" spans="1:19" ht="15" hidden="1" x14ac:dyDescent="0.25">
      <c r="A791" t="s">
        <v>6753</v>
      </c>
      <c r="B791" s="21" t="s">
        <v>395</v>
      </c>
      <c r="C791" s="22" t="s">
        <v>2460</v>
      </c>
      <c r="D791" s="22"/>
      <c r="E791" s="293" t="s">
        <v>75</v>
      </c>
      <c r="F791" s="293"/>
      <c r="G791" s="293" t="s">
        <v>238</v>
      </c>
      <c r="H791" s="293" t="s">
        <v>5232</v>
      </c>
      <c r="I791" s="293"/>
      <c r="J791" s="274" t="s">
        <v>5139</v>
      </c>
      <c r="K791" s="275"/>
      <c r="L791" s="274" t="s">
        <v>2083</v>
      </c>
      <c r="M791" s="276">
        <v>43734</v>
      </c>
      <c r="N791" s="277">
        <f>P791</f>
        <v>37000</v>
      </c>
      <c r="O791" s="278" t="s">
        <v>15</v>
      </c>
      <c r="P791" s="279">
        <v>37000</v>
      </c>
      <c r="Q791" s="279">
        <f t="shared" si="75"/>
        <v>0</v>
      </c>
      <c r="R791" s="279">
        <f t="shared" si="77"/>
        <v>37000</v>
      </c>
      <c r="S791" s="5" t="s">
        <v>12267</v>
      </c>
    </row>
    <row r="792" spans="1:19" ht="15" hidden="1" x14ac:dyDescent="0.25">
      <c r="A792" t="s">
        <v>6753</v>
      </c>
      <c r="B792" s="21" t="s">
        <v>395</v>
      </c>
      <c r="C792" s="22" t="s">
        <v>2460</v>
      </c>
      <c r="D792" s="22"/>
      <c r="E792" s="294" t="s">
        <v>75</v>
      </c>
      <c r="F792" s="294"/>
      <c r="G792" s="294" t="s">
        <v>238</v>
      </c>
      <c r="H792" s="294" t="s">
        <v>5232</v>
      </c>
      <c r="I792" s="294"/>
      <c r="J792" s="280" t="s">
        <v>5141</v>
      </c>
      <c r="K792" s="281"/>
      <c r="L792" s="280" t="s">
        <v>4207</v>
      </c>
      <c r="M792" s="145">
        <v>44186</v>
      </c>
      <c r="N792" s="282">
        <f>P792</f>
        <v>10070.799999999999</v>
      </c>
      <c r="O792" s="283" t="s">
        <v>15</v>
      </c>
      <c r="P792" s="284">
        <v>10070.799999999999</v>
      </c>
      <c r="Q792" s="284">
        <f t="shared" si="75"/>
        <v>0</v>
      </c>
      <c r="R792" s="284">
        <f t="shared" si="77"/>
        <v>10070.799999999999</v>
      </c>
      <c r="S792" s="5" t="s">
        <v>12267</v>
      </c>
    </row>
    <row r="793" spans="1:19" hidden="1" x14ac:dyDescent="0.25">
      <c r="A793" t="s">
        <v>6753</v>
      </c>
      <c r="B793" s="21" t="s">
        <v>395</v>
      </c>
      <c r="C793" s="22" t="s">
        <v>2460</v>
      </c>
      <c r="D793" s="22"/>
      <c r="E793" s="21" t="s">
        <v>75</v>
      </c>
      <c r="F793" s="21"/>
      <c r="G793" s="147" t="s">
        <v>238</v>
      </c>
      <c r="H793" s="23" t="s">
        <v>5232</v>
      </c>
      <c r="I793" s="23"/>
      <c r="J793" s="21" t="s">
        <v>5900</v>
      </c>
      <c r="K793" s="120"/>
      <c r="L793" s="21" t="s">
        <v>5510</v>
      </c>
      <c r="M793" s="26" t="s">
        <v>5511</v>
      </c>
      <c r="N793" s="319">
        <v>6750.2000000000007</v>
      </c>
      <c r="O793" s="22" t="s">
        <v>15</v>
      </c>
      <c r="P793" s="44">
        <f>1750+5000</f>
        <v>6750</v>
      </c>
      <c r="Q793" s="44">
        <f t="shared" ref="Q793:Q828" si="78">IF(P793="en cours",N793,IF(P793="OK",0,IF(N793-P793&lt;0,0,N793-P793)))</f>
        <v>0.2000000000007276</v>
      </c>
      <c r="R793" s="236">
        <f t="shared" si="77"/>
        <v>6750</v>
      </c>
      <c r="S793" s="5" t="s">
        <v>12267</v>
      </c>
    </row>
    <row r="794" spans="1:19" ht="15" hidden="1" x14ac:dyDescent="0.25">
      <c r="A794" t="s">
        <v>6753</v>
      </c>
      <c r="B794" s="21" t="s">
        <v>395</v>
      </c>
      <c r="C794" s="22" t="s">
        <v>2460</v>
      </c>
      <c r="D794" s="22"/>
      <c r="E794" s="293" t="s">
        <v>75</v>
      </c>
      <c r="F794" s="293"/>
      <c r="G794" s="293" t="s">
        <v>238</v>
      </c>
      <c r="H794" s="293" t="s">
        <v>5232</v>
      </c>
      <c r="I794" s="293"/>
      <c r="J794" s="285" t="s">
        <v>5145</v>
      </c>
      <c r="K794" s="286"/>
      <c r="L794" s="287" t="s">
        <v>5233</v>
      </c>
      <c r="M794" s="288">
        <v>43812</v>
      </c>
      <c r="N794" s="277">
        <f>P794</f>
        <v>2400</v>
      </c>
      <c r="O794" s="278" t="s">
        <v>15</v>
      </c>
      <c r="P794" s="279">
        <v>2400</v>
      </c>
      <c r="Q794" s="279">
        <f t="shared" si="78"/>
        <v>0</v>
      </c>
      <c r="R794" s="279">
        <f t="shared" si="77"/>
        <v>2400</v>
      </c>
      <c r="S794" s="5" t="s">
        <v>12267</v>
      </c>
    </row>
    <row r="795" spans="1:19" ht="15" hidden="1" x14ac:dyDescent="0.25">
      <c r="A795" t="s">
        <v>6753</v>
      </c>
      <c r="B795" s="21" t="s">
        <v>395</v>
      </c>
      <c r="C795" s="22" t="s">
        <v>2460</v>
      </c>
      <c r="D795" s="22"/>
      <c r="E795" s="294" t="s">
        <v>75</v>
      </c>
      <c r="F795" s="294"/>
      <c r="G795" s="294" t="s">
        <v>238</v>
      </c>
      <c r="H795" s="294" t="s">
        <v>5232</v>
      </c>
      <c r="I795" s="294"/>
      <c r="J795" s="289" t="s">
        <v>5148</v>
      </c>
      <c r="K795" s="290"/>
      <c r="L795" s="291" t="s">
        <v>5234</v>
      </c>
      <c r="M795" s="292" t="s">
        <v>5235</v>
      </c>
      <c r="N795" s="282">
        <f>P795</f>
        <v>39202.6</v>
      </c>
      <c r="O795" s="283" t="s">
        <v>15</v>
      </c>
      <c r="P795" s="284">
        <f>2400+2755.35+2862.45+2916+3123.05+3274.75+3401.45+4183.4+4611.85+4174.3+(2400+350)+(2400+350)</f>
        <v>39202.6</v>
      </c>
      <c r="Q795" s="284">
        <f t="shared" si="78"/>
        <v>0</v>
      </c>
      <c r="R795" s="284">
        <f t="shared" si="77"/>
        <v>39202.6</v>
      </c>
      <c r="S795" s="5" t="s">
        <v>12267</v>
      </c>
    </row>
    <row r="796" spans="1:19" hidden="1" x14ac:dyDescent="0.25">
      <c r="A796" t="s">
        <v>6753</v>
      </c>
      <c r="B796" s="21" t="s">
        <v>395</v>
      </c>
      <c r="C796" s="22" t="s">
        <v>2460</v>
      </c>
      <c r="D796" s="22"/>
      <c r="E796" s="21" t="s">
        <v>75</v>
      </c>
      <c r="F796" s="21"/>
      <c r="G796" s="147" t="s">
        <v>238</v>
      </c>
      <c r="H796" s="23" t="s">
        <v>5232</v>
      </c>
      <c r="I796" s="23"/>
      <c r="J796" s="344" t="s">
        <v>5151</v>
      </c>
      <c r="K796" s="345"/>
      <c r="L796" s="346" t="s">
        <v>6307</v>
      </c>
      <c r="M796" s="347" t="s">
        <v>6308</v>
      </c>
      <c r="N796" s="319">
        <f>P796</f>
        <v>33700</v>
      </c>
      <c r="O796" s="22" t="s">
        <v>15</v>
      </c>
      <c r="P796" s="44">
        <f>(2400+350)+(2400+350)+(2400+350)+(2400+350)+(2400+350)+(3100+350)+(2400+350)+(2400+350)+(2400+350)+(2400+350)+(2400+350)+(2400+350)</f>
        <v>33700</v>
      </c>
      <c r="Q796" s="44">
        <f t="shared" si="78"/>
        <v>0</v>
      </c>
      <c r="R796" s="236">
        <f t="shared" si="77"/>
        <v>33700</v>
      </c>
      <c r="S796" s="5" t="s">
        <v>12267</v>
      </c>
    </row>
    <row r="797" spans="1:19" hidden="1" x14ac:dyDescent="0.25">
      <c r="A797" t="s">
        <v>6753</v>
      </c>
      <c r="B797" s="21" t="s">
        <v>395</v>
      </c>
      <c r="C797" s="389" t="s">
        <v>2460</v>
      </c>
      <c r="D797" s="389"/>
      <c r="E797" s="325" t="s">
        <v>75</v>
      </c>
      <c r="F797" s="325"/>
      <c r="G797" s="390" t="s">
        <v>238</v>
      </c>
      <c r="H797" s="391" t="s">
        <v>5232</v>
      </c>
      <c r="I797" s="391"/>
      <c r="J797" s="392" t="s">
        <v>6374</v>
      </c>
      <c r="K797" s="393"/>
      <c r="L797" s="394" t="s">
        <v>7384</v>
      </c>
      <c r="M797" s="395" t="s">
        <v>7385</v>
      </c>
      <c r="N797" s="396">
        <f>P797</f>
        <v>33000</v>
      </c>
      <c r="O797" s="389" t="s">
        <v>15</v>
      </c>
      <c r="P797" s="397">
        <f>(2400+350)+(2400+350)+(2400+350)+(2400+350)+(2400+350)+(2400+350)+(2400+350)+(2400+350)+(2400+350)+(2400+350)+(2400+350)+(2400+350)</f>
        <v>33000</v>
      </c>
      <c r="Q797" s="44">
        <f t="shared" si="78"/>
        <v>0</v>
      </c>
      <c r="R797" s="236">
        <f t="shared" si="77"/>
        <v>33000</v>
      </c>
      <c r="S797" s="5" t="s">
        <v>12267</v>
      </c>
    </row>
    <row r="798" spans="1:19" hidden="1" x14ac:dyDescent="0.25">
      <c r="A798" t="s">
        <v>6753</v>
      </c>
      <c r="B798" s="21" t="s">
        <v>395</v>
      </c>
      <c r="C798" s="427" t="s">
        <v>2460</v>
      </c>
      <c r="D798" s="427"/>
      <c r="E798" s="310" t="s">
        <v>75</v>
      </c>
      <c r="F798" s="310"/>
      <c r="G798" s="428" t="s">
        <v>238</v>
      </c>
      <c r="H798" s="429" t="s">
        <v>5232</v>
      </c>
      <c r="I798" s="429"/>
      <c r="J798" s="430" t="s">
        <v>7387</v>
      </c>
      <c r="K798" s="431"/>
      <c r="L798" s="432" t="s">
        <v>9401</v>
      </c>
      <c r="M798" s="433" t="s">
        <v>9402</v>
      </c>
      <c r="N798" s="434">
        <v>8297.3999999999942</v>
      </c>
      <c r="O798" s="427" t="s">
        <v>15</v>
      </c>
      <c r="P798" s="312">
        <f>(2400+350)+(2400+350)+(2400+350)+(2400+7040)+(2400+350)+(2400+350)+(2400+350)+(2400+350)+(2400+350)+(2400+350)+960+(2400+350)-1440-8640</f>
        <v>27820</v>
      </c>
      <c r="Q798" s="44">
        <f t="shared" si="78"/>
        <v>0</v>
      </c>
      <c r="R798" s="236">
        <f t="shared" si="77"/>
        <v>27820</v>
      </c>
      <c r="S798" s="5" t="s">
        <v>12267</v>
      </c>
    </row>
    <row r="799" spans="1:19" ht="15" hidden="1" x14ac:dyDescent="0.25">
      <c r="A799" t="s">
        <v>6753</v>
      </c>
      <c r="B799" s="21" t="s">
        <v>395</v>
      </c>
      <c r="C799" s="22" t="s">
        <v>2460</v>
      </c>
      <c r="D799" s="22"/>
      <c r="E799" s="294" t="s">
        <v>75</v>
      </c>
      <c r="F799" s="294"/>
      <c r="G799" s="294" t="s">
        <v>238</v>
      </c>
      <c r="H799" s="294" t="s">
        <v>5232</v>
      </c>
      <c r="I799" s="294"/>
      <c r="J799" s="289" t="s">
        <v>5236</v>
      </c>
      <c r="K799" s="290"/>
      <c r="L799" s="291" t="s">
        <v>5234</v>
      </c>
      <c r="M799" s="292" t="s">
        <v>5235</v>
      </c>
      <c r="N799" s="282">
        <f>P799</f>
        <v>79086.699999999983</v>
      </c>
      <c r="O799" s="283" t="s">
        <v>15</v>
      </c>
      <c r="P799" s="284">
        <f>2340+7758.23+5873.96+6075.61+5380.59+5041.53+7486.23+3555.84+4548.17+5635.2+11799.53+13591.81</f>
        <v>79086.699999999983</v>
      </c>
      <c r="Q799" s="284">
        <f t="shared" si="78"/>
        <v>0</v>
      </c>
      <c r="R799" s="284">
        <f t="shared" si="77"/>
        <v>79086.699999999983</v>
      </c>
      <c r="S799" s="5" t="s">
        <v>12267</v>
      </c>
    </row>
    <row r="800" spans="1:19" ht="15" hidden="1" x14ac:dyDescent="0.25">
      <c r="A800" t="s">
        <v>6753</v>
      </c>
      <c r="B800" s="21" t="s">
        <v>395</v>
      </c>
      <c r="C800" s="22" t="s">
        <v>2460</v>
      </c>
      <c r="D800" s="22"/>
      <c r="E800" s="294" t="s">
        <v>75</v>
      </c>
      <c r="F800" s="294"/>
      <c r="G800" s="294" t="s">
        <v>238</v>
      </c>
      <c r="H800" s="294" t="s">
        <v>5232</v>
      </c>
      <c r="I800" s="294"/>
      <c r="J800" s="289" t="s">
        <v>5163</v>
      </c>
      <c r="K800" s="290"/>
      <c r="L800" s="291" t="s">
        <v>5237</v>
      </c>
      <c r="M800" s="292" t="s">
        <v>5238</v>
      </c>
      <c r="N800" s="282">
        <f>P800</f>
        <v>92406.62</v>
      </c>
      <c r="O800" s="283" t="s">
        <v>15</v>
      </c>
      <c r="P800" s="284">
        <f>366.88+1120.93+1928.12+4037.23+5071.79+8701.35+10974.07+14850.43+14709.99+17307.67+(14592.14-1253.98)</f>
        <v>92406.62</v>
      </c>
      <c r="Q800" s="284">
        <f t="shared" si="78"/>
        <v>0</v>
      </c>
      <c r="R800" s="284">
        <f t="shared" si="77"/>
        <v>92406.62</v>
      </c>
      <c r="S800" s="5" t="s">
        <v>12267</v>
      </c>
    </row>
    <row r="801" spans="1:19" ht="15" hidden="1" x14ac:dyDescent="0.25">
      <c r="A801" t="s">
        <v>6753</v>
      </c>
      <c r="B801" s="21" t="s">
        <v>395</v>
      </c>
      <c r="C801" s="22" t="s">
        <v>2460</v>
      </c>
      <c r="D801" s="22"/>
      <c r="E801" s="294" t="s">
        <v>75</v>
      </c>
      <c r="F801" s="294"/>
      <c r="G801" s="294" t="s">
        <v>238</v>
      </c>
      <c r="H801" s="294" t="s">
        <v>5232</v>
      </c>
      <c r="I801" s="294"/>
      <c r="J801" s="289" t="s">
        <v>1141</v>
      </c>
      <c r="K801" s="290"/>
      <c r="L801" s="291" t="s">
        <v>5234</v>
      </c>
      <c r="M801" s="292" t="s">
        <v>5235</v>
      </c>
      <c r="N801" s="282">
        <f>P801</f>
        <v>71220.91</v>
      </c>
      <c r="O801" s="283" t="s">
        <v>15</v>
      </c>
      <c r="P801" s="284">
        <f>529.22+361.08+1067.63+454.11+1078.75+2229.15+3927.08+11976.79+9914.03+11877.31+12442.38+15363.38</f>
        <v>71220.91</v>
      </c>
      <c r="Q801" s="284">
        <f t="shared" si="78"/>
        <v>0</v>
      </c>
      <c r="R801" s="284">
        <f t="shared" si="77"/>
        <v>71220.91</v>
      </c>
      <c r="S801" s="5" t="s">
        <v>12267</v>
      </c>
    </row>
    <row r="802" spans="1:19" hidden="1" x14ac:dyDescent="0.25">
      <c r="A802" t="s">
        <v>6753</v>
      </c>
      <c r="B802" s="21" t="s">
        <v>395</v>
      </c>
      <c r="C802" s="22" t="s">
        <v>2460</v>
      </c>
      <c r="D802" s="22"/>
      <c r="E802" s="21" t="s">
        <v>75</v>
      </c>
      <c r="F802" s="21"/>
      <c r="G802" s="147" t="s">
        <v>238</v>
      </c>
      <c r="H802" s="23" t="s">
        <v>5899</v>
      </c>
      <c r="I802" s="23"/>
      <c r="J802" s="21" t="s">
        <v>5901</v>
      </c>
      <c r="K802" s="120"/>
      <c r="L802" s="21" t="s">
        <v>6132</v>
      </c>
      <c r="M802" s="26">
        <v>44518</v>
      </c>
      <c r="N802" s="319">
        <v>10000</v>
      </c>
      <c r="O802" s="22" t="s">
        <v>15</v>
      </c>
      <c r="P802" s="44">
        <v>10000</v>
      </c>
      <c r="Q802" s="44">
        <f t="shared" si="78"/>
        <v>0</v>
      </c>
      <c r="R802" s="236">
        <f t="shared" si="77"/>
        <v>10000</v>
      </c>
      <c r="S802" s="5" t="s">
        <v>12267</v>
      </c>
    </row>
    <row r="803" spans="1:19" hidden="1" x14ac:dyDescent="0.25">
      <c r="A803" t="s">
        <v>6753</v>
      </c>
      <c r="B803" s="21" t="s">
        <v>395</v>
      </c>
      <c r="C803" s="22" t="s">
        <v>2460</v>
      </c>
      <c r="D803" s="22"/>
      <c r="E803" s="21" t="s">
        <v>75</v>
      </c>
      <c r="F803" s="21"/>
      <c r="G803" s="147" t="s">
        <v>238</v>
      </c>
      <c r="H803" s="23" t="s">
        <v>5899</v>
      </c>
      <c r="I803" s="23"/>
      <c r="J803" s="344" t="s">
        <v>5239</v>
      </c>
      <c r="K803" s="345"/>
      <c r="L803" s="346" t="s">
        <v>6307</v>
      </c>
      <c r="M803" s="347" t="s">
        <v>6308</v>
      </c>
      <c r="N803" s="319">
        <f>P803</f>
        <v>84584.23</v>
      </c>
      <c r="O803" s="22" t="s">
        <v>15</v>
      </c>
      <c r="P803" s="44">
        <f>11038.61+8513.81+12906.7+7184.75+6302.37+3006.42+4500.43+4247.17+4599.19+8115.45+3740.77+10428.56</f>
        <v>84584.23</v>
      </c>
      <c r="Q803" s="44">
        <f t="shared" si="78"/>
        <v>0</v>
      </c>
      <c r="R803" s="236">
        <f t="shared" si="77"/>
        <v>84584.23</v>
      </c>
      <c r="S803" s="5" t="s">
        <v>12267</v>
      </c>
    </row>
    <row r="804" spans="1:19" hidden="1" x14ac:dyDescent="0.25">
      <c r="A804" t="s">
        <v>6753</v>
      </c>
      <c r="B804" s="21" t="s">
        <v>395</v>
      </c>
      <c r="C804" s="389" t="s">
        <v>2460</v>
      </c>
      <c r="D804" s="22"/>
      <c r="E804" s="325" t="s">
        <v>75</v>
      </c>
      <c r="F804" s="325"/>
      <c r="G804" s="390" t="s">
        <v>238</v>
      </c>
      <c r="H804" s="391" t="s">
        <v>5899</v>
      </c>
      <c r="I804" s="391"/>
      <c r="J804" s="392" t="s">
        <v>6375</v>
      </c>
      <c r="K804" s="393"/>
      <c r="L804" s="394" t="s">
        <v>7384</v>
      </c>
      <c r="M804" s="395" t="s">
        <v>7385</v>
      </c>
      <c r="N804" s="396">
        <f>P804</f>
        <v>28511.13</v>
      </c>
      <c r="O804" s="389" t="s">
        <v>15</v>
      </c>
      <c r="P804" s="397">
        <f>8947.77+3527.77+913.94+1544.5+1278.62+2664.58+1926.64+2008+2100.29+209.32+2063.91+1325.79</f>
        <v>28511.13</v>
      </c>
      <c r="Q804" s="44">
        <f t="shared" si="78"/>
        <v>0</v>
      </c>
      <c r="R804" s="236">
        <f t="shared" si="77"/>
        <v>28511.13</v>
      </c>
      <c r="S804" s="5" t="s">
        <v>12267</v>
      </c>
    </row>
    <row r="805" spans="1:19" hidden="1" x14ac:dyDescent="0.25">
      <c r="A805" t="s">
        <v>6753</v>
      </c>
      <c r="C805" s="386" t="s">
        <v>2460</v>
      </c>
      <c r="D805" s="386"/>
      <c r="E805" s="388" t="s">
        <v>75</v>
      </c>
      <c r="F805" s="388"/>
      <c r="G805" s="379" t="s">
        <v>238</v>
      </c>
      <c r="H805" s="380" t="s">
        <v>5899</v>
      </c>
      <c r="I805" s="380"/>
      <c r="J805" s="381" t="s">
        <v>9451</v>
      </c>
      <c r="K805" s="382"/>
      <c r="L805" s="383" t="s">
        <v>7713</v>
      </c>
      <c r="M805" s="384" t="s">
        <v>7714</v>
      </c>
      <c r="N805" s="385">
        <v>103254.94</v>
      </c>
      <c r="O805" s="386" t="s">
        <v>15</v>
      </c>
      <c r="P805" s="387">
        <f>3631.45+1638.55+801.39</f>
        <v>6071.39</v>
      </c>
      <c r="Q805" s="45">
        <f t="shared" si="78"/>
        <v>97183.55</v>
      </c>
      <c r="R805" s="237">
        <f t="shared" si="77"/>
        <v>6071.39</v>
      </c>
      <c r="S805" s="5" t="s">
        <v>12267</v>
      </c>
    </row>
    <row r="806" spans="1:19" hidden="1" x14ac:dyDescent="0.25">
      <c r="A806" t="s">
        <v>6753</v>
      </c>
      <c r="B806" s="21" t="s">
        <v>395</v>
      </c>
      <c r="C806" s="22" t="s">
        <v>2460</v>
      </c>
      <c r="D806" s="22"/>
      <c r="E806" s="21" t="s">
        <v>75</v>
      </c>
      <c r="F806" s="21"/>
      <c r="G806" s="147" t="s">
        <v>238</v>
      </c>
      <c r="H806" s="23" t="s">
        <v>5899</v>
      </c>
      <c r="I806" s="23"/>
      <c r="J806" s="344" t="s">
        <v>5240</v>
      </c>
      <c r="K806" s="345"/>
      <c r="L806" s="346" t="s">
        <v>6307</v>
      </c>
      <c r="M806" s="347" t="s">
        <v>6308</v>
      </c>
      <c r="N806" s="319">
        <f>P806</f>
        <v>67953.05</v>
      </c>
      <c r="O806" s="22" t="s">
        <v>15</v>
      </c>
      <c r="P806" s="44">
        <f>4919.93+4957.37+4069.33+5245.23+5654.05+7666.29+5965.09+5971.03+5696.42+6923.39+6125.07+4759.85</f>
        <v>67953.05</v>
      </c>
      <c r="Q806" s="44">
        <f t="shared" si="78"/>
        <v>0</v>
      </c>
      <c r="R806" s="236">
        <f t="shared" si="77"/>
        <v>67953.05</v>
      </c>
      <c r="S806" s="5" t="s">
        <v>12267</v>
      </c>
    </row>
    <row r="807" spans="1:19" hidden="1" x14ac:dyDescent="0.25">
      <c r="A807" t="s">
        <v>6753</v>
      </c>
      <c r="B807" s="21" t="s">
        <v>395</v>
      </c>
      <c r="C807" s="389" t="s">
        <v>2460</v>
      </c>
      <c r="D807" s="22"/>
      <c r="E807" s="325" t="s">
        <v>75</v>
      </c>
      <c r="F807" s="325"/>
      <c r="G807" s="390" t="s">
        <v>238</v>
      </c>
      <c r="H807" s="391" t="s">
        <v>5899</v>
      </c>
      <c r="I807" s="391"/>
      <c r="J807" s="392" t="s">
        <v>6376</v>
      </c>
      <c r="K807" s="393"/>
      <c r="L807" s="394" t="s">
        <v>7384</v>
      </c>
      <c r="M807" s="395" t="s">
        <v>7385</v>
      </c>
      <c r="N807" s="396">
        <f>P807</f>
        <v>61681.660000000011</v>
      </c>
      <c r="O807" s="389" t="s">
        <v>15</v>
      </c>
      <c r="P807" s="397">
        <f>5849.89+6660.2+7306.24+5469.23+4789.62+4697.9+4446.22+4282.97+4348.89+4762.29+4506.09+4562.12</f>
        <v>61681.660000000011</v>
      </c>
      <c r="Q807" s="44">
        <f t="shared" si="78"/>
        <v>0</v>
      </c>
      <c r="R807" s="236">
        <f t="shared" si="77"/>
        <v>61681.660000000011</v>
      </c>
      <c r="S807" s="5" t="s">
        <v>12267</v>
      </c>
    </row>
    <row r="808" spans="1:19" hidden="1" x14ac:dyDescent="0.25">
      <c r="A808" t="s">
        <v>6753</v>
      </c>
      <c r="C808" s="386" t="s">
        <v>2460</v>
      </c>
      <c r="D808" s="386"/>
      <c r="E808" s="388" t="s">
        <v>75</v>
      </c>
      <c r="F808" s="388"/>
      <c r="G808" s="379" t="s">
        <v>238</v>
      </c>
      <c r="H808" s="380" t="s">
        <v>5899</v>
      </c>
      <c r="I808" s="380"/>
      <c r="J808" s="381" t="s">
        <v>9452</v>
      </c>
      <c r="K808" s="382"/>
      <c r="L808" s="383" t="s">
        <v>9375</v>
      </c>
      <c r="M808" s="384" t="s">
        <v>9376</v>
      </c>
      <c r="N808" s="385">
        <v>62420.289999999986</v>
      </c>
      <c r="O808" s="386" t="s">
        <v>15</v>
      </c>
      <c r="P808" s="387">
        <f>696+770.61+5019.78+4002.03+3192.6+3019.57+3628.75+3366.54+1667.19+1300.48+590.55+590.5</f>
        <v>27844.6</v>
      </c>
      <c r="Q808" s="45">
        <f t="shared" si="78"/>
        <v>34575.689999999988</v>
      </c>
      <c r="R808" s="237">
        <f t="shared" si="77"/>
        <v>27844.6</v>
      </c>
      <c r="S808" s="5" t="s">
        <v>12267</v>
      </c>
    </row>
    <row r="809" spans="1:19" hidden="1" x14ac:dyDescent="0.25">
      <c r="A809" t="s">
        <v>6753</v>
      </c>
      <c r="B809" s="21" t="s">
        <v>395</v>
      </c>
      <c r="C809" s="22" t="s">
        <v>2460</v>
      </c>
      <c r="D809" s="22"/>
      <c r="E809" s="21" t="s">
        <v>75</v>
      </c>
      <c r="F809" s="21"/>
      <c r="G809" s="147" t="s">
        <v>238</v>
      </c>
      <c r="H809" s="23" t="s">
        <v>5899</v>
      </c>
      <c r="I809" s="23"/>
      <c r="J809" s="344" t="s">
        <v>5166</v>
      </c>
      <c r="K809" s="345"/>
      <c r="L809" s="346" t="s">
        <v>6307</v>
      </c>
      <c r="M809" s="347" t="s">
        <v>6308</v>
      </c>
      <c r="N809" s="319">
        <f>P809</f>
        <v>342919.19999999995</v>
      </c>
      <c r="O809" s="22" t="s">
        <v>15</v>
      </c>
      <c r="P809" s="44">
        <f>15530.3+34459.74+28767.64+30058.44+45477.71+33104.95+30752.66+23942.33+26496.62+30493.11+16374.05+27461.65</f>
        <v>342919.19999999995</v>
      </c>
      <c r="Q809" s="44">
        <f t="shared" si="78"/>
        <v>0</v>
      </c>
      <c r="R809" s="236">
        <f t="shared" si="77"/>
        <v>342919.19999999995</v>
      </c>
      <c r="S809" s="5" t="s">
        <v>12267</v>
      </c>
    </row>
    <row r="810" spans="1:19" hidden="1" x14ac:dyDescent="0.25">
      <c r="A810" t="s">
        <v>6753</v>
      </c>
      <c r="B810" s="21" t="s">
        <v>395</v>
      </c>
      <c r="C810" s="389" t="s">
        <v>2460</v>
      </c>
      <c r="D810" s="22"/>
      <c r="E810" s="325" t="s">
        <v>75</v>
      </c>
      <c r="F810" s="325"/>
      <c r="G810" s="390" t="s">
        <v>238</v>
      </c>
      <c r="H810" s="391" t="s">
        <v>5899</v>
      </c>
      <c r="I810" s="391"/>
      <c r="J810" s="392" t="s">
        <v>6372</v>
      </c>
      <c r="K810" s="393"/>
      <c r="L810" s="394" t="s">
        <v>7384</v>
      </c>
      <c r="M810" s="395" t="s">
        <v>7385</v>
      </c>
      <c r="N810" s="396">
        <f>P810</f>
        <v>159559.31</v>
      </c>
      <c r="O810" s="389" t="s">
        <v>15</v>
      </c>
      <c r="P810" s="397">
        <f>21332.75+25268.11+27764.65+10298.18+9861.1+7785.41+13345.14+9037.11+12228.72+7664.1+3995.99+10978.05</f>
        <v>159559.31</v>
      </c>
      <c r="Q810" s="44">
        <f t="shared" si="78"/>
        <v>0</v>
      </c>
      <c r="R810" s="236">
        <f t="shared" si="77"/>
        <v>159559.31</v>
      </c>
      <c r="S810" s="5" t="s">
        <v>12267</v>
      </c>
    </row>
    <row r="811" spans="1:19" hidden="1" x14ac:dyDescent="0.25">
      <c r="A811" t="s">
        <v>6753</v>
      </c>
      <c r="C811" s="386" t="s">
        <v>2460</v>
      </c>
      <c r="D811" s="386"/>
      <c r="E811" s="388" t="s">
        <v>75</v>
      </c>
      <c r="F811" s="388"/>
      <c r="G811" s="379" t="s">
        <v>238</v>
      </c>
      <c r="H811" s="380" t="s">
        <v>5899</v>
      </c>
      <c r="I811" s="380"/>
      <c r="J811" s="381" t="s">
        <v>9453</v>
      </c>
      <c r="K811" s="382"/>
      <c r="L811" s="383" t="s">
        <v>9032</v>
      </c>
      <c r="M811" s="384" t="s">
        <v>9033</v>
      </c>
      <c r="N811" s="385">
        <v>316672.87</v>
      </c>
      <c r="O811" s="386" t="s">
        <v>15</v>
      </c>
      <c r="P811" s="387">
        <f>12677.24+11435.36+12357.78+2271.97+102+17.5+16</f>
        <v>38877.85</v>
      </c>
      <c r="Q811" s="45">
        <f t="shared" si="78"/>
        <v>277795.02</v>
      </c>
      <c r="R811" s="237">
        <f t="shared" si="77"/>
        <v>38877.85</v>
      </c>
      <c r="S811" s="5" t="s">
        <v>12267</v>
      </c>
    </row>
    <row r="812" spans="1:19" hidden="1" x14ac:dyDescent="0.25">
      <c r="A812" t="s">
        <v>6753</v>
      </c>
      <c r="B812" s="21" t="s">
        <v>395</v>
      </c>
      <c r="C812" s="22" t="s">
        <v>2460</v>
      </c>
      <c r="D812" s="22"/>
      <c r="E812" s="21" t="s">
        <v>75</v>
      </c>
      <c r="F812" s="21"/>
      <c r="G812" s="147" t="s">
        <v>238</v>
      </c>
      <c r="H812" s="23" t="s">
        <v>5899</v>
      </c>
      <c r="I812" s="23"/>
      <c r="J812" s="344" t="s">
        <v>5241</v>
      </c>
      <c r="K812" s="345"/>
      <c r="L812" s="346" t="s">
        <v>6307</v>
      </c>
      <c r="M812" s="347" t="s">
        <v>6308</v>
      </c>
      <c r="N812" s="319">
        <f>P812</f>
        <v>268548.02</v>
      </c>
      <c r="O812" s="22" t="s">
        <v>15</v>
      </c>
      <c r="P812" s="44">
        <f>13743.92+17689.63+18962+23523.21+27878.17+26575.7+26865.47+11593.42+22012.02+42661.16+20239.57+16803.75</f>
        <v>268548.02</v>
      </c>
      <c r="Q812" s="44">
        <f t="shared" si="78"/>
        <v>0</v>
      </c>
      <c r="R812" s="236">
        <f t="shared" si="77"/>
        <v>268548.02</v>
      </c>
      <c r="S812" s="5" t="s">
        <v>12267</v>
      </c>
    </row>
    <row r="813" spans="1:19" hidden="1" x14ac:dyDescent="0.25">
      <c r="A813" t="s">
        <v>6753</v>
      </c>
      <c r="B813" s="21" t="s">
        <v>395</v>
      </c>
      <c r="C813" s="389" t="s">
        <v>2460</v>
      </c>
      <c r="D813" s="22"/>
      <c r="E813" s="325" t="s">
        <v>75</v>
      </c>
      <c r="F813" s="325"/>
      <c r="G813" s="390" t="s">
        <v>238</v>
      </c>
      <c r="H813" s="391" t="s">
        <v>5899</v>
      </c>
      <c r="I813" s="391"/>
      <c r="J813" s="392" t="s">
        <v>6377</v>
      </c>
      <c r="K813" s="393"/>
      <c r="L813" s="394" t="s">
        <v>7384</v>
      </c>
      <c r="M813" s="395" t="s">
        <v>7386</v>
      </c>
      <c r="N813" s="396">
        <f>P813</f>
        <v>148519.44999999998</v>
      </c>
      <c r="O813" s="389" t="s">
        <v>15</v>
      </c>
      <c r="P813" s="397">
        <f>21595.54+20178.83+18013.57+14455.23+10026.81+11138.64+7015.51+8972.67+2847.78+12868.5+7808.72+13597.65</f>
        <v>148519.44999999998</v>
      </c>
      <c r="Q813" s="44">
        <f t="shared" si="78"/>
        <v>0</v>
      </c>
      <c r="R813" s="236">
        <f t="shared" ref="R813:R824" si="79">IF(P813="OK",N813-Q813,IF(P813="en cours",N813-Q813,P813))</f>
        <v>148519.44999999998</v>
      </c>
      <c r="S813" s="5" t="s">
        <v>12267</v>
      </c>
    </row>
    <row r="814" spans="1:19" hidden="1" x14ac:dyDescent="0.25">
      <c r="A814" t="s">
        <v>6753</v>
      </c>
      <c r="C814" s="386" t="s">
        <v>2460</v>
      </c>
      <c r="D814" s="386"/>
      <c r="E814" s="388" t="s">
        <v>75</v>
      </c>
      <c r="F814" s="388"/>
      <c r="G814" s="379" t="s">
        <v>238</v>
      </c>
      <c r="H814" s="380" t="s">
        <v>5899</v>
      </c>
      <c r="I814" s="380"/>
      <c r="J814" s="381" t="s">
        <v>9454</v>
      </c>
      <c r="K814" s="382"/>
      <c r="L814" s="383" t="s">
        <v>9449</v>
      </c>
      <c r="M814" s="384" t="s">
        <v>9450</v>
      </c>
      <c r="N814" s="385">
        <v>479991.62</v>
      </c>
      <c r="O814" s="386" t="s">
        <v>15</v>
      </c>
      <c r="P814" s="387">
        <f>6335.01+5683.1+19303.98+5178.83+1144.17+2855.71+405.69+75.03+2121.66+6375.44+2462.2+1264.9</f>
        <v>53205.719999999994</v>
      </c>
      <c r="Q814" s="45">
        <f t="shared" si="78"/>
        <v>426785.9</v>
      </c>
      <c r="R814" s="237">
        <f t="shared" si="79"/>
        <v>53205.719999999994</v>
      </c>
      <c r="S814" s="5" t="s">
        <v>12267</v>
      </c>
    </row>
    <row r="815" spans="1:19" hidden="1" x14ac:dyDescent="0.25">
      <c r="C815" s="4" t="s">
        <v>2450</v>
      </c>
      <c r="E815" s="5" t="s">
        <v>0</v>
      </c>
      <c r="G815" s="146" t="s">
        <v>9643</v>
      </c>
      <c r="H815" s="7" t="s">
        <v>9644</v>
      </c>
      <c r="I815" s="7" t="s">
        <v>9645</v>
      </c>
      <c r="J815" s="5" t="s">
        <v>9646</v>
      </c>
      <c r="N815" s="45">
        <v>1475</v>
      </c>
      <c r="O815" s="4" t="s">
        <v>15</v>
      </c>
      <c r="Q815" s="3">
        <f t="shared" si="78"/>
        <v>1475</v>
      </c>
      <c r="R815" s="3">
        <f t="shared" si="79"/>
        <v>0</v>
      </c>
    </row>
    <row r="816" spans="1:19" hidden="1" x14ac:dyDescent="0.25">
      <c r="B816" s="21" t="s">
        <v>395</v>
      </c>
      <c r="C816" s="22" t="s">
        <v>8584</v>
      </c>
      <c r="D816" s="22"/>
      <c r="E816" s="21" t="s">
        <v>75</v>
      </c>
      <c r="F816" s="21"/>
      <c r="G816" s="147" t="s">
        <v>3537</v>
      </c>
      <c r="H816" s="23" t="s">
        <v>9022</v>
      </c>
      <c r="I816" s="23"/>
      <c r="J816" s="21" t="s">
        <v>9014</v>
      </c>
      <c r="K816" s="120"/>
      <c r="L816" s="21"/>
      <c r="M816" s="23"/>
      <c r="N816" s="44">
        <v>0</v>
      </c>
      <c r="O816" s="22" t="s">
        <v>15</v>
      </c>
      <c r="P816" s="44"/>
      <c r="Q816" s="24">
        <f t="shared" si="78"/>
        <v>0</v>
      </c>
      <c r="R816" s="24">
        <f t="shared" si="79"/>
        <v>0</v>
      </c>
      <c r="S816" s="5" t="s">
        <v>9031</v>
      </c>
    </row>
    <row r="817" spans="2:19" hidden="1" x14ac:dyDescent="0.25">
      <c r="B817" s="21" t="s">
        <v>395</v>
      </c>
      <c r="C817" s="22" t="s">
        <v>8584</v>
      </c>
      <c r="D817" s="22"/>
      <c r="E817" s="21" t="s">
        <v>75</v>
      </c>
      <c r="F817" s="21"/>
      <c r="G817" s="147" t="s">
        <v>3537</v>
      </c>
      <c r="H817" s="23" t="s">
        <v>9021</v>
      </c>
      <c r="I817" s="23" t="s">
        <v>9013</v>
      </c>
      <c r="J817" s="21" t="s">
        <v>9023</v>
      </c>
      <c r="K817" s="47"/>
      <c r="L817" s="21" t="s">
        <v>9107</v>
      </c>
      <c r="M817" s="26">
        <v>45237</v>
      </c>
      <c r="N817" s="44">
        <v>109537.47</v>
      </c>
      <c r="O817" s="22" t="s">
        <v>15</v>
      </c>
      <c r="P817" s="44">
        <v>109537.47</v>
      </c>
      <c r="Q817" s="44">
        <f t="shared" si="78"/>
        <v>0</v>
      </c>
      <c r="R817" s="116">
        <f t="shared" si="79"/>
        <v>109537.47</v>
      </c>
    </row>
    <row r="818" spans="2:19" hidden="1" x14ac:dyDescent="0.25">
      <c r="B818" s="21" t="s">
        <v>395</v>
      </c>
      <c r="C818" s="22" t="s">
        <v>8584</v>
      </c>
      <c r="D818" s="22"/>
      <c r="E818" s="21" t="s">
        <v>75</v>
      </c>
      <c r="F818" s="21"/>
      <c r="G818" s="147" t="s">
        <v>3537</v>
      </c>
      <c r="H818" s="23" t="s">
        <v>9021</v>
      </c>
      <c r="I818" s="23" t="s">
        <v>9013</v>
      </c>
      <c r="J818" s="21" t="s">
        <v>9024</v>
      </c>
      <c r="K818" s="47"/>
      <c r="L818" s="21" t="s">
        <v>9959</v>
      </c>
      <c r="M818" s="26">
        <v>45470</v>
      </c>
      <c r="N818" s="44">
        <v>87629.975999999995</v>
      </c>
      <c r="O818" s="22" t="s">
        <v>15</v>
      </c>
      <c r="P818" s="44">
        <f>87629.98</f>
        <v>87629.98</v>
      </c>
      <c r="Q818" s="44">
        <f t="shared" si="78"/>
        <v>0</v>
      </c>
      <c r="R818" s="116">
        <f t="shared" si="79"/>
        <v>87629.98</v>
      </c>
    </row>
    <row r="819" spans="2:19" hidden="1" x14ac:dyDescent="0.25">
      <c r="B819" s="21" t="s">
        <v>395</v>
      </c>
      <c r="C819" s="22" t="s">
        <v>8584</v>
      </c>
      <c r="D819" s="22"/>
      <c r="E819" s="21" t="s">
        <v>75</v>
      </c>
      <c r="F819" s="21"/>
      <c r="G819" s="147" t="s">
        <v>3537</v>
      </c>
      <c r="H819" s="23" t="s">
        <v>11589</v>
      </c>
      <c r="I819" s="23" t="s">
        <v>9013</v>
      </c>
      <c r="J819" s="21" t="s">
        <v>9025</v>
      </c>
      <c r="K819" s="47"/>
      <c r="L819" s="21" t="s">
        <v>10385</v>
      </c>
      <c r="M819" s="26">
        <v>45533</v>
      </c>
      <c r="N819" s="44">
        <v>92883.67</v>
      </c>
      <c r="O819" s="22" t="s">
        <v>15</v>
      </c>
      <c r="P819" s="44">
        <v>92883.67</v>
      </c>
      <c r="Q819" s="44">
        <f t="shared" si="78"/>
        <v>0</v>
      </c>
      <c r="R819" s="116">
        <f t="shared" si="79"/>
        <v>92883.67</v>
      </c>
    </row>
    <row r="820" spans="2:19" hidden="1" x14ac:dyDescent="0.25">
      <c r="B820" s="21" t="s">
        <v>395</v>
      </c>
      <c r="C820" s="22" t="s">
        <v>8584</v>
      </c>
      <c r="D820" s="22"/>
      <c r="E820" s="21" t="s">
        <v>75</v>
      </c>
      <c r="F820" s="21"/>
      <c r="G820" s="147" t="s">
        <v>3537</v>
      </c>
      <c r="H820" s="23" t="s">
        <v>11589</v>
      </c>
      <c r="I820" s="23" t="s">
        <v>9013</v>
      </c>
      <c r="J820" s="21" t="s">
        <v>9026</v>
      </c>
      <c r="K820" s="47"/>
      <c r="L820" s="21" t="s">
        <v>11024</v>
      </c>
      <c r="M820" s="26">
        <v>45664</v>
      </c>
      <c r="N820" s="44">
        <v>92883.67</v>
      </c>
      <c r="O820" s="22" t="s">
        <v>15</v>
      </c>
      <c r="P820" s="44">
        <v>92883.87</v>
      </c>
      <c r="Q820" s="44">
        <f t="shared" si="78"/>
        <v>0</v>
      </c>
      <c r="R820" s="116">
        <f t="shared" si="79"/>
        <v>92883.87</v>
      </c>
    </row>
    <row r="821" spans="2:19" hidden="1" x14ac:dyDescent="0.25">
      <c r="B821" s="21" t="s">
        <v>395</v>
      </c>
      <c r="C821" s="22" t="s">
        <v>8584</v>
      </c>
      <c r="D821" s="22"/>
      <c r="E821" s="21" t="s">
        <v>75</v>
      </c>
      <c r="F821" s="21"/>
      <c r="G821" s="147" t="s">
        <v>3537</v>
      </c>
      <c r="H821" s="23" t="s">
        <v>11588</v>
      </c>
      <c r="I821" s="23" t="s">
        <v>9013</v>
      </c>
      <c r="J821" s="21" t="s">
        <v>9027</v>
      </c>
      <c r="K821" s="47"/>
      <c r="L821" s="21" t="s">
        <v>11587</v>
      </c>
      <c r="M821" s="26">
        <v>45755</v>
      </c>
      <c r="N821" s="44">
        <v>46441.84</v>
      </c>
      <c r="O821" s="22" t="s">
        <v>15</v>
      </c>
      <c r="P821" s="44">
        <v>46441.84</v>
      </c>
      <c r="Q821" s="44">
        <f t="shared" si="78"/>
        <v>0</v>
      </c>
      <c r="R821" s="116">
        <f t="shared" si="79"/>
        <v>46441.84</v>
      </c>
    </row>
    <row r="822" spans="2:19" hidden="1" x14ac:dyDescent="0.25">
      <c r="B822" s="21" t="s">
        <v>395</v>
      </c>
      <c r="C822" s="22" t="s">
        <v>8584</v>
      </c>
      <c r="D822" s="22"/>
      <c r="E822" s="21" t="s">
        <v>75</v>
      </c>
      <c r="F822" s="21"/>
      <c r="G822" s="147" t="s">
        <v>3537</v>
      </c>
      <c r="H822" s="23" t="s">
        <v>11588</v>
      </c>
      <c r="I822" s="23" t="s">
        <v>9013</v>
      </c>
      <c r="J822" s="21" t="s">
        <v>9028</v>
      </c>
      <c r="K822" s="47"/>
      <c r="L822" s="21" t="s">
        <v>11716</v>
      </c>
      <c r="M822" s="26">
        <v>45775</v>
      </c>
      <c r="N822" s="44">
        <v>35041.730000000003</v>
      </c>
      <c r="O822" s="22" t="s">
        <v>15</v>
      </c>
      <c r="P822" s="44">
        <v>35041.730000000003</v>
      </c>
      <c r="Q822" s="44">
        <f t="shared" si="78"/>
        <v>0</v>
      </c>
      <c r="R822" s="116">
        <f t="shared" si="79"/>
        <v>35041.730000000003</v>
      </c>
    </row>
    <row r="823" spans="2:19" hidden="1" x14ac:dyDescent="0.25">
      <c r="B823" s="21" t="s">
        <v>395</v>
      </c>
      <c r="C823" s="22" t="s">
        <v>8584</v>
      </c>
      <c r="D823" s="22"/>
      <c r="E823" s="21" t="s">
        <v>75</v>
      </c>
      <c r="F823" s="21"/>
      <c r="G823" s="147" t="s">
        <v>3537</v>
      </c>
      <c r="H823" s="23" t="s">
        <v>11588</v>
      </c>
      <c r="I823" s="23" t="s">
        <v>9013</v>
      </c>
      <c r="J823" s="21" t="s">
        <v>9029</v>
      </c>
      <c r="K823" s="47"/>
      <c r="L823" s="21" t="s">
        <v>13689</v>
      </c>
      <c r="M823" s="26" t="s">
        <v>13690</v>
      </c>
      <c r="N823" s="44">
        <v>25178.87</v>
      </c>
      <c r="O823" s="22" t="s">
        <v>15</v>
      </c>
      <c r="P823" s="44">
        <f>2719.5+1418.32+199.53+245.96+4489.1+25.74+2715.64+1560+215.46+160+4287+976+1387+2200+3520</f>
        <v>26119.25</v>
      </c>
      <c r="Q823" s="44">
        <f t="shared" si="78"/>
        <v>0</v>
      </c>
      <c r="R823" s="116">
        <f t="shared" si="79"/>
        <v>26119.25</v>
      </c>
    </row>
    <row r="824" spans="2:19" hidden="1" x14ac:dyDescent="0.25">
      <c r="B824" s="219" t="s">
        <v>395</v>
      </c>
      <c r="C824" s="222" t="s">
        <v>8584</v>
      </c>
      <c r="D824" s="222"/>
      <c r="E824" s="219" t="s">
        <v>75</v>
      </c>
      <c r="F824" s="219"/>
      <c r="G824" s="223" t="s">
        <v>3537</v>
      </c>
      <c r="H824" s="23" t="s">
        <v>11588</v>
      </c>
      <c r="I824" s="224" t="s">
        <v>9013</v>
      </c>
      <c r="J824" s="219" t="s">
        <v>9030</v>
      </c>
      <c r="K824" s="530"/>
      <c r="L824" s="219" t="s">
        <v>12312</v>
      </c>
      <c r="M824" s="225" t="s">
        <v>12313</v>
      </c>
      <c r="N824" s="226">
        <v>96472.5</v>
      </c>
      <c r="O824" s="222" t="s">
        <v>15</v>
      </c>
      <c r="P824" s="226">
        <f>24000+2205+20000+4000+2205+4489.1+4000+2200.57+78.75+4000+40000+1306.08+157.5+78.75+48.3+5112</f>
        <v>113881.05</v>
      </c>
      <c r="Q824" s="226">
        <f t="shared" si="78"/>
        <v>0</v>
      </c>
      <c r="R824" s="531">
        <f t="shared" si="79"/>
        <v>113881.05</v>
      </c>
      <c r="S824" s="5" t="s">
        <v>11251</v>
      </c>
    </row>
    <row r="825" spans="2:19" hidden="1" x14ac:dyDescent="0.25">
      <c r="B825" s="219" t="s">
        <v>395</v>
      </c>
      <c r="C825" s="222" t="s">
        <v>2450</v>
      </c>
      <c r="D825" s="222"/>
      <c r="E825" s="219" t="s">
        <v>10</v>
      </c>
      <c r="F825" s="219" t="s">
        <v>9721</v>
      </c>
      <c r="G825" s="223" t="s">
        <v>8639</v>
      </c>
      <c r="H825" s="224" t="s">
        <v>11034</v>
      </c>
      <c r="I825" s="224" t="s">
        <v>11035</v>
      </c>
      <c r="J825" s="219" t="s">
        <v>11036</v>
      </c>
      <c r="K825" s="219"/>
      <c r="L825" s="219" t="s">
        <v>11084</v>
      </c>
      <c r="M825" s="225">
        <v>45666</v>
      </c>
      <c r="N825" s="226">
        <v>4575</v>
      </c>
      <c r="O825" s="222" t="s">
        <v>15</v>
      </c>
      <c r="P825" s="226">
        <v>4575</v>
      </c>
      <c r="Q825" s="226">
        <f t="shared" si="78"/>
        <v>0</v>
      </c>
      <c r="R825" s="470">
        <f t="shared" ref="R825:R878" si="80">IF(P825="OK",N825-Q825,IF(P825="en cours",N825-Q825,P825))</f>
        <v>4575</v>
      </c>
    </row>
    <row r="826" spans="2:19" hidden="1" x14ac:dyDescent="0.25">
      <c r="B826" s="21" t="s">
        <v>395</v>
      </c>
      <c r="C826" s="22" t="s">
        <v>158</v>
      </c>
      <c r="D826" s="22"/>
      <c r="E826" s="21" t="s">
        <v>9707</v>
      </c>
      <c r="F826" s="21" t="s">
        <v>9815</v>
      </c>
      <c r="G826" s="147" t="s">
        <v>9536</v>
      </c>
      <c r="H826" s="23" t="s">
        <v>13250</v>
      </c>
      <c r="I826" s="23"/>
      <c r="J826" s="21" t="s">
        <v>13234</v>
      </c>
      <c r="K826" s="47"/>
      <c r="L826" s="21" t="s">
        <v>9538</v>
      </c>
      <c r="M826" s="26">
        <v>45343</v>
      </c>
      <c r="N826" s="44">
        <v>123023.39</v>
      </c>
      <c r="O826" s="22" t="s">
        <v>276</v>
      </c>
      <c r="P826" s="44">
        <v>123023.39</v>
      </c>
      <c r="Q826" s="44">
        <f t="shared" si="78"/>
        <v>0</v>
      </c>
      <c r="R826" s="24">
        <f t="shared" si="80"/>
        <v>123023.39</v>
      </c>
    </row>
    <row r="827" spans="2:19" hidden="1" x14ac:dyDescent="0.25">
      <c r="C827" s="4" t="s">
        <v>158</v>
      </c>
      <c r="E827" s="5" t="s">
        <v>9707</v>
      </c>
      <c r="F827" s="5" t="s">
        <v>9815</v>
      </c>
      <c r="G827" s="146" t="s">
        <v>9536</v>
      </c>
      <c r="H827" s="7" t="s">
        <v>13709</v>
      </c>
      <c r="J827" s="5" t="s">
        <v>13710</v>
      </c>
      <c r="L827" s="199" t="s">
        <v>14271</v>
      </c>
      <c r="M827" s="458" t="s">
        <v>14272</v>
      </c>
      <c r="N827" s="45">
        <v>150960</v>
      </c>
      <c r="O827" s="4" t="s">
        <v>276</v>
      </c>
      <c r="P827" s="45">
        <f>(8880)+44400+8880+8880</f>
        <v>71040</v>
      </c>
      <c r="Q827" s="45">
        <f t="shared" si="78"/>
        <v>79920</v>
      </c>
      <c r="R827" s="3">
        <f t="shared" si="80"/>
        <v>71040</v>
      </c>
    </row>
    <row r="828" spans="2:19" hidden="1" x14ac:dyDescent="0.25">
      <c r="C828" s="4" t="s">
        <v>158</v>
      </c>
      <c r="E828" s="5" t="s">
        <v>9707</v>
      </c>
      <c r="F828" s="5" t="s">
        <v>9815</v>
      </c>
      <c r="G828" s="146" t="s">
        <v>9536</v>
      </c>
      <c r="H828" s="7" t="s">
        <v>13709</v>
      </c>
      <c r="J828" s="5" t="s">
        <v>13235</v>
      </c>
      <c r="L828" s="5" t="s">
        <v>13428</v>
      </c>
      <c r="M828" s="12" t="s">
        <v>13429</v>
      </c>
      <c r="N828" s="45">
        <f>57330*4+49905*4</f>
        <v>428940</v>
      </c>
      <c r="O828" s="4" t="s">
        <v>276</v>
      </c>
      <c r="P828" s="45">
        <f>57330+57330+57330+57330+49905+49905</f>
        <v>329130</v>
      </c>
      <c r="Q828" s="45">
        <f t="shared" si="78"/>
        <v>99810</v>
      </c>
      <c r="R828" s="3">
        <f t="shared" si="80"/>
        <v>329130</v>
      </c>
    </row>
    <row r="829" spans="2:19" hidden="1" x14ac:dyDescent="0.25">
      <c r="B829" s="21" t="s">
        <v>395</v>
      </c>
      <c r="C829" s="22" t="s">
        <v>158</v>
      </c>
      <c r="D829" s="22"/>
      <c r="E829" s="21" t="s">
        <v>9707</v>
      </c>
      <c r="F829" s="21" t="s">
        <v>9815</v>
      </c>
      <c r="G829" s="147" t="s">
        <v>9536</v>
      </c>
      <c r="H829" s="23" t="s">
        <v>13250</v>
      </c>
      <c r="I829" s="23"/>
      <c r="J829" s="21" t="s">
        <v>13236</v>
      </c>
      <c r="K829" s="21"/>
      <c r="L829" s="21" t="s">
        <v>11246</v>
      </c>
      <c r="M829" s="26" t="s">
        <v>11247</v>
      </c>
      <c r="N829" s="44">
        <f>15120*3</f>
        <v>45360</v>
      </c>
      <c r="O829" s="22" t="s">
        <v>276</v>
      </c>
      <c r="P829" s="44">
        <f>(15120*2)+15120</f>
        <v>45360</v>
      </c>
      <c r="Q829" s="44">
        <f t="shared" ref="Q829:Q899" si="81">IF(P829="en cours",N829,IF(P829="OK",0,IF(N829-P829&lt;0,0,N829-P829)))</f>
        <v>0</v>
      </c>
      <c r="R829" s="24">
        <f t="shared" si="80"/>
        <v>45360</v>
      </c>
    </row>
    <row r="830" spans="2:19" hidden="1" x14ac:dyDescent="0.25">
      <c r="B830" s="21" t="s">
        <v>395</v>
      </c>
      <c r="C830" s="22" t="s">
        <v>158</v>
      </c>
      <c r="D830" s="22"/>
      <c r="E830" s="21" t="s">
        <v>9707</v>
      </c>
      <c r="F830" s="21" t="s">
        <v>9815</v>
      </c>
      <c r="G830" s="147" t="s">
        <v>9536</v>
      </c>
      <c r="H830" s="23" t="s">
        <v>13250</v>
      </c>
      <c r="I830" s="23"/>
      <c r="J830" s="21" t="s">
        <v>13237</v>
      </c>
      <c r="K830" s="47"/>
      <c r="L830" s="21" t="s">
        <v>9708</v>
      </c>
      <c r="M830" s="26">
        <v>45382</v>
      </c>
      <c r="N830" s="44">
        <v>5550</v>
      </c>
      <c r="O830" s="22" t="s">
        <v>276</v>
      </c>
      <c r="P830" s="44">
        <v>5550</v>
      </c>
      <c r="Q830" s="44">
        <f t="shared" si="81"/>
        <v>0</v>
      </c>
      <c r="R830" s="24">
        <f t="shared" si="80"/>
        <v>5550</v>
      </c>
    </row>
    <row r="831" spans="2:19" hidden="1" x14ac:dyDescent="0.25">
      <c r="B831" s="21" t="s">
        <v>395</v>
      </c>
      <c r="C831" s="22" t="s">
        <v>158</v>
      </c>
      <c r="D831" s="22"/>
      <c r="E831" s="21" t="s">
        <v>9707</v>
      </c>
      <c r="F831" s="21" t="s">
        <v>9815</v>
      </c>
      <c r="G831" s="147" t="s">
        <v>9536</v>
      </c>
      <c r="H831" s="23" t="s">
        <v>13250</v>
      </c>
      <c r="I831" s="23"/>
      <c r="J831" s="21" t="s">
        <v>13237</v>
      </c>
      <c r="K831" s="47"/>
      <c r="L831" s="21" t="s">
        <v>9983</v>
      </c>
      <c r="M831" s="26">
        <v>45413</v>
      </c>
      <c r="N831" s="44">
        <v>5550</v>
      </c>
      <c r="O831" s="22" t="s">
        <v>276</v>
      </c>
      <c r="P831" s="44">
        <v>5550</v>
      </c>
      <c r="Q831" s="44">
        <f t="shared" si="81"/>
        <v>0</v>
      </c>
      <c r="R831" s="24">
        <f t="shared" si="80"/>
        <v>5550</v>
      </c>
    </row>
    <row r="832" spans="2:19" hidden="1" x14ac:dyDescent="0.25">
      <c r="B832" s="21" t="s">
        <v>395</v>
      </c>
      <c r="C832" s="22" t="s">
        <v>158</v>
      </c>
      <c r="D832" s="22"/>
      <c r="E832" s="21" t="s">
        <v>9707</v>
      </c>
      <c r="F832" s="21" t="s">
        <v>9815</v>
      </c>
      <c r="G832" s="147" t="s">
        <v>9536</v>
      </c>
      <c r="H832" s="23" t="s">
        <v>13250</v>
      </c>
      <c r="I832" s="23"/>
      <c r="J832" s="21" t="s">
        <v>13237</v>
      </c>
      <c r="K832" s="47"/>
      <c r="L832" s="21" t="s">
        <v>9982</v>
      </c>
      <c r="M832" s="26">
        <v>45443</v>
      </c>
      <c r="N832" s="44">
        <v>5550</v>
      </c>
      <c r="O832" s="22" t="s">
        <v>276</v>
      </c>
      <c r="P832" s="44">
        <v>5550</v>
      </c>
      <c r="Q832" s="44">
        <f t="shared" si="81"/>
        <v>0</v>
      </c>
      <c r="R832" s="24">
        <f t="shared" si="80"/>
        <v>5550</v>
      </c>
    </row>
    <row r="833" spans="2:18" hidden="1" x14ac:dyDescent="0.25">
      <c r="B833" s="21" t="s">
        <v>395</v>
      </c>
      <c r="C833" s="22" t="s">
        <v>158</v>
      </c>
      <c r="D833" s="22"/>
      <c r="E833" s="21" t="s">
        <v>9707</v>
      </c>
      <c r="F833" s="21" t="s">
        <v>9815</v>
      </c>
      <c r="G833" s="147" t="s">
        <v>9536</v>
      </c>
      <c r="H833" s="23" t="s">
        <v>13250</v>
      </c>
      <c r="I833" s="23"/>
      <c r="J833" s="21" t="s">
        <v>13237</v>
      </c>
      <c r="K833" s="47"/>
      <c r="L833" s="21" t="s">
        <v>9981</v>
      </c>
      <c r="M833" s="26">
        <v>45473</v>
      </c>
      <c r="N833" s="44">
        <v>5550</v>
      </c>
      <c r="O833" s="22" t="s">
        <v>276</v>
      </c>
      <c r="P833" s="44">
        <v>5550</v>
      </c>
      <c r="Q833" s="44">
        <f t="shared" si="81"/>
        <v>0</v>
      </c>
      <c r="R833" s="24">
        <f t="shared" si="80"/>
        <v>5550</v>
      </c>
    </row>
    <row r="834" spans="2:18" hidden="1" x14ac:dyDescent="0.25">
      <c r="B834" s="21" t="s">
        <v>395</v>
      </c>
      <c r="C834" s="22" t="s">
        <v>158</v>
      </c>
      <c r="D834" s="22"/>
      <c r="E834" s="21" t="s">
        <v>9707</v>
      </c>
      <c r="F834" s="21" t="s">
        <v>9815</v>
      </c>
      <c r="G834" s="147" t="s">
        <v>9536</v>
      </c>
      <c r="H834" s="23" t="s">
        <v>13250</v>
      </c>
      <c r="I834" s="23"/>
      <c r="J834" s="21" t="s">
        <v>13237</v>
      </c>
      <c r="K834" s="47"/>
      <c r="L834" s="21" t="s">
        <v>10295</v>
      </c>
      <c r="M834" s="26">
        <v>45504</v>
      </c>
      <c r="N834" s="44">
        <v>5550</v>
      </c>
      <c r="O834" s="22" t="s">
        <v>276</v>
      </c>
      <c r="P834" s="44">
        <v>5550</v>
      </c>
      <c r="Q834" s="44">
        <f t="shared" si="81"/>
        <v>0</v>
      </c>
      <c r="R834" s="24">
        <f t="shared" si="80"/>
        <v>5550</v>
      </c>
    </row>
    <row r="835" spans="2:18" hidden="1" x14ac:dyDescent="0.25">
      <c r="B835" s="21" t="s">
        <v>395</v>
      </c>
      <c r="C835" s="22" t="s">
        <v>158</v>
      </c>
      <c r="D835" s="22"/>
      <c r="E835" s="21" t="s">
        <v>9707</v>
      </c>
      <c r="F835" s="21" t="s">
        <v>9815</v>
      </c>
      <c r="G835" s="147" t="s">
        <v>9536</v>
      </c>
      <c r="H835" s="23" t="s">
        <v>13250</v>
      </c>
      <c r="I835" s="23"/>
      <c r="J835" s="21" t="s">
        <v>13237</v>
      </c>
      <c r="K835" s="47"/>
      <c r="L835" s="21" t="s">
        <v>10502</v>
      </c>
      <c r="M835" s="26">
        <v>45544</v>
      </c>
      <c r="N835" s="44">
        <v>5550</v>
      </c>
      <c r="O835" s="22" t="s">
        <v>276</v>
      </c>
      <c r="P835" s="44">
        <v>5550</v>
      </c>
      <c r="Q835" s="44">
        <f t="shared" si="81"/>
        <v>0</v>
      </c>
      <c r="R835" s="24">
        <f t="shared" si="80"/>
        <v>5550</v>
      </c>
    </row>
    <row r="836" spans="2:18" hidden="1" x14ac:dyDescent="0.25">
      <c r="B836" s="21" t="s">
        <v>395</v>
      </c>
      <c r="C836" s="22" t="s">
        <v>158</v>
      </c>
      <c r="D836" s="22"/>
      <c r="E836" s="21" t="s">
        <v>9707</v>
      </c>
      <c r="F836" s="21" t="s">
        <v>9815</v>
      </c>
      <c r="G836" s="147" t="s">
        <v>9536</v>
      </c>
      <c r="H836" s="23" t="s">
        <v>13250</v>
      </c>
      <c r="I836" s="23"/>
      <c r="J836" s="21" t="s">
        <v>13237</v>
      </c>
      <c r="K836" s="47"/>
      <c r="L836" s="21" t="s">
        <v>10575</v>
      </c>
      <c r="M836" s="26">
        <v>45569</v>
      </c>
      <c r="N836" s="44">
        <v>5550</v>
      </c>
      <c r="O836" s="22" t="s">
        <v>276</v>
      </c>
      <c r="P836" s="44">
        <v>5550</v>
      </c>
      <c r="Q836" s="44">
        <f t="shared" si="81"/>
        <v>0</v>
      </c>
      <c r="R836" s="24">
        <f t="shared" si="80"/>
        <v>5550</v>
      </c>
    </row>
    <row r="837" spans="2:18" hidden="1" x14ac:dyDescent="0.25">
      <c r="B837" s="21" t="s">
        <v>395</v>
      </c>
      <c r="C837" s="22" t="s">
        <v>158</v>
      </c>
      <c r="D837" s="22"/>
      <c r="E837" s="21" t="s">
        <v>9707</v>
      </c>
      <c r="F837" s="21" t="s">
        <v>9815</v>
      </c>
      <c r="G837" s="147" t="s">
        <v>9536</v>
      </c>
      <c r="H837" s="23" t="s">
        <v>13250</v>
      </c>
      <c r="I837" s="23"/>
      <c r="J837" s="21" t="s">
        <v>13237</v>
      </c>
      <c r="K837" s="47"/>
      <c r="L837" s="21" t="s">
        <v>10701</v>
      </c>
      <c r="M837" s="26">
        <v>45604</v>
      </c>
      <c r="N837" s="44">
        <v>5550</v>
      </c>
      <c r="O837" s="22" t="s">
        <v>276</v>
      </c>
      <c r="P837" s="44">
        <v>5550</v>
      </c>
      <c r="Q837" s="44">
        <f t="shared" si="81"/>
        <v>0</v>
      </c>
      <c r="R837" s="24">
        <f t="shared" si="80"/>
        <v>5550</v>
      </c>
    </row>
    <row r="838" spans="2:18" hidden="1" x14ac:dyDescent="0.25">
      <c r="B838" s="21" t="s">
        <v>395</v>
      </c>
      <c r="C838" s="22" t="s">
        <v>158</v>
      </c>
      <c r="D838" s="22"/>
      <c r="E838" s="21" t="s">
        <v>9707</v>
      </c>
      <c r="F838" s="21" t="s">
        <v>9815</v>
      </c>
      <c r="G838" s="147" t="s">
        <v>9536</v>
      </c>
      <c r="H838" s="23" t="s">
        <v>13250</v>
      </c>
      <c r="I838" s="23"/>
      <c r="J838" s="21" t="s">
        <v>13237</v>
      </c>
      <c r="K838" s="47"/>
      <c r="L838" s="21" t="s">
        <v>10862</v>
      </c>
      <c r="M838" s="26">
        <v>45629</v>
      </c>
      <c r="N838" s="44">
        <v>5550</v>
      </c>
      <c r="O838" s="22" t="s">
        <v>276</v>
      </c>
      <c r="P838" s="44">
        <v>5550</v>
      </c>
      <c r="Q838" s="44">
        <f t="shared" si="81"/>
        <v>0</v>
      </c>
      <c r="R838" s="24">
        <f t="shared" si="80"/>
        <v>5550</v>
      </c>
    </row>
    <row r="839" spans="2:18" hidden="1" x14ac:dyDescent="0.25">
      <c r="B839" s="21" t="s">
        <v>395</v>
      </c>
      <c r="C839" s="22" t="s">
        <v>158</v>
      </c>
      <c r="D839" s="22"/>
      <c r="E839" s="21" t="s">
        <v>9707</v>
      </c>
      <c r="F839" s="21" t="s">
        <v>9815</v>
      </c>
      <c r="G839" s="147" t="s">
        <v>9536</v>
      </c>
      <c r="H839" s="23" t="s">
        <v>13250</v>
      </c>
      <c r="I839" s="23"/>
      <c r="J839" s="21" t="s">
        <v>13237</v>
      </c>
      <c r="K839" s="47"/>
      <c r="L839" s="21" t="s">
        <v>11248</v>
      </c>
      <c r="M839" s="26">
        <v>45645</v>
      </c>
      <c r="N839" s="44">
        <v>5550</v>
      </c>
      <c r="O839" s="22" t="s">
        <v>276</v>
      </c>
      <c r="P839" s="44">
        <v>5550</v>
      </c>
      <c r="Q839" s="44">
        <f t="shared" si="81"/>
        <v>0</v>
      </c>
      <c r="R839" s="24">
        <f t="shared" si="80"/>
        <v>5550</v>
      </c>
    </row>
    <row r="840" spans="2:18" hidden="1" x14ac:dyDescent="0.25">
      <c r="B840" s="21" t="s">
        <v>395</v>
      </c>
      <c r="C840" s="22" t="s">
        <v>158</v>
      </c>
      <c r="D840" s="22"/>
      <c r="E840" s="21" t="s">
        <v>9707</v>
      </c>
      <c r="F840" s="21" t="s">
        <v>9815</v>
      </c>
      <c r="G840" s="147" t="s">
        <v>9536</v>
      </c>
      <c r="H840" s="23" t="s">
        <v>13250</v>
      </c>
      <c r="I840" s="23"/>
      <c r="J840" s="21" t="s">
        <v>13237</v>
      </c>
      <c r="K840" s="47"/>
      <c r="L840" s="21" t="s">
        <v>11249</v>
      </c>
      <c r="M840" s="26">
        <v>45694</v>
      </c>
      <c r="N840" s="44">
        <v>5550</v>
      </c>
      <c r="O840" s="22" t="s">
        <v>276</v>
      </c>
      <c r="P840" s="44">
        <v>5550</v>
      </c>
      <c r="Q840" s="44">
        <f t="shared" si="81"/>
        <v>0</v>
      </c>
      <c r="R840" s="24">
        <f t="shared" si="80"/>
        <v>5550</v>
      </c>
    </row>
    <row r="841" spans="2:18" hidden="1" x14ac:dyDescent="0.25">
      <c r="B841" s="21" t="s">
        <v>395</v>
      </c>
      <c r="C841" s="22" t="s">
        <v>158</v>
      </c>
      <c r="D841" s="22"/>
      <c r="E841" s="21" t="s">
        <v>9707</v>
      </c>
      <c r="F841" s="21" t="s">
        <v>9815</v>
      </c>
      <c r="G841" s="147" t="s">
        <v>9536</v>
      </c>
      <c r="H841" s="23" t="s">
        <v>13250</v>
      </c>
      <c r="I841" s="23"/>
      <c r="J841" s="21" t="s">
        <v>13238</v>
      </c>
      <c r="K841" s="47"/>
      <c r="L841" s="21" t="s">
        <v>11355</v>
      </c>
      <c r="M841" s="26">
        <v>45735</v>
      </c>
      <c r="N841" s="44">
        <f>9750</f>
        <v>9750</v>
      </c>
      <c r="O841" s="22" t="s">
        <v>276</v>
      </c>
      <c r="P841" s="44">
        <v>9750</v>
      </c>
      <c r="Q841" s="44">
        <f t="shared" ref="Q841:Q852" si="82">IF(P841="en cours",N841,IF(P841="OK",0,IF(N841-P841&lt;0,0,N841-P841)))</f>
        <v>0</v>
      </c>
      <c r="R841" s="24">
        <f t="shared" ref="R841:R852" si="83">IF(P841="OK",N841-Q841,IF(P841="en cours",N841-Q841,P841))</f>
        <v>9750</v>
      </c>
    </row>
    <row r="842" spans="2:18" hidden="1" x14ac:dyDescent="0.25">
      <c r="B842" s="21" t="s">
        <v>395</v>
      </c>
      <c r="C842" s="22" t="s">
        <v>158</v>
      </c>
      <c r="D842" s="22"/>
      <c r="E842" s="21" t="s">
        <v>9707</v>
      </c>
      <c r="F842" s="21" t="s">
        <v>9815</v>
      </c>
      <c r="G842" s="147" t="s">
        <v>9536</v>
      </c>
      <c r="H842" s="23" t="s">
        <v>13250</v>
      </c>
      <c r="I842" s="23"/>
      <c r="J842" s="21" t="s">
        <v>13238</v>
      </c>
      <c r="K842" s="47"/>
      <c r="L842" s="21" t="s">
        <v>11970</v>
      </c>
      <c r="M842" s="26">
        <v>45742</v>
      </c>
      <c r="N842" s="44">
        <f>9750</f>
        <v>9750</v>
      </c>
      <c r="O842" s="22" t="s">
        <v>276</v>
      </c>
      <c r="P842" s="44">
        <v>9750</v>
      </c>
      <c r="Q842" s="44">
        <f t="shared" si="82"/>
        <v>0</v>
      </c>
      <c r="R842" s="24">
        <f t="shared" si="83"/>
        <v>9750</v>
      </c>
    </row>
    <row r="843" spans="2:18" hidden="1" x14ac:dyDescent="0.25">
      <c r="B843" s="21" t="s">
        <v>395</v>
      </c>
      <c r="C843" s="22" t="s">
        <v>158</v>
      </c>
      <c r="D843" s="22"/>
      <c r="E843" s="21" t="s">
        <v>9707</v>
      </c>
      <c r="F843" s="21" t="s">
        <v>9815</v>
      </c>
      <c r="G843" s="147" t="s">
        <v>9536</v>
      </c>
      <c r="H843" s="23" t="s">
        <v>13250</v>
      </c>
      <c r="I843" s="23"/>
      <c r="J843" s="21" t="s">
        <v>13238</v>
      </c>
      <c r="K843" s="47"/>
      <c r="L843" s="21" t="s">
        <v>11971</v>
      </c>
      <c r="M843" s="26">
        <v>45778</v>
      </c>
      <c r="N843" s="44">
        <f>9750</f>
        <v>9750</v>
      </c>
      <c r="O843" s="22" t="s">
        <v>276</v>
      </c>
      <c r="P843" s="44">
        <v>9750</v>
      </c>
      <c r="Q843" s="44">
        <f t="shared" si="82"/>
        <v>0</v>
      </c>
      <c r="R843" s="24">
        <f t="shared" si="83"/>
        <v>9750</v>
      </c>
    </row>
    <row r="844" spans="2:18" hidden="1" x14ac:dyDescent="0.25">
      <c r="B844" s="21" t="s">
        <v>395</v>
      </c>
      <c r="C844" s="22" t="s">
        <v>158</v>
      </c>
      <c r="D844" s="22"/>
      <c r="E844" s="21" t="s">
        <v>9707</v>
      </c>
      <c r="F844" s="21" t="s">
        <v>9815</v>
      </c>
      <c r="G844" s="147" t="s">
        <v>9536</v>
      </c>
      <c r="H844" s="23" t="s">
        <v>13250</v>
      </c>
      <c r="I844" s="23"/>
      <c r="J844" s="21" t="s">
        <v>13238</v>
      </c>
      <c r="K844" s="47"/>
      <c r="L844" s="21" t="s">
        <v>11969</v>
      </c>
      <c r="M844" s="26">
        <v>45804</v>
      </c>
      <c r="N844" s="44">
        <f>9750</f>
        <v>9750</v>
      </c>
      <c r="O844" s="22" t="s">
        <v>276</v>
      </c>
      <c r="P844" s="44">
        <v>9750</v>
      </c>
      <c r="Q844" s="44">
        <f t="shared" si="82"/>
        <v>0</v>
      </c>
      <c r="R844" s="24">
        <f t="shared" si="83"/>
        <v>9750</v>
      </c>
    </row>
    <row r="845" spans="2:18" hidden="1" x14ac:dyDescent="0.25">
      <c r="B845" s="21" t="s">
        <v>395</v>
      </c>
      <c r="C845" s="22" t="s">
        <v>158</v>
      </c>
      <c r="D845" s="22"/>
      <c r="E845" s="21" t="s">
        <v>9707</v>
      </c>
      <c r="F845" s="21" t="s">
        <v>9815</v>
      </c>
      <c r="G845" s="147" t="s">
        <v>9536</v>
      </c>
      <c r="H845" s="23" t="s">
        <v>13250</v>
      </c>
      <c r="I845" s="23"/>
      <c r="J845" s="21" t="s">
        <v>13238</v>
      </c>
      <c r="K845" s="47"/>
      <c r="L845" s="21" t="s">
        <v>12494</v>
      </c>
      <c r="M845" s="26">
        <v>45835</v>
      </c>
      <c r="N845" s="44">
        <f>9750</f>
        <v>9750</v>
      </c>
      <c r="O845" s="22" t="s">
        <v>276</v>
      </c>
      <c r="P845" s="44">
        <v>9750</v>
      </c>
      <c r="Q845" s="44">
        <f t="shared" si="82"/>
        <v>0</v>
      </c>
      <c r="R845" s="24">
        <f t="shared" si="83"/>
        <v>9750</v>
      </c>
    </row>
    <row r="846" spans="2:18" hidden="1" x14ac:dyDescent="0.25">
      <c r="B846" s="21" t="s">
        <v>395</v>
      </c>
      <c r="C846" s="22" t="s">
        <v>158</v>
      </c>
      <c r="D846" s="22"/>
      <c r="E846" s="21" t="s">
        <v>9707</v>
      </c>
      <c r="F846" s="21" t="s">
        <v>9815</v>
      </c>
      <c r="G846" s="147" t="s">
        <v>9536</v>
      </c>
      <c r="H846" s="23" t="s">
        <v>13250</v>
      </c>
      <c r="I846" s="23"/>
      <c r="J846" s="21" t="s">
        <v>13238</v>
      </c>
      <c r="K846" s="47"/>
      <c r="L846" s="21" t="s">
        <v>12495</v>
      </c>
      <c r="M846" s="26">
        <v>45867</v>
      </c>
      <c r="N846" s="44">
        <f>9750</f>
        <v>9750</v>
      </c>
      <c r="O846" s="22" t="s">
        <v>276</v>
      </c>
      <c r="P846" s="44">
        <v>9750</v>
      </c>
      <c r="Q846" s="44">
        <f t="shared" si="82"/>
        <v>0</v>
      </c>
      <c r="R846" s="24">
        <f t="shared" si="83"/>
        <v>9750</v>
      </c>
    </row>
    <row r="847" spans="2:18" hidden="1" x14ac:dyDescent="0.25">
      <c r="B847" s="21" t="s">
        <v>395</v>
      </c>
      <c r="C847" s="22" t="s">
        <v>158</v>
      </c>
      <c r="D847" s="22"/>
      <c r="E847" s="21" t="s">
        <v>9707</v>
      </c>
      <c r="F847" s="21" t="s">
        <v>9815</v>
      </c>
      <c r="G847" s="147" t="s">
        <v>9536</v>
      </c>
      <c r="H847" s="23" t="s">
        <v>13250</v>
      </c>
      <c r="I847" s="23"/>
      <c r="J847" s="21" t="s">
        <v>13238</v>
      </c>
      <c r="K847" s="47"/>
      <c r="L847" s="21" t="s">
        <v>12496</v>
      </c>
      <c r="M847" s="26">
        <v>45902</v>
      </c>
      <c r="N847" s="44">
        <f>9750</f>
        <v>9750</v>
      </c>
      <c r="O847" s="22" t="s">
        <v>276</v>
      </c>
      <c r="P847" s="44">
        <v>9750</v>
      </c>
      <c r="Q847" s="44">
        <f t="shared" si="82"/>
        <v>0</v>
      </c>
      <c r="R847" s="24">
        <f t="shared" si="83"/>
        <v>9750</v>
      </c>
    </row>
    <row r="848" spans="2:18" hidden="1" x14ac:dyDescent="0.25">
      <c r="B848" s="21" t="s">
        <v>395</v>
      </c>
      <c r="C848" s="22" t="s">
        <v>158</v>
      </c>
      <c r="D848" s="22"/>
      <c r="E848" s="21" t="s">
        <v>9707</v>
      </c>
      <c r="F848" s="21" t="s">
        <v>9815</v>
      </c>
      <c r="G848" s="147" t="s">
        <v>9536</v>
      </c>
      <c r="H848" s="23" t="s">
        <v>13250</v>
      </c>
      <c r="I848" s="23"/>
      <c r="J848" s="21" t="s">
        <v>13238</v>
      </c>
      <c r="K848" s="47"/>
      <c r="L848" s="21" t="s">
        <v>12576</v>
      </c>
      <c r="M848" s="26">
        <v>45923</v>
      </c>
      <c r="N848" s="44">
        <f>9750</f>
        <v>9750</v>
      </c>
      <c r="O848" s="22" t="s">
        <v>276</v>
      </c>
      <c r="P848" s="44">
        <v>9750</v>
      </c>
      <c r="Q848" s="44">
        <f t="shared" si="82"/>
        <v>0</v>
      </c>
      <c r="R848" s="24">
        <f t="shared" si="83"/>
        <v>9750</v>
      </c>
    </row>
    <row r="849" spans="2:18" hidden="1" x14ac:dyDescent="0.25">
      <c r="B849" s="21" t="s">
        <v>395</v>
      </c>
      <c r="C849" s="22" t="s">
        <v>158</v>
      </c>
      <c r="D849" s="22"/>
      <c r="E849" s="21" t="s">
        <v>9707</v>
      </c>
      <c r="F849" s="21" t="s">
        <v>9815</v>
      </c>
      <c r="G849" s="147" t="s">
        <v>9536</v>
      </c>
      <c r="H849" s="23" t="s">
        <v>13250</v>
      </c>
      <c r="I849" s="23"/>
      <c r="J849" s="21" t="s">
        <v>13238</v>
      </c>
      <c r="K849" s="47"/>
      <c r="L849" s="21" t="s">
        <v>13233</v>
      </c>
      <c r="M849" s="26">
        <v>45965</v>
      </c>
      <c r="N849" s="44">
        <f>9750</f>
        <v>9750</v>
      </c>
      <c r="O849" s="22" t="s">
        <v>276</v>
      </c>
      <c r="P849" s="44">
        <v>9750</v>
      </c>
      <c r="Q849" s="44">
        <f t="shared" si="82"/>
        <v>0</v>
      </c>
      <c r="R849" s="24">
        <f t="shared" si="83"/>
        <v>9750</v>
      </c>
    </row>
    <row r="850" spans="2:18" hidden="1" x14ac:dyDescent="0.25">
      <c r="B850" s="21" t="s">
        <v>395</v>
      </c>
      <c r="C850" s="22" t="s">
        <v>158</v>
      </c>
      <c r="D850" s="22"/>
      <c r="E850" s="21" t="s">
        <v>9707</v>
      </c>
      <c r="F850" s="21" t="s">
        <v>9815</v>
      </c>
      <c r="G850" s="147" t="s">
        <v>9536</v>
      </c>
      <c r="H850" s="23" t="s">
        <v>13709</v>
      </c>
      <c r="I850" s="23"/>
      <c r="J850" s="21" t="s">
        <v>13238</v>
      </c>
      <c r="K850" s="47"/>
      <c r="L850" s="21" t="s">
        <v>13427</v>
      </c>
      <c r="M850" s="26">
        <v>45989</v>
      </c>
      <c r="N850" s="44">
        <f>9750</f>
        <v>9750</v>
      </c>
      <c r="O850" s="22" t="s">
        <v>276</v>
      </c>
      <c r="P850" s="44">
        <v>9750</v>
      </c>
      <c r="Q850" s="44">
        <f t="shared" si="82"/>
        <v>0</v>
      </c>
      <c r="R850" s="24">
        <f t="shared" si="83"/>
        <v>9750</v>
      </c>
    </row>
    <row r="851" spans="2:18" hidden="1" x14ac:dyDescent="0.25">
      <c r="B851" s="21" t="s">
        <v>395</v>
      </c>
      <c r="C851" s="22" t="s">
        <v>158</v>
      </c>
      <c r="D851" s="22"/>
      <c r="E851" s="21" t="s">
        <v>9707</v>
      </c>
      <c r="F851" s="21" t="s">
        <v>9815</v>
      </c>
      <c r="G851" s="147" t="s">
        <v>9536</v>
      </c>
      <c r="H851" s="23" t="s">
        <v>13709</v>
      </c>
      <c r="I851" s="23"/>
      <c r="J851" s="21" t="s">
        <v>13238</v>
      </c>
      <c r="K851" s="47"/>
      <c r="L851" s="21" t="s">
        <v>13825</v>
      </c>
      <c r="M851" s="26">
        <v>46028</v>
      </c>
      <c r="N851" s="44">
        <f>9750</f>
        <v>9750</v>
      </c>
      <c r="O851" s="22" t="s">
        <v>276</v>
      </c>
      <c r="P851" s="44">
        <v>9750</v>
      </c>
      <c r="Q851" s="44">
        <f t="shared" si="82"/>
        <v>0</v>
      </c>
      <c r="R851" s="24">
        <f t="shared" si="83"/>
        <v>9750</v>
      </c>
    </row>
    <row r="852" spans="2:18" hidden="1" x14ac:dyDescent="0.25">
      <c r="B852" s="21" t="s">
        <v>395</v>
      </c>
      <c r="C852" s="22" t="s">
        <v>158</v>
      </c>
      <c r="D852" s="22"/>
      <c r="E852" s="21" t="s">
        <v>9707</v>
      </c>
      <c r="F852" s="21" t="s">
        <v>9815</v>
      </c>
      <c r="G852" s="147" t="s">
        <v>9536</v>
      </c>
      <c r="H852" s="23" t="s">
        <v>13709</v>
      </c>
      <c r="I852" s="23"/>
      <c r="J852" s="21" t="s">
        <v>13238</v>
      </c>
      <c r="K852" s="47"/>
      <c r="L852" s="21" t="s">
        <v>14273</v>
      </c>
      <c r="M852" s="26">
        <v>46079</v>
      </c>
      <c r="N852" s="44">
        <f>9750</f>
        <v>9750</v>
      </c>
      <c r="O852" s="22" t="s">
        <v>276</v>
      </c>
      <c r="P852" s="44">
        <v>9750</v>
      </c>
      <c r="Q852" s="44">
        <f t="shared" si="82"/>
        <v>0</v>
      </c>
      <c r="R852" s="24">
        <f t="shared" si="83"/>
        <v>9750</v>
      </c>
    </row>
    <row r="853" spans="2:18" hidden="1" x14ac:dyDescent="0.25">
      <c r="C853" s="4" t="s">
        <v>158</v>
      </c>
      <c r="E853" s="5" t="s">
        <v>9707</v>
      </c>
      <c r="F853" s="5" t="s">
        <v>9815</v>
      </c>
      <c r="G853" s="146" t="s">
        <v>9536</v>
      </c>
      <c r="H853" s="7" t="s">
        <v>13709</v>
      </c>
      <c r="J853" s="5" t="s">
        <v>13239</v>
      </c>
      <c r="K853" s="5" t="s">
        <v>11250</v>
      </c>
      <c r="N853" s="45">
        <f>8*9750</f>
        <v>78000</v>
      </c>
      <c r="O853" s="4" t="s">
        <v>276</v>
      </c>
      <c r="Q853" s="45">
        <f t="shared" si="81"/>
        <v>78000</v>
      </c>
      <c r="R853" s="3">
        <f t="shared" si="80"/>
        <v>0</v>
      </c>
    </row>
    <row r="854" spans="2:18" hidden="1" x14ac:dyDescent="0.25">
      <c r="B854" s="21" t="s">
        <v>395</v>
      </c>
      <c r="C854" s="22" t="s">
        <v>158</v>
      </c>
      <c r="D854" s="22"/>
      <c r="E854" s="21" t="s">
        <v>9707</v>
      </c>
      <c r="F854" s="21" t="s">
        <v>9815</v>
      </c>
      <c r="G854" s="147" t="s">
        <v>9536</v>
      </c>
      <c r="H854" s="23" t="s">
        <v>13709</v>
      </c>
      <c r="I854" s="23"/>
      <c r="J854" s="21" t="s">
        <v>13711</v>
      </c>
      <c r="K854" s="47"/>
      <c r="L854" s="21" t="s">
        <v>13717</v>
      </c>
      <c r="M854" s="26">
        <v>46001</v>
      </c>
      <c r="N854" s="44">
        <v>6857</v>
      </c>
      <c r="O854" s="22" t="s">
        <v>276</v>
      </c>
      <c r="P854" s="44">
        <v>6857</v>
      </c>
      <c r="Q854" s="44">
        <f t="shared" ref="Q854:Q855" si="84">IF(P854="en cours",N854,IF(P854="OK",0,IF(N854-P854&lt;0,0,N854-P854)))</f>
        <v>0</v>
      </c>
      <c r="R854" s="24">
        <f t="shared" ref="R854:R855" si="85">IF(P854="OK",N854-Q854,IF(P854="en cours",N854-Q854,P854))</f>
        <v>6857</v>
      </c>
    </row>
    <row r="855" spans="2:18" hidden="1" x14ac:dyDescent="0.25">
      <c r="C855" s="4" t="s">
        <v>158</v>
      </c>
      <c r="E855" s="5" t="s">
        <v>9707</v>
      </c>
      <c r="F855" s="5" t="s">
        <v>9815</v>
      </c>
      <c r="G855" s="146" t="s">
        <v>9536</v>
      </c>
      <c r="H855" s="7" t="s">
        <v>13709</v>
      </c>
      <c r="J855" s="5" t="s">
        <v>13712</v>
      </c>
      <c r="L855" s="5" t="s">
        <v>14274</v>
      </c>
      <c r="M855" s="12">
        <v>46079</v>
      </c>
      <c r="N855" s="45">
        <f>58245*4</f>
        <v>232980</v>
      </c>
      <c r="O855" s="4" t="s">
        <v>276</v>
      </c>
      <c r="P855" s="45">
        <f>58245</f>
        <v>58245</v>
      </c>
      <c r="Q855" s="45">
        <f t="shared" si="84"/>
        <v>174735</v>
      </c>
      <c r="R855" s="3">
        <f t="shared" si="85"/>
        <v>58245</v>
      </c>
    </row>
    <row r="856" spans="2:18" hidden="1" x14ac:dyDescent="0.25">
      <c r="B856" s="21" t="s">
        <v>395</v>
      </c>
      <c r="C856" s="22" t="s">
        <v>158</v>
      </c>
      <c r="D856" s="22"/>
      <c r="E856" s="21" t="s">
        <v>9707</v>
      </c>
      <c r="F856" s="21" t="s">
        <v>9815</v>
      </c>
      <c r="G856" s="147" t="s">
        <v>9536</v>
      </c>
      <c r="H856" s="23" t="s">
        <v>13250</v>
      </c>
      <c r="I856" s="23"/>
      <c r="J856" s="21" t="s">
        <v>13713</v>
      </c>
      <c r="K856" s="47"/>
      <c r="L856" s="21" t="s">
        <v>10862</v>
      </c>
      <c r="M856" s="26">
        <v>45629</v>
      </c>
      <c r="N856" s="44">
        <v>44360</v>
      </c>
      <c r="O856" s="22" t="s">
        <v>276</v>
      </c>
      <c r="P856" s="44">
        <v>44360</v>
      </c>
      <c r="Q856" s="44">
        <f t="shared" si="81"/>
        <v>0</v>
      </c>
      <c r="R856" s="24">
        <f t="shared" si="80"/>
        <v>44360</v>
      </c>
    </row>
    <row r="857" spans="2:18" hidden="1" x14ac:dyDescent="0.25">
      <c r="B857" s="21" t="s">
        <v>395</v>
      </c>
      <c r="C857" s="22" t="s">
        <v>158</v>
      </c>
      <c r="D857" s="22"/>
      <c r="E857" s="21" t="s">
        <v>9707</v>
      </c>
      <c r="F857" s="21" t="s">
        <v>9815</v>
      </c>
      <c r="G857" s="147" t="s">
        <v>9536</v>
      </c>
      <c r="H857" s="23" t="s">
        <v>13250</v>
      </c>
      <c r="I857" s="23"/>
      <c r="J857" s="21" t="s">
        <v>13714</v>
      </c>
      <c r="K857" s="47"/>
      <c r="L857" s="21" t="s">
        <v>11355</v>
      </c>
      <c r="M857" s="26">
        <v>45735</v>
      </c>
      <c r="N857" s="44">
        <v>76004.36</v>
      </c>
      <c r="O857" s="22" t="s">
        <v>276</v>
      </c>
      <c r="P857" s="44">
        <v>76004.36</v>
      </c>
      <c r="Q857" s="44">
        <f t="shared" si="81"/>
        <v>0</v>
      </c>
      <c r="R857" s="24">
        <f t="shared" si="80"/>
        <v>76004.36</v>
      </c>
    </row>
    <row r="858" spans="2:18" hidden="1" x14ac:dyDescent="0.25">
      <c r="B858" s="21" t="s">
        <v>395</v>
      </c>
      <c r="C858" s="22" t="s">
        <v>158</v>
      </c>
      <c r="D858" s="22"/>
      <c r="E858" s="21" t="s">
        <v>9707</v>
      </c>
      <c r="F858" s="21" t="s">
        <v>9815</v>
      </c>
      <c r="G858" s="147" t="s">
        <v>9536</v>
      </c>
      <c r="H858" s="23" t="s">
        <v>13250</v>
      </c>
      <c r="I858" s="23"/>
      <c r="J858" s="21" t="s">
        <v>13714</v>
      </c>
      <c r="K858" s="47"/>
      <c r="L858" s="21" t="s">
        <v>11970</v>
      </c>
      <c r="M858" s="26">
        <v>45744</v>
      </c>
      <c r="N858" s="44">
        <v>76004.36</v>
      </c>
      <c r="O858" s="22" t="s">
        <v>276</v>
      </c>
      <c r="P858" s="44">
        <v>76004.36</v>
      </c>
      <c r="Q858" s="44">
        <f t="shared" si="81"/>
        <v>0</v>
      </c>
      <c r="R858" s="24">
        <f t="shared" si="80"/>
        <v>76004.36</v>
      </c>
    </row>
    <row r="859" spans="2:18" hidden="1" x14ac:dyDescent="0.25">
      <c r="B859" s="21" t="s">
        <v>395</v>
      </c>
      <c r="C859" s="22" t="s">
        <v>158</v>
      </c>
      <c r="D859" s="22"/>
      <c r="E859" s="21" t="s">
        <v>9707</v>
      </c>
      <c r="F859" s="21" t="s">
        <v>9815</v>
      </c>
      <c r="G859" s="147" t="s">
        <v>9536</v>
      </c>
      <c r="H859" s="23" t="s">
        <v>13250</v>
      </c>
      <c r="I859" s="23"/>
      <c r="J859" s="21" t="s">
        <v>13714</v>
      </c>
      <c r="K859" s="47"/>
      <c r="L859" s="21" t="s">
        <v>11971</v>
      </c>
      <c r="M859" s="26">
        <v>45778</v>
      </c>
      <c r="N859" s="44">
        <v>76004.36</v>
      </c>
      <c r="O859" s="22" t="s">
        <v>276</v>
      </c>
      <c r="P859" s="44">
        <v>76004.36</v>
      </c>
      <c r="Q859" s="44">
        <f t="shared" si="81"/>
        <v>0</v>
      </c>
      <c r="R859" s="24">
        <f t="shared" si="80"/>
        <v>76004.36</v>
      </c>
    </row>
    <row r="860" spans="2:18" hidden="1" x14ac:dyDescent="0.25">
      <c r="B860" s="21" t="s">
        <v>395</v>
      </c>
      <c r="C860" s="22" t="s">
        <v>158</v>
      </c>
      <c r="D860" s="22"/>
      <c r="E860" s="21" t="s">
        <v>9707</v>
      </c>
      <c r="F860" s="21" t="s">
        <v>9815</v>
      </c>
      <c r="G860" s="147" t="s">
        <v>9536</v>
      </c>
      <c r="H860" s="23" t="s">
        <v>13250</v>
      </c>
      <c r="I860" s="23"/>
      <c r="J860" s="21" t="s">
        <v>13714</v>
      </c>
      <c r="K860" s="47"/>
      <c r="L860" s="21" t="s">
        <v>11972</v>
      </c>
      <c r="M860" s="26">
        <v>45804</v>
      </c>
      <c r="N860" s="44">
        <v>76004.36</v>
      </c>
      <c r="O860" s="22" t="s">
        <v>276</v>
      </c>
      <c r="P860" s="44">
        <v>76004.36</v>
      </c>
      <c r="Q860" s="44">
        <f t="shared" si="81"/>
        <v>0</v>
      </c>
      <c r="R860" s="24">
        <f t="shared" si="80"/>
        <v>76004.36</v>
      </c>
    </row>
    <row r="861" spans="2:18" hidden="1" x14ac:dyDescent="0.25">
      <c r="B861" s="21" t="s">
        <v>395</v>
      </c>
      <c r="C861" s="22" t="s">
        <v>158</v>
      </c>
      <c r="D861" s="22"/>
      <c r="E861" s="21" t="s">
        <v>9707</v>
      </c>
      <c r="F861" s="21" t="s">
        <v>9815</v>
      </c>
      <c r="G861" s="147" t="s">
        <v>9536</v>
      </c>
      <c r="H861" s="23" t="s">
        <v>13250</v>
      </c>
      <c r="I861" s="23"/>
      <c r="J861" s="21" t="s">
        <v>13714</v>
      </c>
      <c r="K861" s="47"/>
      <c r="L861" s="21" t="s">
        <v>12494</v>
      </c>
      <c r="M861" s="26">
        <v>45835</v>
      </c>
      <c r="N861" s="44">
        <v>76004.36</v>
      </c>
      <c r="O861" s="22" t="s">
        <v>276</v>
      </c>
      <c r="P861" s="44">
        <v>76004.36</v>
      </c>
      <c r="Q861" s="44">
        <f t="shared" si="81"/>
        <v>0</v>
      </c>
      <c r="R861" s="24">
        <f t="shared" si="80"/>
        <v>76004.36</v>
      </c>
    </row>
    <row r="862" spans="2:18" hidden="1" x14ac:dyDescent="0.25">
      <c r="B862" s="21" t="s">
        <v>395</v>
      </c>
      <c r="C862" s="22" t="s">
        <v>158</v>
      </c>
      <c r="D862" s="22"/>
      <c r="E862" s="21" t="s">
        <v>9707</v>
      </c>
      <c r="F862" s="21" t="s">
        <v>9815</v>
      </c>
      <c r="G862" s="147" t="s">
        <v>9536</v>
      </c>
      <c r="H862" s="23" t="s">
        <v>13250</v>
      </c>
      <c r="I862" s="23"/>
      <c r="J862" s="21" t="s">
        <v>13714</v>
      </c>
      <c r="K862" s="47"/>
      <c r="L862" s="21" t="s">
        <v>12495</v>
      </c>
      <c r="M862" s="26">
        <v>45867</v>
      </c>
      <c r="N862" s="44">
        <v>76004.36</v>
      </c>
      <c r="O862" s="22" t="s">
        <v>276</v>
      </c>
      <c r="P862" s="44">
        <v>76004.36</v>
      </c>
      <c r="Q862" s="44">
        <f t="shared" si="81"/>
        <v>0</v>
      </c>
      <c r="R862" s="24">
        <f t="shared" si="80"/>
        <v>76004.36</v>
      </c>
    </row>
    <row r="863" spans="2:18" hidden="1" x14ac:dyDescent="0.25">
      <c r="B863" s="21" t="s">
        <v>395</v>
      </c>
      <c r="C863" s="22" t="s">
        <v>158</v>
      </c>
      <c r="D863" s="22"/>
      <c r="E863" s="21" t="s">
        <v>9707</v>
      </c>
      <c r="F863" s="21" t="s">
        <v>9815</v>
      </c>
      <c r="G863" s="147" t="s">
        <v>9536</v>
      </c>
      <c r="H863" s="23" t="s">
        <v>13250</v>
      </c>
      <c r="I863" s="23"/>
      <c r="J863" s="21" t="s">
        <v>13714</v>
      </c>
      <c r="K863" s="47"/>
      <c r="L863" s="21" t="s">
        <v>12496</v>
      </c>
      <c r="M863" s="26">
        <v>45902</v>
      </c>
      <c r="N863" s="44">
        <v>76004.36</v>
      </c>
      <c r="O863" s="22" t="s">
        <v>276</v>
      </c>
      <c r="P863" s="44">
        <v>76004.36</v>
      </c>
      <c r="Q863" s="44">
        <f t="shared" ref="Q863:Q864" si="86">IF(P863="en cours",N863,IF(P863="OK",0,IF(N863-P863&lt;0,0,N863-P863)))</f>
        <v>0</v>
      </c>
      <c r="R863" s="24">
        <f t="shared" ref="R863:R864" si="87">IF(P863="OK",N863-Q863,IF(P863="en cours",N863-Q863,P863))</f>
        <v>76004.36</v>
      </c>
    </row>
    <row r="864" spans="2:18" hidden="1" x14ac:dyDescent="0.25">
      <c r="B864" s="21" t="s">
        <v>395</v>
      </c>
      <c r="C864" s="22" t="s">
        <v>158</v>
      </c>
      <c r="D864" s="22"/>
      <c r="E864" s="21" t="s">
        <v>9707</v>
      </c>
      <c r="F864" s="21" t="s">
        <v>9815</v>
      </c>
      <c r="G864" s="147" t="s">
        <v>9536</v>
      </c>
      <c r="H864" s="23" t="s">
        <v>13709</v>
      </c>
      <c r="I864" s="23"/>
      <c r="J864" s="21" t="s">
        <v>13715</v>
      </c>
      <c r="K864" s="47"/>
      <c r="L864" s="21" t="s">
        <v>13717</v>
      </c>
      <c r="M864" s="26">
        <v>46001</v>
      </c>
      <c r="N864" s="44">
        <v>240225</v>
      </c>
      <c r="O864" s="22" t="s">
        <v>276</v>
      </c>
      <c r="P864" s="44">
        <v>240255</v>
      </c>
      <c r="Q864" s="44">
        <f t="shared" si="86"/>
        <v>0</v>
      </c>
      <c r="R864" s="24">
        <f t="shared" si="87"/>
        <v>240255</v>
      </c>
    </row>
    <row r="865" spans="2:18" ht="14.45" hidden="1" customHeight="1" x14ac:dyDescent="0.25">
      <c r="C865" s="4" t="s">
        <v>158</v>
      </c>
      <c r="E865" s="5" t="s">
        <v>9707</v>
      </c>
      <c r="F865" s="5" t="s">
        <v>12316</v>
      </c>
      <c r="G865" s="146" t="s">
        <v>9536</v>
      </c>
      <c r="H865" s="7" t="s">
        <v>13709</v>
      </c>
      <c r="J865" s="5" t="s">
        <v>13240</v>
      </c>
      <c r="K865" s="115"/>
      <c r="N865" s="45">
        <v>196135.5</v>
      </c>
      <c r="O865" s="4" t="s">
        <v>276</v>
      </c>
      <c r="Q865" s="45">
        <f t="shared" si="81"/>
        <v>196135.5</v>
      </c>
      <c r="R865" s="3">
        <f t="shared" si="80"/>
        <v>0</v>
      </c>
    </row>
    <row r="866" spans="2:18" ht="14.45" hidden="1" customHeight="1" x14ac:dyDescent="0.25">
      <c r="C866" s="4" t="s">
        <v>158</v>
      </c>
      <c r="E866" s="5" t="s">
        <v>9707</v>
      </c>
      <c r="F866" s="5" t="s">
        <v>12316</v>
      </c>
      <c r="G866" s="146" t="s">
        <v>9536</v>
      </c>
      <c r="H866" s="7" t="s">
        <v>13709</v>
      </c>
      <c r="J866" s="5" t="s">
        <v>13241</v>
      </c>
      <c r="K866" s="115">
        <v>46143</v>
      </c>
      <c r="N866" s="45">
        <v>11090</v>
      </c>
      <c r="O866" s="4" t="s">
        <v>276</v>
      </c>
      <c r="Q866" s="45">
        <f t="shared" si="81"/>
        <v>11090</v>
      </c>
      <c r="R866" s="3">
        <f t="shared" si="80"/>
        <v>0</v>
      </c>
    </row>
    <row r="867" spans="2:18" ht="14.45" hidden="1" customHeight="1" x14ac:dyDescent="0.25">
      <c r="C867" s="4" t="s">
        <v>158</v>
      </c>
      <c r="E867" s="5" t="s">
        <v>9707</v>
      </c>
      <c r="F867" s="5" t="s">
        <v>12316</v>
      </c>
      <c r="G867" s="146" t="s">
        <v>9536</v>
      </c>
      <c r="H867" s="7" t="s">
        <v>13709</v>
      </c>
      <c r="J867" s="5" t="s">
        <v>13242</v>
      </c>
      <c r="K867" s="115">
        <v>46174</v>
      </c>
      <c r="N867" s="45">
        <v>113000</v>
      </c>
      <c r="O867" s="4" t="s">
        <v>276</v>
      </c>
      <c r="Q867" s="45">
        <f t="shared" si="81"/>
        <v>113000</v>
      </c>
      <c r="R867" s="3">
        <f t="shared" si="80"/>
        <v>0</v>
      </c>
    </row>
    <row r="868" spans="2:18" hidden="1" x14ac:dyDescent="0.25">
      <c r="B868" s="21" t="s">
        <v>395</v>
      </c>
      <c r="C868" s="22" t="s">
        <v>158</v>
      </c>
      <c r="D868" s="22"/>
      <c r="E868" s="21" t="s">
        <v>9707</v>
      </c>
      <c r="F868" s="21" t="s">
        <v>9815</v>
      </c>
      <c r="G868" s="147" t="s">
        <v>9536</v>
      </c>
      <c r="H868" s="23" t="s">
        <v>13250</v>
      </c>
      <c r="I868" s="23"/>
      <c r="J868" s="21" t="s">
        <v>13243</v>
      </c>
      <c r="K868" s="47"/>
      <c r="L868" s="21" t="s">
        <v>11355</v>
      </c>
      <c r="M868" s="26">
        <v>45735</v>
      </c>
      <c r="N868" s="44">
        <v>30480</v>
      </c>
      <c r="O868" s="22" t="s">
        <v>276</v>
      </c>
      <c r="P868" s="44">
        <v>30480</v>
      </c>
      <c r="Q868" s="44">
        <f t="shared" si="81"/>
        <v>0</v>
      </c>
      <c r="R868" s="24">
        <f t="shared" si="80"/>
        <v>30480</v>
      </c>
    </row>
    <row r="869" spans="2:18" hidden="1" x14ac:dyDescent="0.25">
      <c r="B869" s="21" t="s">
        <v>395</v>
      </c>
      <c r="C869" s="22" t="s">
        <v>158</v>
      </c>
      <c r="D869" s="22"/>
      <c r="E869" s="21" t="s">
        <v>9707</v>
      </c>
      <c r="F869" s="21" t="s">
        <v>9815</v>
      </c>
      <c r="G869" s="147" t="s">
        <v>9536</v>
      </c>
      <c r="H869" s="23" t="s">
        <v>13250</v>
      </c>
      <c r="I869" s="23"/>
      <c r="J869" s="21" t="s">
        <v>13244</v>
      </c>
      <c r="K869" s="47"/>
      <c r="L869" s="21" t="s">
        <v>12576</v>
      </c>
      <c r="M869" s="26">
        <v>45923</v>
      </c>
      <c r="N869" s="44">
        <v>100000</v>
      </c>
      <c r="O869" s="22" t="s">
        <v>276</v>
      </c>
      <c r="P869" s="44">
        <v>100000</v>
      </c>
      <c r="Q869" s="44">
        <f t="shared" si="81"/>
        <v>0</v>
      </c>
      <c r="R869" s="24">
        <f t="shared" si="80"/>
        <v>100000</v>
      </c>
    </row>
    <row r="870" spans="2:18" hidden="1" x14ac:dyDescent="0.25">
      <c r="B870" s="21" t="s">
        <v>395</v>
      </c>
      <c r="C870" s="22" t="s">
        <v>158</v>
      </c>
      <c r="D870" s="22"/>
      <c r="E870" s="21" t="s">
        <v>9707</v>
      </c>
      <c r="F870" s="21" t="s">
        <v>9815</v>
      </c>
      <c r="G870" s="147" t="s">
        <v>9536</v>
      </c>
      <c r="H870" s="23" t="s">
        <v>13250</v>
      </c>
      <c r="I870" s="23"/>
      <c r="J870" s="21" t="s">
        <v>13244</v>
      </c>
      <c r="K870" s="47"/>
      <c r="L870" s="21" t="s">
        <v>13233</v>
      </c>
      <c r="M870" s="26">
        <v>45965</v>
      </c>
      <c r="N870" s="44">
        <v>100000</v>
      </c>
      <c r="O870" s="22" t="s">
        <v>276</v>
      </c>
      <c r="P870" s="44">
        <v>100000</v>
      </c>
      <c r="Q870" s="44">
        <f t="shared" si="81"/>
        <v>0</v>
      </c>
      <c r="R870" s="24">
        <f t="shared" si="80"/>
        <v>100000</v>
      </c>
    </row>
    <row r="871" spans="2:18" hidden="1" x14ac:dyDescent="0.25">
      <c r="C871" s="4" t="s">
        <v>158</v>
      </c>
      <c r="E871" s="5" t="s">
        <v>9707</v>
      </c>
      <c r="F871" s="5" t="s">
        <v>12316</v>
      </c>
      <c r="G871" s="146" t="s">
        <v>9536</v>
      </c>
      <c r="H871" s="7" t="s">
        <v>13709</v>
      </c>
      <c r="J871" s="5" t="s">
        <v>13716</v>
      </c>
      <c r="K871" s="115"/>
      <c r="L871" s="5" t="s">
        <v>13426</v>
      </c>
      <c r="M871" s="12">
        <v>45989</v>
      </c>
      <c r="N871" s="45">
        <f>100000*2+109115.56</f>
        <v>309115.56</v>
      </c>
      <c r="O871" s="4" t="s">
        <v>276</v>
      </c>
      <c r="P871" s="45">
        <v>100000</v>
      </c>
      <c r="Q871" s="45">
        <f t="shared" si="81"/>
        <v>209115.56</v>
      </c>
      <c r="R871" s="3">
        <f t="shared" si="80"/>
        <v>100000</v>
      </c>
    </row>
    <row r="872" spans="2:18" hidden="1" x14ac:dyDescent="0.25">
      <c r="C872" s="4" t="s">
        <v>158</v>
      </c>
      <c r="E872" s="5" t="s">
        <v>9707</v>
      </c>
      <c r="F872" s="5" t="s">
        <v>12316</v>
      </c>
      <c r="G872" s="146" t="s">
        <v>9536</v>
      </c>
      <c r="H872" s="7" t="s">
        <v>13709</v>
      </c>
      <c r="J872" s="5" t="s">
        <v>13245</v>
      </c>
      <c r="K872" s="115">
        <v>45901</v>
      </c>
      <c r="N872" s="45">
        <v>134115.56</v>
      </c>
      <c r="O872" s="4" t="s">
        <v>276</v>
      </c>
      <c r="Q872" s="45">
        <f t="shared" si="81"/>
        <v>134115.56</v>
      </c>
      <c r="R872" s="3">
        <f t="shared" si="80"/>
        <v>0</v>
      </c>
    </row>
    <row r="873" spans="2:18" hidden="1" x14ac:dyDescent="0.25">
      <c r="C873" s="4" t="s">
        <v>158</v>
      </c>
      <c r="E873" s="5" t="s">
        <v>9707</v>
      </c>
      <c r="F873" s="5" t="s">
        <v>12316</v>
      </c>
      <c r="G873" s="146" t="s">
        <v>9536</v>
      </c>
      <c r="H873" s="7" t="s">
        <v>13709</v>
      </c>
      <c r="J873" s="5" t="s">
        <v>13246</v>
      </c>
      <c r="K873" s="115">
        <v>45931</v>
      </c>
      <c r="N873" s="45">
        <v>7620</v>
      </c>
      <c r="O873" s="4" t="s">
        <v>276</v>
      </c>
      <c r="Q873" s="45">
        <f t="shared" si="81"/>
        <v>7620</v>
      </c>
      <c r="R873" s="3">
        <f t="shared" si="80"/>
        <v>0</v>
      </c>
    </row>
    <row r="874" spans="2:18" hidden="1" x14ac:dyDescent="0.25">
      <c r="C874" s="4" t="s">
        <v>158</v>
      </c>
      <c r="E874" s="5" t="s">
        <v>9707</v>
      </c>
      <c r="F874" s="5" t="s">
        <v>12316</v>
      </c>
      <c r="G874" s="146" t="s">
        <v>9536</v>
      </c>
      <c r="H874" s="7" t="s">
        <v>13709</v>
      </c>
      <c r="J874" s="5" t="s">
        <v>13247</v>
      </c>
      <c r="K874" s="115">
        <v>45992</v>
      </c>
      <c r="L874" s="5" t="s">
        <v>13992</v>
      </c>
      <c r="M874" s="12">
        <v>46051</v>
      </c>
      <c r="N874" s="45">
        <v>69115.56</v>
      </c>
      <c r="O874" s="4" t="s">
        <v>276</v>
      </c>
      <c r="P874" s="45">
        <f>18865.56</f>
        <v>18865.560000000001</v>
      </c>
      <c r="Q874" s="45">
        <f t="shared" si="81"/>
        <v>50250</v>
      </c>
      <c r="R874" s="3">
        <f t="shared" si="80"/>
        <v>18865.560000000001</v>
      </c>
    </row>
    <row r="875" spans="2:18" hidden="1" x14ac:dyDescent="0.25">
      <c r="C875" s="4" t="s">
        <v>158</v>
      </c>
      <c r="E875" s="5" t="s">
        <v>9707</v>
      </c>
      <c r="F875" s="5" t="s">
        <v>12316</v>
      </c>
      <c r="G875" s="146" t="s">
        <v>9536</v>
      </c>
      <c r="H875" s="7" t="s">
        <v>13709</v>
      </c>
      <c r="J875" s="5" t="s">
        <v>13248</v>
      </c>
      <c r="K875" s="115">
        <v>46023</v>
      </c>
      <c r="N875" s="45">
        <v>69278.48</v>
      </c>
      <c r="O875" s="4" t="s">
        <v>276</v>
      </c>
      <c r="Q875" s="45">
        <f t="shared" si="81"/>
        <v>69278.48</v>
      </c>
      <c r="R875" s="3">
        <f t="shared" si="80"/>
        <v>0</v>
      </c>
    </row>
    <row r="876" spans="2:18" hidden="1" x14ac:dyDescent="0.25">
      <c r="C876" s="4" t="s">
        <v>158</v>
      </c>
      <c r="E876" s="5" t="s">
        <v>9707</v>
      </c>
      <c r="F876" s="5" t="s">
        <v>12316</v>
      </c>
      <c r="G876" s="146" t="s">
        <v>9536</v>
      </c>
      <c r="H876" s="7" t="s">
        <v>13709</v>
      </c>
      <c r="J876" s="5" t="s">
        <v>13249</v>
      </c>
      <c r="K876" s="115">
        <v>46235</v>
      </c>
      <c r="N876" s="45">
        <v>130000</v>
      </c>
      <c r="O876" s="4" t="s">
        <v>276</v>
      </c>
      <c r="Q876" s="45">
        <f t="shared" si="81"/>
        <v>130000</v>
      </c>
      <c r="R876" s="3">
        <f t="shared" si="80"/>
        <v>0</v>
      </c>
    </row>
    <row r="877" spans="2:18" hidden="1" x14ac:dyDescent="0.25">
      <c r="C877" s="4" t="s">
        <v>158</v>
      </c>
      <c r="E877" s="5" t="s">
        <v>9707</v>
      </c>
      <c r="F877" s="5" t="s">
        <v>12316</v>
      </c>
      <c r="G877" s="146" t="s">
        <v>9536</v>
      </c>
      <c r="H877" s="7" t="s">
        <v>13709</v>
      </c>
      <c r="J877" s="5" t="s">
        <v>9537</v>
      </c>
      <c r="K877" s="115" t="s">
        <v>13825</v>
      </c>
      <c r="L877" s="115">
        <v>46028</v>
      </c>
      <c r="N877" s="45">
        <v>17500</v>
      </c>
      <c r="O877" s="4" t="s">
        <v>276</v>
      </c>
      <c r="P877" s="45">
        <f>7000</f>
        <v>7000</v>
      </c>
      <c r="Q877" s="45">
        <f t="shared" si="81"/>
        <v>10500</v>
      </c>
      <c r="R877" s="3">
        <f t="shared" si="80"/>
        <v>7000</v>
      </c>
    </row>
    <row r="878" spans="2:18" hidden="1" x14ac:dyDescent="0.25">
      <c r="C878" s="4" t="s">
        <v>158</v>
      </c>
      <c r="E878" s="5" t="s">
        <v>9707</v>
      </c>
      <c r="F878" s="5" t="s">
        <v>12316</v>
      </c>
      <c r="G878" s="146" t="s">
        <v>9536</v>
      </c>
      <c r="H878" s="7" t="s">
        <v>11090</v>
      </c>
      <c r="J878" s="5" t="s">
        <v>11581</v>
      </c>
      <c r="L878" s="5" t="s">
        <v>13465</v>
      </c>
      <c r="M878" s="527" t="s">
        <v>13466</v>
      </c>
      <c r="N878" s="45">
        <f>170000+37000+110000</f>
        <v>317000</v>
      </c>
      <c r="O878" s="4" t="s">
        <v>276</v>
      </c>
      <c r="P878" s="45">
        <f>3725+36275+18189.75+36122.5+14856.25+33501.25+27330.25+30047+5965+7240.5+12290+16067.5+15810+11280+11947.5+10810+1165+6507.5+5685</f>
        <v>304815</v>
      </c>
      <c r="Q878" s="45">
        <f t="shared" si="81"/>
        <v>12185</v>
      </c>
      <c r="R878" s="3">
        <f t="shared" si="80"/>
        <v>304815</v>
      </c>
    </row>
    <row r="879" spans="2:18" hidden="1" x14ac:dyDescent="0.25">
      <c r="B879" s="21" t="s">
        <v>395</v>
      </c>
      <c r="C879" s="22" t="s">
        <v>158</v>
      </c>
      <c r="D879" s="22"/>
      <c r="E879" s="21" t="s">
        <v>10</v>
      </c>
      <c r="F879" s="21"/>
      <c r="G879" s="147" t="s">
        <v>132</v>
      </c>
      <c r="H879" s="23" t="s">
        <v>7647</v>
      </c>
      <c r="I879" s="23"/>
      <c r="J879" s="21" t="s">
        <v>12800</v>
      </c>
      <c r="K879" s="47"/>
      <c r="L879" s="21" t="s">
        <v>8602</v>
      </c>
      <c r="M879" s="26">
        <v>44966</v>
      </c>
      <c r="N879" s="44">
        <f t="shared" ref="N879:N890" si="88">10500/12</f>
        <v>875</v>
      </c>
      <c r="O879" s="22" t="s">
        <v>15</v>
      </c>
      <c r="P879" s="44">
        <v>875</v>
      </c>
      <c r="Q879" s="24">
        <f t="shared" si="81"/>
        <v>0</v>
      </c>
      <c r="R879" s="24">
        <f t="shared" ref="R879:R899" si="89">IF(P879="OK",N879-Q879,IF(P879="en cours",M879-Q879,P879))</f>
        <v>875</v>
      </c>
    </row>
    <row r="880" spans="2:18" hidden="1" x14ac:dyDescent="0.25">
      <c r="B880" s="21" t="s">
        <v>395</v>
      </c>
      <c r="C880" s="22" t="s">
        <v>158</v>
      </c>
      <c r="D880" s="22"/>
      <c r="E880" s="21" t="s">
        <v>10</v>
      </c>
      <c r="F880" s="21"/>
      <c r="G880" s="147" t="s">
        <v>132</v>
      </c>
      <c r="H880" s="23" t="s">
        <v>7647</v>
      </c>
      <c r="I880" s="23"/>
      <c r="J880" s="21" t="s">
        <v>12801</v>
      </c>
      <c r="K880" s="47"/>
      <c r="L880" s="21" t="s">
        <v>8602</v>
      </c>
      <c r="M880" s="26">
        <v>44966</v>
      </c>
      <c r="N880" s="44">
        <f t="shared" si="88"/>
        <v>875</v>
      </c>
      <c r="O880" s="22" t="s">
        <v>15</v>
      </c>
      <c r="P880" s="44">
        <v>875</v>
      </c>
      <c r="Q880" s="24">
        <f t="shared" si="81"/>
        <v>0</v>
      </c>
      <c r="R880" s="24">
        <f t="shared" si="89"/>
        <v>875</v>
      </c>
    </row>
    <row r="881" spans="2:18" hidden="1" x14ac:dyDescent="0.25">
      <c r="B881" s="21" t="s">
        <v>395</v>
      </c>
      <c r="C881" s="22" t="s">
        <v>158</v>
      </c>
      <c r="D881" s="22"/>
      <c r="E881" s="21" t="s">
        <v>10</v>
      </c>
      <c r="F881" s="21"/>
      <c r="G881" s="147" t="s">
        <v>132</v>
      </c>
      <c r="H881" s="23" t="s">
        <v>7647</v>
      </c>
      <c r="I881" s="23"/>
      <c r="J881" s="21" t="s">
        <v>12802</v>
      </c>
      <c r="K881" s="47"/>
      <c r="L881" s="21" t="s">
        <v>8602</v>
      </c>
      <c r="M881" s="26">
        <v>44966</v>
      </c>
      <c r="N881" s="44">
        <f t="shared" si="88"/>
        <v>875</v>
      </c>
      <c r="O881" s="22" t="s">
        <v>15</v>
      </c>
      <c r="P881" s="44">
        <v>875</v>
      </c>
      <c r="Q881" s="24">
        <f t="shared" si="81"/>
        <v>0</v>
      </c>
      <c r="R881" s="24">
        <f t="shared" si="89"/>
        <v>875</v>
      </c>
    </row>
    <row r="882" spans="2:18" hidden="1" x14ac:dyDescent="0.25">
      <c r="B882" s="21" t="s">
        <v>395</v>
      </c>
      <c r="C882" s="22" t="s">
        <v>158</v>
      </c>
      <c r="D882" s="22"/>
      <c r="E882" s="21" t="s">
        <v>10</v>
      </c>
      <c r="F882" s="21"/>
      <c r="G882" s="147" t="s">
        <v>132</v>
      </c>
      <c r="H882" s="23" t="s">
        <v>7647</v>
      </c>
      <c r="I882" s="23"/>
      <c r="J882" s="21" t="s">
        <v>12803</v>
      </c>
      <c r="K882" s="21"/>
      <c r="L882" s="21" t="s">
        <v>8602</v>
      </c>
      <c r="M882" s="26">
        <v>44966</v>
      </c>
      <c r="N882" s="44">
        <f t="shared" si="88"/>
        <v>875</v>
      </c>
      <c r="O882" s="22" t="s">
        <v>15</v>
      </c>
      <c r="P882" s="44">
        <v>875</v>
      </c>
      <c r="Q882" s="24">
        <f t="shared" si="81"/>
        <v>0</v>
      </c>
      <c r="R882" s="24">
        <f t="shared" si="89"/>
        <v>875</v>
      </c>
    </row>
    <row r="883" spans="2:18" hidden="1" x14ac:dyDescent="0.25">
      <c r="B883" s="21" t="s">
        <v>395</v>
      </c>
      <c r="C883" s="22" t="s">
        <v>158</v>
      </c>
      <c r="D883" s="22"/>
      <c r="E883" s="21" t="s">
        <v>10</v>
      </c>
      <c r="F883" s="21"/>
      <c r="G883" s="147" t="s">
        <v>132</v>
      </c>
      <c r="H883" s="23" t="s">
        <v>7647</v>
      </c>
      <c r="I883" s="23"/>
      <c r="J883" s="21" t="s">
        <v>12804</v>
      </c>
      <c r="K883" s="21"/>
      <c r="L883" s="21" t="s">
        <v>8602</v>
      </c>
      <c r="M883" s="26">
        <v>44966</v>
      </c>
      <c r="N883" s="44">
        <f t="shared" si="88"/>
        <v>875</v>
      </c>
      <c r="O883" s="22" t="s">
        <v>15</v>
      </c>
      <c r="P883" s="44">
        <v>875</v>
      </c>
      <c r="Q883" s="24">
        <f t="shared" si="81"/>
        <v>0</v>
      </c>
      <c r="R883" s="24">
        <f t="shared" si="89"/>
        <v>875</v>
      </c>
    </row>
    <row r="884" spans="2:18" hidden="1" x14ac:dyDescent="0.25">
      <c r="B884" s="21" t="s">
        <v>395</v>
      </c>
      <c r="C884" s="22" t="s">
        <v>158</v>
      </c>
      <c r="D884" s="22"/>
      <c r="E884" s="21" t="s">
        <v>10</v>
      </c>
      <c r="F884" s="21"/>
      <c r="G884" s="147" t="s">
        <v>132</v>
      </c>
      <c r="H884" s="23" t="s">
        <v>7647</v>
      </c>
      <c r="I884" s="23"/>
      <c r="J884" s="21" t="s">
        <v>12805</v>
      </c>
      <c r="K884" s="21"/>
      <c r="L884" s="21" t="s">
        <v>8602</v>
      </c>
      <c r="M884" s="26">
        <v>44966</v>
      </c>
      <c r="N884" s="44">
        <f t="shared" si="88"/>
        <v>875</v>
      </c>
      <c r="O884" s="22" t="s">
        <v>15</v>
      </c>
      <c r="P884" s="44">
        <v>875</v>
      </c>
      <c r="Q884" s="24">
        <f t="shared" si="81"/>
        <v>0</v>
      </c>
      <c r="R884" s="24">
        <f t="shared" si="89"/>
        <v>875</v>
      </c>
    </row>
    <row r="885" spans="2:18" hidden="1" x14ac:dyDescent="0.25">
      <c r="B885" s="21" t="s">
        <v>395</v>
      </c>
      <c r="C885" s="22" t="s">
        <v>158</v>
      </c>
      <c r="D885" s="22"/>
      <c r="E885" s="21" t="s">
        <v>10</v>
      </c>
      <c r="F885" s="21"/>
      <c r="G885" s="147" t="s">
        <v>132</v>
      </c>
      <c r="H885" s="23" t="s">
        <v>7647</v>
      </c>
      <c r="I885" s="23"/>
      <c r="J885" s="21" t="s">
        <v>12806</v>
      </c>
      <c r="K885" s="21"/>
      <c r="L885" s="21" t="s">
        <v>8602</v>
      </c>
      <c r="M885" s="26">
        <v>44966</v>
      </c>
      <c r="N885" s="44">
        <f t="shared" si="88"/>
        <v>875</v>
      </c>
      <c r="O885" s="22" t="s">
        <v>15</v>
      </c>
      <c r="P885" s="44">
        <v>875</v>
      </c>
      <c r="Q885" s="24">
        <f t="shared" si="81"/>
        <v>0</v>
      </c>
      <c r="R885" s="24">
        <f t="shared" si="89"/>
        <v>875</v>
      </c>
    </row>
    <row r="886" spans="2:18" hidden="1" x14ac:dyDescent="0.25">
      <c r="B886" s="21" t="s">
        <v>395</v>
      </c>
      <c r="C886" s="22" t="s">
        <v>158</v>
      </c>
      <c r="D886" s="22"/>
      <c r="E886" s="21" t="s">
        <v>10</v>
      </c>
      <c r="F886" s="21"/>
      <c r="G886" s="147" t="s">
        <v>132</v>
      </c>
      <c r="H886" s="23" t="s">
        <v>7647</v>
      </c>
      <c r="I886" s="23"/>
      <c r="J886" s="21" t="s">
        <v>12807</v>
      </c>
      <c r="K886" s="21"/>
      <c r="L886" s="21" t="s">
        <v>8602</v>
      </c>
      <c r="M886" s="26">
        <v>44966</v>
      </c>
      <c r="N886" s="44">
        <f t="shared" si="88"/>
        <v>875</v>
      </c>
      <c r="O886" s="22" t="s">
        <v>15</v>
      </c>
      <c r="P886" s="44">
        <v>875</v>
      </c>
      <c r="Q886" s="24">
        <f t="shared" si="81"/>
        <v>0</v>
      </c>
      <c r="R886" s="24">
        <f t="shared" si="89"/>
        <v>875</v>
      </c>
    </row>
    <row r="887" spans="2:18" hidden="1" x14ac:dyDescent="0.25">
      <c r="B887" s="21" t="s">
        <v>395</v>
      </c>
      <c r="C887" s="22" t="s">
        <v>158</v>
      </c>
      <c r="D887" s="22"/>
      <c r="E887" s="21" t="s">
        <v>10</v>
      </c>
      <c r="F887" s="21"/>
      <c r="G887" s="147" t="s">
        <v>132</v>
      </c>
      <c r="H887" s="23" t="s">
        <v>7647</v>
      </c>
      <c r="I887" s="23"/>
      <c r="J887" s="21" t="s">
        <v>12808</v>
      </c>
      <c r="K887" s="21"/>
      <c r="L887" s="21" t="s">
        <v>8602</v>
      </c>
      <c r="M887" s="26">
        <v>44966</v>
      </c>
      <c r="N887" s="44">
        <f t="shared" si="88"/>
        <v>875</v>
      </c>
      <c r="O887" s="22" t="s">
        <v>15</v>
      </c>
      <c r="P887" s="44">
        <v>875</v>
      </c>
      <c r="Q887" s="24">
        <f t="shared" si="81"/>
        <v>0</v>
      </c>
      <c r="R887" s="24">
        <f t="shared" si="89"/>
        <v>875</v>
      </c>
    </row>
    <row r="888" spans="2:18" hidden="1" x14ac:dyDescent="0.25">
      <c r="B888" s="21" t="s">
        <v>395</v>
      </c>
      <c r="C888" s="22" t="s">
        <v>158</v>
      </c>
      <c r="D888" s="22"/>
      <c r="E888" s="21" t="s">
        <v>10</v>
      </c>
      <c r="F888" s="21"/>
      <c r="G888" s="147" t="s">
        <v>132</v>
      </c>
      <c r="H888" s="23" t="s">
        <v>7647</v>
      </c>
      <c r="I888" s="23"/>
      <c r="J888" s="21" t="s">
        <v>12809</v>
      </c>
      <c r="K888" s="21"/>
      <c r="L888" s="21" t="s">
        <v>8602</v>
      </c>
      <c r="M888" s="26">
        <v>44966</v>
      </c>
      <c r="N888" s="44">
        <f t="shared" si="88"/>
        <v>875</v>
      </c>
      <c r="O888" s="22" t="s">
        <v>15</v>
      </c>
      <c r="P888" s="44">
        <v>875</v>
      </c>
      <c r="Q888" s="24">
        <f t="shared" si="81"/>
        <v>0</v>
      </c>
      <c r="R888" s="24">
        <f t="shared" si="89"/>
        <v>875</v>
      </c>
    </row>
    <row r="889" spans="2:18" hidden="1" x14ac:dyDescent="0.25">
      <c r="B889" s="21" t="s">
        <v>395</v>
      </c>
      <c r="C889" s="22" t="s">
        <v>158</v>
      </c>
      <c r="D889" s="22"/>
      <c r="E889" s="21" t="s">
        <v>10</v>
      </c>
      <c r="F889" s="21"/>
      <c r="G889" s="147" t="s">
        <v>132</v>
      </c>
      <c r="H889" s="23" t="s">
        <v>7647</v>
      </c>
      <c r="I889" s="23"/>
      <c r="J889" s="21" t="s">
        <v>12810</v>
      </c>
      <c r="K889" s="21"/>
      <c r="L889" s="21" t="s">
        <v>8602</v>
      </c>
      <c r="M889" s="26">
        <v>44966</v>
      </c>
      <c r="N889" s="44">
        <f t="shared" si="88"/>
        <v>875</v>
      </c>
      <c r="O889" s="22" t="s">
        <v>15</v>
      </c>
      <c r="P889" s="44">
        <v>875</v>
      </c>
      <c r="Q889" s="24">
        <f t="shared" si="81"/>
        <v>0</v>
      </c>
      <c r="R889" s="24">
        <f t="shared" si="89"/>
        <v>875</v>
      </c>
    </row>
    <row r="890" spans="2:18" hidden="1" x14ac:dyDescent="0.25">
      <c r="B890" s="21" t="s">
        <v>395</v>
      </c>
      <c r="C890" s="22" t="s">
        <v>158</v>
      </c>
      <c r="D890" s="22"/>
      <c r="E890" s="21" t="s">
        <v>10</v>
      </c>
      <c r="F890" s="21"/>
      <c r="G890" s="147" t="s">
        <v>132</v>
      </c>
      <c r="H890" s="23" t="s">
        <v>7647</v>
      </c>
      <c r="I890" s="23"/>
      <c r="J890" s="21" t="s">
        <v>12811</v>
      </c>
      <c r="K890" s="21"/>
      <c r="L890" s="21" t="s">
        <v>8602</v>
      </c>
      <c r="M890" s="26">
        <v>44966</v>
      </c>
      <c r="N890" s="44">
        <f t="shared" si="88"/>
        <v>875</v>
      </c>
      <c r="O890" s="22" t="s">
        <v>15</v>
      </c>
      <c r="P890" s="44">
        <v>1000.7399999999998</v>
      </c>
      <c r="Q890" s="24">
        <f t="shared" si="81"/>
        <v>0</v>
      </c>
      <c r="R890" s="24">
        <f t="shared" si="89"/>
        <v>1000.7399999999998</v>
      </c>
    </row>
    <row r="891" spans="2:18" hidden="1" x14ac:dyDescent="0.25">
      <c r="B891" s="21" t="s">
        <v>395</v>
      </c>
      <c r="C891" s="22" t="s">
        <v>158</v>
      </c>
      <c r="D891" s="22"/>
      <c r="E891" s="21" t="s">
        <v>10</v>
      </c>
      <c r="F891" s="21"/>
      <c r="G891" s="147" t="s">
        <v>132</v>
      </c>
      <c r="H891" s="23" t="s">
        <v>7647</v>
      </c>
      <c r="I891" s="23"/>
      <c r="J891" s="21" t="s">
        <v>12791</v>
      </c>
      <c r="K891" s="21"/>
      <c r="L891" s="21" t="s">
        <v>11189</v>
      </c>
      <c r="M891" s="26">
        <v>45688</v>
      </c>
      <c r="N891" s="44">
        <v>10500</v>
      </c>
      <c r="O891" s="22" t="s">
        <v>15</v>
      </c>
      <c r="P891" s="44">
        <v>10500</v>
      </c>
      <c r="Q891" s="24">
        <f t="shared" si="81"/>
        <v>0</v>
      </c>
      <c r="R891" s="24">
        <f t="shared" si="89"/>
        <v>10500</v>
      </c>
    </row>
    <row r="892" spans="2:18" hidden="1" x14ac:dyDescent="0.25">
      <c r="B892" s="21" t="s">
        <v>395</v>
      </c>
      <c r="C892" s="22" t="s">
        <v>158</v>
      </c>
      <c r="D892" s="22"/>
      <c r="E892" s="21" t="s">
        <v>10</v>
      </c>
      <c r="F892" s="21"/>
      <c r="G892" s="147" t="s">
        <v>132</v>
      </c>
      <c r="H892" s="23" t="s">
        <v>7647</v>
      </c>
      <c r="I892" s="23"/>
      <c r="J892" s="21" t="s">
        <v>12792</v>
      </c>
      <c r="K892" s="21"/>
      <c r="L892" s="21" t="s">
        <v>13874</v>
      </c>
      <c r="M892" s="26">
        <v>46036</v>
      </c>
      <c r="N892" s="44">
        <v>10500</v>
      </c>
      <c r="O892" s="22" t="s">
        <v>15</v>
      </c>
      <c r="P892" s="44">
        <v>10500</v>
      </c>
      <c r="Q892" s="24">
        <f t="shared" si="81"/>
        <v>0</v>
      </c>
      <c r="R892" s="24">
        <f t="shared" si="89"/>
        <v>10500</v>
      </c>
    </row>
    <row r="893" spans="2:18" hidden="1" x14ac:dyDescent="0.25">
      <c r="C893" s="4" t="s">
        <v>158</v>
      </c>
      <c r="E893" s="5" t="s">
        <v>10</v>
      </c>
      <c r="G893" s="146" t="s">
        <v>132</v>
      </c>
      <c r="H893" s="7" t="s">
        <v>7647</v>
      </c>
      <c r="J893" s="62" t="s">
        <v>12793</v>
      </c>
      <c r="K893" s="115">
        <v>46388</v>
      </c>
      <c r="N893" s="101">
        <v>10500</v>
      </c>
      <c r="O893" s="4" t="s">
        <v>15</v>
      </c>
      <c r="Q893" s="3">
        <f t="shared" si="81"/>
        <v>10500</v>
      </c>
      <c r="R893" s="3">
        <f t="shared" si="89"/>
        <v>0</v>
      </c>
    </row>
    <row r="894" spans="2:18" hidden="1" x14ac:dyDescent="0.25">
      <c r="C894" s="4" t="s">
        <v>158</v>
      </c>
      <c r="E894" s="5" t="s">
        <v>10</v>
      </c>
      <c r="G894" s="146" t="s">
        <v>132</v>
      </c>
      <c r="H894" s="7" t="s">
        <v>7647</v>
      </c>
      <c r="J894" s="68" t="s">
        <v>12794</v>
      </c>
      <c r="K894" s="115">
        <v>46753</v>
      </c>
      <c r="N894" s="102">
        <v>10500</v>
      </c>
      <c r="O894" s="4" t="s">
        <v>15</v>
      </c>
      <c r="Q894" s="3">
        <f t="shared" si="81"/>
        <v>10500</v>
      </c>
      <c r="R894" s="3">
        <f t="shared" si="89"/>
        <v>0</v>
      </c>
    </row>
    <row r="895" spans="2:18" hidden="1" x14ac:dyDescent="0.25">
      <c r="B895" s="21" t="s">
        <v>395</v>
      </c>
      <c r="C895" s="22" t="s">
        <v>158</v>
      </c>
      <c r="D895" s="22"/>
      <c r="E895" s="21" t="s">
        <v>10</v>
      </c>
      <c r="F895" s="21"/>
      <c r="G895" s="147" t="s">
        <v>132</v>
      </c>
      <c r="H895" s="23" t="s">
        <v>7647</v>
      </c>
      <c r="I895" s="23"/>
      <c r="J895" s="21" t="s">
        <v>12795</v>
      </c>
      <c r="K895" s="47"/>
      <c r="L895" s="21" t="s">
        <v>11190</v>
      </c>
      <c r="M895" s="26">
        <v>45428</v>
      </c>
      <c r="N895" s="44">
        <v>2800</v>
      </c>
      <c r="O895" s="22" t="s">
        <v>15</v>
      </c>
      <c r="P895" s="44">
        <v>3955</v>
      </c>
      <c r="Q895" s="24">
        <f t="shared" si="81"/>
        <v>0</v>
      </c>
      <c r="R895" s="24">
        <f t="shared" si="89"/>
        <v>3955</v>
      </c>
    </row>
    <row r="896" spans="2:18" hidden="1" x14ac:dyDescent="0.25">
      <c r="B896" s="21" t="s">
        <v>395</v>
      </c>
      <c r="C896" s="22" t="s">
        <v>158</v>
      </c>
      <c r="D896" s="22"/>
      <c r="E896" s="21" t="s">
        <v>10</v>
      </c>
      <c r="F896" s="21"/>
      <c r="G896" s="147" t="s">
        <v>132</v>
      </c>
      <c r="H896" s="23" t="s">
        <v>7647</v>
      </c>
      <c r="I896" s="23"/>
      <c r="J896" s="21" t="s">
        <v>12796</v>
      </c>
      <c r="K896" s="47"/>
      <c r="L896" s="21" t="s">
        <v>11189</v>
      </c>
      <c r="M896" s="26">
        <v>45688</v>
      </c>
      <c r="N896" s="44">
        <v>2800</v>
      </c>
      <c r="O896" s="22" t="s">
        <v>15</v>
      </c>
      <c r="P896" s="44">
        <v>2800</v>
      </c>
      <c r="Q896" s="24">
        <f t="shared" si="81"/>
        <v>0</v>
      </c>
      <c r="R896" s="24">
        <f t="shared" si="89"/>
        <v>2800</v>
      </c>
    </row>
    <row r="897" spans="2:18" hidden="1" x14ac:dyDescent="0.25">
      <c r="B897" s="21" t="s">
        <v>395</v>
      </c>
      <c r="C897" s="22" t="s">
        <v>158</v>
      </c>
      <c r="D897" s="22"/>
      <c r="E897" s="21" t="s">
        <v>10</v>
      </c>
      <c r="F897" s="21"/>
      <c r="G897" s="147" t="s">
        <v>132</v>
      </c>
      <c r="H897" s="23" t="s">
        <v>7647</v>
      </c>
      <c r="I897" s="23"/>
      <c r="J897" s="21" t="s">
        <v>12797</v>
      </c>
      <c r="K897" s="21"/>
      <c r="L897" s="21" t="s">
        <v>13874</v>
      </c>
      <c r="M897" s="26">
        <v>46036</v>
      </c>
      <c r="N897" s="44">
        <v>2800</v>
      </c>
      <c r="O897" s="22" t="s">
        <v>15</v>
      </c>
      <c r="P897" s="44">
        <v>2800</v>
      </c>
      <c r="Q897" s="24">
        <f t="shared" si="81"/>
        <v>0</v>
      </c>
      <c r="R897" s="24">
        <f t="shared" si="89"/>
        <v>2800</v>
      </c>
    </row>
    <row r="898" spans="2:18" hidden="1" x14ac:dyDescent="0.25">
      <c r="C898" s="4" t="s">
        <v>158</v>
      </c>
      <c r="E898" s="5" t="s">
        <v>10</v>
      </c>
      <c r="G898" s="146" t="s">
        <v>132</v>
      </c>
      <c r="H898" s="7" t="s">
        <v>7647</v>
      </c>
      <c r="J898" s="62" t="s">
        <v>12798</v>
      </c>
      <c r="K898" s="115">
        <v>46388</v>
      </c>
      <c r="N898" s="101">
        <v>2800</v>
      </c>
      <c r="O898" s="4" t="s">
        <v>15</v>
      </c>
      <c r="Q898" s="3">
        <f t="shared" si="81"/>
        <v>2800</v>
      </c>
      <c r="R898" s="3">
        <f t="shared" si="89"/>
        <v>0</v>
      </c>
    </row>
    <row r="899" spans="2:18" hidden="1" x14ac:dyDescent="0.25">
      <c r="C899" s="4" t="s">
        <v>158</v>
      </c>
      <c r="E899" s="5" t="s">
        <v>10</v>
      </c>
      <c r="G899" s="146" t="s">
        <v>132</v>
      </c>
      <c r="H899" s="7" t="s">
        <v>7647</v>
      </c>
      <c r="J899" s="68" t="s">
        <v>12799</v>
      </c>
      <c r="K899" s="115">
        <v>46753</v>
      </c>
      <c r="N899" s="102">
        <v>2800</v>
      </c>
      <c r="O899" s="4" t="s">
        <v>15</v>
      </c>
      <c r="Q899" s="3">
        <f t="shared" si="81"/>
        <v>2800</v>
      </c>
      <c r="R899" s="3">
        <f t="shared" si="89"/>
        <v>0</v>
      </c>
    </row>
    <row r="900" spans="2:18" hidden="1" x14ac:dyDescent="0.25">
      <c r="C900" s="4" t="s">
        <v>2450</v>
      </c>
      <c r="E900" s="5" t="s">
        <v>10</v>
      </c>
      <c r="G900" s="146" t="s">
        <v>132</v>
      </c>
      <c r="H900" s="7" t="s">
        <v>5486</v>
      </c>
      <c r="I900" s="7" t="s">
        <v>8081</v>
      </c>
      <c r="J900" s="5" t="s">
        <v>5487</v>
      </c>
      <c r="K900" s="273"/>
      <c r="L900" s="5" t="s">
        <v>6309</v>
      </c>
      <c r="M900" s="12">
        <v>44550</v>
      </c>
      <c r="N900" s="45">
        <v>38915</v>
      </c>
      <c r="O900" s="4" t="s">
        <v>15</v>
      </c>
      <c r="P900" s="45">
        <v>31020</v>
      </c>
      <c r="Q900" s="45">
        <f t="shared" ref="Q900:Q916" si="90">IF(P900="en cours",N900,IF(P900="OK",0,IF(N900-P900&lt;0,0,N900-P900)))</f>
        <v>7895</v>
      </c>
      <c r="R900" s="3">
        <f t="shared" ref="R900:R913" si="91">IF(P900="OK",N900-Q900,IF(P900="en cours",N900-Q900,P900))</f>
        <v>31020</v>
      </c>
    </row>
    <row r="901" spans="2:18" hidden="1" x14ac:dyDescent="0.25">
      <c r="B901" s="21" t="s">
        <v>395</v>
      </c>
      <c r="C901" s="439" t="s">
        <v>8818</v>
      </c>
      <c r="D901" s="22"/>
      <c r="E901" s="21" t="s">
        <v>10</v>
      </c>
      <c r="F901" s="21"/>
      <c r="G901" s="147" t="s">
        <v>132</v>
      </c>
      <c r="H901" s="23" t="s">
        <v>7684</v>
      </c>
      <c r="I901" s="23"/>
      <c r="J901" s="21" t="s">
        <v>7685</v>
      </c>
      <c r="K901" s="21"/>
      <c r="L901" s="21" t="s">
        <v>8607</v>
      </c>
      <c r="M901" s="23" t="s">
        <v>8604</v>
      </c>
      <c r="N901" s="44">
        <v>58750</v>
      </c>
      <c r="O901" s="22" t="s">
        <v>15</v>
      </c>
      <c r="P901" s="44">
        <f>58750</f>
        <v>58750</v>
      </c>
      <c r="Q901" s="44">
        <f t="shared" si="90"/>
        <v>0</v>
      </c>
      <c r="R901" s="24">
        <f t="shared" si="91"/>
        <v>58750</v>
      </c>
    </row>
    <row r="902" spans="2:18" hidden="1" x14ac:dyDescent="0.25">
      <c r="B902" s="21" t="s">
        <v>395</v>
      </c>
      <c r="C902" s="439" t="s">
        <v>8818</v>
      </c>
      <c r="D902" s="22"/>
      <c r="E902" s="21" t="s">
        <v>10</v>
      </c>
      <c r="F902" s="21"/>
      <c r="G902" s="147" t="s">
        <v>132</v>
      </c>
      <c r="H902" s="23" t="s">
        <v>7684</v>
      </c>
      <c r="I902" s="23"/>
      <c r="J902" s="21" t="s">
        <v>7686</v>
      </c>
      <c r="K902" s="21"/>
      <c r="L902" s="21" t="s">
        <v>8670</v>
      </c>
      <c r="M902" s="23" t="s">
        <v>8671</v>
      </c>
      <c r="N902" s="44">
        <v>67187</v>
      </c>
      <c r="O902" s="22" t="s">
        <v>15</v>
      </c>
      <c r="P902" s="44">
        <f>34085.83+33101.17</f>
        <v>67187</v>
      </c>
      <c r="Q902" s="44">
        <f t="shared" si="90"/>
        <v>0</v>
      </c>
      <c r="R902" s="24">
        <f t="shared" si="91"/>
        <v>67187</v>
      </c>
    </row>
    <row r="903" spans="2:18" hidden="1" x14ac:dyDescent="0.25">
      <c r="B903" s="21" t="s">
        <v>395</v>
      </c>
      <c r="C903" s="439" t="s">
        <v>8818</v>
      </c>
      <c r="D903" s="22"/>
      <c r="E903" s="21" t="s">
        <v>10</v>
      </c>
      <c r="F903" s="21"/>
      <c r="G903" s="147" t="s">
        <v>132</v>
      </c>
      <c r="H903" s="23" t="s">
        <v>7684</v>
      </c>
      <c r="I903" s="23"/>
      <c r="J903" s="21" t="s">
        <v>7687</v>
      </c>
      <c r="K903" s="21"/>
      <c r="L903" s="21" t="s">
        <v>8796</v>
      </c>
      <c r="M903" s="23" t="s">
        <v>8797</v>
      </c>
      <c r="N903" s="44">
        <v>56771</v>
      </c>
      <c r="O903" s="22" t="s">
        <v>15</v>
      </c>
      <c r="P903" s="44">
        <f>47168.14+9602.86</f>
        <v>56771</v>
      </c>
      <c r="Q903" s="44">
        <f t="shared" si="90"/>
        <v>0</v>
      </c>
      <c r="R903" s="24">
        <f t="shared" si="91"/>
        <v>56771</v>
      </c>
    </row>
    <row r="904" spans="2:18" hidden="1" x14ac:dyDescent="0.25">
      <c r="B904" s="21" t="s">
        <v>395</v>
      </c>
      <c r="C904" s="439" t="s">
        <v>8818</v>
      </c>
      <c r="D904" s="22"/>
      <c r="E904" s="21" t="s">
        <v>10</v>
      </c>
      <c r="F904" s="21"/>
      <c r="G904" s="147" t="s">
        <v>132</v>
      </c>
      <c r="H904" s="23" t="s">
        <v>7684</v>
      </c>
      <c r="I904" s="23"/>
      <c r="J904" s="21" t="s">
        <v>7688</v>
      </c>
      <c r="K904" s="21"/>
      <c r="L904" s="21" t="s">
        <v>8798</v>
      </c>
      <c r="M904" s="23" t="s">
        <v>8799</v>
      </c>
      <c r="N904" s="44">
        <v>79271</v>
      </c>
      <c r="O904" s="22" t="s">
        <v>15</v>
      </c>
      <c r="P904" s="44">
        <v>79271</v>
      </c>
      <c r="Q904" s="44">
        <f t="shared" si="90"/>
        <v>0</v>
      </c>
      <c r="R904" s="24">
        <f t="shared" si="91"/>
        <v>79271</v>
      </c>
    </row>
    <row r="905" spans="2:18" hidden="1" x14ac:dyDescent="0.25">
      <c r="B905" s="21" t="s">
        <v>395</v>
      </c>
      <c r="C905" s="439" t="s">
        <v>8818</v>
      </c>
      <c r="D905" s="22"/>
      <c r="E905" s="21" t="s">
        <v>10</v>
      </c>
      <c r="F905" s="21"/>
      <c r="G905" s="147" t="s">
        <v>132</v>
      </c>
      <c r="H905" s="23" t="s">
        <v>7684</v>
      </c>
      <c r="I905" s="23"/>
      <c r="J905" s="21" t="s">
        <v>7689</v>
      </c>
      <c r="K905" s="21"/>
      <c r="L905" s="21" t="s">
        <v>8800</v>
      </c>
      <c r="M905" s="23" t="s">
        <v>8801</v>
      </c>
      <c r="N905" s="44">
        <v>38021</v>
      </c>
      <c r="O905" s="22" t="s">
        <v>15</v>
      </c>
      <c r="P905" s="44">
        <f>646.97+37374.03</f>
        <v>38021</v>
      </c>
      <c r="Q905" s="44">
        <f t="shared" si="90"/>
        <v>0</v>
      </c>
      <c r="R905" s="24">
        <f t="shared" si="91"/>
        <v>38021</v>
      </c>
    </row>
    <row r="906" spans="2:18" hidden="1" x14ac:dyDescent="0.25">
      <c r="B906" s="21" t="s">
        <v>395</v>
      </c>
      <c r="C906" s="439" t="s">
        <v>8818</v>
      </c>
      <c r="D906" s="22"/>
      <c r="E906" s="21" t="s">
        <v>10</v>
      </c>
      <c r="F906" s="21"/>
      <c r="G906" s="147" t="s">
        <v>132</v>
      </c>
      <c r="H906" s="23" t="s">
        <v>7684</v>
      </c>
      <c r="I906" s="23"/>
      <c r="J906" s="21" t="s">
        <v>7690</v>
      </c>
      <c r="K906" s="21"/>
      <c r="L906" s="21" t="s">
        <v>8870</v>
      </c>
      <c r="M906" s="23" t="s">
        <v>8871</v>
      </c>
      <c r="N906" s="44">
        <v>36146</v>
      </c>
      <c r="O906" s="22" t="s">
        <v>15</v>
      </c>
      <c r="P906" s="44">
        <f>64399.97-37374.03+9120.06</f>
        <v>36146</v>
      </c>
      <c r="Q906" s="44">
        <f t="shared" si="90"/>
        <v>0</v>
      </c>
      <c r="R906" s="24">
        <f t="shared" si="91"/>
        <v>36146</v>
      </c>
    </row>
    <row r="907" spans="2:18" hidden="1" x14ac:dyDescent="0.25">
      <c r="B907" s="21" t="s">
        <v>395</v>
      </c>
      <c r="C907" s="439" t="s">
        <v>8818</v>
      </c>
      <c r="D907" s="22"/>
      <c r="E907" s="21" t="s">
        <v>10</v>
      </c>
      <c r="F907" s="21"/>
      <c r="G907" s="147" t="s">
        <v>132</v>
      </c>
      <c r="H907" s="23" t="s">
        <v>7684</v>
      </c>
      <c r="I907" s="23"/>
      <c r="J907" s="21" t="s">
        <v>7691</v>
      </c>
      <c r="K907" s="21"/>
      <c r="L907" s="21" t="s">
        <v>9124</v>
      </c>
      <c r="M907" s="23" t="s">
        <v>9125</v>
      </c>
      <c r="N907" s="44">
        <v>64271</v>
      </c>
      <c r="O907" s="22" t="s">
        <v>15</v>
      </c>
      <c r="P907" s="44">
        <f>47588.68+16682.32</f>
        <v>64271</v>
      </c>
      <c r="Q907" s="44">
        <f t="shared" si="90"/>
        <v>0</v>
      </c>
      <c r="R907" s="24">
        <f t="shared" si="91"/>
        <v>64271</v>
      </c>
    </row>
    <row r="908" spans="2:18" hidden="1" x14ac:dyDescent="0.25">
      <c r="B908" s="21" t="s">
        <v>395</v>
      </c>
      <c r="C908" s="439" t="s">
        <v>8818</v>
      </c>
      <c r="D908" s="22"/>
      <c r="E908" s="21" t="s">
        <v>10</v>
      </c>
      <c r="F908" s="21"/>
      <c r="G908" s="147" t="s">
        <v>132</v>
      </c>
      <c r="H908" s="23" t="s">
        <v>7684</v>
      </c>
      <c r="I908" s="23"/>
      <c r="J908" s="21" t="s">
        <v>7692</v>
      </c>
      <c r="K908" s="21"/>
      <c r="L908" s="21" t="s">
        <v>9187</v>
      </c>
      <c r="M908" s="23" t="s">
        <v>9188</v>
      </c>
      <c r="N908" s="44">
        <v>78645</v>
      </c>
      <c r="O908" s="22" t="s">
        <v>15</v>
      </c>
      <c r="P908" s="44">
        <f>75712.51+2932.49</f>
        <v>78645</v>
      </c>
      <c r="Q908" s="44">
        <f t="shared" si="90"/>
        <v>0</v>
      </c>
      <c r="R908" s="24">
        <f t="shared" si="91"/>
        <v>78645</v>
      </c>
    </row>
    <row r="909" spans="2:18" hidden="1" x14ac:dyDescent="0.25">
      <c r="B909" s="21" t="s">
        <v>395</v>
      </c>
      <c r="C909" s="439" t="s">
        <v>8818</v>
      </c>
      <c r="D909" s="22"/>
      <c r="E909" s="21" t="s">
        <v>10</v>
      </c>
      <c r="F909" s="21"/>
      <c r="G909" s="147" t="s">
        <v>132</v>
      </c>
      <c r="H909" s="23" t="s">
        <v>7684</v>
      </c>
      <c r="I909" s="23"/>
      <c r="J909" s="21" t="s">
        <v>7693</v>
      </c>
      <c r="K909" s="21"/>
      <c r="L909" s="21" t="s">
        <v>9186</v>
      </c>
      <c r="M909" s="26">
        <v>45260</v>
      </c>
      <c r="N909" s="44">
        <v>59895</v>
      </c>
      <c r="O909" s="22" t="s">
        <v>15</v>
      </c>
      <c r="P909" s="44">
        <v>59895</v>
      </c>
      <c r="Q909" s="44">
        <f t="shared" si="90"/>
        <v>0</v>
      </c>
      <c r="R909" s="24">
        <f t="shared" si="91"/>
        <v>59895</v>
      </c>
    </row>
    <row r="910" spans="2:18" hidden="1" x14ac:dyDescent="0.25">
      <c r="B910" s="21" t="s">
        <v>395</v>
      </c>
      <c r="C910" s="439" t="s">
        <v>8818</v>
      </c>
      <c r="D910" s="22"/>
      <c r="E910" s="21" t="s">
        <v>10</v>
      </c>
      <c r="F910" s="21"/>
      <c r="G910" s="147" t="s">
        <v>132</v>
      </c>
      <c r="H910" s="23" t="s">
        <v>7684</v>
      </c>
      <c r="I910" s="23"/>
      <c r="J910" s="21" t="s">
        <v>7694</v>
      </c>
      <c r="K910" s="21"/>
      <c r="L910" s="21" t="s">
        <v>9392</v>
      </c>
      <c r="M910" s="23" t="s">
        <v>9393</v>
      </c>
      <c r="N910" s="44">
        <v>43020</v>
      </c>
      <c r="O910" s="22" t="s">
        <v>15</v>
      </c>
      <c r="P910" s="44">
        <f>(87133.59-2932.49-59895)+18713.9</f>
        <v>43019.999999999993</v>
      </c>
      <c r="Q910" s="44">
        <f t="shared" si="90"/>
        <v>7.2759576141834259E-12</v>
      </c>
      <c r="R910" s="24">
        <f t="shared" si="91"/>
        <v>43019.999999999993</v>
      </c>
    </row>
    <row r="911" spans="2:18" hidden="1" x14ac:dyDescent="0.25">
      <c r="B911" s="5" t="s">
        <v>12228</v>
      </c>
      <c r="C911" s="439" t="s">
        <v>8818</v>
      </c>
      <c r="E911" s="5" t="s">
        <v>10</v>
      </c>
      <c r="G911" s="146" t="s">
        <v>132</v>
      </c>
      <c r="H911" s="7" t="s">
        <v>7684</v>
      </c>
      <c r="J911" s="5" t="s">
        <v>7695</v>
      </c>
      <c r="L911" s="5" t="s">
        <v>9390</v>
      </c>
      <c r="M911" s="7" t="s">
        <v>9391</v>
      </c>
      <c r="N911" s="45">
        <v>41979</v>
      </c>
      <c r="O911" s="4" t="s">
        <v>15</v>
      </c>
      <c r="P911" s="45">
        <v>17591.549999999996</v>
      </c>
      <c r="Q911" s="45">
        <f t="shared" si="90"/>
        <v>24387.450000000004</v>
      </c>
      <c r="R911" s="3">
        <f t="shared" si="91"/>
        <v>17591.549999999996</v>
      </c>
    </row>
    <row r="912" spans="2:18" hidden="1" x14ac:dyDescent="0.25">
      <c r="B912" s="5" t="s">
        <v>12228</v>
      </c>
      <c r="C912" s="439" t="s">
        <v>8818</v>
      </c>
      <c r="D912" s="22"/>
      <c r="E912" s="21" t="s">
        <v>10</v>
      </c>
      <c r="F912" s="21"/>
      <c r="G912" s="147" t="s">
        <v>132</v>
      </c>
      <c r="H912" s="23" t="s">
        <v>7684</v>
      </c>
      <c r="I912" s="23"/>
      <c r="J912" s="21" t="s">
        <v>7696</v>
      </c>
      <c r="K912" s="21"/>
      <c r="L912" s="21" t="s">
        <v>13704</v>
      </c>
      <c r="M912" s="23">
        <v>46022</v>
      </c>
      <c r="N912" s="44">
        <v>41979</v>
      </c>
      <c r="O912" s="22" t="s">
        <v>15</v>
      </c>
      <c r="P912" s="44">
        <v>153468.18</v>
      </c>
      <c r="Q912" s="44">
        <f t="shared" si="90"/>
        <v>0</v>
      </c>
      <c r="R912" s="24">
        <f t="shared" si="91"/>
        <v>153468.18</v>
      </c>
    </row>
    <row r="913" spans="1:18" hidden="1" x14ac:dyDescent="0.25">
      <c r="B913" s="5" t="s">
        <v>12228</v>
      </c>
      <c r="C913" s="439" t="s">
        <v>8818</v>
      </c>
      <c r="E913" s="5" t="s">
        <v>10</v>
      </c>
      <c r="G913" s="146" t="s">
        <v>132</v>
      </c>
      <c r="H913" s="7" t="s">
        <v>7684</v>
      </c>
      <c r="J913" s="5" t="s">
        <v>7697</v>
      </c>
      <c r="N913" s="45">
        <v>41979</v>
      </c>
      <c r="O913" s="4" t="s">
        <v>15</v>
      </c>
      <c r="Q913" s="45">
        <f t="shared" si="90"/>
        <v>41979</v>
      </c>
      <c r="R913" s="3">
        <f t="shared" si="91"/>
        <v>0</v>
      </c>
    </row>
    <row r="914" spans="1:18" hidden="1" x14ac:dyDescent="0.25">
      <c r="B914" s="21" t="s">
        <v>395</v>
      </c>
      <c r="C914" s="22" t="s">
        <v>7235</v>
      </c>
      <c r="D914" s="22"/>
      <c r="E914" s="21" t="s">
        <v>0</v>
      </c>
      <c r="F914" s="21"/>
      <c r="G914" s="147" t="s">
        <v>132</v>
      </c>
      <c r="H914" s="23" t="s">
        <v>7562</v>
      </c>
      <c r="I914" s="23" t="s">
        <v>8252</v>
      </c>
      <c r="J914" s="21" t="s">
        <v>8889</v>
      </c>
      <c r="K914" s="120"/>
      <c r="L914" s="21" t="s">
        <v>8888</v>
      </c>
      <c r="M914" s="26">
        <v>45199</v>
      </c>
      <c r="N914" s="44">
        <v>2800</v>
      </c>
      <c r="O914" s="22" t="s">
        <v>15</v>
      </c>
      <c r="P914" s="114">
        <v>2800</v>
      </c>
      <c r="Q914" s="24">
        <f t="shared" si="90"/>
        <v>0</v>
      </c>
      <c r="R914" s="24">
        <f t="shared" ref="R914:R922" si="92">IF(P914="OK",N914-Q914,IF(P914="en cours",N914-Q914,P914))</f>
        <v>2800</v>
      </c>
    </row>
    <row r="915" spans="1:18" hidden="1" x14ac:dyDescent="0.25">
      <c r="B915" s="21" t="s">
        <v>395</v>
      </c>
      <c r="C915" s="22" t="s">
        <v>7235</v>
      </c>
      <c r="D915" s="22"/>
      <c r="E915" s="21" t="s">
        <v>0</v>
      </c>
      <c r="F915" s="21"/>
      <c r="G915" s="147" t="s">
        <v>132</v>
      </c>
      <c r="H915" s="23" t="s">
        <v>7562</v>
      </c>
      <c r="I915" s="23" t="s">
        <v>8252</v>
      </c>
      <c r="J915" s="21" t="s">
        <v>8890</v>
      </c>
      <c r="K915" s="120"/>
      <c r="L915" s="21" t="s">
        <v>8888</v>
      </c>
      <c r="M915" s="26">
        <v>45199</v>
      </c>
      <c r="N915" s="44">
        <v>2800</v>
      </c>
      <c r="O915" s="22" t="s">
        <v>15</v>
      </c>
      <c r="P915" s="114">
        <v>2800</v>
      </c>
      <c r="Q915" s="24">
        <f t="shared" si="90"/>
        <v>0</v>
      </c>
      <c r="R915" s="24">
        <f t="shared" si="92"/>
        <v>2800</v>
      </c>
    </row>
    <row r="916" spans="1:18" hidden="1" x14ac:dyDescent="0.25">
      <c r="C916" s="4" t="s">
        <v>2450</v>
      </c>
      <c r="E916" s="5" t="s">
        <v>0</v>
      </c>
      <c r="G916" s="146" t="s">
        <v>132</v>
      </c>
      <c r="H916" s="7" t="s">
        <v>8779</v>
      </c>
      <c r="I916" s="7" t="s">
        <v>8780</v>
      </c>
      <c r="J916" s="5" t="s">
        <v>8781</v>
      </c>
      <c r="N916" s="45">
        <v>12330</v>
      </c>
      <c r="O916" s="4" t="s">
        <v>15</v>
      </c>
      <c r="Q916" s="45">
        <f t="shared" si="90"/>
        <v>12330</v>
      </c>
      <c r="R916" s="25">
        <f t="shared" si="92"/>
        <v>0</v>
      </c>
    </row>
    <row r="917" spans="1:18" hidden="1" x14ac:dyDescent="0.25">
      <c r="A917" t="s">
        <v>6753</v>
      </c>
      <c r="B917" s="21" t="s">
        <v>395</v>
      </c>
      <c r="C917" s="22" t="s">
        <v>2450</v>
      </c>
      <c r="D917" s="22"/>
      <c r="E917" s="21" t="s">
        <v>0</v>
      </c>
      <c r="F917" s="21"/>
      <c r="G917" s="147" t="s">
        <v>6028</v>
      </c>
      <c r="H917" s="23" t="s">
        <v>6029</v>
      </c>
      <c r="I917" s="23" t="s">
        <v>8110</v>
      </c>
      <c r="J917" s="21" t="s">
        <v>6030</v>
      </c>
      <c r="K917" s="21"/>
      <c r="L917" s="21" t="s">
        <v>6031</v>
      </c>
      <c r="M917" s="26">
        <v>44505</v>
      </c>
      <c r="N917" s="44">
        <v>3665</v>
      </c>
      <c r="O917" s="22" t="s">
        <v>15</v>
      </c>
      <c r="P917" s="44">
        <v>3665</v>
      </c>
      <c r="Q917" s="24">
        <f t="shared" ref="Q917:Q961" si="93">IF(P917="en cours",N917,IF(P917="OK",0,IF(N917-P917&lt;0,0,N917-P917)))</f>
        <v>0</v>
      </c>
      <c r="R917" s="24">
        <f t="shared" si="92"/>
        <v>3665</v>
      </c>
    </row>
    <row r="918" spans="1:18" hidden="1" x14ac:dyDescent="0.25">
      <c r="B918" s="5" t="s">
        <v>12228</v>
      </c>
      <c r="C918" s="4" t="s">
        <v>2450</v>
      </c>
      <c r="E918" s="5" t="s">
        <v>0</v>
      </c>
      <c r="G918" s="146" t="s">
        <v>6028</v>
      </c>
      <c r="H918" s="7" t="s">
        <v>6230</v>
      </c>
      <c r="I918" s="7" t="s">
        <v>8118</v>
      </c>
      <c r="J918" s="5" t="s">
        <v>6030</v>
      </c>
      <c r="N918" s="45">
        <v>820</v>
      </c>
      <c r="O918" s="4" t="s">
        <v>15</v>
      </c>
      <c r="Q918" s="3">
        <f t="shared" si="93"/>
        <v>820</v>
      </c>
      <c r="R918" s="3">
        <f t="shared" si="92"/>
        <v>0</v>
      </c>
    </row>
    <row r="919" spans="1:18" hidden="1" x14ac:dyDescent="0.25">
      <c r="A919" t="s">
        <v>6753</v>
      </c>
      <c r="B919" s="21" t="s">
        <v>395</v>
      </c>
      <c r="C919" s="22" t="s">
        <v>2568</v>
      </c>
      <c r="D919" s="22"/>
      <c r="E919" s="21" t="s">
        <v>729</v>
      </c>
      <c r="F919" s="21"/>
      <c r="G919" s="147" t="s">
        <v>4000</v>
      </c>
      <c r="H919" s="23" t="s">
        <v>5588</v>
      </c>
      <c r="I919" s="23" t="s">
        <v>8091</v>
      </c>
      <c r="J919" s="21" t="s">
        <v>5589</v>
      </c>
      <c r="K919" s="21"/>
      <c r="L919" s="21" t="s">
        <v>6390</v>
      </c>
      <c r="M919" s="26" t="s">
        <v>6391</v>
      </c>
      <c r="N919" s="44">
        <v>5125</v>
      </c>
      <c r="O919" s="22" t="s">
        <v>341</v>
      </c>
      <c r="P919" s="22">
        <f>(5.25*125)+(7.5*125)+(29*125)+(1.5*125)+(0.5*125)</f>
        <v>5468.75</v>
      </c>
      <c r="Q919" s="44">
        <f t="shared" si="93"/>
        <v>0</v>
      </c>
      <c r="R919" s="116">
        <f t="shared" si="92"/>
        <v>5468.75</v>
      </c>
    </row>
    <row r="920" spans="1:18" hidden="1" x14ac:dyDescent="0.25">
      <c r="A920" t="s">
        <v>6753</v>
      </c>
      <c r="B920" s="21" t="s">
        <v>395</v>
      </c>
      <c r="C920" s="22" t="s">
        <v>4231</v>
      </c>
      <c r="D920" s="22"/>
      <c r="E920" s="21" t="s">
        <v>729</v>
      </c>
      <c r="F920" s="21"/>
      <c r="G920" s="147" t="s">
        <v>4000</v>
      </c>
      <c r="H920" s="23" t="s">
        <v>4232</v>
      </c>
      <c r="I920" s="23" t="s">
        <v>8006</v>
      </c>
      <c r="J920" s="21" t="s">
        <v>4484</v>
      </c>
      <c r="K920" s="21"/>
      <c r="L920" s="21" t="s">
        <v>4852</v>
      </c>
      <c r="M920" s="26">
        <v>44305</v>
      </c>
      <c r="N920" s="44">
        <v>1625</v>
      </c>
      <c r="O920" s="22" t="s">
        <v>341</v>
      </c>
      <c r="P920" s="22">
        <v>1625</v>
      </c>
      <c r="Q920" s="44">
        <f t="shared" si="93"/>
        <v>0</v>
      </c>
      <c r="R920" s="116">
        <f t="shared" si="92"/>
        <v>1625</v>
      </c>
    </row>
    <row r="921" spans="1:18" hidden="1" x14ac:dyDescent="0.25">
      <c r="A921" t="s">
        <v>6753</v>
      </c>
      <c r="B921" s="21" t="s">
        <v>395</v>
      </c>
      <c r="C921" s="22" t="s">
        <v>4231</v>
      </c>
      <c r="D921" s="22"/>
      <c r="E921" s="21" t="s">
        <v>729</v>
      </c>
      <c r="F921" s="21"/>
      <c r="G921" s="147" t="s">
        <v>4000</v>
      </c>
      <c r="H921" s="23" t="s">
        <v>4232</v>
      </c>
      <c r="I921" s="23" t="s">
        <v>8006</v>
      </c>
      <c r="J921" s="21" t="s">
        <v>4485</v>
      </c>
      <c r="K921" s="21"/>
      <c r="L921" s="21" t="s">
        <v>5077</v>
      </c>
      <c r="M921" s="26" t="s">
        <v>5078</v>
      </c>
      <c r="N921" s="44">
        <v>1375</v>
      </c>
      <c r="O921" s="22" t="s">
        <v>341</v>
      </c>
      <c r="P921" s="22">
        <f>1375+(2.5*125)+(2.5*125)</f>
        <v>2000</v>
      </c>
      <c r="Q921" s="44">
        <f t="shared" si="93"/>
        <v>0</v>
      </c>
      <c r="R921" s="116">
        <f t="shared" si="92"/>
        <v>2000</v>
      </c>
    </row>
    <row r="922" spans="1:18" hidden="1" x14ac:dyDescent="0.25">
      <c r="A922" t="s">
        <v>6753</v>
      </c>
      <c r="B922" s="21" t="s">
        <v>395</v>
      </c>
      <c r="C922" s="22" t="s">
        <v>4231</v>
      </c>
      <c r="D922" s="22"/>
      <c r="E922" s="21" t="s">
        <v>729</v>
      </c>
      <c r="F922" s="21"/>
      <c r="G922" s="147" t="s">
        <v>4000</v>
      </c>
      <c r="H922" s="23" t="s">
        <v>4232</v>
      </c>
      <c r="I922" s="23" t="s">
        <v>8006</v>
      </c>
      <c r="J922" s="21" t="s">
        <v>4486</v>
      </c>
      <c r="K922" s="21"/>
      <c r="L922" s="21" t="s">
        <v>5278</v>
      </c>
      <c r="M922" s="26" t="s">
        <v>5279</v>
      </c>
      <c r="N922" s="44">
        <v>250</v>
      </c>
      <c r="O922" s="22" t="s">
        <v>341</v>
      </c>
      <c r="P922" s="44">
        <f>2031.25+(0.25*125)+((1.25*125)+(1.25*125))</f>
        <v>2375</v>
      </c>
      <c r="Q922" s="44">
        <f t="shared" si="93"/>
        <v>0</v>
      </c>
      <c r="R922" s="116">
        <f t="shared" si="92"/>
        <v>2375</v>
      </c>
    </row>
    <row r="923" spans="1:18" hidden="1" x14ac:dyDescent="0.25">
      <c r="A923" t="s">
        <v>6753</v>
      </c>
      <c r="B923" s="21" t="s">
        <v>395</v>
      </c>
      <c r="C923" s="22" t="s">
        <v>4231</v>
      </c>
      <c r="D923" s="22"/>
      <c r="E923" s="21" t="s">
        <v>729</v>
      </c>
      <c r="F923" s="21"/>
      <c r="G923" s="147" t="s">
        <v>4000</v>
      </c>
      <c r="H923" s="23" t="s">
        <v>4232</v>
      </c>
      <c r="I923" s="23" t="s">
        <v>8006</v>
      </c>
      <c r="J923" s="21" t="s">
        <v>4487</v>
      </c>
      <c r="K923" s="21" t="s">
        <v>3972</v>
      </c>
      <c r="L923" s="21" t="s">
        <v>4852</v>
      </c>
      <c r="M923" s="26">
        <v>44305</v>
      </c>
      <c r="N923" s="44">
        <v>1625</v>
      </c>
      <c r="O923" s="22" t="s">
        <v>341</v>
      </c>
      <c r="P923" s="22">
        <f>(10.5*125)+312.5</f>
        <v>1625</v>
      </c>
      <c r="Q923" s="44">
        <f t="shared" si="93"/>
        <v>0</v>
      </c>
      <c r="R923" s="116">
        <f t="shared" ref="R923:R951" si="94">IF(P923="OK",N923-Q923,IF(P923="en cours",N923-Q923,P923))</f>
        <v>1625</v>
      </c>
    </row>
    <row r="924" spans="1:18" hidden="1" x14ac:dyDescent="0.25">
      <c r="A924" t="s">
        <v>6753</v>
      </c>
      <c r="B924" s="5" t="s">
        <v>12228</v>
      </c>
      <c r="C924" s="4" t="s">
        <v>4231</v>
      </c>
      <c r="E924" s="5" t="s">
        <v>729</v>
      </c>
      <c r="G924" s="146" t="s">
        <v>4000</v>
      </c>
      <c r="H924" s="7" t="s">
        <v>4232</v>
      </c>
      <c r="I924" s="7" t="s">
        <v>8006</v>
      </c>
      <c r="J924" s="5" t="s">
        <v>4488</v>
      </c>
      <c r="K924" s="5" t="s">
        <v>3972</v>
      </c>
      <c r="L924" s="5" t="s">
        <v>5074</v>
      </c>
      <c r="M924" s="12">
        <v>44341</v>
      </c>
      <c r="N924" s="45">
        <v>1375</v>
      </c>
      <c r="O924" s="4" t="s">
        <v>341</v>
      </c>
      <c r="P924" s="4">
        <v>125</v>
      </c>
      <c r="Q924" s="45">
        <f t="shared" si="93"/>
        <v>1250</v>
      </c>
      <c r="R924" s="25">
        <f t="shared" si="94"/>
        <v>125</v>
      </c>
    </row>
    <row r="925" spans="1:18" hidden="1" x14ac:dyDescent="0.25">
      <c r="A925" t="s">
        <v>6753</v>
      </c>
      <c r="B925" s="5" t="s">
        <v>12228</v>
      </c>
      <c r="C925" s="4" t="s">
        <v>4231</v>
      </c>
      <c r="E925" s="5" t="s">
        <v>729</v>
      </c>
      <c r="G925" s="146" t="s">
        <v>4000</v>
      </c>
      <c r="H925" s="7" t="s">
        <v>4232</v>
      </c>
      <c r="I925" s="7" t="s">
        <v>8006</v>
      </c>
      <c r="J925" s="5" t="s">
        <v>4489</v>
      </c>
      <c r="K925" s="5" t="s">
        <v>3972</v>
      </c>
      <c r="L925" s="5" t="s">
        <v>5276</v>
      </c>
      <c r="M925" s="12" t="s">
        <v>5277</v>
      </c>
      <c r="N925" s="45">
        <v>250</v>
      </c>
      <c r="O925" s="4" t="s">
        <v>341</v>
      </c>
      <c r="P925" s="4">
        <f>(0.25*125)+(0.5*125)</f>
        <v>93.75</v>
      </c>
      <c r="Q925" s="45">
        <f t="shared" si="93"/>
        <v>156.25</v>
      </c>
      <c r="R925" s="25">
        <f t="shared" si="94"/>
        <v>93.75</v>
      </c>
    </row>
    <row r="926" spans="1:18" hidden="1" x14ac:dyDescent="0.25">
      <c r="A926" t="s">
        <v>6753</v>
      </c>
      <c r="B926" s="21" t="s">
        <v>395</v>
      </c>
      <c r="C926" s="22" t="s">
        <v>4231</v>
      </c>
      <c r="D926" s="22"/>
      <c r="E926" s="21" t="s">
        <v>729</v>
      </c>
      <c r="F926" s="21"/>
      <c r="G926" s="147" t="s">
        <v>4000</v>
      </c>
      <c r="H926" s="23" t="s">
        <v>4232</v>
      </c>
      <c r="I926" s="23" t="s">
        <v>8006</v>
      </c>
      <c r="J926" s="21" t="s">
        <v>4849</v>
      </c>
      <c r="K926" s="21"/>
      <c r="L926" s="21" t="s">
        <v>4854</v>
      </c>
      <c r="M926" s="26">
        <v>44270</v>
      </c>
      <c r="N926" s="44">
        <v>1625</v>
      </c>
      <c r="O926" s="22" t="s">
        <v>341</v>
      </c>
      <c r="P926" s="22">
        <f>19*125</f>
        <v>2375</v>
      </c>
      <c r="Q926" s="44">
        <f t="shared" si="93"/>
        <v>0</v>
      </c>
      <c r="R926" s="116">
        <f t="shared" si="94"/>
        <v>2375</v>
      </c>
    </row>
    <row r="927" spans="1:18" hidden="1" x14ac:dyDescent="0.25">
      <c r="A927" t="s">
        <v>6753</v>
      </c>
      <c r="B927" s="21" t="s">
        <v>395</v>
      </c>
      <c r="C927" s="22" t="s">
        <v>4231</v>
      </c>
      <c r="D927" s="22"/>
      <c r="E927" s="21" t="s">
        <v>729</v>
      </c>
      <c r="F927" s="21"/>
      <c r="G927" s="147" t="s">
        <v>4000</v>
      </c>
      <c r="H927" s="23" t="s">
        <v>4232</v>
      </c>
      <c r="I927" s="23" t="s">
        <v>8006</v>
      </c>
      <c r="J927" s="21" t="s">
        <v>4850</v>
      </c>
      <c r="K927" s="21" t="s">
        <v>3972</v>
      </c>
      <c r="L927" s="21" t="s">
        <v>4853</v>
      </c>
      <c r="M927" s="26" t="s">
        <v>4858</v>
      </c>
      <c r="N927" s="44">
        <v>1375</v>
      </c>
      <c r="O927" s="22" t="s">
        <v>341</v>
      </c>
      <c r="P927" s="22">
        <f>(10*125)+(2*125)</f>
        <v>1500</v>
      </c>
      <c r="Q927" s="44">
        <f t="shared" si="93"/>
        <v>0</v>
      </c>
      <c r="R927" s="116">
        <f t="shared" si="94"/>
        <v>1500</v>
      </c>
    </row>
    <row r="928" spans="1:18" hidden="1" x14ac:dyDescent="0.25">
      <c r="A928" t="s">
        <v>6753</v>
      </c>
      <c r="B928" s="21" t="s">
        <v>395</v>
      </c>
      <c r="C928" s="22" t="s">
        <v>4231</v>
      </c>
      <c r="D928" s="22"/>
      <c r="E928" s="21" t="s">
        <v>729</v>
      </c>
      <c r="F928" s="21"/>
      <c r="G928" s="147" t="s">
        <v>4000</v>
      </c>
      <c r="H928" s="23" t="s">
        <v>4232</v>
      </c>
      <c r="I928" s="23" t="s">
        <v>8006</v>
      </c>
      <c r="J928" s="21" t="s">
        <v>4851</v>
      </c>
      <c r="K928" s="21" t="s">
        <v>3972</v>
      </c>
      <c r="L928" s="21" t="s">
        <v>5276</v>
      </c>
      <c r="M928" s="26" t="s">
        <v>5277</v>
      </c>
      <c r="N928" s="44">
        <v>250</v>
      </c>
      <c r="O928" s="22" t="s">
        <v>341</v>
      </c>
      <c r="P928" s="22">
        <f>(0.75*125)+(2*125)</f>
        <v>343.75</v>
      </c>
      <c r="Q928" s="44">
        <f t="shared" si="93"/>
        <v>0</v>
      </c>
      <c r="R928" s="116">
        <f t="shared" si="94"/>
        <v>343.75</v>
      </c>
    </row>
    <row r="929" spans="1:18" hidden="1" x14ac:dyDescent="0.25">
      <c r="A929" t="s">
        <v>6753</v>
      </c>
      <c r="B929" s="5" t="s">
        <v>12228</v>
      </c>
      <c r="C929" s="4" t="s">
        <v>4231</v>
      </c>
      <c r="E929" s="5" t="s">
        <v>729</v>
      </c>
      <c r="G929" s="146" t="s">
        <v>4000</v>
      </c>
      <c r="H929" s="7" t="s">
        <v>4232</v>
      </c>
      <c r="I929" s="7" t="s">
        <v>8006</v>
      </c>
      <c r="J929" s="5" t="s">
        <v>4849</v>
      </c>
      <c r="K929" s="5" t="s">
        <v>3972</v>
      </c>
      <c r="L929" s="5" t="s">
        <v>5074</v>
      </c>
      <c r="M929" s="12">
        <v>44341</v>
      </c>
      <c r="N929" s="45">
        <v>1625</v>
      </c>
      <c r="O929" s="4" t="s">
        <v>341</v>
      </c>
      <c r="P929" s="4">
        <f>12*125</f>
        <v>1500</v>
      </c>
      <c r="Q929" s="45">
        <f t="shared" si="93"/>
        <v>125</v>
      </c>
      <c r="R929" s="25">
        <f t="shared" si="94"/>
        <v>1500</v>
      </c>
    </row>
    <row r="930" spans="1:18" hidden="1" x14ac:dyDescent="0.25">
      <c r="A930" t="s">
        <v>6753</v>
      </c>
      <c r="B930" s="21" t="s">
        <v>395</v>
      </c>
      <c r="C930" s="22" t="s">
        <v>4231</v>
      </c>
      <c r="D930" s="22"/>
      <c r="E930" s="21" t="s">
        <v>729</v>
      </c>
      <c r="F930" s="21"/>
      <c r="G930" s="147" t="s">
        <v>4000</v>
      </c>
      <c r="H930" s="23" t="s">
        <v>4232</v>
      </c>
      <c r="I930" s="23" t="s">
        <v>8006</v>
      </c>
      <c r="J930" s="21" t="s">
        <v>4850</v>
      </c>
      <c r="K930" s="21" t="s">
        <v>3972</v>
      </c>
      <c r="L930" s="21" t="s">
        <v>5074</v>
      </c>
      <c r="M930" s="26">
        <v>44341</v>
      </c>
      <c r="N930" s="44">
        <v>1375</v>
      </c>
      <c r="O930" s="22" t="s">
        <v>341</v>
      </c>
      <c r="P930" s="22">
        <f>14.5*125</f>
        <v>1812.5</v>
      </c>
      <c r="Q930" s="44">
        <f t="shared" si="93"/>
        <v>0</v>
      </c>
      <c r="R930" s="116">
        <f t="shared" si="94"/>
        <v>1812.5</v>
      </c>
    </row>
    <row r="931" spans="1:18" hidden="1" x14ac:dyDescent="0.25">
      <c r="A931" t="s">
        <v>6753</v>
      </c>
      <c r="B931" s="5" t="s">
        <v>12228</v>
      </c>
      <c r="C931" s="4" t="s">
        <v>4231</v>
      </c>
      <c r="E931" s="5" t="s">
        <v>729</v>
      </c>
      <c r="G931" s="146" t="s">
        <v>4000</v>
      </c>
      <c r="H931" s="7" t="s">
        <v>4232</v>
      </c>
      <c r="I931" s="7" t="s">
        <v>8006</v>
      </c>
      <c r="J931" s="5" t="s">
        <v>4851</v>
      </c>
      <c r="K931" s="5" t="s">
        <v>3972</v>
      </c>
      <c r="L931" s="5" t="s">
        <v>5893</v>
      </c>
      <c r="M931" s="12" t="s">
        <v>5894</v>
      </c>
      <c r="N931" s="45">
        <v>250</v>
      </c>
      <c r="O931" s="4" t="s">
        <v>341</v>
      </c>
      <c r="P931" s="4">
        <f>(1*125)+(0.25*125)+(0.25*125)</f>
        <v>187.5</v>
      </c>
      <c r="Q931" s="45">
        <f t="shared" si="93"/>
        <v>62.5</v>
      </c>
      <c r="R931" s="25">
        <f t="shared" si="94"/>
        <v>187.5</v>
      </c>
    </row>
    <row r="932" spans="1:18" hidden="1" x14ac:dyDescent="0.25">
      <c r="A932" t="s">
        <v>6753</v>
      </c>
      <c r="B932" s="5" t="s">
        <v>12228</v>
      </c>
      <c r="C932" s="4" t="s">
        <v>4231</v>
      </c>
      <c r="E932" s="5" t="s">
        <v>729</v>
      </c>
      <c r="G932" s="146" t="s">
        <v>4000</v>
      </c>
      <c r="H932" s="7" t="s">
        <v>4232</v>
      </c>
      <c r="I932" s="7" t="s">
        <v>8006</v>
      </c>
      <c r="J932" s="5" t="s">
        <v>4849</v>
      </c>
      <c r="K932" s="5" t="s">
        <v>3972</v>
      </c>
      <c r="L932" s="5" t="s">
        <v>5074</v>
      </c>
      <c r="M932" s="12">
        <v>44341</v>
      </c>
      <c r="N932" s="45">
        <v>1625</v>
      </c>
      <c r="O932" s="4" t="s">
        <v>341</v>
      </c>
      <c r="P932" s="4">
        <f>12*125</f>
        <v>1500</v>
      </c>
      <c r="Q932" s="45">
        <f t="shared" si="93"/>
        <v>125</v>
      </c>
      <c r="R932" s="25">
        <f t="shared" si="94"/>
        <v>1500</v>
      </c>
    </row>
    <row r="933" spans="1:18" hidden="1" x14ac:dyDescent="0.25">
      <c r="A933" t="s">
        <v>6753</v>
      </c>
      <c r="B933" s="21" t="s">
        <v>395</v>
      </c>
      <c r="C933" s="22" t="s">
        <v>4231</v>
      </c>
      <c r="D933" s="22"/>
      <c r="E933" s="21" t="s">
        <v>729</v>
      </c>
      <c r="F933" s="21"/>
      <c r="G933" s="147" t="s">
        <v>4000</v>
      </c>
      <c r="H933" s="23" t="s">
        <v>4232</v>
      </c>
      <c r="I933" s="23" t="s">
        <v>8006</v>
      </c>
      <c r="J933" s="21" t="s">
        <v>4850</v>
      </c>
      <c r="K933" s="21" t="s">
        <v>3972</v>
      </c>
      <c r="L933" s="21" t="s">
        <v>5074</v>
      </c>
      <c r="M933" s="26">
        <v>44341</v>
      </c>
      <c r="N933" s="44">
        <v>1375</v>
      </c>
      <c r="O933" s="22" t="s">
        <v>341</v>
      </c>
      <c r="P933" s="22">
        <f>16.5*125</f>
        <v>2062.5</v>
      </c>
      <c r="Q933" s="44">
        <f t="shared" si="93"/>
        <v>0</v>
      </c>
      <c r="R933" s="116">
        <f t="shared" si="94"/>
        <v>2062.5</v>
      </c>
    </row>
    <row r="934" spans="1:18" hidden="1" x14ac:dyDescent="0.25">
      <c r="A934" t="s">
        <v>6753</v>
      </c>
      <c r="B934" s="21" t="s">
        <v>395</v>
      </c>
      <c r="C934" s="22" t="s">
        <v>4231</v>
      </c>
      <c r="D934" s="22"/>
      <c r="E934" s="21" t="s">
        <v>729</v>
      </c>
      <c r="F934" s="21"/>
      <c r="G934" s="147" t="s">
        <v>4000</v>
      </c>
      <c r="H934" s="23" t="s">
        <v>4232</v>
      </c>
      <c r="I934" s="23" t="s">
        <v>8006</v>
      </c>
      <c r="J934" s="21" t="s">
        <v>4851</v>
      </c>
      <c r="K934" s="21" t="s">
        <v>3972</v>
      </c>
      <c r="L934" s="21" t="s">
        <v>5605</v>
      </c>
      <c r="M934" s="26" t="s">
        <v>5606</v>
      </c>
      <c r="N934" s="44">
        <v>250</v>
      </c>
      <c r="O934" s="22" t="s">
        <v>341</v>
      </c>
      <c r="P934" s="22">
        <f>(2.25*125)+(0.5*125)</f>
        <v>343.75</v>
      </c>
      <c r="Q934" s="44">
        <f t="shared" si="93"/>
        <v>0</v>
      </c>
      <c r="R934" s="116">
        <f t="shared" si="94"/>
        <v>343.75</v>
      </c>
    </row>
    <row r="935" spans="1:18" hidden="1" x14ac:dyDescent="0.25">
      <c r="A935" t="s">
        <v>6753</v>
      </c>
      <c r="B935" s="5" t="s">
        <v>12228</v>
      </c>
      <c r="C935" s="4" t="s">
        <v>4231</v>
      </c>
      <c r="E935" s="5" t="s">
        <v>729</v>
      </c>
      <c r="G935" s="146" t="s">
        <v>4000</v>
      </c>
      <c r="H935" s="7" t="s">
        <v>4232</v>
      </c>
      <c r="I935" s="7" t="s">
        <v>8006</v>
      </c>
      <c r="J935" s="5" t="s">
        <v>4845</v>
      </c>
      <c r="K935" s="5" t="s">
        <v>3972</v>
      </c>
      <c r="N935" s="45">
        <v>1625</v>
      </c>
      <c r="O935" s="4" t="s">
        <v>341</v>
      </c>
      <c r="P935" s="4"/>
      <c r="Q935" s="45">
        <f t="shared" si="93"/>
        <v>1625</v>
      </c>
      <c r="R935" s="25">
        <f t="shared" si="94"/>
        <v>0</v>
      </c>
    </row>
    <row r="936" spans="1:18" hidden="1" x14ac:dyDescent="0.25">
      <c r="A936" t="s">
        <v>6753</v>
      </c>
      <c r="B936" s="5" t="s">
        <v>12228</v>
      </c>
      <c r="C936" s="4" t="s">
        <v>4231</v>
      </c>
      <c r="E936" s="5" t="s">
        <v>729</v>
      </c>
      <c r="G936" s="146" t="s">
        <v>4000</v>
      </c>
      <c r="H936" s="7" t="s">
        <v>4232</v>
      </c>
      <c r="I936" s="7" t="s">
        <v>8006</v>
      </c>
      <c r="J936" s="5" t="s">
        <v>4847</v>
      </c>
      <c r="K936" s="5" t="s">
        <v>3972</v>
      </c>
      <c r="N936" s="45">
        <v>1375</v>
      </c>
      <c r="O936" s="4" t="s">
        <v>341</v>
      </c>
      <c r="P936" s="4"/>
      <c r="Q936" s="45">
        <f t="shared" si="93"/>
        <v>1375</v>
      </c>
      <c r="R936" s="25">
        <f t="shared" si="94"/>
        <v>0</v>
      </c>
    </row>
    <row r="937" spans="1:18" hidden="1" x14ac:dyDescent="0.25">
      <c r="A937" t="s">
        <v>6753</v>
      </c>
      <c r="B937" s="5" t="s">
        <v>12228</v>
      </c>
      <c r="C937" s="4" t="s">
        <v>4231</v>
      </c>
      <c r="E937" s="5" t="s">
        <v>729</v>
      </c>
      <c r="G937" s="146" t="s">
        <v>4000</v>
      </c>
      <c r="H937" s="7" t="s">
        <v>4232</v>
      </c>
      <c r="I937" s="7" t="s">
        <v>8006</v>
      </c>
      <c r="J937" s="5" t="s">
        <v>4846</v>
      </c>
      <c r="K937" s="5" t="s">
        <v>3972</v>
      </c>
      <c r="N937" s="45">
        <v>250</v>
      </c>
      <c r="O937" s="4" t="s">
        <v>341</v>
      </c>
      <c r="P937" s="4"/>
      <c r="Q937" s="45">
        <f t="shared" si="93"/>
        <v>250</v>
      </c>
      <c r="R937" s="25">
        <f t="shared" si="94"/>
        <v>0</v>
      </c>
    </row>
    <row r="938" spans="1:18" hidden="1" x14ac:dyDescent="0.25">
      <c r="A938" t="s">
        <v>6753</v>
      </c>
      <c r="B938" s="5" t="s">
        <v>12228</v>
      </c>
      <c r="C938" s="4" t="s">
        <v>4231</v>
      </c>
      <c r="E938" s="5" t="s">
        <v>729</v>
      </c>
      <c r="G938" s="146" t="s">
        <v>4000</v>
      </c>
      <c r="H938" s="7" t="s">
        <v>4843</v>
      </c>
      <c r="I938" s="7" t="s">
        <v>8006</v>
      </c>
      <c r="J938" s="5" t="s">
        <v>4844</v>
      </c>
      <c r="K938" s="5" t="s">
        <v>3972</v>
      </c>
      <c r="M938" s="12"/>
      <c r="N938" s="45">
        <v>1250</v>
      </c>
      <c r="O938" s="4" t="s">
        <v>341</v>
      </c>
      <c r="P938" s="4"/>
      <c r="Q938" s="45">
        <f t="shared" si="93"/>
        <v>1250</v>
      </c>
      <c r="R938" s="25">
        <f t="shared" si="94"/>
        <v>0</v>
      </c>
    </row>
    <row r="939" spans="1:18" hidden="1" x14ac:dyDescent="0.25">
      <c r="A939" t="s">
        <v>6753</v>
      </c>
      <c r="B939" s="5" t="s">
        <v>12228</v>
      </c>
      <c r="C939" s="4" t="s">
        <v>4231</v>
      </c>
      <c r="E939" s="5" t="s">
        <v>729</v>
      </c>
      <c r="G939" s="146" t="s">
        <v>4000</v>
      </c>
      <c r="H939" s="7" t="s">
        <v>4841</v>
      </c>
      <c r="I939" s="7" t="s">
        <v>8006</v>
      </c>
      <c r="J939" s="5" t="s">
        <v>4848</v>
      </c>
      <c r="K939" s="5" t="s">
        <v>3972</v>
      </c>
      <c r="L939" s="5" t="s">
        <v>4857</v>
      </c>
      <c r="M939" s="12" t="s">
        <v>4858</v>
      </c>
      <c r="N939" s="45">
        <v>1250</v>
      </c>
      <c r="O939" s="4" t="s">
        <v>341</v>
      </c>
      <c r="P939" s="468">
        <f>((1/3)*125)+(6.5*125)+104.17</f>
        <v>958.33666666666659</v>
      </c>
      <c r="Q939" s="45">
        <f t="shared" si="93"/>
        <v>291.66333333333341</v>
      </c>
      <c r="R939" s="426">
        <f t="shared" si="94"/>
        <v>958.33666666666659</v>
      </c>
    </row>
    <row r="940" spans="1:18" hidden="1" x14ac:dyDescent="0.25">
      <c r="A940" t="s">
        <v>6753</v>
      </c>
      <c r="B940" s="5" t="s">
        <v>12228</v>
      </c>
      <c r="C940" s="4" t="s">
        <v>4231</v>
      </c>
      <c r="E940" s="5" t="s">
        <v>729</v>
      </c>
      <c r="G940" s="146" t="s">
        <v>4000</v>
      </c>
      <c r="H940" s="7" t="s">
        <v>4842</v>
      </c>
      <c r="I940" s="7" t="s">
        <v>8006</v>
      </c>
      <c r="J940" s="5" t="s">
        <v>4848</v>
      </c>
      <c r="K940" s="5" t="s">
        <v>3972</v>
      </c>
      <c r="L940" s="5" t="s">
        <v>5075</v>
      </c>
      <c r="M940" s="12" t="s">
        <v>5076</v>
      </c>
      <c r="N940" s="45">
        <v>1250</v>
      </c>
      <c r="O940" s="4" t="s">
        <v>341</v>
      </c>
      <c r="P940" s="468">
        <f>((1/3)*125)+(0.5*125)+(6*125)</f>
        <v>854.16666666666663</v>
      </c>
      <c r="Q940" s="45">
        <f t="shared" si="93"/>
        <v>395.83333333333337</v>
      </c>
      <c r="R940" s="426">
        <f t="shared" si="94"/>
        <v>854.16666666666663</v>
      </c>
    </row>
    <row r="941" spans="1:18" hidden="1" x14ac:dyDescent="0.25">
      <c r="A941" t="s">
        <v>6753</v>
      </c>
      <c r="B941" s="21" t="s">
        <v>395</v>
      </c>
      <c r="C941" s="22" t="s">
        <v>4231</v>
      </c>
      <c r="D941" s="22"/>
      <c r="E941" s="21" t="s">
        <v>729</v>
      </c>
      <c r="F941" s="21"/>
      <c r="G941" s="147" t="s">
        <v>4000</v>
      </c>
      <c r="H941" s="23" t="s">
        <v>5280</v>
      </c>
      <c r="I941" s="23" t="s">
        <v>8006</v>
      </c>
      <c r="J941" s="21" t="s">
        <v>4848</v>
      </c>
      <c r="K941" s="21"/>
      <c r="L941" s="21" t="s">
        <v>4853</v>
      </c>
      <c r="M941" s="26" t="s">
        <v>4615</v>
      </c>
      <c r="N941" s="44">
        <v>1250</v>
      </c>
      <c r="O941" s="22" t="s">
        <v>341</v>
      </c>
      <c r="P941" s="22">
        <f>(5.5*125)+((3.75*125)+(5*125))</f>
        <v>1781.25</v>
      </c>
      <c r="Q941" s="44">
        <f t="shared" si="93"/>
        <v>0</v>
      </c>
      <c r="R941" s="116">
        <f t="shared" si="94"/>
        <v>1781.25</v>
      </c>
    </row>
    <row r="942" spans="1:18" hidden="1" x14ac:dyDescent="0.25">
      <c r="A942" t="s">
        <v>6753</v>
      </c>
      <c r="B942" s="21" t="s">
        <v>395</v>
      </c>
      <c r="C942" s="22" t="s">
        <v>4231</v>
      </c>
      <c r="D942" s="22"/>
      <c r="E942" s="21" t="s">
        <v>729</v>
      </c>
      <c r="F942" s="21"/>
      <c r="G942" s="147" t="s">
        <v>4000</v>
      </c>
      <c r="H942" s="23" t="s">
        <v>4840</v>
      </c>
      <c r="I942" s="23" t="s">
        <v>8006</v>
      </c>
      <c r="J942" s="21" t="s">
        <v>4838</v>
      </c>
      <c r="K942" s="21" t="s">
        <v>3972</v>
      </c>
      <c r="L942" s="21" t="s">
        <v>4859</v>
      </c>
      <c r="M942" s="26" t="s">
        <v>4860</v>
      </c>
      <c r="N942" s="44">
        <v>1250</v>
      </c>
      <c r="O942" s="22" t="s">
        <v>341</v>
      </c>
      <c r="P942" s="469">
        <f>(0.5*125)+((1/3)*125)+1145.83</f>
        <v>1249.9966666666667</v>
      </c>
      <c r="Q942" s="44">
        <f t="shared" si="93"/>
        <v>3.3333333333303017E-3</v>
      </c>
      <c r="R942" s="471">
        <f t="shared" si="94"/>
        <v>1249.9966666666667</v>
      </c>
    </row>
    <row r="943" spans="1:18" hidden="1" x14ac:dyDescent="0.25">
      <c r="A943" t="s">
        <v>6753</v>
      </c>
      <c r="B943" s="21" t="s">
        <v>395</v>
      </c>
      <c r="C943" s="22" t="s">
        <v>4231</v>
      </c>
      <c r="D943" s="22"/>
      <c r="E943" s="21" t="s">
        <v>729</v>
      </c>
      <c r="F943" s="21"/>
      <c r="G943" s="147" t="s">
        <v>4000</v>
      </c>
      <c r="H943" s="23" t="s">
        <v>4839</v>
      </c>
      <c r="I943" s="23" t="s">
        <v>8006</v>
      </c>
      <c r="J943" s="21" t="s">
        <v>4837</v>
      </c>
      <c r="K943" s="21"/>
      <c r="L943" s="21" t="s">
        <v>4855</v>
      </c>
      <c r="M943" s="26" t="s">
        <v>4856</v>
      </c>
      <c r="N943" s="44">
        <v>1250</v>
      </c>
      <c r="O943" s="22" t="s">
        <v>341</v>
      </c>
      <c r="P943" s="22">
        <f>(0.25*125)+(7*125)+(1.5*125)+(0.5*125)+(3*125)</f>
        <v>1531.25</v>
      </c>
      <c r="Q943" s="44">
        <f t="shared" si="93"/>
        <v>0</v>
      </c>
      <c r="R943" s="116">
        <f t="shared" si="94"/>
        <v>1531.25</v>
      </c>
    </row>
    <row r="944" spans="1:18" hidden="1" x14ac:dyDescent="0.25">
      <c r="A944" t="s">
        <v>6753</v>
      </c>
      <c r="B944" s="21" t="s">
        <v>395</v>
      </c>
      <c r="C944" s="22" t="s">
        <v>2460</v>
      </c>
      <c r="D944" s="22"/>
      <c r="E944" s="21" t="s">
        <v>729</v>
      </c>
      <c r="F944" s="21"/>
      <c r="G944" s="147" t="s">
        <v>4000</v>
      </c>
      <c r="H944" s="23" t="s">
        <v>5897</v>
      </c>
      <c r="I944" s="23" t="s">
        <v>8301</v>
      </c>
      <c r="J944" s="21" t="s">
        <v>6221</v>
      </c>
      <c r="K944" s="21"/>
      <c r="L944" s="21" t="s">
        <v>6219</v>
      </c>
      <c r="M944" s="26" t="s">
        <v>6220</v>
      </c>
      <c r="N944" s="44">
        <v>5312.5</v>
      </c>
      <c r="O944" s="22" t="s">
        <v>341</v>
      </c>
      <c r="P944" s="22">
        <f>(3.5*125)+((27*125)+(17*62.5)+(4*125))</f>
        <v>5375</v>
      </c>
      <c r="Q944" s="44">
        <f t="shared" si="93"/>
        <v>0</v>
      </c>
      <c r="R944" s="116">
        <f t="shared" si="94"/>
        <v>5375</v>
      </c>
    </row>
    <row r="945" spans="1:19" hidden="1" x14ac:dyDescent="0.25">
      <c r="A945" t="s">
        <v>6753</v>
      </c>
      <c r="B945" s="21" t="s">
        <v>395</v>
      </c>
      <c r="C945" s="22" t="s">
        <v>4231</v>
      </c>
      <c r="D945" s="22"/>
      <c r="E945" s="21" t="s">
        <v>729</v>
      </c>
      <c r="F945" s="21"/>
      <c r="G945" s="147" t="s">
        <v>4000</v>
      </c>
      <c r="H945" s="23" t="s">
        <v>5213</v>
      </c>
      <c r="I945" s="23"/>
      <c r="J945" s="21" t="s">
        <v>5214</v>
      </c>
      <c r="K945" s="21"/>
      <c r="L945" s="21" t="s">
        <v>5893</v>
      </c>
      <c r="M945" s="26" t="s">
        <v>5894</v>
      </c>
      <c r="N945" s="44">
        <v>4625</v>
      </c>
      <c r="O945" s="22" t="s">
        <v>341</v>
      </c>
      <c r="P945" s="22">
        <f>625+(34*125)+(2*125)</f>
        <v>5125</v>
      </c>
      <c r="Q945" s="44">
        <f t="shared" si="93"/>
        <v>0</v>
      </c>
      <c r="R945" s="116">
        <f t="shared" si="94"/>
        <v>5125</v>
      </c>
    </row>
    <row r="946" spans="1:19" hidden="1" x14ac:dyDescent="0.25">
      <c r="A946" t="s">
        <v>6753</v>
      </c>
      <c r="B946" s="21" t="s">
        <v>395</v>
      </c>
      <c r="C946" s="22" t="s">
        <v>2568</v>
      </c>
      <c r="D946" s="22"/>
      <c r="E946" s="21" t="s">
        <v>729</v>
      </c>
      <c r="F946" s="21"/>
      <c r="G946" s="147" t="s">
        <v>4000</v>
      </c>
      <c r="H946" s="23" t="s">
        <v>7529</v>
      </c>
      <c r="I946" s="23" t="s">
        <v>8249</v>
      </c>
      <c r="J946" s="21" t="s">
        <v>7531</v>
      </c>
      <c r="K946" s="21"/>
      <c r="L946" s="21" t="s">
        <v>7530</v>
      </c>
      <c r="M946" s="26">
        <v>44953</v>
      </c>
      <c r="N946" s="44">
        <v>1260</v>
      </c>
      <c r="O946" s="22" t="s">
        <v>341</v>
      </c>
      <c r="P946" s="22">
        <v>1260</v>
      </c>
      <c r="Q946" s="44">
        <f t="shared" si="93"/>
        <v>0</v>
      </c>
      <c r="R946" s="116">
        <f t="shared" si="94"/>
        <v>1260</v>
      </c>
    </row>
    <row r="947" spans="1:19" hidden="1" x14ac:dyDescent="0.25">
      <c r="A947" t="s">
        <v>6753</v>
      </c>
      <c r="B947" s="21" t="s">
        <v>395</v>
      </c>
      <c r="C947" s="22" t="s">
        <v>4231</v>
      </c>
      <c r="D947" s="22"/>
      <c r="E947" s="21" t="s">
        <v>729</v>
      </c>
      <c r="F947" s="21"/>
      <c r="G947" s="147" t="s">
        <v>4000</v>
      </c>
      <c r="H947" s="23" t="s">
        <v>4907</v>
      </c>
      <c r="I947" s="23" t="s">
        <v>8310</v>
      </c>
      <c r="J947" s="21" t="s">
        <v>4906</v>
      </c>
      <c r="K947" s="21"/>
      <c r="L947" s="21" t="s">
        <v>5895</v>
      </c>
      <c r="M947" s="26" t="s">
        <v>5896</v>
      </c>
      <c r="N947" s="44">
        <v>4500</v>
      </c>
      <c r="O947" s="22" t="s">
        <v>341</v>
      </c>
      <c r="P947" s="22">
        <f>(2.25*125)+4125+(3.5*125)+(0.25*125)</f>
        <v>4875</v>
      </c>
      <c r="Q947" s="44">
        <f t="shared" si="93"/>
        <v>0</v>
      </c>
      <c r="R947" s="116">
        <f t="shared" si="94"/>
        <v>4875</v>
      </c>
    </row>
    <row r="948" spans="1:19" hidden="1" x14ac:dyDescent="0.25">
      <c r="A948" t="s">
        <v>6753</v>
      </c>
      <c r="B948" s="5" t="s">
        <v>12268</v>
      </c>
      <c r="C948" s="4" t="s">
        <v>2459</v>
      </c>
      <c r="E948" s="5" t="s">
        <v>729</v>
      </c>
      <c r="G948" s="146" t="s">
        <v>4000</v>
      </c>
      <c r="H948" s="7" t="s">
        <v>3396</v>
      </c>
      <c r="I948" s="7" t="s">
        <v>7936</v>
      </c>
      <c r="J948" s="5" t="s">
        <v>3397</v>
      </c>
      <c r="K948" s="13" t="s">
        <v>3391</v>
      </c>
      <c r="L948" s="5" t="s">
        <v>4617</v>
      </c>
      <c r="M948" s="12" t="s">
        <v>4618</v>
      </c>
      <c r="N948" s="45">
        <v>6125</v>
      </c>
      <c r="O948" s="4" t="s">
        <v>341</v>
      </c>
      <c r="P948" s="4">
        <f>4750+(125+62.5+31.25)+62.5</f>
        <v>5031.25</v>
      </c>
      <c r="Q948" s="45">
        <f t="shared" si="93"/>
        <v>1093.75</v>
      </c>
      <c r="R948" s="25">
        <f t="shared" si="94"/>
        <v>5031.25</v>
      </c>
    </row>
    <row r="949" spans="1:19" hidden="1" x14ac:dyDescent="0.25">
      <c r="A949" t="s">
        <v>6753</v>
      </c>
      <c r="B949" s="21" t="s">
        <v>395</v>
      </c>
      <c r="C949" s="22" t="s">
        <v>2459</v>
      </c>
      <c r="D949" s="22"/>
      <c r="E949" s="21" t="s">
        <v>729</v>
      </c>
      <c r="F949" s="21"/>
      <c r="G949" s="147" t="s">
        <v>4000</v>
      </c>
      <c r="H949" s="23" t="s">
        <v>3394</v>
      </c>
      <c r="I949" s="23" t="s">
        <v>7935</v>
      </c>
      <c r="J949" s="21" t="s">
        <v>3395</v>
      </c>
      <c r="K949" s="120"/>
      <c r="L949" s="21" t="s">
        <v>4480</v>
      </c>
      <c r="M949" s="26" t="s">
        <v>4481</v>
      </c>
      <c r="N949" s="44">
        <v>5437.5</v>
      </c>
      <c r="O949" s="22" t="s">
        <v>341</v>
      </c>
      <c r="P949" s="22">
        <f>312.5+31.25+4781.25+312.5</f>
        <v>5437.5</v>
      </c>
      <c r="Q949" s="44">
        <f t="shared" si="93"/>
        <v>0</v>
      </c>
      <c r="R949" s="116">
        <f t="shared" si="94"/>
        <v>5437.5</v>
      </c>
    </row>
    <row r="950" spans="1:19" hidden="1" x14ac:dyDescent="0.25">
      <c r="A950" t="s">
        <v>6753</v>
      </c>
      <c r="B950" s="5" t="s">
        <v>12228</v>
      </c>
      <c r="C950" s="4" t="s">
        <v>2459</v>
      </c>
      <c r="E950" s="5" t="s">
        <v>729</v>
      </c>
      <c r="G950" s="146" t="s">
        <v>4000</v>
      </c>
      <c r="H950" s="7" t="s">
        <v>3392</v>
      </c>
      <c r="I950" s="7" t="s">
        <v>7934</v>
      </c>
      <c r="J950" s="5" t="s">
        <v>3393</v>
      </c>
      <c r="K950" s="13" t="s">
        <v>3391</v>
      </c>
      <c r="L950" s="5" t="s">
        <v>5281</v>
      </c>
      <c r="M950" s="12" t="s">
        <v>5282</v>
      </c>
      <c r="N950" s="45">
        <v>5875</v>
      </c>
      <c r="O950" s="4" t="s">
        <v>341</v>
      </c>
      <c r="P950" s="4">
        <f>312.5+4750+(62.5+31.25)+31.25</f>
        <v>5187.5</v>
      </c>
      <c r="Q950" s="45">
        <f t="shared" si="93"/>
        <v>687.5</v>
      </c>
      <c r="R950" s="25">
        <f t="shared" si="94"/>
        <v>5187.5</v>
      </c>
    </row>
    <row r="951" spans="1:19" hidden="1" x14ac:dyDescent="0.25">
      <c r="A951" t="s">
        <v>6753</v>
      </c>
      <c r="B951" s="5" t="s">
        <v>12228</v>
      </c>
      <c r="C951" s="4" t="s">
        <v>2459</v>
      </c>
      <c r="E951" s="5" t="s">
        <v>729</v>
      </c>
      <c r="G951" s="146" t="s">
        <v>4000</v>
      </c>
      <c r="H951" s="7" t="s">
        <v>3389</v>
      </c>
      <c r="I951" s="7" t="s">
        <v>7933</v>
      </c>
      <c r="J951" s="5" t="s">
        <v>3390</v>
      </c>
      <c r="K951" s="13" t="s">
        <v>3391</v>
      </c>
      <c r="L951" s="5" t="s">
        <v>4482</v>
      </c>
      <c r="M951" s="12" t="s">
        <v>4483</v>
      </c>
      <c r="N951" s="45">
        <v>5312.5</v>
      </c>
      <c r="O951" s="4" t="s">
        <v>341</v>
      </c>
      <c r="P951" s="4">
        <f>218.75+62.5+4000</f>
        <v>4281.25</v>
      </c>
      <c r="Q951" s="45">
        <f t="shared" si="93"/>
        <v>1031.25</v>
      </c>
      <c r="R951" s="25">
        <f t="shared" si="94"/>
        <v>4281.25</v>
      </c>
    </row>
    <row r="952" spans="1:19" hidden="1" x14ac:dyDescent="0.25">
      <c r="B952" s="21" t="s">
        <v>1088</v>
      </c>
      <c r="C952" s="22" t="s">
        <v>2421</v>
      </c>
      <c r="D952" s="22"/>
      <c r="E952" s="21" t="s">
        <v>0</v>
      </c>
      <c r="F952" s="21"/>
      <c r="G952" s="147" t="s">
        <v>1616</v>
      </c>
      <c r="H952" s="23" t="s">
        <v>1639</v>
      </c>
      <c r="I952" s="23" t="s">
        <v>7852</v>
      </c>
      <c r="J952" s="21" t="s">
        <v>1933</v>
      </c>
      <c r="K952" s="120"/>
      <c r="L952" s="21" t="s">
        <v>4817</v>
      </c>
      <c r="M952" s="26" t="s">
        <v>4818</v>
      </c>
      <c r="N952" s="44">
        <v>38724.910000000003</v>
      </c>
      <c r="O952" s="22" t="s">
        <v>15</v>
      </c>
      <c r="P952" s="44">
        <f>25498.98+2220.53+5617.05+3047.38+1489.89+522.52+522.52+522.52</f>
        <v>39441.389999999985</v>
      </c>
      <c r="Q952" s="24">
        <f t="shared" si="93"/>
        <v>0</v>
      </c>
      <c r="R952" s="24">
        <f>IF(P952="OK",M952-Q952,IF(P952="en cours",M952-Q952,P952))</f>
        <v>39441.389999999985</v>
      </c>
      <c r="S952" s="5" t="s">
        <v>1743</v>
      </c>
    </row>
    <row r="953" spans="1:19" hidden="1" x14ac:dyDescent="0.25">
      <c r="B953" s="21" t="s">
        <v>1088</v>
      </c>
      <c r="C953" s="22" t="s">
        <v>2421</v>
      </c>
      <c r="D953" s="22"/>
      <c r="E953" s="21" t="s">
        <v>0</v>
      </c>
      <c r="F953" s="21"/>
      <c r="G953" s="147" t="s">
        <v>1616</v>
      </c>
      <c r="H953" s="23" t="s">
        <v>1639</v>
      </c>
      <c r="I953" s="23" t="s">
        <v>7852</v>
      </c>
      <c r="J953" s="21" t="s">
        <v>1934</v>
      </c>
      <c r="K953" s="120"/>
      <c r="L953" s="21" t="s">
        <v>5040</v>
      </c>
      <c r="M953" s="26" t="s">
        <v>5041</v>
      </c>
      <c r="N953" s="44">
        <v>2629.96</v>
      </c>
      <c r="O953" s="22" t="s">
        <v>15</v>
      </c>
      <c r="P953" s="44">
        <f>2444.96+(1032.31+711.9+901.32)+(1423.8+5875.2)</f>
        <v>12389.49</v>
      </c>
      <c r="Q953" s="24">
        <f t="shared" si="93"/>
        <v>0</v>
      </c>
      <c r="R953" s="24">
        <f>IF(P953="OK",M953-Q953,IF(P953="en cours",M953-Q953,P953))</f>
        <v>12389.49</v>
      </c>
    </row>
    <row r="954" spans="1:19" hidden="1" x14ac:dyDescent="0.25">
      <c r="B954" s="21" t="s">
        <v>1088</v>
      </c>
      <c r="C954" s="22" t="s">
        <v>2421</v>
      </c>
      <c r="D954" s="22"/>
      <c r="E954" s="21" t="s">
        <v>0</v>
      </c>
      <c r="F954" s="21"/>
      <c r="G954" s="147" t="s">
        <v>1616</v>
      </c>
      <c r="H954" s="23" t="s">
        <v>1639</v>
      </c>
      <c r="I954" s="23" t="s">
        <v>7852</v>
      </c>
      <c r="J954" s="21" t="s">
        <v>1935</v>
      </c>
      <c r="K954" s="120"/>
      <c r="L954" s="21" t="s">
        <v>6214</v>
      </c>
      <c r="M954" s="26" t="s">
        <v>6215</v>
      </c>
      <c r="N954" s="44">
        <v>15472.65</v>
      </c>
      <c r="O954" s="22" t="s">
        <v>15</v>
      </c>
      <c r="P954" s="44">
        <f>11121.82+96.94+954.02+835.8+454.76+582.71+751.47+751.47+611.09+(168.76+611.09)+611.09+522.52+522.52+438.14+438.14+438.14+438.14+438.14+438.14+578.52+(438.14+4441.05+476.08)+438.14+438.14+438.14+438.14+438.14+438.14+438.14</f>
        <v>30225.669999999991</v>
      </c>
      <c r="Q954" s="24">
        <f t="shared" si="93"/>
        <v>0</v>
      </c>
      <c r="R954" s="24">
        <f>IF(P954="OK",M954-Q954,IF(P954="en cours",M954-Q954,P954))</f>
        <v>30225.669999999991</v>
      </c>
    </row>
    <row r="955" spans="1:19" hidden="1" x14ac:dyDescent="0.25">
      <c r="C955" s="4" t="s">
        <v>2421</v>
      </c>
      <c r="E955" s="5" t="s">
        <v>0</v>
      </c>
      <c r="G955" s="146" t="s">
        <v>1616</v>
      </c>
      <c r="H955" s="7" t="s">
        <v>1639</v>
      </c>
      <c r="I955" s="7" t="s">
        <v>7852</v>
      </c>
      <c r="J955" s="5" t="s">
        <v>1936</v>
      </c>
      <c r="K955" s="13"/>
      <c r="L955" s="5" t="s">
        <v>6855</v>
      </c>
      <c r="M955" s="12" t="s">
        <v>6856</v>
      </c>
      <c r="N955" s="45">
        <v>66863.22</v>
      </c>
      <c r="O955" s="4" t="s">
        <v>15</v>
      </c>
      <c r="P955" s="45">
        <f>365.1+1949.62+1321.7+6181.13+2352.71+903.01+11392.42+75.68 + 907.51+80.69+5502.82+1184.67+3735.28+1990.24+3338.7+846.66+55.21+861.31+52.06+1028.04+522.52+522.52-1663.7+606.84</f>
        <v>44112.739999999983</v>
      </c>
      <c r="Q955" s="3">
        <f t="shared" si="93"/>
        <v>22750.480000000018</v>
      </c>
      <c r="R955" s="3">
        <f>IF(P955="OK",M955-Q955,IF(P955="en cours",M955-Q955,P955))</f>
        <v>44112.739999999983</v>
      </c>
    </row>
    <row r="956" spans="1:19" hidden="1" x14ac:dyDescent="0.25">
      <c r="C956" s="4" t="s">
        <v>2421</v>
      </c>
      <c r="E956" s="5" t="s">
        <v>0</v>
      </c>
      <c r="G956" s="146" t="s">
        <v>1616</v>
      </c>
      <c r="H956" s="7" t="s">
        <v>1639</v>
      </c>
      <c r="I956" s="7" t="s">
        <v>7852</v>
      </c>
      <c r="J956" s="5" t="s">
        <v>1937</v>
      </c>
      <c r="K956" s="13"/>
      <c r="L956" s="5" t="s">
        <v>11975</v>
      </c>
      <c r="M956" s="12" t="s">
        <v>11976</v>
      </c>
      <c r="N956" s="45">
        <v>9440</v>
      </c>
      <c r="O956" s="4" t="s">
        <v>15</v>
      </c>
      <c r="P956" s="45">
        <f>532.93+(532.93+532.93)+532.93-1663.7+523.93+56+56+84.38+56+56+56+56+56+56+56+56+56+56+56+56+56+56+56+56+56+56+56+56</f>
        <v>2308.33</v>
      </c>
      <c r="Q956" s="3">
        <f t="shared" si="93"/>
        <v>7131.67</v>
      </c>
      <c r="R956" s="3">
        <f>IF(P956="OK",M956-Q956,IF(P956="en cours",M956-Q956,P956))</f>
        <v>2308.33</v>
      </c>
    </row>
    <row r="957" spans="1:19" hidden="1" x14ac:dyDescent="0.25">
      <c r="C957" s="4" t="s">
        <v>2421</v>
      </c>
      <c r="E957" s="5" t="s">
        <v>0</v>
      </c>
      <c r="G957" s="146" t="s">
        <v>1616</v>
      </c>
      <c r="H957" s="7" t="s">
        <v>1577</v>
      </c>
      <c r="I957" s="7" t="s">
        <v>7855</v>
      </c>
      <c r="J957" s="5" t="s">
        <v>1721</v>
      </c>
      <c r="K957" s="13"/>
      <c r="M957" s="13" t="s">
        <v>1794</v>
      </c>
      <c r="N957" s="45">
        <v>2267.6799999999998</v>
      </c>
      <c r="O957" s="4" t="s">
        <v>276</v>
      </c>
      <c r="P957" s="45">
        <f>(367.68+400)</f>
        <v>767.68000000000006</v>
      </c>
      <c r="Q957" s="3">
        <f t="shared" si="93"/>
        <v>1499.9999999999998</v>
      </c>
      <c r="R957" s="3">
        <f>IF(P957="OK",N957-Q957,IF(P957="en cours",N957-Q957,P957))</f>
        <v>767.68000000000006</v>
      </c>
    </row>
    <row r="958" spans="1:19" hidden="1" x14ac:dyDescent="0.25">
      <c r="C958" s="4" t="s">
        <v>2421</v>
      </c>
      <c r="E958" s="5" t="s">
        <v>0</v>
      </c>
      <c r="G958" s="146" t="s">
        <v>1616</v>
      </c>
      <c r="H958" s="7" t="s">
        <v>3864</v>
      </c>
      <c r="I958" s="7" t="s">
        <v>7976</v>
      </c>
      <c r="J958" s="5" t="s">
        <v>3865</v>
      </c>
      <c r="K958" s="13"/>
      <c r="N958" s="45">
        <v>1009.88</v>
      </c>
      <c r="O958" s="4" t="s">
        <v>15</v>
      </c>
      <c r="Q958" s="3">
        <f t="shared" si="93"/>
        <v>1009.88</v>
      </c>
      <c r="R958" s="3">
        <f>IF(P958="OK",M958-Q958,IF(P958="en cours",M958-Q958,P958))</f>
        <v>0</v>
      </c>
    </row>
    <row r="959" spans="1:19" hidden="1" x14ac:dyDescent="0.25">
      <c r="C959" s="4" t="s">
        <v>2421</v>
      </c>
      <c r="E959" s="5" t="s">
        <v>0</v>
      </c>
      <c r="G959" s="146" t="s">
        <v>1616</v>
      </c>
      <c r="H959" s="7" t="s">
        <v>3864</v>
      </c>
      <c r="I959" s="7" t="s">
        <v>7976</v>
      </c>
      <c r="J959" s="5" t="s">
        <v>3866</v>
      </c>
      <c r="K959" s="13"/>
      <c r="L959" s="5" t="s">
        <v>3903</v>
      </c>
      <c r="M959" s="12">
        <v>44132</v>
      </c>
      <c r="N959" s="45">
        <v>11456.29</v>
      </c>
      <c r="O959" s="4" t="s">
        <v>15</v>
      </c>
      <c r="P959" s="45">
        <v>2723.3</v>
      </c>
      <c r="Q959" s="3">
        <f t="shared" si="93"/>
        <v>8732.9900000000016</v>
      </c>
      <c r="R959" s="3">
        <f>IF(P959="OK",M959-Q959,IF(P959="en cours",M959-Q959,P959))</f>
        <v>2723.3</v>
      </c>
    </row>
    <row r="960" spans="1:19" hidden="1" x14ac:dyDescent="0.25">
      <c r="C960" s="4" t="s">
        <v>2421</v>
      </c>
      <c r="E960" s="5" t="s">
        <v>0</v>
      </c>
      <c r="G960" s="146" t="s">
        <v>1616</v>
      </c>
      <c r="H960" s="7" t="s">
        <v>3864</v>
      </c>
      <c r="I960" s="7" t="s">
        <v>7976</v>
      </c>
      <c r="J960" s="5" t="s">
        <v>3867</v>
      </c>
      <c r="K960" s="13"/>
      <c r="N960" s="45">
        <v>2413.25</v>
      </c>
      <c r="O960" s="4" t="s">
        <v>15</v>
      </c>
      <c r="Q960" s="3">
        <f t="shared" si="93"/>
        <v>2413.25</v>
      </c>
      <c r="R960" s="3">
        <f>IF(P960="OK",M960-Q960,IF(P960="en cours",M960-Q960,P960))</f>
        <v>0</v>
      </c>
    </row>
    <row r="961" spans="2:19" hidden="1" x14ac:dyDescent="0.25">
      <c r="C961" s="4" t="s">
        <v>2421</v>
      </c>
      <c r="E961" s="5" t="s">
        <v>0</v>
      </c>
      <c r="G961" s="146" t="s">
        <v>1616</v>
      </c>
      <c r="H961" s="7" t="s">
        <v>3864</v>
      </c>
      <c r="I961" s="7" t="s">
        <v>7976</v>
      </c>
      <c r="J961" s="5" t="s">
        <v>3868</v>
      </c>
      <c r="K961" s="13"/>
      <c r="N961" s="45">
        <v>719.36</v>
      </c>
      <c r="O961" s="4" t="s">
        <v>15</v>
      </c>
      <c r="Q961" s="3">
        <f t="shared" si="93"/>
        <v>719.36</v>
      </c>
      <c r="R961" s="3">
        <f>IF(P961="OK",M961-Q961,IF(P961="en cours",M961-Q961,P961))</f>
        <v>0</v>
      </c>
    </row>
    <row r="962" spans="2:19" hidden="1" x14ac:dyDescent="0.25">
      <c r="C962" s="4" t="s">
        <v>2421</v>
      </c>
      <c r="E962" s="5" t="s">
        <v>0</v>
      </c>
      <c r="G962" s="146" t="s">
        <v>6570</v>
      </c>
      <c r="H962" s="7" t="s">
        <v>6569</v>
      </c>
      <c r="I962" s="7" t="s">
        <v>8147</v>
      </c>
      <c r="J962" s="5" t="s">
        <v>6571</v>
      </c>
      <c r="L962" s="5" t="s">
        <v>6610</v>
      </c>
      <c r="M962" s="12" t="s">
        <v>6611</v>
      </c>
      <c r="N962" s="45">
        <v>4207.6000000000004</v>
      </c>
      <c r="O962" s="4" t="s">
        <v>276</v>
      </c>
      <c r="P962" s="45">
        <f>1103.8+2167.8</f>
        <v>3271.6000000000004</v>
      </c>
      <c r="Q962" s="45">
        <f t="shared" ref="Q962:Q963" si="95">IF(P962="en cours",N962,IF(P962="OK",0,IF(N962-P962&lt;0,0,N962-P962)))</f>
        <v>936</v>
      </c>
      <c r="R962" s="3">
        <f t="shared" ref="R962:R980" si="96">IF(P962="OK",N962-Q962,IF(P962="en cours",N962-Q962,P962))</f>
        <v>3271.6000000000004</v>
      </c>
    </row>
    <row r="963" spans="2:19" hidden="1" x14ac:dyDescent="0.25">
      <c r="B963" s="5" t="s">
        <v>12228</v>
      </c>
      <c r="C963" s="4" t="s">
        <v>2450</v>
      </c>
      <c r="E963" s="5" t="s">
        <v>159</v>
      </c>
      <c r="G963" s="146" t="s">
        <v>982</v>
      </c>
      <c r="H963" s="58" t="s">
        <v>7046</v>
      </c>
      <c r="I963" s="58" t="s">
        <v>7046</v>
      </c>
      <c r="J963" s="5" t="s">
        <v>7065</v>
      </c>
      <c r="L963" s="5" t="s">
        <v>7782</v>
      </c>
      <c r="M963" s="12" t="s">
        <v>7781</v>
      </c>
      <c r="N963" s="45">
        <v>30000</v>
      </c>
      <c r="O963" s="4" t="s">
        <v>15</v>
      </c>
      <c r="P963" s="45">
        <f>3012+1814+3012+2524+1326+6818</f>
        <v>18506</v>
      </c>
      <c r="Q963" s="45">
        <f t="shared" si="95"/>
        <v>11494</v>
      </c>
      <c r="R963" s="25">
        <f t="shared" si="96"/>
        <v>18506</v>
      </c>
      <c r="S963" s="5" t="s">
        <v>7047</v>
      </c>
    </row>
    <row r="964" spans="2:19" hidden="1" x14ac:dyDescent="0.25">
      <c r="B964" s="5" t="s">
        <v>12228</v>
      </c>
      <c r="C964" s="4" t="s">
        <v>1940</v>
      </c>
      <c r="E964" s="5" t="s">
        <v>729</v>
      </c>
      <c r="G964" s="146" t="s">
        <v>1941</v>
      </c>
      <c r="H964" s="7" t="s">
        <v>4062</v>
      </c>
      <c r="I964" s="7" t="s">
        <v>7931</v>
      </c>
      <c r="J964" s="5" t="s">
        <v>4063</v>
      </c>
      <c r="K964" s="13">
        <v>44166</v>
      </c>
      <c r="L964" s="5" t="s">
        <v>4064</v>
      </c>
      <c r="M964" s="12">
        <v>44162</v>
      </c>
      <c r="N964" s="45">
        <v>4750</v>
      </c>
      <c r="O964" s="4" t="s">
        <v>341</v>
      </c>
      <c r="P964" s="4">
        <v>2750</v>
      </c>
      <c r="Q964" s="45">
        <f t="shared" ref="Q964:Q980" si="97">IF(P964="en cours",N964,IF(P964="OK",0,IF(N964-P964&lt;0,0,N964-P964)))</f>
        <v>2000</v>
      </c>
      <c r="R964" s="25">
        <f t="shared" si="96"/>
        <v>2750</v>
      </c>
    </row>
    <row r="965" spans="2:19" hidden="1" x14ac:dyDescent="0.25">
      <c r="B965" s="5" t="s">
        <v>12228</v>
      </c>
      <c r="C965" s="4" t="s">
        <v>1940</v>
      </c>
      <c r="E965" s="5" t="s">
        <v>729</v>
      </c>
      <c r="G965" s="146" t="s">
        <v>1941</v>
      </c>
      <c r="H965" s="7" t="s">
        <v>3388</v>
      </c>
      <c r="I965" s="7" t="s">
        <v>7932</v>
      </c>
      <c r="J965" s="5" t="s">
        <v>3387</v>
      </c>
      <c r="K965" s="13">
        <v>44166</v>
      </c>
      <c r="L965" s="5" t="s">
        <v>4061</v>
      </c>
      <c r="M965" s="12">
        <v>44162</v>
      </c>
      <c r="N965" s="45">
        <v>4750</v>
      </c>
      <c r="O965" s="4" t="s">
        <v>341</v>
      </c>
      <c r="P965" s="4">
        <f>3000</f>
        <v>3000</v>
      </c>
      <c r="Q965" s="45">
        <f t="shared" si="97"/>
        <v>1750</v>
      </c>
      <c r="R965" s="25">
        <f t="shared" si="96"/>
        <v>3000</v>
      </c>
    </row>
    <row r="966" spans="2:19" hidden="1" x14ac:dyDescent="0.25">
      <c r="B966" s="21" t="s">
        <v>395</v>
      </c>
      <c r="C966" s="22" t="s">
        <v>6047</v>
      </c>
      <c r="D966" s="22"/>
      <c r="E966" s="21" t="s">
        <v>75</v>
      </c>
      <c r="F966" s="21"/>
      <c r="G966" s="147" t="s">
        <v>3779</v>
      </c>
      <c r="H966" s="23" t="s">
        <v>7334</v>
      </c>
      <c r="I966" s="23" t="s">
        <v>8225</v>
      </c>
      <c r="J966" s="21" t="s">
        <v>8911</v>
      </c>
      <c r="K966" s="21">
        <v>2023</v>
      </c>
      <c r="L966" s="21" t="s">
        <v>9108</v>
      </c>
      <c r="M966" s="26" t="s">
        <v>9109</v>
      </c>
      <c r="N966" s="44">
        <f>P966</f>
        <v>93859.199999999997</v>
      </c>
      <c r="O966" s="22" t="s">
        <v>15</v>
      </c>
      <c r="P966" s="44">
        <f>5015.6+5015.6+5015.6+13135.4+13135.4+13135.4+13135.4+26270.8</f>
        <v>93859.199999999997</v>
      </c>
      <c r="Q966" s="24">
        <f t="shared" si="97"/>
        <v>0</v>
      </c>
      <c r="R966" s="24">
        <f t="shared" si="96"/>
        <v>93859.199999999997</v>
      </c>
      <c r="S966" s="5" t="s">
        <v>8914</v>
      </c>
    </row>
    <row r="967" spans="2:19" hidden="1" x14ac:dyDescent="0.25">
      <c r="B967" s="21" t="s">
        <v>395</v>
      </c>
      <c r="C967" s="22" t="s">
        <v>6047</v>
      </c>
      <c r="D967" s="22"/>
      <c r="E967" s="21" t="s">
        <v>75</v>
      </c>
      <c r="F967" s="21"/>
      <c r="G967" s="147" t="s">
        <v>3779</v>
      </c>
      <c r="H967" s="23" t="s">
        <v>9612</v>
      </c>
      <c r="I967" s="23" t="s">
        <v>9613</v>
      </c>
      <c r="J967" s="21" t="s">
        <v>8912</v>
      </c>
      <c r="K967" s="21">
        <v>2024</v>
      </c>
      <c r="L967" s="21" t="s">
        <v>10267</v>
      </c>
      <c r="M967" s="26" t="s">
        <v>10266</v>
      </c>
      <c r="N967" s="44">
        <f>P967</f>
        <v>49311.66</v>
      </c>
      <c r="O967" s="22" t="s">
        <v>15</v>
      </c>
      <c r="P967" s="44">
        <f>41093.05+8218.61</f>
        <v>49311.66</v>
      </c>
      <c r="Q967" s="24">
        <f>IF(P967="en cours",N967,IF(P967="OK",0,IF(N967-P967&lt;0,0,N967-P967)))</f>
        <v>0</v>
      </c>
      <c r="R967" s="24">
        <f t="shared" si="96"/>
        <v>49311.66</v>
      </c>
    </row>
    <row r="968" spans="2:19" hidden="1" x14ac:dyDescent="0.25">
      <c r="B968" s="21" t="s">
        <v>395</v>
      </c>
      <c r="C968" s="22" t="s">
        <v>6047</v>
      </c>
      <c r="D968" s="22"/>
      <c r="E968" s="21" t="s">
        <v>75</v>
      </c>
      <c r="F968" s="21"/>
      <c r="G968" s="147" t="s">
        <v>3779</v>
      </c>
      <c r="H968" s="23" t="s">
        <v>9612</v>
      </c>
      <c r="I968" s="23" t="s">
        <v>9613</v>
      </c>
      <c r="J968" s="21" t="s">
        <v>8913</v>
      </c>
      <c r="K968" s="21">
        <v>2025</v>
      </c>
      <c r="L968" s="21" t="s">
        <v>13705</v>
      </c>
      <c r="M968" s="26" t="s">
        <v>13706</v>
      </c>
      <c r="N968" s="44">
        <f>P968</f>
        <v>66818.819999999992</v>
      </c>
      <c r="O968" s="22" t="s">
        <v>15</v>
      </c>
      <c r="P968" s="44">
        <f>40337.39+10978.2+15503.23</f>
        <v>66818.819999999992</v>
      </c>
      <c r="Q968" s="24">
        <f t="shared" si="97"/>
        <v>0</v>
      </c>
      <c r="R968" s="24">
        <f t="shared" si="96"/>
        <v>66818.819999999992</v>
      </c>
    </row>
    <row r="969" spans="2:19" hidden="1" x14ac:dyDescent="0.25">
      <c r="C969" s="4" t="s">
        <v>6047</v>
      </c>
      <c r="E969" s="5" t="s">
        <v>75</v>
      </c>
      <c r="G969" s="146" t="s">
        <v>3779</v>
      </c>
      <c r="H969" s="7" t="s">
        <v>9612</v>
      </c>
      <c r="I969" s="7" t="s">
        <v>9613</v>
      </c>
      <c r="J969" s="5" t="s">
        <v>9614</v>
      </c>
      <c r="K969" s="5">
        <v>2026</v>
      </c>
      <c r="L969" s="5" t="s">
        <v>14329</v>
      </c>
      <c r="M969" s="12" t="s">
        <v>14379</v>
      </c>
      <c r="N969" s="45">
        <f>(8218.61*4)+49311.66+31804.5</f>
        <v>113990.6</v>
      </c>
      <c r="O969" s="4" t="s">
        <v>15</v>
      </c>
      <c r="P969" s="45">
        <f>27908.81+14502.78</f>
        <v>42411.590000000004</v>
      </c>
      <c r="Q969" s="3">
        <f t="shared" si="97"/>
        <v>71579.010000000009</v>
      </c>
      <c r="R969" s="3">
        <f t="shared" si="96"/>
        <v>42411.590000000004</v>
      </c>
    </row>
    <row r="970" spans="2:19" hidden="1" x14ac:dyDescent="0.25">
      <c r="B970" s="21" t="s">
        <v>395</v>
      </c>
      <c r="C970" s="22" t="s">
        <v>6267</v>
      </c>
      <c r="D970" s="22"/>
      <c r="E970" s="21" t="s">
        <v>75</v>
      </c>
      <c r="F970" s="21"/>
      <c r="G970" s="147" t="s">
        <v>3779</v>
      </c>
      <c r="H970" s="23" t="s">
        <v>7332</v>
      </c>
      <c r="I970" s="23" t="s">
        <v>8223</v>
      </c>
      <c r="J970" s="21" t="s">
        <v>8902</v>
      </c>
      <c r="K970" s="21"/>
      <c r="L970" s="21" t="s">
        <v>8901</v>
      </c>
      <c r="M970" s="26">
        <v>44924</v>
      </c>
      <c r="N970" s="44">
        <f>6177+6177</f>
        <v>12354</v>
      </c>
      <c r="O970" s="22" t="s">
        <v>15</v>
      </c>
      <c r="P970" s="44">
        <f>12354</f>
        <v>12354</v>
      </c>
      <c r="Q970" s="24">
        <f t="shared" si="97"/>
        <v>0</v>
      </c>
      <c r="R970" s="24">
        <f t="shared" si="96"/>
        <v>12354</v>
      </c>
    </row>
    <row r="971" spans="2:19" hidden="1" x14ac:dyDescent="0.25">
      <c r="B971" s="21" t="s">
        <v>395</v>
      </c>
      <c r="C971" s="22" t="s">
        <v>6267</v>
      </c>
      <c r="D971" s="22"/>
      <c r="E971" s="21" t="s">
        <v>75</v>
      </c>
      <c r="F971" s="21"/>
      <c r="G971" s="147" t="s">
        <v>3779</v>
      </c>
      <c r="H971" s="23" t="s">
        <v>7332</v>
      </c>
      <c r="I971" s="23" t="s">
        <v>8223</v>
      </c>
      <c r="J971" s="21" t="s">
        <v>8903</v>
      </c>
      <c r="K971" s="21">
        <v>2023</v>
      </c>
      <c r="L971" s="21" t="s">
        <v>9104</v>
      </c>
      <c r="M971" s="26" t="s">
        <v>9105</v>
      </c>
      <c r="N971" s="44">
        <f>P971</f>
        <v>181770</v>
      </c>
      <c r="O971" s="22" t="s">
        <v>15</v>
      </c>
      <c r="P971" s="44">
        <f>6177+16177+16177+16177+16177+16177+16177+26177+52354</f>
        <v>181770</v>
      </c>
      <c r="Q971" s="24">
        <f t="shared" si="97"/>
        <v>0</v>
      </c>
      <c r="R971" s="24">
        <f t="shared" si="96"/>
        <v>181770</v>
      </c>
      <c r="S971" s="5" t="s">
        <v>8914</v>
      </c>
    </row>
    <row r="972" spans="2:19" hidden="1" x14ac:dyDescent="0.25">
      <c r="B972" s="21" t="s">
        <v>395</v>
      </c>
      <c r="C972" s="22" t="s">
        <v>6267</v>
      </c>
      <c r="D972" s="22"/>
      <c r="E972" s="21" t="s">
        <v>75</v>
      </c>
      <c r="F972" s="21"/>
      <c r="G972" s="147" t="s">
        <v>3779</v>
      </c>
      <c r="H972" s="23" t="s">
        <v>9609</v>
      </c>
      <c r="I972" s="23" t="s">
        <v>9608</v>
      </c>
      <c r="J972" s="21" t="s">
        <v>8904</v>
      </c>
      <c r="K972" s="21">
        <v>2024</v>
      </c>
      <c r="L972" s="21" t="s">
        <v>11029</v>
      </c>
      <c r="M972" s="26" t="s">
        <v>11030</v>
      </c>
      <c r="N972" s="44">
        <f>12207.06*12</f>
        <v>146484.72</v>
      </c>
      <c r="O972" s="22" t="s">
        <v>15</v>
      </c>
      <c r="P972" s="44">
        <f>61035.3+12207.06+12207.06+12207.06+12207.06+24414.12+12207.06</f>
        <v>146484.72</v>
      </c>
      <c r="Q972" s="24">
        <f t="shared" si="97"/>
        <v>0</v>
      </c>
      <c r="R972" s="24">
        <f t="shared" si="96"/>
        <v>146484.72</v>
      </c>
    </row>
    <row r="973" spans="2:19" hidden="1" x14ac:dyDescent="0.25">
      <c r="C973" s="4" t="s">
        <v>6267</v>
      </c>
      <c r="E973" s="5" t="s">
        <v>75</v>
      </c>
      <c r="G973" s="146" t="s">
        <v>3779</v>
      </c>
      <c r="H973" s="7" t="s">
        <v>9609</v>
      </c>
      <c r="I973" s="7" t="s">
        <v>9608</v>
      </c>
      <c r="J973" s="5" t="s">
        <v>8905</v>
      </c>
      <c r="K973" s="5">
        <v>2025</v>
      </c>
      <c r="L973" s="5" t="s">
        <v>13443</v>
      </c>
      <c r="M973" s="12" t="s">
        <v>13444</v>
      </c>
      <c r="N973" s="45">
        <f>12207.06*5</f>
        <v>61035.299999999996</v>
      </c>
      <c r="O973" s="4" t="s">
        <v>15</v>
      </c>
      <c r="P973" s="45">
        <f>12207.06+12207.06+12207.06+12207.47+12207.06+6582.84+8538.89</f>
        <v>76157.440000000002</v>
      </c>
      <c r="Q973" s="3">
        <f t="shared" ref="Q973" si="98">IF(P973="en cours",N973,IF(P973="OK",0,IF(N973-P973&lt;0,0,N973-P973)))</f>
        <v>0</v>
      </c>
      <c r="R973" s="3">
        <f t="shared" ref="R973" si="99">IF(P973="OK",N973-Q973,IF(P973="en cours",N973-Q973,P973))</f>
        <v>76157.440000000002</v>
      </c>
    </row>
    <row r="974" spans="2:19" hidden="1" x14ac:dyDescent="0.25">
      <c r="C974" s="4" t="s">
        <v>6267</v>
      </c>
      <c r="E974" s="5" t="s">
        <v>75</v>
      </c>
      <c r="G974" s="146" t="s">
        <v>3779</v>
      </c>
      <c r="H974" s="7" t="s">
        <v>9609</v>
      </c>
      <c r="I974" s="7" t="s">
        <v>9608</v>
      </c>
      <c r="J974" s="5" t="s">
        <v>14376</v>
      </c>
      <c r="K974" s="5">
        <v>2026</v>
      </c>
      <c r="L974" s="5" t="s">
        <v>14380</v>
      </c>
      <c r="M974" s="12">
        <v>46079</v>
      </c>
      <c r="O974" s="4" t="s">
        <v>15</v>
      </c>
      <c r="P974" s="45">
        <f>6480.22</f>
        <v>6480.22</v>
      </c>
      <c r="Q974" s="3">
        <f t="shared" si="97"/>
        <v>0</v>
      </c>
      <c r="R974" s="3">
        <f t="shared" si="96"/>
        <v>6480.22</v>
      </c>
    </row>
    <row r="975" spans="2:19" hidden="1" x14ac:dyDescent="0.25">
      <c r="B975" s="21" t="s">
        <v>395</v>
      </c>
      <c r="C975" s="22" t="s">
        <v>6675</v>
      </c>
      <c r="D975" s="22"/>
      <c r="E975" s="21" t="s">
        <v>75</v>
      </c>
      <c r="F975" s="21"/>
      <c r="G975" s="147" t="s">
        <v>3779</v>
      </c>
      <c r="H975" s="23" t="s">
        <v>7333</v>
      </c>
      <c r="I975" s="23" t="s">
        <v>8224</v>
      </c>
      <c r="J975" s="21" t="s">
        <v>8907</v>
      </c>
      <c r="K975" s="21"/>
      <c r="L975" s="21" t="s">
        <v>8906</v>
      </c>
      <c r="M975" s="26">
        <v>44924</v>
      </c>
      <c r="N975" s="44">
        <f>2*6177</f>
        <v>12354</v>
      </c>
      <c r="O975" s="22" t="s">
        <v>15</v>
      </c>
      <c r="P975" s="44">
        <f>12354</f>
        <v>12354</v>
      </c>
      <c r="Q975" s="24">
        <f t="shared" si="97"/>
        <v>0</v>
      </c>
      <c r="R975" s="24">
        <f t="shared" si="96"/>
        <v>12354</v>
      </c>
    </row>
    <row r="976" spans="2:19" hidden="1" x14ac:dyDescent="0.25">
      <c r="B976" s="21" t="s">
        <v>395</v>
      </c>
      <c r="C976" s="22" t="s">
        <v>6675</v>
      </c>
      <c r="D976" s="22"/>
      <c r="E976" s="21" t="s">
        <v>75</v>
      </c>
      <c r="F976" s="21"/>
      <c r="G976" s="147" t="s">
        <v>3779</v>
      </c>
      <c r="H976" s="23" t="s">
        <v>7333</v>
      </c>
      <c r="I976" s="23" t="s">
        <v>8224</v>
      </c>
      <c r="J976" s="21" t="s">
        <v>8908</v>
      </c>
      <c r="K976" s="21">
        <v>2023</v>
      </c>
      <c r="L976" s="21" t="s">
        <v>9110</v>
      </c>
      <c r="M976" s="26" t="s">
        <v>9111</v>
      </c>
      <c r="N976" s="44">
        <f>P976</f>
        <v>181770</v>
      </c>
      <c r="O976" s="22" t="s">
        <v>15</v>
      </c>
      <c r="P976" s="44">
        <f>6177+16177+16177+16177+16177+16177+16177+26177+52354</f>
        <v>181770</v>
      </c>
      <c r="Q976" s="24">
        <f t="shared" si="97"/>
        <v>0</v>
      </c>
      <c r="R976" s="24">
        <f t="shared" si="96"/>
        <v>181770</v>
      </c>
      <c r="S976" s="5" t="s">
        <v>8914</v>
      </c>
    </row>
    <row r="977" spans="1:18" hidden="1" x14ac:dyDescent="0.25">
      <c r="B977" s="21" t="s">
        <v>395</v>
      </c>
      <c r="C977" s="22" t="s">
        <v>6675</v>
      </c>
      <c r="D977" s="22"/>
      <c r="E977" s="21" t="s">
        <v>75</v>
      </c>
      <c r="F977" s="21"/>
      <c r="G977" s="147" t="s">
        <v>3779</v>
      </c>
      <c r="H977" s="23" t="s">
        <v>9610</v>
      </c>
      <c r="I977" s="23" t="s">
        <v>9611</v>
      </c>
      <c r="J977" s="21" t="s">
        <v>8909</v>
      </c>
      <c r="K977" s="21">
        <v>2024</v>
      </c>
      <c r="L977" s="21" t="s">
        <v>11027</v>
      </c>
      <c r="M977" s="26" t="s">
        <v>11028</v>
      </c>
      <c r="N977" s="44">
        <f>P977</f>
        <v>122070.59999999999</v>
      </c>
      <c r="O977" s="22" t="s">
        <v>15</v>
      </c>
      <c r="P977" s="44">
        <f>61035.3+12207.06+12207.06+12207.06+12207.06+12207.06</f>
        <v>122070.59999999999</v>
      </c>
      <c r="Q977" s="24">
        <f t="shared" si="97"/>
        <v>0</v>
      </c>
      <c r="R977" s="24">
        <f t="shared" si="96"/>
        <v>122070.59999999999</v>
      </c>
    </row>
    <row r="978" spans="1:18" hidden="1" x14ac:dyDescent="0.25">
      <c r="B978" s="21" t="s">
        <v>395</v>
      </c>
      <c r="C978" s="22" t="s">
        <v>6675</v>
      </c>
      <c r="D978" s="22"/>
      <c r="E978" s="21" t="s">
        <v>75</v>
      </c>
      <c r="F978" s="21"/>
      <c r="G978" s="147" t="s">
        <v>3779</v>
      </c>
      <c r="H978" s="23" t="s">
        <v>9610</v>
      </c>
      <c r="I978" s="23" t="s">
        <v>9611</v>
      </c>
      <c r="J978" s="21" t="s">
        <v>8910</v>
      </c>
      <c r="K978" s="21">
        <v>2025</v>
      </c>
      <c r="L978" s="21" t="s">
        <v>13441</v>
      </c>
      <c r="M978" s="26" t="s">
        <v>13442</v>
      </c>
      <c r="N978" s="44">
        <f>12207.06*5</f>
        <v>61035.299999999996</v>
      </c>
      <c r="O978" s="22" t="s">
        <v>15</v>
      </c>
      <c r="P978" s="44">
        <f>12207.06+12207.06+12207.06+12207.061+2207.06+11211.77+9659.25</f>
        <v>71906.320999999996</v>
      </c>
      <c r="Q978" s="24">
        <f t="shared" ref="Q978" si="100">IF(P978="en cours",N978,IF(P978="OK",0,IF(N978-P978&lt;0,0,N978-P978)))</f>
        <v>0</v>
      </c>
      <c r="R978" s="24">
        <f t="shared" ref="R978" si="101">IF(P978="OK",N978-Q978,IF(P978="en cours",N978-Q978,P978))</f>
        <v>71906.320999999996</v>
      </c>
    </row>
    <row r="979" spans="1:18" hidden="1" x14ac:dyDescent="0.25">
      <c r="C979" s="4" t="s">
        <v>6675</v>
      </c>
      <c r="E979" s="5" t="s">
        <v>75</v>
      </c>
      <c r="G979" s="146" t="s">
        <v>3779</v>
      </c>
      <c r="H979" s="7" t="s">
        <v>9610</v>
      </c>
      <c r="I979" s="7" t="s">
        <v>9611</v>
      </c>
      <c r="J979" s="5" t="s">
        <v>14377</v>
      </c>
      <c r="K979" s="5">
        <v>2026</v>
      </c>
      <c r="L979" s="5" t="s">
        <v>14378</v>
      </c>
      <c r="M979" s="12">
        <v>46079</v>
      </c>
      <c r="N979" s="45">
        <v>24414.100000000006</v>
      </c>
      <c r="O979" s="4" t="s">
        <v>15</v>
      </c>
      <c r="P979" s="45">
        <f>5285.8</f>
        <v>5285.8</v>
      </c>
      <c r="Q979" s="3">
        <f>IF(P979="en cours",N979,IF(P979="OK",0,IF(N979-P979&lt;0,0,N979-P979)))</f>
        <v>19128.300000000007</v>
      </c>
      <c r="R979" s="3">
        <f t="shared" si="96"/>
        <v>5285.8</v>
      </c>
    </row>
    <row r="980" spans="1:18" hidden="1" x14ac:dyDescent="0.25">
      <c r="C980" s="4" t="s">
        <v>8972</v>
      </c>
      <c r="E980" s="5" t="s">
        <v>75</v>
      </c>
      <c r="F980" s="5" t="s">
        <v>9819</v>
      </c>
      <c r="G980" s="146" t="s">
        <v>3779</v>
      </c>
      <c r="H980" s="7" t="s">
        <v>13440</v>
      </c>
      <c r="I980" s="7" t="s">
        <v>13439</v>
      </c>
      <c r="J980" s="5" t="s">
        <v>9256</v>
      </c>
      <c r="L980" s="5" t="s">
        <v>14330</v>
      </c>
      <c r="M980" s="7" t="s">
        <v>14331</v>
      </c>
      <c r="N980" s="45">
        <f>594740.16+274902.89</f>
        <v>869643.05</v>
      </c>
      <c r="O980" s="4" t="s">
        <v>15</v>
      </c>
      <c r="P980" s="45">
        <f>50436.27+24311.5+7812.38+12470.59+13023.82</f>
        <v>108054.56</v>
      </c>
      <c r="Q980" s="3">
        <f t="shared" si="97"/>
        <v>761588.49</v>
      </c>
      <c r="R980" s="3">
        <f t="shared" si="96"/>
        <v>108054.56</v>
      </c>
    </row>
    <row r="981" spans="1:18" hidden="1" x14ac:dyDescent="0.25">
      <c r="B981" s="21" t="s">
        <v>395</v>
      </c>
      <c r="C981" s="22" t="s">
        <v>2460</v>
      </c>
      <c r="D981" s="22"/>
      <c r="E981" s="21" t="s">
        <v>75</v>
      </c>
      <c r="F981" s="21"/>
      <c r="G981" s="147" t="s">
        <v>1146</v>
      </c>
      <c r="H981" s="403" t="s">
        <v>7437</v>
      </c>
      <c r="I981" s="403"/>
      <c r="J981" s="403" t="s">
        <v>5731</v>
      </c>
      <c r="K981" s="120"/>
      <c r="L981" s="21"/>
      <c r="M981" s="26"/>
      <c r="N981" s="404">
        <v>0</v>
      </c>
      <c r="O981" s="22" t="s">
        <v>15</v>
      </c>
      <c r="P981" s="24"/>
      <c r="Q981" s="24">
        <f t="shared" ref="Q981:Q988" si="102">IF(P981="en cours",N981,IF(P981="OK",0,IF(N981-P981&lt;0,0,N981-P981)))</f>
        <v>0</v>
      </c>
      <c r="R981" s="236">
        <f>IF(P981="OK",N981-Q981,IF(P981="en cours",M981-Q981,P981))</f>
        <v>0</v>
      </c>
    </row>
    <row r="982" spans="1:18" hidden="1" x14ac:dyDescent="0.25">
      <c r="A982" t="s">
        <v>6753</v>
      </c>
      <c r="B982" s="5" t="s">
        <v>12228</v>
      </c>
      <c r="C982" s="4" t="s">
        <v>4628</v>
      </c>
      <c r="E982" s="5" t="s">
        <v>75</v>
      </c>
      <c r="G982" s="146" t="s">
        <v>1146</v>
      </c>
      <c r="H982" s="7" t="s">
        <v>6284</v>
      </c>
      <c r="I982" s="7" t="s">
        <v>8073</v>
      </c>
      <c r="J982" s="5" t="s">
        <v>5437</v>
      </c>
      <c r="L982" s="5" t="s">
        <v>7345</v>
      </c>
      <c r="M982" s="12" t="s">
        <v>7346</v>
      </c>
      <c r="N982" s="45">
        <f>99298.5-(0.2*84642.16)</f>
        <v>82370.067999999999</v>
      </c>
      <c r="O982" s="4" t="s">
        <v>15</v>
      </c>
      <c r="P982" s="45">
        <f>217.41+23605.4+6042.86+7725.24+2409.19+2828.43+161.78+2438.35+2676.17+898.84+8.51+2325.72+4.67</f>
        <v>51342.57</v>
      </c>
      <c r="Q982" s="45">
        <f t="shared" si="102"/>
        <v>31027.498</v>
      </c>
      <c r="R982" s="3">
        <f t="shared" ref="R982:R1005" si="103">IF(P982="OK",N982-Q982,IF(P982="en cours",N982-Q982,P982))</f>
        <v>51342.57</v>
      </c>
    </row>
    <row r="983" spans="1:18" hidden="1" x14ac:dyDescent="0.25">
      <c r="A983" t="s">
        <v>6753</v>
      </c>
      <c r="B983" s="21" t="s">
        <v>395</v>
      </c>
      <c r="C983" s="22" t="s">
        <v>4628</v>
      </c>
      <c r="D983" s="22"/>
      <c r="E983" s="21" t="s">
        <v>75</v>
      </c>
      <c r="F983" s="21"/>
      <c r="G983" s="147" t="s">
        <v>1146</v>
      </c>
      <c r="H983" s="23" t="s">
        <v>6632</v>
      </c>
      <c r="I983" s="23" t="s">
        <v>8074</v>
      </c>
      <c r="J983" s="21" t="s">
        <v>5438</v>
      </c>
      <c r="K983" s="21"/>
      <c r="L983" s="21" t="s">
        <v>6745</v>
      </c>
      <c r="M983" s="26" t="s">
        <v>6746</v>
      </c>
      <c r="N983" s="44">
        <f>931121.96-(0.2*743208.79)+2052.58</f>
        <v>784532.78199999989</v>
      </c>
      <c r="O983" s="22" t="s">
        <v>15</v>
      </c>
      <c r="P983" s="44">
        <f>454219.39+411882.63</f>
        <v>866102.02</v>
      </c>
      <c r="Q983" s="44">
        <f t="shared" si="102"/>
        <v>0</v>
      </c>
      <c r="R983" s="24">
        <f t="shared" si="103"/>
        <v>866102.02</v>
      </c>
    </row>
    <row r="984" spans="1:18" hidden="1" x14ac:dyDescent="0.25">
      <c r="A984" t="s">
        <v>6753</v>
      </c>
      <c r="B984" s="21" t="s">
        <v>395</v>
      </c>
      <c r="C984" s="22" t="s">
        <v>4628</v>
      </c>
      <c r="D984" s="22"/>
      <c r="E984" s="21" t="s">
        <v>75</v>
      </c>
      <c r="F984" s="21"/>
      <c r="G984" s="147" t="s">
        <v>1146</v>
      </c>
      <c r="H984" s="23" t="s">
        <v>6146</v>
      </c>
      <c r="I984" s="23" t="s">
        <v>8072</v>
      </c>
      <c r="J984" s="21" t="s">
        <v>5423</v>
      </c>
      <c r="K984" s="47"/>
      <c r="L984" s="21" t="s">
        <v>5482</v>
      </c>
      <c r="M984" s="26">
        <v>44399</v>
      </c>
      <c r="N984" s="44">
        <v>250000</v>
      </c>
      <c r="O984" s="22" t="s">
        <v>15</v>
      </c>
      <c r="P984" s="44">
        <v>250000</v>
      </c>
      <c r="Q984" s="44">
        <f t="shared" si="102"/>
        <v>0</v>
      </c>
      <c r="R984" s="24">
        <f t="shared" si="103"/>
        <v>250000</v>
      </c>
    </row>
    <row r="985" spans="1:18" hidden="1" x14ac:dyDescent="0.25">
      <c r="A985" t="s">
        <v>6753</v>
      </c>
      <c r="B985" s="21" t="s">
        <v>395</v>
      </c>
      <c r="C985" s="22" t="s">
        <v>4628</v>
      </c>
      <c r="D985" s="22"/>
      <c r="E985" s="21" t="s">
        <v>75</v>
      </c>
      <c r="F985" s="21"/>
      <c r="G985" s="147" t="s">
        <v>1146</v>
      </c>
      <c r="H985" s="23" t="s">
        <v>6146</v>
      </c>
      <c r="I985" s="23" t="s">
        <v>8072</v>
      </c>
      <c r="J985" s="21" t="s">
        <v>5424</v>
      </c>
      <c r="K985" s="47"/>
      <c r="L985" s="21" t="s">
        <v>5482</v>
      </c>
      <c r="M985" s="26">
        <v>44399</v>
      </c>
      <c r="N985" s="44">
        <v>109000</v>
      </c>
      <c r="O985" s="22" t="s">
        <v>15</v>
      </c>
      <c r="P985" s="44">
        <v>109000</v>
      </c>
      <c r="Q985" s="44">
        <f t="shared" si="102"/>
        <v>0</v>
      </c>
      <c r="R985" s="24">
        <f t="shared" si="103"/>
        <v>109000</v>
      </c>
    </row>
    <row r="986" spans="1:18" hidden="1" x14ac:dyDescent="0.25">
      <c r="A986" t="s">
        <v>6753</v>
      </c>
      <c r="B986" s="21" t="s">
        <v>395</v>
      </c>
      <c r="C986" s="22" t="s">
        <v>4628</v>
      </c>
      <c r="D986" s="22"/>
      <c r="E986" s="21" t="s">
        <v>75</v>
      </c>
      <c r="F986" s="21"/>
      <c r="G986" s="147" t="s">
        <v>1146</v>
      </c>
      <c r="H986" s="23" t="s">
        <v>6146</v>
      </c>
      <c r="I986" s="23" t="s">
        <v>8072</v>
      </c>
      <c r="J986" s="21" t="s">
        <v>5425</v>
      </c>
      <c r="K986" s="47"/>
      <c r="L986" s="21" t="s">
        <v>5959</v>
      </c>
      <c r="M986" s="26">
        <v>44481</v>
      </c>
      <c r="N986" s="466">
        <v>103000</v>
      </c>
      <c r="O986" s="22" t="s">
        <v>15</v>
      </c>
      <c r="P986" s="44">
        <v>103000</v>
      </c>
      <c r="Q986" s="44">
        <f t="shared" si="102"/>
        <v>0</v>
      </c>
      <c r="R986" s="24">
        <f t="shared" si="103"/>
        <v>103000</v>
      </c>
    </row>
    <row r="987" spans="1:18" hidden="1" x14ac:dyDescent="0.25">
      <c r="A987" t="s">
        <v>6753</v>
      </c>
      <c r="B987" s="21" t="s">
        <v>395</v>
      </c>
      <c r="C987" s="22" t="s">
        <v>4628</v>
      </c>
      <c r="D987" s="22"/>
      <c r="E987" s="21" t="s">
        <v>75</v>
      </c>
      <c r="F987" s="21"/>
      <c r="G987" s="147" t="s">
        <v>1146</v>
      </c>
      <c r="H987" s="23" t="s">
        <v>6146</v>
      </c>
      <c r="I987" s="23" t="s">
        <v>8072</v>
      </c>
      <c r="J987" s="21" t="s">
        <v>5426</v>
      </c>
      <c r="K987" s="47"/>
      <c r="L987" s="21" t="s">
        <v>5959</v>
      </c>
      <c r="M987" s="26">
        <v>44481</v>
      </c>
      <c r="N987" s="297">
        <v>63000</v>
      </c>
      <c r="O987" s="22" t="s">
        <v>15</v>
      </c>
      <c r="P987" s="44">
        <v>63000</v>
      </c>
      <c r="Q987" s="44">
        <f t="shared" si="102"/>
        <v>0</v>
      </c>
      <c r="R987" s="24">
        <f t="shared" si="103"/>
        <v>63000</v>
      </c>
    </row>
    <row r="988" spans="1:18" hidden="1" x14ac:dyDescent="0.25">
      <c r="A988" t="s">
        <v>6753</v>
      </c>
      <c r="B988" s="21" t="s">
        <v>395</v>
      </c>
      <c r="C988" s="22" t="s">
        <v>4628</v>
      </c>
      <c r="D988" s="22"/>
      <c r="E988" s="21" t="s">
        <v>75</v>
      </c>
      <c r="F988" s="21"/>
      <c r="G988" s="147" t="s">
        <v>1146</v>
      </c>
      <c r="H988" s="23" t="s">
        <v>6146</v>
      </c>
      <c r="I988" s="23" t="s">
        <v>8072</v>
      </c>
      <c r="J988" s="21" t="s">
        <v>5427</v>
      </c>
      <c r="K988" s="47"/>
      <c r="L988" s="21" t="s">
        <v>6233</v>
      </c>
      <c r="M988" s="26">
        <v>44532</v>
      </c>
      <c r="N988" s="462">
        <v>63000</v>
      </c>
      <c r="O988" s="22" t="s">
        <v>15</v>
      </c>
      <c r="P988" s="44">
        <v>63000</v>
      </c>
      <c r="Q988" s="44">
        <f t="shared" si="102"/>
        <v>0</v>
      </c>
      <c r="R988" s="24">
        <f t="shared" si="103"/>
        <v>63000</v>
      </c>
    </row>
    <row r="989" spans="1:18" hidden="1" x14ac:dyDescent="0.25">
      <c r="A989" t="s">
        <v>6753</v>
      </c>
      <c r="B989" s="21" t="s">
        <v>395</v>
      </c>
      <c r="C989" s="22" t="s">
        <v>4628</v>
      </c>
      <c r="D989" s="22"/>
      <c r="E989" s="21" t="s">
        <v>75</v>
      </c>
      <c r="F989" s="21"/>
      <c r="G989" s="147" t="s">
        <v>1146</v>
      </c>
      <c r="H989" s="23" t="s">
        <v>6146</v>
      </c>
      <c r="I989" s="23" t="s">
        <v>8072</v>
      </c>
      <c r="J989" s="21" t="s">
        <v>5429</v>
      </c>
      <c r="K989" s="47"/>
      <c r="L989" s="21" t="s">
        <v>7549</v>
      </c>
      <c r="M989" s="26" t="s">
        <v>7550</v>
      </c>
      <c r="N989" s="44">
        <v>-250000</v>
      </c>
      <c r="O989" s="22" t="s">
        <v>15</v>
      </c>
      <c r="P989" s="44">
        <f>-16928-250000</f>
        <v>-266928</v>
      </c>
      <c r="Q989" s="44">
        <v>0</v>
      </c>
      <c r="R989" s="24">
        <f t="shared" si="103"/>
        <v>-266928</v>
      </c>
    </row>
    <row r="990" spans="1:18" hidden="1" x14ac:dyDescent="0.25">
      <c r="A990" t="s">
        <v>6753</v>
      </c>
      <c r="B990" s="21" t="s">
        <v>395</v>
      </c>
      <c r="C990" s="22" t="s">
        <v>4628</v>
      </c>
      <c r="D990" s="22"/>
      <c r="E990" s="21" t="s">
        <v>75</v>
      </c>
      <c r="F990" s="21"/>
      <c r="G990" s="147" t="s">
        <v>1146</v>
      </c>
      <c r="H990" s="23" t="s">
        <v>6146</v>
      </c>
      <c r="I990" s="23" t="s">
        <v>8072</v>
      </c>
      <c r="J990" s="21" t="s">
        <v>5430</v>
      </c>
      <c r="K990" s="47"/>
      <c r="L990" s="21" t="s">
        <v>5652</v>
      </c>
      <c r="M990" s="26">
        <v>44419</v>
      </c>
      <c r="N990" s="44">
        <v>66045</v>
      </c>
      <c r="O990" s="22" t="s">
        <v>15</v>
      </c>
      <c r="P990" s="44">
        <v>66045</v>
      </c>
      <c r="Q990" s="44">
        <f t="shared" ref="Q990:Q999" si="104">IF(P990="en cours",N990,IF(P990="OK",0,IF(N990-P990&lt;0,0,N990-P990)))</f>
        <v>0</v>
      </c>
      <c r="R990" s="24">
        <f t="shared" si="103"/>
        <v>66045</v>
      </c>
    </row>
    <row r="991" spans="1:18" hidden="1" x14ac:dyDescent="0.25">
      <c r="A991" t="s">
        <v>6753</v>
      </c>
      <c r="B991" s="21" t="s">
        <v>395</v>
      </c>
      <c r="C991" s="22" t="s">
        <v>4628</v>
      </c>
      <c r="D991" s="22"/>
      <c r="E991" s="21" t="s">
        <v>75</v>
      </c>
      <c r="F991" s="21"/>
      <c r="G991" s="147" t="s">
        <v>1146</v>
      </c>
      <c r="H991" s="23" t="s">
        <v>6146</v>
      </c>
      <c r="I991" s="23" t="s">
        <v>8072</v>
      </c>
      <c r="J991" s="21" t="s">
        <v>5431</v>
      </c>
      <c r="K991" s="47"/>
      <c r="L991" s="21" t="s">
        <v>5740</v>
      </c>
      <c r="M991" s="26">
        <v>44448</v>
      </c>
      <c r="N991" s="44">
        <v>66045</v>
      </c>
      <c r="O991" s="22" t="s">
        <v>15</v>
      </c>
      <c r="P991" s="44">
        <v>66045</v>
      </c>
      <c r="Q991" s="44">
        <f t="shared" si="104"/>
        <v>0</v>
      </c>
      <c r="R991" s="24">
        <f t="shared" si="103"/>
        <v>66045</v>
      </c>
    </row>
    <row r="992" spans="1:18" hidden="1" x14ac:dyDescent="0.25">
      <c r="A992" t="s">
        <v>6753</v>
      </c>
      <c r="B992" s="21" t="s">
        <v>395</v>
      </c>
      <c r="C992" s="22" t="s">
        <v>4628</v>
      </c>
      <c r="D992" s="22"/>
      <c r="E992" s="21" t="s">
        <v>75</v>
      </c>
      <c r="F992" s="21"/>
      <c r="G992" s="147" t="s">
        <v>1146</v>
      </c>
      <c r="H992" s="23" t="s">
        <v>6146</v>
      </c>
      <c r="I992" s="23" t="s">
        <v>8072</v>
      </c>
      <c r="J992" s="21" t="s">
        <v>5432</v>
      </c>
      <c r="K992" s="47"/>
      <c r="L992" s="21" t="s">
        <v>5959</v>
      </c>
      <c r="M992" s="26">
        <v>44481</v>
      </c>
      <c r="N992" s="44">
        <v>66045</v>
      </c>
      <c r="O992" s="22" t="s">
        <v>15</v>
      </c>
      <c r="P992" s="44">
        <v>66045</v>
      </c>
      <c r="Q992" s="44">
        <f t="shared" si="104"/>
        <v>0</v>
      </c>
      <c r="R992" s="24">
        <f t="shared" si="103"/>
        <v>66045</v>
      </c>
    </row>
    <row r="993" spans="1:19" hidden="1" x14ac:dyDescent="0.25">
      <c r="A993" t="s">
        <v>6753</v>
      </c>
      <c r="B993" s="21" t="s">
        <v>395</v>
      </c>
      <c r="C993" s="22" t="s">
        <v>4628</v>
      </c>
      <c r="D993" s="22"/>
      <c r="E993" s="21" t="s">
        <v>75</v>
      </c>
      <c r="F993" s="21"/>
      <c r="G993" s="147" t="s">
        <v>1146</v>
      </c>
      <c r="H993" s="23" t="s">
        <v>6146</v>
      </c>
      <c r="I993" s="23" t="s">
        <v>8072</v>
      </c>
      <c r="J993" s="21" t="s">
        <v>5433</v>
      </c>
      <c r="K993" s="47"/>
      <c r="L993" s="21" t="s">
        <v>6075</v>
      </c>
      <c r="M993" s="26">
        <v>44510</v>
      </c>
      <c r="N993" s="466">
        <v>66045</v>
      </c>
      <c r="O993" s="22" t="s">
        <v>15</v>
      </c>
      <c r="P993" s="44">
        <v>66045</v>
      </c>
      <c r="Q993" s="44">
        <f t="shared" si="104"/>
        <v>0</v>
      </c>
      <c r="R993" s="24">
        <f t="shared" si="103"/>
        <v>66045</v>
      </c>
    </row>
    <row r="994" spans="1:19" hidden="1" x14ac:dyDescent="0.25">
      <c r="A994" t="s">
        <v>6753</v>
      </c>
      <c r="B994" s="21" t="s">
        <v>395</v>
      </c>
      <c r="C994" s="22" t="s">
        <v>4628</v>
      </c>
      <c r="D994" s="22"/>
      <c r="E994" s="21" t="s">
        <v>75</v>
      </c>
      <c r="F994" s="21"/>
      <c r="G994" s="147" t="s">
        <v>1146</v>
      </c>
      <c r="H994" s="23" t="s">
        <v>6146</v>
      </c>
      <c r="I994" s="23" t="s">
        <v>8072</v>
      </c>
      <c r="J994" s="21" t="s">
        <v>5434</v>
      </c>
      <c r="K994" s="47"/>
      <c r="L994" s="21" t="s">
        <v>6302</v>
      </c>
      <c r="M994" s="26">
        <v>44553</v>
      </c>
      <c r="N994" s="297">
        <v>66045</v>
      </c>
      <c r="O994" s="22" t="s">
        <v>15</v>
      </c>
      <c r="P994" s="44">
        <v>66045</v>
      </c>
      <c r="Q994" s="44">
        <f t="shared" si="104"/>
        <v>0</v>
      </c>
      <c r="R994" s="24">
        <f t="shared" si="103"/>
        <v>66045</v>
      </c>
    </row>
    <row r="995" spans="1:19" hidden="1" x14ac:dyDescent="0.25">
      <c r="A995" t="s">
        <v>6753</v>
      </c>
      <c r="B995" s="21" t="s">
        <v>395</v>
      </c>
      <c r="C995" s="22" t="s">
        <v>4628</v>
      </c>
      <c r="D995" s="22"/>
      <c r="E995" s="21" t="s">
        <v>75</v>
      </c>
      <c r="F995" s="21"/>
      <c r="G995" s="147" t="s">
        <v>1146</v>
      </c>
      <c r="H995" s="23" t="s">
        <v>6146</v>
      </c>
      <c r="I995" s="23" t="s">
        <v>8072</v>
      </c>
      <c r="J995" s="21" t="s">
        <v>5435</v>
      </c>
      <c r="K995" s="47"/>
      <c r="L995" s="21" t="s">
        <v>6628</v>
      </c>
      <c r="M995" s="26">
        <v>44648</v>
      </c>
      <c r="N995" s="297">
        <v>57041</v>
      </c>
      <c r="O995" s="22" t="s">
        <v>15</v>
      </c>
      <c r="P995" s="44">
        <v>57041</v>
      </c>
      <c r="Q995" s="44">
        <f t="shared" si="104"/>
        <v>0</v>
      </c>
      <c r="R995" s="24">
        <f t="shared" si="103"/>
        <v>57041</v>
      </c>
    </row>
    <row r="996" spans="1:19" hidden="1" x14ac:dyDescent="0.25">
      <c r="A996" t="s">
        <v>6753</v>
      </c>
      <c r="B996" s="21" t="s">
        <v>395</v>
      </c>
      <c r="C996" s="22" t="s">
        <v>4628</v>
      </c>
      <c r="D996" s="22"/>
      <c r="E996" s="21" t="s">
        <v>75</v>
      </c>
      <c r="F996" s="21"/>
      <c r="G996" s="147" t="s">
        <v>1146</v>
      </c>
      <c r="H996" s="23" t="s">
        <v>6146</v>
      </c>
      <c r="I996" s="23" t="s">
        <v>8072</v>
      </c>
      <c r="J996" s="21" t="s">
        <v>5436</v>
      </c>
      <c r="K996" s="47"/>
      <c r="L996" s="21" t="s">
        <v>6628</v>
      </c>
      <c r="M996" s="26">
        <v>44648</v>
      </c>
      <c r="N996" s="297">
        <v>57041</v>
      </c>
      <c r="O996" s="22" t="s">
        <v>15</v>
      </c>
      <c r="P996" s="44">
        <v>57041</v>
      </c>
      <c r="Q996" s="44">
        <f t="shared" si="104"/>
        <v>0</v>
      </c>
      <c r="R996" s="24">
        <f t="shared" si="103"/>
        <v>57041</v>
      </c>
    </row>
    <row r="997" spans="1:19" hidden="1" x14ac:dyDescent="0.25">
      <c r="A997" t="s">
        <v>6753</v>
      </c>
      <c r="B997" s="21" t="s">
        <v>395</v>
      </c>
      <c r="C997" s="22" t="s">
        <v>4628</v>
      </c>
      <c r="D997" s="22"/>
      <c r="E997" s="21" t="s">
        <v>75</v>
      </c>
      <c r="F997" s="21"/>
      <c r="G997" s="147" t="s">
        <v>1146</v>
      </c>
      <c r="H997" s="23" t="s">
        <v>6146</v>
      </c>
      <c r="I997" s="23" t="s">
        <v>8072</v>
      </c>
      <c r="J997" s="21" t="s">
        <v>6248</v>
      </c>
      <c r="K997" s="47"/>
      <c r="L997" s="21" t="s">
        <v>6628</v>
      </c>
      <c r="M997" s="26">
        <v>44648</v>
      </c>
      <c r="N997" s="462">
        <v>57041</v>
      </c>
      <c r="O997" s="22" t="s">
        <v>15</v>
      </c>
      <c r="P997" s="44">
        <v>57041</v>
      </c>
      <c r="Q997" s="44">
        <f t="shared" si="104"/>
        <v>0</v>
      </c>
      <c r="R997" s="24">
        <f t="shared" si="103"/>
        <v>57041</v>
      </c>
    </row>
    <row r="998" spans="1:19" hidden="1" x14ac:dyDescent="0.25">
      <c r="A998" t="s">
        <v>6753</v>
      </c>
      <c r="B998" s="21" t="s">
        <v>395</v>
      </c>
      <c r="C998" s="22" t="s">
        <v>4628</v>
      </c>
      <c r="D998" s="22"/>
      <c r="E998" s="21" t="s">
        <v>75</v>
      </c>
      <c r="F998" s="21"/>
      <c r="G998" s="147" t="s">
        <v>1146</v>
      </c>
      <c r="H998" s="23" t="s">
        <v>6146</v>
      </c>
      <c r="I998" s="23" t="s">
        <v>8072</v>
      </c>
      <c r="J998" s="21" t="s">
        <v>6249</v>
      </c>
      <c r="K998" s="47"/>
      <c r="L998" s="21" t="s">
        <v>6713</v>
      </c>
      <c r="M998" s="26">
        <v>44679</v>
      </c>
      <c r="N998" s="44">
        <v>57042</v>
      </c>
      <c r="O998" s="22" t="s">
        <v>15</v>
      </c>
      <c r="P998" s="44">
        <v>57042</v>
      </c>
      <c r="Q998" s="44">
        <f t="shared" si="104"/>
        <v>0</v>
      </c>
      <c r="R998" s="24">
        <f t="shared" si="103"/>
        <v>57042</v>
      </c>
    </row>
    <row r="999" spans="1:19" hidden="1" x14ac:dyDescent="0.25">
      <c r="A999" t="s">
        <v>6753</v>
      </c>
      <c r="B999" s="21" t="s">
        <v>395</v>
      </c>
      <c r="C999" s="22" t="s">
        <v>4628</v>
      </c>
      <c r="D999" s="22"/>
      <c r="E999" s="21" t="s">
        <v>75</v>
      </c>
      <c r="F999" s="21"/>
      <c r="G999" s="147" t="s">
        <v>1146</v>
      </c>
      <c r="H999" s="23" t="s">
        <v>6146</v>
      </c>
      <c r="I999" s="23" t="s">
        <v>8072</v>
      </c>
      <c r="J999" s="21" t="s">
        <v>5439</v>
      </c>
      <c r="K999" s="47"/>
      <c r="L999" s="21" t="s">
        <v>6155</v>
      </c>
      <c r="M999" s="26">
        <v>44524</v>
      </c>
      <c r="N999" s="44">
        <f>0.2*84642.16</f>
        <v>16928.432000000001</v>
      </c>
      <c r="O999" s="22" t="s">
        <v>15</v>
      </c>
      <c r="P999" s="44">
        <v>16928</v>
      </c>
      <c r="Q999" s="44">
        <f t="shared" si="104"/>
        <v>0.43200000000069849</v>
      </c>
      <c r="R999" s="24">
        <f t="shared" si="103"/>
        <v>16928</v>
      </c>
    </row>
    <row r="1000" spans="1:19" hidden="1" x14ac:dyDescent="0.25">
      <c r="A1000" t="s">
        <v>6753</v>
      </c>
      <c r="B1000" s="21" t="s">
        <v>395</v>
      </c>
      <c r="C1000" s="22" t="s">
        <v>4628</v>
      </c>
      <c r="D1000" s="22"/>
      <c r="E1000" s="21" t="s">
        <v>75</v>
      </c>
      <c r="F1000" s="21"/>
      <c r="G1000" s="147" t="s">
        <v>1146</v>
      </c>
      <c r="H1000" s="23" t="s">
        <v>6146</v>
      </c>
      <c r="I1000" s="23" t="s">
        <v>8072</v>
      </c>
      <c r="J1000" s="21" t="s">
        <v>5440</v>
      </c>
      <c r="K1000" s="47"/>
      <c r="L1000" s="21" t="s">
        <v>7551</v>
      </c>
      <c r="M1000" s="26" t="s">
        <v>7552</v>
      </c>
      <c r="N1000" s="44">
        <f>0.2*743208.79</f>
        <v>148641.758</v>
      </c>
      <c r="O1000" s="22" t="s">
        <v>15</v>
      </c>
      <c r="P1000" s="44">
        <f>148642-148642</f>
        <v>0</v>
      </c>
      <c r="Q1000" s="44">
        <v>0</v>
      </c>
      <c r="R1000" s="24">
        <f t="shared" si="103"/>
        <v>0</v>
      </c>
    </row>
    <row r="1001" spans="1:19" hidden="1" x14ac:dyDescent="0.25">
      <c r="A1001" t="s">
        <v>6753</v>
      </c>
      <c r="B1001" s="21" t="s">
        <v>395</v>
      </c>
      <c r="C1001" s="22" t="s">
        <v>4628</v>
      </c>
      <c r="D1001" s="22"/>
      <c r="E1001" s="21" t="s">
        <v>75</v>
      </c>
      <c r="F1001" s="21"/>
      <c r="G1001" s="147" t="s">
        <v>1146</v>
      </c>
      <c r="H1001" s="23" t="s">
        <v>6283</v>
      </c>
      <c r="I1001" s="23" t="s">
        <v>8073</v>
      </c>
      <c r="J1001" s="21" t="s">
        <v>2498</v>
      </c>
      <c r="K1001" s="47"/>
      <c r="L1001" s="21" t="s">
        <v>6628</v>
      </c>
      <c r="M1001" s="26">
        <v>44648</v>
      </c>
      <c r="N1001" s="44">
        <v>50000</v>
      </c>
      <c r="O1001" s="22" t="s">
        <v>15</v>
      </c>
      <c r="P1001" s="44">
        <v>50000</v>
      </c>
      <c r="Q1001" s="44">
        <f t="shared" ref="Q1001:Q1005" si="105">IF(P1001="en cours",N1001,IF(P1001="OK",0,IF(N1001-P1001&lt;0,0,N1001-P1001)))</f>
        <v>0</v>
      </c>
      <c r="R1001" s="24">
        <f t="shared" si="103"/>
        <v>50000</v>
      </c>
    </row>
    <row r="1002" spans="1:19" hidden="1" x14ac:dyDescent="0.25">
      <c r="A1002" t="s">
        <v>6753</v>
      </c>
      <c r="B1002" s="21" t="s">
        <v>395</v>
      </c>
      <c r="C1002" s="22" t="s">
        <v>4628</v>
      </c>
      <c r="D1002" s="22"/>
      <c r="E1002" s="21" t="s">
        <v>75</v>
      </c>
      <c r="F1002" s="21"/>
      <c r="G1002" s="147" t="s">
        <v>1146</v>
      </c>
      <c r="H1002" s="23" t="s">
        <v>6631</v>
      </c>
      <c r="I1002" s="23" t="s">
        <v>8074</v>
      </c>
      <c r="J1002" s="21" t="s">
        <v>5428</v>
      </c>
      <c r="K1002" s="47"/>
      <c r="L1002" s="21" t="s">
        <v>7196</v>
      </c>
      <c r="M1002" s="26">
        <v>44846</v>
      </c>
      <c r="N1002" s="44">
        <v>38633.199999999997</v>
      </c>
      <c r="O1002" s="22" t="s">
        <v>15</v>
      </c>
      <c r="P1002" s="44">
        <v>38633.199999999997</v>
      </c>
      <c r="Q1002" s="44">
        <f t="shared" si="105"/>
        <v>0</v>
      </c>
      <c r="R1002" s="24">
        <f t="shared" si="103"/>
        <v>38633.199999999997</v>
      </c>
    </row>
    <row r="1003" spans="1:19" hidden="1" x14ac:dyDescent="0.25">
      <c r="A1003" t="s">
        <v>6753</v>
      </c>
      <c r="B1003" s="21" t="s">
        <v>395</v>
      </c>
      <c r="C1003" s="22" t="s">
        <v>4628</v>
      </c>
      <c r="D1003" s="22"/>
      <c r="E1003" s="21" t="s">
        <v>75</v>
      </c>
      <c r="F1003" s="21"/>
      <c r="G1003" s="147" t="s">
        <v>1146</v>
      </c>
      <c r="H1003" s="23" t="s">
        <v>6147</v>
      </c>
      <c r="I1003" s="23" t="s">
        <v>8016</v>
      </c>
      <c r="J1003" s="21" t="s">
        <v>4409</v>
      </c>
      <c r="K1003" s="21"/>
      <c r="L1003" s="21" t="s">
        <v>4947</v>
      </c>
      <c r="M1003" s="23" t="s">
        <v>4948</v>
      </c>
      <c r="N1003" s="44">
        <v>6840</v>
      </c>
      <c r="O1003" s="22" t="s">
        <v>15</v>
      </c>
      <c r="P1003" s="44">
        <f>1200+3420+3420-1200</f>
        <v>6840</v>
      </c>
      <c r="Q1003" s="44">
        <f t="shared" si="105"/>
        <v>0</v>
      </c>
      <c r="R1003" s="24">
        <f t="shared" si="103"/>
        <v>6840</v>
      </c>
      <c r="S1003" s="21"/>
    </row>
    <row r="1004" spans="1:19" hidden="1" x14ac:dyDescent="0.25">
      <c r="A1004" t="s">
        <v>6753</v>
      </c>
      <c r="B1004" s="21" t="s">
        <v>395</v>
      </c>
      <c r="C1004" s="22" t="s">
        <v>4628</v>
      </c>
      <c r="D1004" s="22"/>
      <c r="E1004" s="21" t="s">
        <v>75</v>
      </c>
      <c r="F1004" s="21"/>
      <c r="G1004" s="147" t="s">
        <v>1146</v>
      </c>
      <c r="H1004" s="23" t="s">
        <v>6145</v>
      </c>
      <c r="I1004" s="23" t="s">
        <v>8053</v>
      </c>
      <c r="J1004" s="21" t="s">
        <v>5101</v>
      </c>
      <c r="K1004" s="21"/>
      <c r="L1004" s="21" t="s">
        <v>5102</v>
      </c>
      <c r="M1004" s="26">
        <v>44344</v>
      </c>
      <c r="N1004" s="44">
        <f>318084/2</f>
        <v>159042</v>
      </c>
      <c r="O1004" s="22" t="s">
        <v>15</v>
      </c>
      <c r="P1004" s="44">
        <v>159042</v>
      </c>
      <c r="Q1004" s="44">
        <f t="shared" si="105"/>
        <v>0</v>
      </c>
      <c r="R1004" s="24">
        <f t="shared" si="103"/>
        <v>159042</v>
      </c>
    </row>
    <row r="1005" spans="1:19" hidden="1" x14ac:dyDescent="0.25">
      <c r="A1005" t="s">
        <v>6753</v>
      </c>
      <c r="B1005" s="21" t="s">
        <v>395</v>
      </c>
      <c r="C1005" s="22" t="s">
        <v>4628</v>
      </c>
      <c r="D1005" s="22"/>
      <c r="E1005" s="21" t="s">
        <v>75</v>
      </c>
      <c r="F1005" s="21"/>
      <c r="G1005" s="147" t="s">
        <v>1146</v>
      </c>
      <c r="H1005" s="23" t="s">
        <v>6145</v>
      </c>
      <c r="I1005" s="23" t="s">
        <v>8053</v>
      </c>
      <c r="J1005" s="21" t="s">
        <v>5100</v>
      </c>
      <c r="K1005" s="47"/>
      <c r="L1005" s="21" t="s">
        <v>5482</v>
      </c>
      <c r="M1005" s="26">
        <v>44399</v>
      </c>
      <c r="N1005" s="44">
        <f>318084/2</f>
        <v>159042</v>
      </c>
      <c r="O1005" s="22" t="s">
        <v>15</v>
      </c>
      <c r="P1005" s="44">
        <v>159042</v>
      </c>
      <c r="Q1005" s="44">
        <f t="shared" si="105"/>
        <v>0</v>
      </c>
      <c r="R1005" s="24">
        <f t="shared" si="103"/>
        <v>159042</v>
      </c>
    </row>
    <row r="1006" spans="1:19" hidden="1" x14ac:dyDescent="0.25">
      <c r="B1006" s="21" t="s">
        <v>395</v>
      </c>
      <c r="C1006" s="22" t="s">
        <v>2460</v>
      </c>
      <c r="D1006" s="22"/>
      <c r="E1006" s="21" t="s">
        <v>75</v>
      </c>
      <c r="F1006" s="21"/>
      <c r="G1006" s="147" t="s">
        <v>1146</v>
      </c>
      <c r="H1006" s="23" t="s">
        <v>1674</v>
      </c>
      <c r="I1006" s="23"/>
      <c r="J1006" s="21" t="s">
        <v>1675</v>
      </c>
      <c r="K1006" s="120"/>
      <c r="L1006" s="21" t="s">
        <v>1928</v>
      </c>
      <c r="M1006" s="26">
        <v>43656</v>
      </c>
      <c r="N1006" s="44">
        <f>0.25*1054325.63</f>
        <v>263581.40749999997</v>
      </c>
      <c r="O1006" s="22" t="s">
        <v>15</v>
      </c>
      <c r="P1006" s="44" t="s">
        <v>19</v>
      </c>
      <c r="Q1006" s="24">
        <f t="shared" ref="Q1006:Q1028" si="106">IF(P1006="en cours",N1006,IF(P1006="OK",0,IF(N1006-P1006&lt;0,0,N1006-P1006)))</f>
        <v>0</v>
      </c>
      <c r="R1006" s="24">
        <f t="shared" ref="R1006:R1012" si="107">IF(P1006="OK",N1006-Q1006,IF(P1006="en cours",N1006-Q1006,P1006))</f>
        <v>263581.40749999997</v>
      </c>
      <c r="S1006" s="5" t="s">
        <v>1680</v>
      </c>
    </row>
    <row r="1007" spans="1:19" hidden="1" x14ac:dyDescent="0.25">
      <c r="B1007" s="21" t="s">
        <v>395</v>
      </c>
      <c r="C1007" s="22" t="s">
        <v>2460</v>
      </c>
      <c r="D1007" s="22"/>
      <c r="E1007" s="21" t="s">
        <v>75</v>
      </c>
      <c r="F1007" s="21"/>
      <c r="G1007" s="147" t="s">
        <v>1146</v>
      </c>
      <c r="H1007" s="23" t="s">
        <v>1674</v>
      </c>
      <c r="I1007" s="23"/>
      <c r="J1007" s="21" t="s">
        <v>1676</v>
      </c>
      <c r="K1007" s="120"/>
      <c r="L1007" s="21" t="s">
        <v>1928</v>
      </c>
      <c r="M1007" s="26">
        <v>43656</v>
      </c>
      <c r="N1007" s="44">
        <f>0.2*1054325.63</f>
        <v>210865.12599999999</v>
      </c>
      <c r="O1007" s="22" t="s">
        <v>15</v>
      </c>
      <c r="P1007" s="44" t="s">
        <v>19</v>
      </c>
      <c r="Q1007" s="24">
        <f t="shared" si="106"/>
        <v>0</v>
      </c>
      <c r="R1007" s="24">
        <f t="shared" si="107"/>
        <v>210865.12599999999</v>
      </c>
      <c r="S1007" s="5" t="s">
        <v>1805</v>
      </c>
    </row>
    <row r="1008" spans="1:19" hidden="1" x14ac:dyDescent="0.25">
      <c r="B1008" s="21" t="s">
        <v>395</v>
      </c>
      <c r="C1008" s="22" t="s">
        <v>2460</v>
      </c>
      <c r="D1008" s="22"/>
      <c r="E1008" s="21" t="s">
        <v>75</v>
      </c>
      <c r="F1008" s="21"/>
      <c r="G1008" s="147" t="s">
        <v>1146</v>
      </c>
      <c r="H1008" s="23" t="s">
        <v>1674</v>
      </c>
      <c r="I1008" s="23"/>
      <c r="J1008" s="21" t="s">
        <v>1677</v>
      </c>
      <c r="K1008" s="120"/>
      <c r="L1008" s="21" t="s">
        <v>1906</v>
      </c>
      <c r="M1008" s="26">
        <v>43686</v>
      </c>
      <c r="N1008" s="44">
        <f>0.2*1054325.63</f>
        <v>210865.12599999999</v>
      </c>
      <c r="O1008" s="22" t="s">
        <v>15</v>
      </c>
      <c r="P1008" s="44" t="s">
        <v>19</v>
      </c>
      <c r="Q1008" s="24">
        <f t="shared" si="106"/>
        <v>0</v>
      </c>
      <c r="R1008" s="24">
        <f t="shared" si="107"/>
        <v>210865.12599999999</v>
      </c>
      <c r="S1008" s="5" t="s">
        <v>1680</v>
      </c>
    </row>
    <row r="1009" spans="2:19" ht="16.5" hidden="1" customHeight="1" x14ac:dyDescent="0.25">
      <c r="B1009" s="21" t="s">
        <v>395</v>
      </c>
      <c r="C1009" s="22" t="s">
        <v>2460</v>
      </c>
      <c r="D1009" s="22"/>
      <c r="E1009" s="21" t="s">
        <v>75</v>
      </c>
      <c r="F1009" s="21"/>
      <c r="G1009" s="147" t="s">
        <v>1146</v>
      </c>
      <c r="H1009" s="23" t="s">
        <v>1674</v>
      </c>
      <c r="I1009" s="23"/>
      <c r="J1009" s="21" t="s">
        <v>1678</v>
      </c>
      <c r="K1009" s="120"/>
      <c r="L1009" s="21" t="s">
        <v>1930</v>
      </c>
      <c r="M1009" s="26">
        <v>43712</v>
      </c>
      <c r="N1009" s="44">
        <f>0.2*1054325.63</f>
        <v>210865.12599999999</v>
      </c>
      <c r="O1009" s="22" t="s">
        <v>15</v>
      </c>
      <c r="P1009" s="44" t="s">
        <v>19</v>
      </c>
      <c r="Q1009" s="24">
        <f t="shared" si="106"/>
        <v>0</v>
      </c>
      <c r="R1009" s="24">
        <f t="shared" si="107"/>
        <v>210865.12599999999</v>
      </c>
      <c r="S1009" s="5" t="s">
        <v>1680</v>
      </c>
    </row>
    <row r="1010" spans="2:19" ht="16.5" hidden="1" customHeight="1" x14ac:dyDescent="0.25">
      <c r="B1010" s="21" t="s">
        <v>395</v>
      </c>
      <c r="C1010" s="22" t="s">
        <v>2460</v>
      </c>
      <c r="D1010" s="22"/>
      <c r="E1010" s="21" t="s">
        <v>75</v>
      </c>
      <c r="F1010" s="21"/>
      <c r="G1010" s="147" t="s">
        <v>1146</v>
      </c>
      <c r="H1010" s="23" t="s">
        <v>1674</v>
      </c>
      <c r="I1010" s="23"/>
      <c r="J1010" s="21" t="s">
        <v>1679</v>
      </c>
      <c r="K1010" s="120"/>
      <c r="L1010" s="21" t="s">
        <v>2345</v>
      </c>
      <c r="M1010" s="26">
        <v>43760</v>
      </c>
      <c r="N1010" s="44">
        <f>0.15*1054325.63</f>
        <v>158148.84449999998</v>
      </c>
      <c r="O1010" s="22" t="s">
        <v>15</v>
      </c>
      <c r="P1010" s="44" t="s">
        <v>19</v>
      </c>
      <c r="Q1010" s="24">
        <f t="shared" si="106"/>
        <v>0</v>
      </c>
      <c r="R1010" s="24">
        <f t="shared" si="107"/>
        <v>158148.84449999998</v>
      </c>
      <c r="S1010" s="5" t="s">
        <v>1680</v>
      </c>
    </row>
    <row r="1011" spans="2:19" ht="16.5" hidden="1" customHeight="1" x14ac:dyDescent="0.25">
      <c r="B1011" s="21" t="s">
        <v>395</v>
      </c>
      <c r="C1011" s="22" t="s">
        <v>2460</v>
      </c>
      <c r="D1011" s="22"/>
      <c r="E1011" s="21" t="s">
        <v>75</v>
      </c>
      <c r="F1011" s="21"/>
      <c r="G1011" s="147" t="s">
        <v>1146</v>
      </c>
      <c r="H1011" s="23" t="s">
        <v>1674</v>
      </c>
      <c r="I1011" s="23"/>
      <c r="J1011" s="21" t="s">
        <v>1791</v>
      </c>
      <c r="K1011" s="120"/>
      <c r="L1011" s="21" t="s">
        <v>2501</v>
      </c>
      <c r="M1011" s="120" t="s">
        <v>2464</v>
      </c>
      <c r="N1011" s="44">
        <v>73358.86</v>
      </c>
      <c r="O1011" s="22" t="s">
        <v>15</v>
      </c>
      <c r="P1011" s="44">
        <f>19502.2+32156.73+21699.93</f>
        <v>73358.86</v>
      </c>
      <c r="Q1011" s="24">
        <f t="shared" si="106"/>
        <v>0</v>
      </c>
      <c r="R1011" s="236">
        <f t="shared" si="107"/>
        <v>73358.86</v>
      </c>
      <c r="S1011" s="217" t="s">
        <v>4094</v>
      </c>
    </row>
    <row r="1012" spans="2:19" hidden="1" x14ac:dyDescent="0.25">
      <c r="B1012" s="21" t="s">
        <v>395</v>
      </c>
      <c r="C1012" s="22" t="s">
        <v>2460</v>
      </c>
      <c r="D1012" s="22"/>
      <c r="E1012" s="21" t="s">
        <v>75</v>
      </c>
      <c r="F1012" s="21"/>
      <c r="G1012" s="147" t="s">
        <v>1146</v>
      </c>
      <c r="H1012" s="23" t="s">
        <v>2479</v>
      </c>
      <c r="I1012" s="23"/>
      <c r="J1012" s="21" t="s">
        <v>2573</v>
      </c>
      <c r="K1012" s="120"/>
      <c r="L1012" s="21" t="s">
        <v>2574</v>
      </c>
      <c r="M1012" s="26">
        <v>43790</v>
      </c>
      <c r="N1012" s="100">
        <v>500000</v>
      </c>
      <c r="O1012" s="22" t="s">
        <v>15</v>
      </c>
      <c r="P1012" s="22" t="s">
        <v>19</v>
      </c>
      <c r="Q1012" s="24">
        <f t="shared" si="106"/>
        <v>0</v>
      </c>
      <c r="R1012" s="24">
        <f t="shared" si="107"/>
        <v>500000</v>
      </c>
    </row>
    <row r="1013" spans="2:19" hidden="1" x14ac:dyDescent="0.25">
      <c r="B1013" s="21" t="s">
        <v>395</v>
      </c>
      <c r="C1013" s="22" t="s">
        <v>2460</v>
      </c>
      <c r="D1013" s="22"/>
      <c r="E1013" s="21" t="s">
        <v>75</v>
      </c>
      <c r="F1013" s="21"/>
      <c r="G1013" s="147" t="s">
        <v>1146</v>
      </c>
      <c r="H1013" s="23" t="s">
        <v>2479</v>
      </c>
      <c r="I1013" s="23"/>
      <c r="J1013" s="21" t="s">
        <v>2483</v>
      </c>
      <c r="K1013" s="120"/>
      <c r="L1013" s="21" t="s">
        <v>2752</v>
      </c>
      <c r="M1013" s="26">
        <v>43845</v>
      </c>
      <c r="N1013" s="100">
        <v>400000</v>
      </c>
      <c r="O1013" s="22" t="s">
        <v>15</v>
      </c>
      <c r="P1013" s="22" t="s">
        <v>19</v>
      </c>
      <c r="Q1013" s="24">
        <f t="shared" si="106"/>
        <v>0</v>
      </c>
      <c r="R1013" s="22">
        <f t="shared" ref="R1013:R1044" si="108">IF(P1013="OK",N1013-Q1013,IF(P1013="en cours",M1013-Q1013,P1013))</f>
        <v>400000</v>
      </c>
    </row>
    <row r="1014" spans="2:19" hidden="1" x14ac:dyDescent="0.25">
      <c r="B1014" s="21" t="s">
        <v>395</v>
      </c>
      <c r="C1014" s="22" t="s">
        <v>2460</v>
      </c>
      <c r="D1014" s="22"/>
      <c r="E1014" s="21" t="s">
        <v>75</v>
      </c>
      <c r="F1014" s="21"/>
      <c r="G1014" s="147" t="s">
        <v>1146</v>
      </c>
      <c r="H1014" s="23" t="s">
        <v>2479</v>
      </c>
      <c r="I1014" s="23"/>
      <c r="J1014" s="21" t="s">
        <v>3257</v>
      </c>
      <c r="K1014" s="120"/>
      <c r="L1014" s="21" t="s">
        <v>3258</v>
      </c>
      <c r="M1014" s="26">
        <v>43977</v>
      </c>
      <c r="N1014" s="100">
        <v>400000</v>
      </c>
      <c r="O1014" s="22" t="s">
        <v>15</v>
      </c>
      <c r="P1014" s="22" t="s">
        <v>19</v>
      </c>
      <c r="Q1014" s="24">
        <f t="shared" si="106"/>
        <v>0</v>
      </c>
      <c r="R1014" s="22">
        <f t="shared" si="108"/>
        <v>400000</v>
      </c>
    </row>
    <row r="1015" spans="2:19" hidden="1" x14ac:dyDescent="0.25">
      <c r="B1015" s="21" t="s">
        <v>395</v>
      </c>
      <c r="C1015" s="22" t="s">
        <v>2460</v>
      </c>
      <c r="D1015" s="22"/>
      <c r="E1015" s="21" t="s">
        <v>75</v>
      </c>
      <c r="F1015" s="21"/>
      <c r="G1015" s="147" t="s">
        <v>1146</v>
      </c>
      <c r="H1015" s="23" t="s">
        <v>2479</v>
      </c>
      <c r="I1015" s="23"/>
      <c r="J1015" s="21" t="s">
        <v>3821</v>
      </c>
      <c r="K1015" s="120"/>
      <c r="L1015" s="21" t="s">
        <v>3820</v>
      </c>
      <c r="M1015" s="26">
        <v>44112</v>
      </c>
      <c r="N1015" s="100">
        <v>400000</v>
      </c>
      <c r="O1015" s="22" t="s">
        <v>15</v>
      </c>
      <c r="P1015" s="22" t="s">
        <v>19</v>
      </c>
      <c r="Q1015" s="24">
        <f t="shared" si="106"/>
        <v>0</v>
      </c>
      <c r="R1015" s="22">
        <f t="shared" si="108"/>
        <v>400000</v>
      </c>
    </row>
    <row r="1016" spans="2:19" hidden="1" x14ac:dyDescent="0.25">
      <c r="B1016" s="21" t="s">
        <v>395</v>
      </c>
      <c r="C1016" s="22" t="s">
        <v>2460</v>
      </c>
      <c r="D1016" s="22"/>
      <c r="E1016" s="21" t="s">
        <v>75</v>
      </c>
      <c r="F1016" s="21"/>
      <c r="G1016" s="147" t="s">
        <v>1146</v>
      </c>
      <c r="H1016" s="23" t="s">
        <v>2479</v>
      </c>
      <c r="I1016" s="23"/>
      <c r="J1016" s="21" t="s">
        <v>2486</v>
      </c>
      <c r="K1016" s="120"/>
      <c r="L1016" s="21" t="s">
        <v>4356</v>
      </c>
      <c r="M1016" s="26">
        <v>44231</v>
      </c>
      <c r="N1016" s="100">
        <v>200000</v>
      </c>
      <c r="O1016" s="22" t="s">
        <v>15</v>
      </c>
      <c r="P1016" s="22" t="s">
        <v>19</v>
      </c>
      <c r="Q1016" s="24">
        <f t="shared" si="106"/>
        <v>0</v>
      </c>
      <c r="R1016" s="116">
        <f t="shared" si="108"/>
        <v>200000</v>
      </c>
    </row>
    <row r="1017" spans="2:19" hidden="1" x14ac:dyDescent="0.25">
      <c r="B1017" s="21" t="s">
        <v>395</v>
      </c>
      <c r="C1017" s="22" t="s">
        <v>2460</v>
      </c>
      <c r="D1017" s="22"/>
      <c r="E1017" s="21" t="s">
        <v>75</v>
      </c>
      <c r="F1017" s="21"/>
      <c r="G1017" s="147" t="s">
        <v>1146</v>
      </c>
      <c r="H1017" s="23" t="s">
        <v>2479</v>
      </c>
      <c r="I1017" s="23"/>
      <c r="J1017" s="21" t="s">
        <v>2488</v>
      </c>
      <c r="K1017" s="120"/>
      <c r="L1017" s="21" t="s">
        <v>4581</v>
      </c>
      <c r="M1017" s="26">
        <v>44260</v>
      </c>
      <c r="N1017" s="44">
        <v>200000</v>
      </c>
      <c r="O1017" s="22" t="s">
        <v>15</v>
      </c>
      <c r="P1017" s="22" t="s">
        <v>19</v>
      </c>
      <c r="Q1017" s="24">
        <f t="shared" si="106"/>
        <v>0</v>
      </c>
      <c r="R1017" s="116">
        <f t="shared" si="108"/>
        <v>200000</v>
      </c>
    </row>
    <row r="1018" spans="2:19" hidden="1" x14ac:dyDescent="0.25">
      <c r="B1018" s="21" t="s">
        <v>395</v>
      </c>
      <c r="C1018" s="22" t="s">
        <v>2460</v>
      </c>
      <c r="D1018" s="22"/>
      <c r="E1018" s="21" t="s">
        <v>75</v>
      </c>
      <c r="F1018" s="21"/>
      <c r="G1018" s="147" t="s">
        <v>1146</v>
      </c>
      <c r="H1018" s="23" t="s">
        <v>2479</v>
      </c>
      <c r="I1018" s="23"/>
      <c r="J1018" s="21" t="s">
        <v>2489</v>
      </c>
      <c r="K1018" s="120"/>
      <c r="L1018" s="21" t="s">
        <v>4809</v>
      </c>
      <c r="M1018" s="26">
        <v>44301</v>
      </c>
      <c r="N1018" s="44">
        <v>200000</v>
      </c>
      <c r="O1018" s="22" t="s">
        <v>15</v>
      </c>
      <c r="P1018" s="22" t="s">
        <v>19</v>
      </c>
      <c r="Q1018" s="24">
        <f t="shared" si="106"/>
        <v>0</v>
      </c>
      <c r="R1018" s="116">
        <f t="shared" si="108"/>
        <v>200000</v>
      </c>
    </row>
    <row r="1019" spans="2:19" hidden="1" x14ac:dyDescent="0.25">
      <c r="B1019" s="21" t="s">
        <v>395</v>
      </c>
      <c r="C1019" s="22" t="s">
        <v>2460</v>
      </c>
      <c r="D1019" s="22"/>
      <c r="E1019" s="21" t="s">
        <v>75</v>
      </c>
      <c r="F1019" s="21"/>
      <c r="G1019" s="147" t="s">
        <v>1146</v>
      </c>
      <c r="H1019" s="23" t="s">
        <v>2479</v>
      </c>
      <c r="I1019" s="23"/>
      <c r="J1019" s="21" t="s">
        <v>2491</v>
      </c>
      <c r="K1019" s="120"/>
      <c r="L1019" s="21" t="s">
        <v>4809</v>
      </c>
      <c r="M1019" s="26">
        <v>44301</v>
      </c>
      <c r="N1019" s="44">
        <v>150000</v>
      </c>
      <c r="O1019" s="22" t="s">
        <v>15</v>
      </c>
      <c r="P1019" s="22" t="s">
        <v>19</v>
      </c>
      <c r="Q1019" s="24">
        <f t="shared" si="106"/>
        <v>0</v>
      </c>
      <c r="R1019" s="116">
        <f t="shared" si="108"/>
        <v>150000</v>
      </c>
    </row>
    <row r="1020" spans="2:19" hidden="1" x14ac:dyDescent="0.25">
      <c r="B1020" s="21" t="s">
        <v>395</v>
      </c>
      <c r="C1020" s="22" t="s">
        <v>2460</v>
      </c>
      <c r="D1020" s="22"/>
      <c r="E1020" s="21" t="s">
        <v>75</v>
      </c>
      <c r="F1020" s="21"/>
      <c r="G1020" s="147" t="s">
        <v>1146</v>
      </c>
      <c r="H1020" s="23" t="s">
        <v>2479</v>
      </c>
      <c r="I1020" s="23"/>
      <c r="J1020" s="21" t="s">
        <v>2493</v>
      </c>
      <c r="K1020" s="120"/>
      <c r="L1020" s="21" t="s">
        <v>5044</v>
      </c>
      <c r="M1020" s="26">
        <v>44335</v>
      </c>
      <c r="N1020" s="44">
        <v>150000</v>
      </c>
      <c r="O1020" s="22" t="s">
        <v>15</v>
      </c>
      <c r="P1020" s="22" t="s">
        <v>19</v>
      </c>
      <c r="Q1020" s="24">
        <f t="shared" si="106"/>
        <v>0</v>
      </c>
      <c r="R1020" s="116">
        <f t="shared" si="108"/>
        <v>150000</v>
      </c>
    </row>
    <row r="1021" spans="2:19" hidden="1" x14ac:dyDescent="0.25">
      <c r="B1021" s="21" t="s">
        <v>395</v>
      </c>
      <c r="C1021" s="22" t="s">
        <v>2460</v>
      </c>
      <c r="D1021" s="22"/>
      <c r="E1021" s="21" t="s">
        <v>75</v>
      </c>
      <c r="F1021" s="21"/>
      <c r="G1021" s="147" t="s">
        <v>1146</v>
      </c>
      <c r="H1021" s="23" t="s">
        <v>2479</v>
      </c>
      <c r="I1021" s="23"/>
      <c r="J1021" s="21" t="s">
        <v>2481</v>
      </c>
      <c r="K1021" s="120"/>
      <c r="L1021" s="21" t="s">
        <v>2620</v>
      </c>
      <c r="M1021" s="26">
        <v>43804</v>
      </c>
      <c r="N1021" s="44">
        <f>0.1*2005209.14</f>
        <v>200520.91399999999</v>
      </c>
      <c r="O1021" s="22" t="s">
        <v>15</v>
      </c>
      <c r="P1021" s="22" t="s">
        <v>19</v>
      </c>
      <c r="Q1021" s="24">
        <f t="shared" si="106"/>
        <v>0</v>
      </c>
      <c r="R1021" s="236">
        <f t="shared" si="108"/>
        <v>200520.91399999999</v>
      </c>
      <c r="S1021" s="5" t="s">
        <v>5109</v>
      </c>
    </row>
    <row r="1022" spans="2:19" hidden="1" x14ac:dyDescent="0.25">
      <c r="B1022" s="21" t="s">
        <v>395</v>
      </c>
      <c r="C1022" s="22" t="s">
        <v>2460</v>
      </c>
      <c r="D1022" s="22"/>
      <c r="E1022" s="21" t="s">
        <v>75</v>
      </c>
      <c r="F1022" s="21"/>
      <c r="G1022" s="147" t="s">
        <v>1146</v>
      </c>
      <c r="H1022" s="23" t="s">
        <v>2479</v>
      </c>
      <c r="I1022" s="23"/>
      <c r="J1022" s="21" t="s">
        <v>2482</v>
      </c>
      <c r="K1022" s="120"/>
      <c r="L1022" s="21" t="s">
        <v>3619</v>
      </c>
      <c r="M1022" s="26">
        <v>44064</v>
      </c>
      <c r="N1022" s="44">
        <f>0.1*2568887</f>
        <v>256888.7</v>
      </c>
      <c r="O1022" s="22" t="s">
        <v>15</v>
      </c>
      <c r="P1022" s="22" t="s">
        <v>19</v>
      </c>
      <c r="Q1022" s="44">
        <f t="shared" si="106"/>
        <v>0</v>
      </c>
      <c r="R1022" s="236">
        <f t="shared" si="108"/>
        <v>256888.7</v>
      </c>
      <c r="S1022" s="5" t="s">
        <v>5109</v>
      </c>
    </row>
    <row r="1023" spans="2:19" ht="18.75" hidden="1" customHeight="1" x14ac:dyDescent="0.25">
      <c r="C1023" s="4" t="s">
        <v>2460</v>
      </c>
      <c r="E1023" s="5" t="s">
        <v>75</v>
      </c>
      <c r="G1023" s="146" t="s">
        <v>1146</v>
      </c>
      <c r="H1023" s="7" t="s">
        <v>7436</v>
      </c>
      <c r="J1023" s="170" t="s">
        <v>180</v>
      </c>
      <c r="K1023" s="13"/>
      <c r="L1023" s="5" t="s">
        <v>13844</v>
      </c>
      <c r="M1023" s="12" t="s">
        <v>13845</v>
      </c>
      <c r="N1023" s="45">
        <f>2005209.14-(0.1*2005209.14)-73358.86-31876.2+321484.59+84394.67+275689.45</f>
        <v>2381021.8760000002</v>
      </c>
      <c r="O1023" s="4" t="s">
        <v>15</v>
      </c>
      <c r="P1023" s="45">
        <f>51637.23+25495.3+40312.29+34804.73+21063.25+139818.26+14973.79+24266.39+51606.6+38109.82+21510.55+22541.23+28843.58+18300.91+73729.13+20572.5+32289.76+48144.97+33513.92+26595.2+36373.52+49995.97+63369.48+49822.55+88625.83+66294.75+1667.68+49062.03+762.12+37682.53+61635.79+46105.14+33808.23+24746.61+29231.88+35932.24+53154.88+27353.24+37261.57+36120.11+24597.17+24467.06+13777.56+14600+24962.69+123627.58+3378.1+1464.62-36867.03+5745.1+7843.23+3.96+3130.44-4711.68+275.42+3048.27+3845.4+1.9+93.9+2594.4+773.56+253.83+245.93+1821.7+2851.93</f>
        <v>1818960.5999999999</v>
      </c>
      <c r="Q1023" s="45">
        <f t="shared" si="106"/>
        <v>562061.2760000003</v>
      </c>
      <c r="R1023" s="237">
        <f t="shared" si="108"/>
        <v>1818960.5999999999</v>
      </c>
    </row>
    <row r="1024" spans="2:19" ht="29.25" hidden="1" customHeight="1" x14ac:dyDescent="0.25">
      <c r="C1024" s="4" t="s">
        <v>2460</v>
      </c>
      <c r="E1024" s="5" t="s">
        <v>75</v>
      </c>
      <c r="G1024" s="146" t="s">
        <v>1146</v>
      </c>
      <c r="H1024" s="7" t="s">
        <v>7436</v>
      </c>
      <c r="J1024" s="170" t="s">
        <v>2480</v>
      </c>
      <c r="K1024" s="13"/>
      <c r="L1024" s="5" t="s">
        <v>13842</v>
      </c>
      <c r="M1024" s="12" t="s">
        <v>13843</v>
      </c>
      <c r="N1024" s="45">
        <f>2568887-(0.1*2568887)-279261-81096+178281+256888.7</f>
        <v>2386811</v>
      </c>
      <c r="O1024" s="4" t="s">
        <v>15</v>
      </c>
      <c r="P1024" s="45">
        <f>5920+13445.97+6876.48+22511.64+7095.17+35381.94+11197.27+39970.09+83077.65+51501.57+66432.84+43995.69+34684.98+43314.22+50726.07+52861.4+122371.18+64858.69+90173.17+61953.72+33248.82+60254.83+76431.9+75669.78+124308.16+59760.6+65894.53-76431.9+65602.41+32924.14+46471.49+88500.74+31619.95+34460.97+30941.76+13828.81+33269.35+74389.39+66860.02+70828.59+93543.01+61451.67+33098.08+58769+36414.37+15399.11+13771.9+19941.12+24912.31+857.9-1776+8258.43+9730-932.78+180+7770.04+4398.86+1051.11+981+18162+9745.6</f>
        <v>2332910.81</v>
      </c>
      <c r="Q1024" s="45">
        <f t="shared" si="106"/>
        <v>53900.189999999944</v>
      </c>
      <c r="R1024" s="237">
        <f t="shared" si="108"/>
        <v>2332910.81</v>
      </c>
      <c r="S1024" s="5" t="s">
        <v>8978</v>
      </c>
    </row>
    <row r="1025" spans="2:20" hidden="1" x14ac:dyDescent="0.25">
      <c r="B1025" s="21" t="s">
        <v>395</v>
      </c>
      <c r="C1025" s="22" t="s">
        <v>2460</v>
      </c>
      <c r="D1025" s="22"/>
      <c r="E1025" s="21" t="s">
        <v>75</v>
      </c>
      <c r="F1025" s="21"/>
      <c r="G1025" s="147" t="s">
        <v>1146</v>
      </c>
      <c r="H1025" s="23" t="s">
        <v>5272</v>
      </c>
      <c r="I1025" s="23"/>
      <c r="J1025" s="21" t="s">
        <v>2487</v>
      </c>
      <c r="K1025" s="120"/>
      <c r="L1025" s="21" t="s">
        <v>5957</v>
      </c>
      <c r="M1025" s="26">
        <v>44483</v>
      </c>
      <c r="N1025" s="192">
        <v>500000</v>
      </c>
      <c r="O1025" s="22" t="s">
        <v>15</v>
      </c>
      <c r="P1025" s="22" t="s">
        <v>19</v>
      </c>
      <c r="Q1025" s="24">
        <f t="shared" si="106"/>
        <v>0</v>
      </c>
      <c r="R1025" s="116">
        <f t="shared" si="108"/>
        <v>500000</v>
      </c>
    </row>
    <row r="1026" spans="2:20" hidden="1" x14ac:dyDescent="0.25">
      <c r="B1026" s="21" t="s">
        <v>395</v>
      </c>
      <c r="C1026" s="22" t="s">
        <v>2460</v>
      </c>
      <c r="D1026" s="22"/>
      <c r="E1026" s="21" t="s">
        <v>75</v>
      </c>
      <c r="F1026" s="21"/>
      <c r="G1026" s="147" t="s">
        <v>1146</v>
      </c>
      <c r="H1026" s="23" t="s">
        <v>5272</v>
      </c>
      <c r="I1026" s="23"/>
      <c r="J1026" s="21" t="s">
        <v>2490</v>
      </c>
      <c r="K1026" s="120"/>
      <c r="L1026" s="21" t="s">
        <v>6356</v>
      </c>
      <c r="M1026" s="26">
        <v>44573</v>
      </c>
      <c r="N1026" s="192">
        <v>600000</v>
      </c>
      <c r="O1026" s="22" t="s">
        <v>15</v>
      </c>
      <c r="P1026" s="22" t="s">
        <v>19</v>
      </c>
      <c r="Q1026" s="24">
        <f t="shared" si="106"/>
        <v>0</v>
      </c>
      <c r="R1026" s="116">
        <f t="shared" si="108"/>
        <v>600000</v>
      </c>
    </row>
    <row r="1027" spans="2:20" hidden="1" x14ac:dyDescent="0.25">
      <c r="B1027" s="21" t="s">
        <v>395</v>
      </c>
      <c r="C1027" s="22" t="s">
        <v>2460</v>
      </c>
      <c r="D1027" s="22"/>
      <c r="E1027" s="21" t="s">
        <v>75</v>
      </c>
      <c r="F1027" s="21"/>
      <c r="G1027" s="147" t="s">
        <v>1146</v>
      </c>
      <c r="H1027" s="23" t="s">
        <v>5272</v>
      </c>
      <c r="I1027" s="23"/>
      <c r="J1027" s="21" t="s">
        <v>2492</v>
      </c>
      <c r="K1027" s="120"/>
      <c r="L1027" s="21" t="s">
        <v>6527</v>
      </c>
      <c r="M1027" s="26">
        <v>44616</v>
      </c>
      <c r="N1027" s="192">
        <v>600000</v>
      </c>
      <c r="O1027" s="22" t="s">
        <v>15</v>
      </c>
      <c r="P1027" s="22" t="s">
        <v>19</v>
      </c>
      <c r="Q1027" s="24">
        <f t="shared" si="106"/>
        <v>0</v>
      </c>
      <c r="R1027" s="116">
        <f t="shared" si="108"/>
        <v>600000</v>
      </c>
      <c r="T1027" s="118"/>
    </row>
    <row r="1028" spans="2:20" hidden="1" x14ac:dyDescent="0.25">
      <c r="B1028" s="21" t="s">
        <v>395</v>
      </c>
      <c r="C1028" s="22" t="s">
        <v>2460</v>
      </c>
      <c r="D1028" s="22"/>
      <c r="E1028" s="21" t="s">
        <v>75</v>
      </c>
      <c r="F1028" s="21"/>
      <c r="G1028" s="147" t="s">
        <v>1146</v>
      </c>
      <c r="H1028" s="23" t="s">
        <v>5272</v>
      </c>
      <c r="I1028" s="23"/>
      <c r="J1028" s="21" t="s">
        <v>2494</v>
      </c>
      <c r="K1028" s="120"/>
      <c r="L1028" s="21" t="s">
        <v>6948</v>
      </c>
      <c r="M1028" s="26">
        <v>44755</v>
      </c>
      <c r="N1028" s="192">
        <v>150000</v>
      </c>
      <c r="O1028" s="22" t="s">
        <v>15</v>
      </c>
      <c r="P1028" s="24" t="s">
        <v>19</v>
      </c>
      <c r="Q1028" s="24">
        <f t="shared" si="106"/>
        <v>0</v>
      </c>
      <c r="R1028" s="24">
        <f t="shared" si="108"/>
        <v>150000</v>
      </c>
    </row>
    <row r="1029" spans="2:20" hidden="1" x14ac:dyDescent="0.25">
      <c r="B1029" s="21" t="s">
        <v>395</v>
      </c>
      <c r="C1029" s="22" t="s">
        <v>2460</v>
      </c>
      <c r="D1029" s="22"/>
      <c r="E1029" s="21" t="s">
        <v>75</v>
      </c>
      <c r="F1029" s="21"/>
      <c r="G1029" s="147" t="s">
        <v>1146</v>
      </c>
      <c r="H1029" s="23" t="s">
        <v>5272</v>
      </c>
      <c r="I1029" s="23"/>
      <c r="J1029" s="21" t="s">
        <v>4095</v>
      </c>
      <c r="K1029" s="120"/>
      <c r="L1029" s="21" t="s">
        <v>6355</v>
      </c>
      <c r="M1029" s="26">
        <v>44574</v>
      </c>
      <c r="N1029" s="192">
        <v>280000</v>
      </c>
      <c r="O1029" s="22" t="s">
        <v>15</v>
      </c>
      <c r="P1029" s="22" t="s">
        <v>19</v>
      </c>
      <c r="Q1029" s="24">
        <f t="shared" ref="Q1029:Q1061" si="109">IF(P1029="en cours",N1029,IF(P1029="OK",0,IF(N1029-P1029&lt;0,0,N1029-P1029)))</f>
        <v>0</v>
      </c>
      <c r="R1029" s="116">
        <f t="shared" si="108"/>
        <v>280000</v>
      </c>
    </row>
    <row r="1030" spans="2:20" hidden="1" x14ac:dyDescent="0.25">
      <c r="B1030" s="21" t="s">
        <v>395</v>
      </c>
      <c r="C1030" s="22" t="s">
        <v>2460</v>
      </c>
      <c r="D1030" s="22"/>
      <c r="E1030" s="21" t="s">
        <v>75</v>
      </c>
      <c r="F1030" s="21"/>
      <c r="G1030" s="147" t="s">
        <v>1146</v>
      </c>
      <c r="H1030" s="23" t="s">
        <v>5272</v>
      </c>
      <c r="I1030" s="23"/>
      <c r="J1030" s="21" t="s">
        <v>2495</v>
      </c>
      <c r="K1030" s="120"/>
      <c r="L1030" s="21" t="s">
        <v>7219</v>
      </c>
      <c r="M1030" s="26">
        <v>44855</v>
      </c>
      <c r="N1030" s="192">
        <v>100000</v>
      </c>
      <c r="O1030" s="22" t="s">
        <v>15</v>
      </c>
      <c r="P1030" s="22" t="s">
        <v>19</v>
      </c>
      <c r="Q1030" s="24">
        <f t="shared" si="109"/>
        <v>0</v>
      </c>
      <c r="R1030" s="116">
        <f t="shared" si="108"/>
        <v>100000</v>
      </c>
    </row>
    <row r="1031" spans="2:20" hidden="1" x14ac:dyDescent="0.25">
      <c r="B1031" s="21" t="s">
        <v>395</v>
      </c>
      <c r="C1031" s="22" t="s">
        <v>2460</v>
      </c>
      <c r="D1031" s="22"/>
      <c r="E1031" s="21" t="s">
        <v>75</v>
      </c>
      <c r="F1031" s="21"/>
      <c r="G1031" s="147" t="s">
        <v>1146</v>
      </c>
      <c r="H1031" s="23" t="s">
        <v>5272</v>
      </c>
      <c r="I1031" s="23"/>
      <c r="J1031" s="21" t="s">
        <v>4096</v>
      </c>
      <c r="K1031" s="120"/>
      <c r="L1031" s="21" t="s">
        <v>6535</v>
      </c>
      <c r="M1031" s="26">
        <v>44617</v>
      </c>
      <c r="N1031" s="192">
        <v>100000</v>
      </c>
      <c r="O1031" s="22" t="s">
        <v>15</v>
      </c>
      <c r="P1031" s="24" t="s">
        <v>19</v>
      </c>
      <c r="Q1031" s="24">
        <f t="shared" si="109"/>
        <v>0</v>
      </c>
      <c r="R1031" s="116">
        <f t="shared" si="108"/>
        <v>100000</v>
      </c>
    </row>
    <row r="1032" spans="2:20" hidden="1" x14ac:dyDescent="0.25">
      <c r="B1032" s="21" t="s">
        <v>395</v>
      </c>
      <c r="C1032" s="22" t="s">
        <v>2460</v>
      </c>
      <c r="D1032" s="22"/>
      <c r="E1032" s="21" t="s">
        <v>75</v>
      </c>
      <c r="F1032" s="21"/>
      <c r="G1032" s="147" t="s">
        <v>1146</v>
      </c>
      <c r="H1032" s="23" t="s">
        <v>5272</v>
      </c>
      <c r="I1032" s="23"/>
      <c r="J1032" s="21" t="s">
        <v>7078</v>
      </c>
      <c r="K1032" s="120"/>
      <c r="L1032" s="21" t="s">
        <v>7079</v>
      </c>
      <c r="M1032" s="26">
        <v>44813</v>
      </c>
      <c r="N1032" s="192">
        <v>100000</v>
      </c>
      <c r="O1032" s="22" t="s">
        <v>15</v>
      </c>
      <c r="P1032" s="24" t="s">
        <v>19</v>
      </c>
      <c r="Q1032" s="24">
        <f t="shared" si="109"/>
        <v>0</v>
      </c>
      <c r="R1032" s="116">
        <f t="shared" si="108"/>
        <v>100000</v>
      </c>
    </row>
    <row r="1033" spans="2:20" hidden="1" x14ac:dyDescent="0.25">
      <c r="B1033" s="21" t="s">
        <v>395</v>
      </c>
      <c r="C1033" s="22" t="s">
        <v>2460</v>
      </c>
      <c r="D1033" s="22"/>
      <c r="E1033" s="21" t="s">
        <v>75</v>
      </c>
      <c r="F1033" s="21"/>
      <c r="G1033" s="147" t="s">
        <v>1146</v>
      </c>
      <c r="H1033" s="391" t="s">
        <v>7434</v>
      </c>
      <c r="I1033" s="391"/>
      <c r="J1033" s="21" t="s">
        <v>7435</v>
      </c>
      <c r="K1033" s="120"/>
      <c r="L1033" s="21" t="s">
        <v>7540</v>
      </c>
      <c r="M1033" s="26">
        <v>44932</v>
      </c>
      <c r="N1033" s="397">
        <v>600000</v>
      </c>
      <c r="O1033" s="22" t="s">
        <v>15</v>
      </c>
      <c r="P1033" s="24" t="s">
        <v>19</v>
      </c>
      <c r="Q1033" s="24">
        <f t="shared" si="109"/>
        <v>0</v>
      </c>
      <c r="R1033" s="116">
        <f t="shared" si="108"/>
        <v>600000</v>
      </c>
    </row>
    <row r="1034" spans="2:20" hidden="1" x14ac:dyDescent="0.25">
      <c r="B1034" s="21" t="s">
        <v>395</v>
      </c>
      <c r="C1034" s="22" t="s">
        <v>2460</v>
      </c>
      <c r="D1034" s="22"/>
      <c r="E1034" s="21" t="s">
        <v>75</v>
      </c>
      <c r="F1034" s="21"/>
      <c r="G1034" s="147" t="s">
        <v>1146</v>
      </c>
      <c r="H1034" s="391" t="s">
        <v>7434</v>
      </c>
      <c r="I1034" s="391"/>
      <c r="J1034" s="21" t="s">
        <v>2496</v>
      </c>
      <c r="K1034" s="120"/>
      <c r="L1034" s="21" t="s">
        <v>7539</v>
      </c>
      <c r="M1034" s="26">
        <v>44959</v>
      </c>
      <c r="N1034" s="397">
        <v>500000</v>
      </c>
      <c r="O1034" s="22" t="s">
        <v>15</v>
      </c>
      <c r="P1034" s="24" t="s">
        <v>19</v>
      </c>
      <c r="Q1034" s="24">
        <f t="shared" si="109"/>
        <v>0</v>
      </c>
      <c r="R1034" s="116">
        <f t="shared" si="108"/>
        <v>500000</v>
      </c>
    </row>
    <row r="1035" spans="2:20" hidden="1" x14ac:dyDescent="0.25">
      <c r="B1035" s="21" t="s">
        <v>395</v>
      </c>
      <c r="C1035" s="22" t="s">
        <v>2460</v>
      </c>
      <c r="D1035" s="22"/>
      <c r="E1035" s="21" t="s">
        <v>75</v>
      </c>
      <c r="F1035" s="21"/>
      <c r="G1035" s="147" t="s">
        <v>1146</v>
      </c>
      <c r="H1035" s="391" t="s">
        <v>7434</v>
      </c>
      <c r="I1035" s="391"/>
      <c r="J1035" s="21" t="s">
        <v>2497</v>
      </c>
      <c r="K1035" s="120"/>
      <c r="L1035" s="21" t="s">
        <v>7703</v>
      </c>
      <c r="M1035" s="26">
        <v>45008</v>
      </c>
      <c r="N1035" s="397">
        <v>300000</v>
      </c>
      <c r="O1035" s="22" t="s">
        <v>15</v>
      </c>
      <c r="P1035" s="24" t="s">
        <v>19</v>
      </c>
      <c r="Q1035" s="24">
        <f t="shared" si="109"/>
        <v>0</v>
      </c>
      <c r="R1035" s="116">
        <f t="shared" si="108"/>
        <v>300000</v>
      </c>
    </row>
    <row r="1036" spans="2:20" hidden="1" x14ac:dyDescent="0.25">
      <c r="B1036" s="21" t="s">
        <v>395</v>
      </c>
      <c r="C1036" s="22" t="s">
        <v>2460</v>
      </c>
      <c r="D1036" s="22"/>
      <c r="E1036" s="21" t="s">
        <v>75</v>
      </c>
      <c r="F1036" s="21"/>
      <c r="G1036" s="147" t="s">
        <v>1146</v>
      </c>
      <c r="H1036" s="391" t="s">
        <v>7434</v>
      </c>
      <c r="I1036" s="391"/>
      <c r="J1036" s="21" t="s">
        <v>2498</v>
      </c>
      <c r="K1036" s="120"/>
      <c r="L1036" s="21" t="s">
        <v>7777</v>
      </c>
      <c r="M1036" s="26">
        <v>45020</v>
      </c>
      <c r="N1036" s="397">
        <v>170000</v>
      </c>
      <c r="O1036" s="22" t="s">
        <v>15</v>
      </c>
      <c r="P1036" s="24" t="s">
        <v>19</v>
      </c>
      <c r="Q1036" s="24">
        <f t="shared" si="109"/>
        <v>0</v>
      </c>
      <c r="R1036" s="116">
        <f t="shared" si="108"/>
        <v>170000</v>
      </c>
    </row>
    <row r="1037" spans="2:20" hidden="1" x14ac:dyDescent="0.25">
      <c r="B1037" s="21" t="s">
        <v>395</v>
      </c>
      <c r="C1037" s="22" t="s">
        <v>2460</v>
      </c>
      <c r="D1037" s="22"/>
      <c r="E1037" s="21" t="s">
        <v>75</v>
      </c>
      <c r="F1037" s="21"/>
      <c r="G1037" s="147" t="s">
        <v>1146</v>
      </c>
      <c r="H1037" s="391" t="s">
        <v>7434</v>
      </c>
      <c r="I1037" s="391"/>
      <c r="J1037" s="21" t="s">
        <v>2499</v>
      </c>
      <c r="K1037" s="120"/>
      <c r="L1037" s="21" t="s">
        <v>10583</v>
      </c>
      <c r="M1037" s="26">
        <v>45576</v>
      </c>
      <c r="N1037" s="397">
        <v>50000</v>
      </c>
      <c r="O1037" s="22" t="s">
        <v>15</v>
      </c>
      <c r="P1037" s="24">
        <v>50000</v>
      </c>
      <c r="Q1037" s="24">
        <f t="shared" si="109"/>
        <v>0</v>
      </c>
      <c r="R1037" s="116">
        <f t="shared" si="108"/>
        <v>50000</v>
      </c>
    </row>
    <row r="1038" spans="2:20" hidden="1" x14ac:dyDescent="0.25">
      <c r="C1038" s="4" t="s">
        <v>2460</v>
      </c>
      <c r="E1038" s="5" t="s">
        <v>75</v>
      </c>
      <c r="G1038" s="146" t="s">
        <v>1146</v>
      </c>
      <c r="H1038" s="216" t="s">
        <v>11821</v>
      </c>
      <c r="I1038" s="402"/>
      <c r="J1038" s="5" t="s">
        <v>2500</v>
      </c>
      <c r="K1038" s="13"/>
      <c r="L1038" s="5" t="s">
        <v>12144</v>
      </c>
      <c r="M1038" s="12">
        <v>45848</v>
      </c>
      <c r="N1038" s="501">
        <v>57894.38</v>
      </c>
      <c r="O1038" s="4" t="s">
        <v>15</v>
      </c>
      <c r="P1038" s="3">
        <v>57894.38</v>
      </c>
      <c r="Q1038" s="3">
        <f t="shared" si="109"/>
        <v>0</v>
      </c>
      <c r="R1038" s="237">
        <f t="shared" si="108"/>
        <v>57894.38</v>
      </c>
    </row>
    <row r="1039" spans="2:20" hidden="1" x14ac:dyDescent="0.25">
      <c r="B1039" s="21" t="s">
        <v>395</v>
      </c>
      <c r="C1039" s="22" t="s">
        <v>2460</v>
      </c>
      <c r="D1039" s="22"/>
      <c r="E1039" s="21" t="s">
        <v>75</v>
      </c>
      <c r="F1039" s="21"/>
      <c r="G1039" s="147" t="s">
        <v>1146</v>
      </c>
      <c r="H1039" s="294" t="s">
        <v>11821</v>
      </c>
      <c r="I1039" s="391"/>
      <c r="J1039" s="21" t="s">
        <v>11822</v>
      </c>
      <c r="K1039" s="120"/>
      <c r="L1039" s="21" t="s">
        <v>11837</v>
      </c>
      <c r="M1039" s="26">
        <v>45772</v>
      </c>
      <c r="N1039" s="284">
        <v>321706.2</v>
      </c>
      <c r="O1039" s="22" t="s">
        <v>15</v>
      </c>
      <c r="P1039" s="24">
        <v>321706.2</v>
      </c>
      <c r="Q1039" s="24">
        <f t="shared" ref="Q1039" si="110">IF(P1039="en cours",N1039,IF(P1039="OK",0,IF(N1039-P1039&lt;0,0,N1039-P1039)))</f>
        <v>0</v>
      </c>
      <c r="R1039" s="236">
        <f t="shared" ref="R1039" si="111">IF(P1039="OK",N1039-Q1039,IF(P1039="en cours",M1039-Q1039,P1039))</f>
        <v>321706.2</v>
      </c>
    </row>
    <row r="1040" spans="2:20" hidden="1" x14ac:dyDescent="0.25">
      <c r="B1040" s="21" t="s">
        <v>395</v>
      </c>
      <c r="C1040" s="22" t="s">
        <v>2460</v>
      </c>
      <c r="D1040" s="22"/>
      <c r="E1040" s="21" t="s">
        <v>75</v>
      </c>
      <c r="F1040" s="21"/>
      <c r="G1040" s="147" t="s">
        <v>1146</v>
      </c>
      <c r="H1040" s="188" t="s">
        <v>3764</v>
      </c>
      <c r="I1040" s="188"/>
      <c r="J1040" s="21" t="s">
        <v>3942</v>
      </c>
      <c r="K1040" s="120"/>
      <c r="L1040" s="21" t="s">
        <v>3790</v>
      </c>
      <c r="M1040" s="26">
        <v>44110</v>
      </c>
      <c r="N1040" s="204">
        <v>520000</v>
      </c>
      <c r="O1040" s="22" t="s">
        <v>15</v>
      </c>
      <c r="P1040" s="22" t="s">
        <v>19</v>
      </c>
      <c r="Q1040" s="24">
        <f t="shared" si="109"/>
        <v>0</v>
      </c>
      <c r="R1040" s="116">
        <f t="shared" si="108"/>
        <v>520000</v>
      </c>
    </row>
    <row r="1041" spans="2:19" hidden="1" x14ac:dyDescent="0.25">
      <c r="B1041" s="21" t="s">
        <v>395</v>
      </c>
      <c r="C1041" s="22" t="s">
        <v>2460</v>
      </c>
      <c r="D1041" s="22"/>
      <c r="E1041" s="21" t="s">
        <v>75</v>
      </c>
      <c r="F1041" s="21"/>
      <c r="G1041" s="147" t="s">
        <v>1146</v>
      </c>
      <c r="H1041" s="188" t="s">
        <v>3764</v>
      </c>
      <c r="I1041" s="188"/>
      <c r="J1041" s="21" t="s">
        <v>2484</v>
      </c>
      <c r="K1041" s="120"/>
      <c r="L1041" s="21" t="s">
        <v>3943</v>
      </c>
      <c r="M1041" s="26">
        <v>44141</v>
      </c>
      <c r="N1041" s="204">
        <v>400000</v>
      </c>
      <c r="O1041" s="22" t="s">
        <v>15</v>
      </c>
      <c r="P1041" s="22" t="s">
        <v>19</v>
      </c>
      <c r="Q1041" s="24">
        <f t="shared" si="109"/>
        <v>0</v>
      </c>
      <c r="R1041" s="116">
        <f t="shared" si="108"/>
        <v>400000</v>
      </c>
    </row>
    <row r="1042" spans="2:19" hidden="1" x14ac:dyDescent="0.25">
      <c r="B1042" s="21" t="s">
        <v>395</v>
      </c>
      <c r="C1042" s="22" t="s">
        <v>2460</v>
      </c>
      <c r="D1042" s="22"/>
      <c r="E1042" s="21" t="s">
        <v>75</v>
      </c>
      <c r="F1042" s="21"/>
      <c r="G1042" s="147" t="s">
        <v>1146</v>
      </c>
      <c r="H1042" s="188" t="s">
        <v>3764</v>
      </c>
      <c r="I1042" s="188"/>
      <c r="J1042" s="21" t="s">
        <v>2485</v>
      </c>
      <c r="K1042" s="120"/>
      <c r="L1042" s="21" t="s">
        <v>4514</v>
      </c>
      <c r="M1042" s="26">
        <v>44251</v>
      </c>
      <c r="N1042" s="204">
        <v>400000</v>
      </c>
      <c r="O1042" s="22" t="s">
        <v>15</v>
      </c>
      <c r="P1042" s="22" t="s">
        <v>19</v>
      </c>
      <c r="Q1042" s="24">
        <f t="shared" si="109"/>
        <v>0</v>
      </c>
      <c r="R1042" s="116">
        <f t="shared" si="108"/>
        <v>400000</v>
      </c>
    </row>
    <row r="1043" spans="2:19" hidden="1" x14ac:dyDescent="0.25">
      <c r="B1043" s="21" t="s">
        <v>395</v>
      </c>
      <c r="C1043" s="22" t="s">
        <v>2460</v>
      </c>
      <c r="D1043" s="22"/>
      <c r="E1043" s="21" t="s">
        <v>75</v>
      </c>
      <c r="F1043" s="21"/>
      <c r="G1043" s="147" t="s">
        <v>1146</v>
      </c>
      <c r="H1043" s="190" t="s">
        <v>5270</v>
      </c>
      <c r="I1043" s="190"/>
      <c r="J1043" s="191" t="s">
        <v>5271</v>
      </c>
      <c r="K1043" s="120"/>
      <c r="L1043" s="21" t="s">
        <v>5320</v>
      </c>
      <c r="M1043" s="26">
        <v>44379</v>
      </c>
      <c r="N1043" s="192">
        <v>450000</v>
      </c>
      <c r="O1043" s="22" t="s">
        <v>15</v>
      </c>
      <c r="P1043" s="22" t="s">
        <v>19</v>
      </c>
      <c r="Q1043" s="24">
        <f t="shared" si="109"/>
        <v>0</v>
      </c>
      <c r="R1043" s="116">
        <f t="shared" si="108"/>
        <v>450000</v>
      </c>
    </row>
    <row r="1044" spans="2:19" hidden="1" x14ac:dyDescent="0.25">
      <c r="B1044" s="21" t="s">
        <v>395</v>
      </c>
      <c r="C1044" s="22" t="s">
        <v>2460</v>
      </c>
      <c r="D1044" s="22"/>
      <c r="E1044" s="21" t="s">
        <v>75</v>
      </c>
      <c r="F1044" s="21"/>
      <c r="G1044" s="147" t="s">
        <v>1146</v>
      </c>
      <c r="H1044" s="23" t="s">
        <v>3618</v>
      </c>
      <c r="I1044" s="23"/>
      <c r="J1044" s="21" t="s">
        <v>3941</v>
      </c>
      <c r="K1044" s="120"/>
      <c r="L1044" s="21" t="s">
        <v>3620</v>
      </c>
      <c r="M1044" s="26">
        <v>44064</v>
      </c>
      <c r="N1044" s="44">
        <v>30126.06</v>
      </c>
      <c r="O1044" s="22" t="s">
        <v>15</v>
      </c>
      <c r="P1044" s="22" t="s">
        <v>19</v>
      </c>
      <c r="Q1044" s="44">
        <f t="shared" si="109"/>
        <v>0</v>
      </c>
      <c r="R1044" s="116">
        <f t="shared" si="108"/>
        <v>30126.06</v>
      </c>
    </row>
    <row r="1045" spans="2:19" hidden="1" x14ac:dyDescent="0.25">
      <c r="B1045" s="21" t="s">
        <v>395</v>
      </c>
      <c r="C1045" s="22" t="s">
        <v>5809</v>
      </c>
      <c r="D1045" s="22"/>
      <c r="E1045" s="21" t="s">
        <v>75</v>
      </c>
      <c r="F1045" s="21"/>
      <c r="G1045" s="147" t="s">
        <v>1146</v>
      </c>
      <c r="H1045" s="23" t="s">
        <v>5810</v>
      </c>
      <c r="I1045" s="23"/>
      <c r="J1045" s="196" t="s">
        <v>7011</v>
      </c>
      <c r="K1045" s="359"/>
      <c r="L1045" s="196" t="s">
        <v>6072</v>
      </c>
      <c r="M1045" s="197">
        <v>44509</v>
      </c>
      <c r="N1045" s="358">
        <v>0</v>
      </c>
      <c r="O1045" s="22" t="s">
        <v>15</v>
      </c>
      <c r="P1045" s="114">
        <v>0</v>
      </c>
      <c r="Q1045" s="44">
        <f t="shared" si="109"/>
        <v>0</v>
      </c>
      <c r="R1045" s="24">
        <f t="shared" ref="R1045:R1109" si="112">IF(P1045="OK",N1045-Q1045,IF(P1045="en cours",N1045-Q1045,P1045))</f>
        <v>0</v>
      </c>
      <c r="S1045" s="5" t="s">
        <v>7009</v>
      </c>
    </row>
    <row r="1046" spans="2:19" hidden="1" x14ac:dyDescent="0.25">
      <c r="B1046" s="21" t="s">
        <v>395</v>
      </c>
      <c r="C1046" s="22" t="s">
        <v>5809</v>
      </c>
      <c r="D1046" s="22"/>
      <c r="E1046" s="21" t="s">
        <v>75</v>
      </c>
      <c r="F1046" s="21"/>
      <c r="G1046" s="147" t="s">
        <v>1146</v>
      </c>
      <c r="H1046" s="23" t="s">
        <v>5810</v>
      </c>
      <c r="I1046" s="23"/>
      <c r="J1046" s="191" t="s">
        <v>7012</v>
      </c>
      <c r="K1046" s="360"/>
      <c r="L1046" s="191" t="s">
        <v>6071</v>
      </c>
      <c r="M1046" s="193">
        <v>44509</v>
      </c>
      <c r="N1046" s="361">
        <v>0</v>
      </c>
      <c r="O1046" s="22" t="s">
        <v>15</v>
      </c>
      <c r="P1046" s="114">
        <v>0</v>
      </c>
      <c r="Q1046" s="44">
        <f t="shared" si="109"/>
        <v>0</v>
      </c>
      <c r="R1046" s="24">
        <f t="shared" si="112"/>
        <v>0</v>
      </c>
      <c r="S1046" s="5" t="s">
        <v>7009</v>
      </c>
    </row>
    <row r="1047" spans="2:19" hidden="1" x14ac:dyDescent="0.25">
      <c r="B1047" s="21" t="s">
        <v>395</v>
      </c>
      <c r="C1047" s="22" t="s">
        <v>5809</v>
      </c>
      <c r="D1047" s="22"/>
      <c r="E1047" s="21" t="s">
        <v>75</v>
      </c>
      <c r="F1047" s="21"/>
      <c r="G1047" s="147" t="s">
        <v>1146</v>
      </c>
      <c r="H1047" s="23" t="s">
        <v>5810</v>
      </c>
      <c r="I1047" s="23"/>
      <c r="J1047" s="307" t="s">
        <v>7013</v>
      </c>
      <c r="K1047" s="362"/>
      <c r="L1047" s="307" t="s">
        <v>6719</v>
      </c>
      <c r="M1047" s="306" t="s">
        <v>6720</v>
      </c>
      <c r="N1047" s="363">
        <v>0</v>
      </c>
      <c r="O1047" s="22" t="s">
        <v>15</v>
      </c>
      <c r="P1047" s="114">
        <v>0</v>
      </c>
      <c r="Q1047" s="44">
        <f t="shared" si="109"/>
        <v>0</v>
      </c>
      <c r="R1047" s="24">
        <f t="shared" si="112"/>
        <v>0</v>
      </c>
      <c r="S1047" s="5" t="s">
        <v>7009</v>
      </c>
    </row>
    <row r="1048" spans="2:19" hidden="1" x14ac:dyDescent="0.25">
      <c r="B1048" s="21" t="s">
        <v>395</v>
      </c>
      <c r="C1048" s="22" t="s">
        <v>5809</v>
      </c>
      <c r="D1048" s="22"/>
      <c r="E1048" s="21" t="s">
        <v>75</v>
      </c>
      <c r="F1048" s="21"/>
      <c r="G1048" s="147" t="s">
        <v>1146</v>
      </c>
      <c r="H1048" s="23" t="s">
        <v>5810</v>
      </c>
      <c r="I1048" s="23"/>
      <c r="J1048" s="85" t="s">
        <v>7005</v>
      </c>
      <c r="K1048" s="182"/>
      <c r="L1048" s="85" t="s">
        <v>6080</v>
      </c>
      <c r="M1048" s="369">
        <v>44510</v>
      </c>
      <c r="N1048" s="94">
        <v>0</v>
      </c>
      <c r="O1048" s="22" t="s">
        <v>15</v>
      </c>
      <c r="P1048" s="114">
        <v>0</v>
      </c>
      <c r="Q1048" s="44">
        <f t="shared" si="109"/>
        <v>0</v>
      </c>
      <c r="R1048" s="24">
        <f t="shared" si="112"/>
        <v>0</v>
      </c>
      <c r="S1048" s="5" t="s">
        <v>7009</v>
      </c>
    </row>
    <row r="1049" spans="2:19" hidden="1" x14ac:dyDescent="0.25">
      <c r="B1049" s="21" t="s">
        <v>395</v>
      </c>
      <c r="C1049" s="22" t="s">
        <v>5809</v>
      </c>
      <c r="D1049" s="22"/>
      <c r="E1049" s="21" t="s">
        <v>75</v>
      </c>
      <c r="F1049" s="21"/>
      <c r="G1049" s="147" t="s">
        <v>1146</v>
      </c>
      <c r="H1049" s="23" t="s">
        <v>5810</v>
      </c>
      <c r="I1049" s="23"/>
      <c r="J1049" s="39" t="s">
        <v>7006</v>
      </c>
      <c r="K1049" s="370"/>
      <c r="L1049" s="39" t="s">
        <v>6080</v>
      </c>
      <c r="M1049" s="41">
        <v>44510</v>
      </c>
      <c r="N1049" s="97">
        <v>0</v>
      </c>
      <c r="O1049" s="22" t="s">
        <v>15</v>
      </c>
      <c r="P1049" s="114">
        <v>0</v>
      </c>
      <c r="Q1049" s="44">
        <f t="shared" si="109"/>
        <v>0</v>
      </c>
      <c r="R1049" s="24">
        <f t="shared" si="112"/>
        <v>0</v>
      </c>
      <c r="S1049" s="5" t="s">
        <v>7009</v>
      </c>
    </row>
    <row r="1050" spans="2:19" hidden="1" x14ac:dyDescent="0.25">
      <c r="B1050" s="21" t="s">
        <v>395</v>
      </c>
      <c r="C1050" s="22" t="s">
        <v>5809</v>
      </c>
      <c r="D1050" s="22"/>
      <c r="E1050" s="21" t="s">
        <v>75</v>
      </c>
      <c r="F1050" s="21"/>
      <c r="G1050" s="147" t="s">
        <v>1146</v>
      </c>
      <c r="H1050" s="23" t="s">
        <v>5810</v>
      </c>
      <c r="I1050" s="23"/>
      <c r="J1050" s="65" t="s">
        <v>7007</v>
      </c>
      <c r="K1050" s="181"/>
      <c r="L1050" s="65" t="s">
        <v>6627</v>
      </c>
      <c r="M1050" s="167">
        <v>44649</v>
      </c>
      <c r="N1050" s="96">
        <v>0</v>
      </c>
      <c r="O1050" s="22" t="s">
        <v>15</v>
      </c>
      <c r="P1050" s="114">
        <v>0</v>
      </c>
      <c r="Q1050" s="44">
        <f t="shared" si="109"/>
        <v>0</v>
      </c>
      <c r="R1050" s="24">
        <f t="shared" si="112"/>
        <v>0</v>
      </c>
      <c r="S1050" s="5" t="s">
        <v>7009</v>
      </c>
    </row>
    <row r="1051" spans="2:19" hidden="1" x14ac:dyDescent="0.25">
      <c r="B1051" s="21" t="s">
        <v>395</v>
      </c>
      <c r="C1051" s="22" t="s">
        <v>5809</v>
      </c>
      <c r="D1051" s="22"/>
      <c r="E1051" s="21" t="s">
        <v>75</v>
      </c>
      <c r="F1051" s="21"/>
      <c r="G1051" s="147" t="s">
        <v>1146</v>
      </c>
      <c r="H1051" s="23" t="s">
        <v>6626</v>
      </c>
      <c r="I1051" s="23"/>
      <c r="J1051" s="280" t="s">
        <v>7014</v>
      </c>
      <c r="K1051" s="298"/>
      <c r="L1051" s="280" t="s">
        <v>6747</v>
      </c>
      <c r="M1051" s="145">
        <v>44687</v>
      </c>
      <c r="N1051" s="364">
        <v>0</v>
      </c>
      <c r="O1051" s="22" t="s">
        <v>15</v>
      </c>
      <c r="P1051" s="114">
        <v>0</v>
      </c>
      <c r="Q1051" s="44">
        <f t="shared" si="109"/>
        <v>0</v>
      </c>
      <c r="R1051" s="24">
        <f t="shared" si="112"/>
        <v>0</v>
      </c>
      <c r="S1051" s="5" t="s">
        <v>7009</v>
      </c>
    </row>
    <row r="1052" spans="2:19" hidden="1" x14ac:dyDescent="0.25">
      <c r="B1052" s="21" t="s">
        <v>395</v>
      </c>
      <c r="C1052" s="22" t="s">
        <v>5809</v>
      </c>
      <c r="D1052" s="22"/>
      <c r="E1052" s="21" t="s">
        <v>75</v>
      </c>
      <c r="F1052" s="21"/>
      <c r="G1052" s="147" t="s">
        <v>1146</v>
      </c>
      <c r="H1052" s="23" t="s">
        <v>6626</v>
      </c>
      <c r="I1052" s="23"/>
      <c r="J1052" s="274" t="s">
        <v>7015</v>
      </c>
      <c r="K1052" s="365"/>
      <c r="L1052" s="274" t="s">
        <v>6747</v>
      </c>
      <c r="M1052" s="276">
        <v>44687</v>
      </c>
      <c r="N1052" s="185">
        <v>0</v>
      </c>
      <c r="O1052" s="22" t="s">
        <v>15</v>
      </c>
      <c r="P1052" s="114">
        <v>0</v>
      </c>
      <c r="Q1052" s="44">
        <f t="shared" si="109"/>
        <v>0</v>
      </c>
      <c r="R1052" s="24">
        <f t="shared" si="112"/>
        <v>0</v>
      </c>
      <c r="S1052" s="5" t="s">
        <v>7009</v>
      </c>
    </row>
    <row r="1053" spans="2:19" hidden="1" x14ac:dyDescent="0.25">
      <c r="B1053" s="21" t="s">
        <v>395</v>
      </c>
      <c r="C1053" s="22" t="s">
        <v>5809</v>
      </c>
      <c r="D1053" s="22"/>
      <c r="E1053" s="21" t="s">
        <v>75</v>
      </c>
      <c r="F1053" s="21"/>
      <c r="G1053" s="147" t="s">
        <v>1146</v>
      </c>
      <c r="H1053" s="23" t="s">
        <v>6626</v>
      </c>
      <c r="I1053" s="23"/>
      <c r="J1053" s="79" t="s">
        <v>7008</v>
      </c>
      <c r="K1053" s="371"/>
      <c r="L1053" s="79" t="s">
        <v>6838</v>
      </c>
      <c r="M1053" s="179" t="s">
        <v>6839</v>
      </c>
      <c r="N1053" s="105">
        <v>0</v>
      </c>
      <c r="O1053" s="22" t="s">
        <v>15</v>
      </c>
      <c r="P1053" s="114">
        <v>0</v>
      </c>
      <c r="Q1053" s="44">
        <f t="shared" si="109"/>
        <v>0</v>
      </c>
      <c r="R1053" s="24">
        <f t="shared" si="112"/>
        <v>0</v>
      </c>
      <c r="S1053" s="5" t="s">
        <v>7009</v>
      </c>
    </row>
    <row r="1054" spans="2:19" hidden="1" x14ac:dyDescent="0.25">
      <c r="B1054" s="21" t="s">
        <v>395</v>
      </c>
      <c r="C1054" s="22" t="s">
        <v>5809</v>
      </c>
      <c r="D1054" s="22"/>
      <c r="E1054" s="21" t="s">
        <v>75</v>
      </c>
      <c r="F1054" s="21"/>
      <c r="G1054" s="147" t="s">
        <v>1146</v>
      </c>
      <c r="H1054" s="23" t="s">
        <v>6906</v>
      </c>
      <c r="I1054" s="23"/>
      <c r="J1054" s="310" t="s">
        <v>7010</v>
      </c>
      <c r="K1054" s="366"/>
      <c r="L1054" s="310" t="s">
        <v>6908</v>
      </c>
      <c r="M1054" s="367">
        <v>44747</v>
      </c>
      <c r="N1054" s="368">
        <v>0</v>
      </c>
      <c r="O1054" s="22" t="s">
        <v>15</v>
      </c>
      <c r="P1054" s="114">
        <v>0</v>
      </c>
      <c r="Q1054" s="44">
        <f t="shared" si="109"/>
        <v>0</v>
      </c>
      <c r="R1054" s="24">
        <f t="shared" si="112"/>
        <v>0</v>
      </c>
      <c r="S1054" s="5" t="s">
        <v>7009</v>
      </c>
    </row>
    <row r="1055" spans="2:19" hidden="1" x14ac:dyDescent="0.25">
      <c r="B1055" s="21" t="s">
        <v>395</v>
      </c>
      <c r="C1055" s="55" t="s">
        <v>5809</v>
      </c>
      <c r="D1055" s="55"/>
      <c r="E1055" s="176" t="s">
        <v>75</v>
      </c>
      <c r="F1055" s="176"/>
      <c r="G1055" s="373" t="s">
        <v>1146</v>
      </c>
      <c r="H1055" s="188" t="s">
        <v>6906</v>
      </c>
      <c r="I1055" s="188"/>
      <c r="J1055" s="176" t="s">
        <v>6907</v>
      </c>
      <c r="K1055" s="374"/>
      <c r="L1055" s="176"/>
      <c r="M1055" s="189"/>
      <c r="N1055" s="204">
        <v>0</v>
      </c>
      <c r="O1055" s="55" t="s">
        <v>15</v>
      </c>
      <c r="P1055" s="375" t="s">
        <v>19</v>
      </c>
      <c r="Q1055" s="204">
        <f t="shared" si="109"/>
        <v>0</v>
      </c>
      <c r="R1055" s="376">
        <f t="shared" si="112"/>
        <v>0</v>
      </c>
      <c r="S1055" s="217" t="s">
        <v>7302</v>
      </c>
    </row>
    <row r="1056" spans="2:19" hidden="1" x14ac:dyDescent="0.25">
      <c r="B1056" s="21" t="s">
        <v>395</v>
      </c>
      <c r="C1056" s="22" t="s">
        <v>2459</v>
      </c>
      <c r="D1056" s="22"/>
      <c r="E1056" s="21" t="s">
        <v>75</v>
      </c>
      <c r="F1056" s="21"/>
      <c r="G1056" s="147" t="s">
        <v>1146</v>
      </c>
      <c r="H1056" s="23" t="s">
        <v>1147</v>
      </c>
      <c r="I1056" s="23"/>
      <c r="J1056" s="21" t="s">
        <v>1148</v>
      </c>
      <c r="K1056" s="21"/>
      <c r="L1056" s="21" t="s">
        <v>2045</v>
      </c>
      <c r="M1056" s="26">
        <v>43489</v>
      </c>
      <c r="N1056" s="99">
        <v>625000</v>
      </c>
      <c r="O1056" s="22" t="s">
        <v>15</v>
      </c>
      <c r="P1056" s="22" t="s">
        <v>19</v>
      </c>
      <c r="Q1056" s="44">
        <f t="shared" si="109"/>
        <v>0</v>
      </c>
      <c r="R1056" s="24">
        <f t="shared" si="112"/>
        <v>625000</v>
      </c>
      <c r="S1056" s="5" t="s">
        <v>1220</v>
      </c>
    </row>
    <row r="1057" spans="2:19" hidden="1" x14ac:dyDescent="0.25">
      <c r="B1057" s="21" t="s">
        <v>395</v>
      </c>
      <c r="C1057" s="22" t="s">
        <v>2459</v>
      </c>
      <c r="D1057" s="22"/>
      <c r="E1057" s="21" t="s">
        <v>75</v>
      </c>
      <c r="F1057" s="21"/>
      <c r="G1057" s="147" t="s">
        <v>1146</v>
      </c>
      <c r="H1057" s="23" t="s">
        <v>1147</v>
      </c>
      <c r="I1057" s="23"/>
      <c r="J1057" s="21" t="s">
        <v>1149</v>
      </c>
      <c r="K1057" s="21"/>
      <c r="L1057" s="21" t="s">
        <v>2045</v>
      </c>
      <c r="M1057" s="26">
        <v>43489</v>
      </c>
      <c r="N1057" s="99">
        <v>305000</v>
      </c>
      <c r="O1057" s="22" t="s">
        <v>15</v>
      </c>
      <c r="P1057" s="22" t="s">
        <v>19</v>
      </c>
      <c r="Q1057" s="44">
        <f t="shared" si="109"/>
        <v>0</v>
      </c>
      <c r="R1057" s="24">
        <f t="shared" si="112"/>
        <v>305000</v>
      </c>
    </row>
    <row r="1058" spans="2:19" hidden="1" x14ac:dyDescent="0.25">
      <c r="B1058" s="21" t="s">
        <v>395</v>
      </c>
      <c r="C1058" s="22" t="s">
        <v>2459</v>
      </c>
      <c r="D1058" s="22"/>
      <c r="E1058" s="21" t="s">
        <v>75</v>
      </c>
      <c r="F1058" s="21"/>
      <c r="G1058" s="147" t="s">
        <v>1146</v>
      </c>
      <c r="H1058" s="23" t="s">
        <v>1147</v>
      </c>
      <c r="I1058" s="23"/>
      <c r="J1058" s="21" t="s">
        <v>1150</v>
      </c>
      <c r="K1058" s="21"/>
      <c r="L1058" s="21" t="s">
        <v>2046</v>
      </c>
      <c r="M1058" s="26">
        <v>43502</v>
      </c>
      <c r="N1058" s="99">
        <v>255000</v>
      </c>
      <c r="O1058" s="22" t="s">
        <v>15</v>
      </c>
      <c r="P1058" s="22" t="s">
        <v>19</v>
      </c>
      <c r="Q1058" s="44">
        <f t="shared" si="109"/>
        <v>0</v>
      </c>
      <c r="R1058" s="24">
        <f t="shared" si="112"/>
        <v>255000</v>
      </c>
    </row>
    <row r="1059" spans="2:19" hidden="1" x14ac:dyDescent="0.25">
      <c r="B1059" s="21" t="s">
        <v>395</v>
      </c>
      <c r="C1059" s="22" t="s">
        <v>2459</v>
      </c>
      <c r="D1059" s="22"/>
      <c r="E1059" s="21" t="s">
        <v>75</v>
      </c>
      <c r="F1059" s="21"/>
      <c r="G1059" s="147" t="s">
        <v>1146</v>
      </c>
      <c r="H1059" s="23" t="s">
        <v>1147</v>
      </c>
      <c r="I1059" s="23"/>
      <c r="J1059" s="21" t="s">
        <v>1151</v>
      </c>
      <c r="K1059" s="21"/>
      <c r="L1059" s="21" t="s">
        <v>2047</v>
      </c>
      <c r="M1059" s="26">
        <v>43530</v>
      </c>
      <c r="N1059" s="99">
        <v>245000</v>
      </c>
      <c r="O1059" s="22" t="s">
        <v>15</v>
      </c>
      <c r="P1059" s="22" t="s">
        <v>19</v>
      </c>
      <c r="Q1059" s="44">
        <f t="shared" si="109"/>
        <v>0</v>
      </c>
      <c r="R1059" s="24">
        <f t="shared" si="112"/>
        <v>245000</v>
      </c>
    </row>
    <row r="1060" spans="2:19" hidden="1" x14ac:dyDescent="0.25">
      <c r="B1060" s="21" t="s">
        <v>395</v>
      </c>
      <c r="C1060" s="22" t="s">
        <v>2459</v>
      </c>
      <c r="D1060" s="22"/>
      <c r="E1060" s="21" t="s">
        <v>75</v>
      </c>
      <c r="F1060" s="21"/>
      <c r="G1060" s="147" t="s">
        <v>1146</v>
      </c>
      <c r="H1060" s="23" t="s">
        <v>1147</v>
      </c>
      <c r="I1060" s="23"/>
      <c r="J1060" s="21" t="s">
        <v>1152</v>
      </c>
      <c r="K1060" s="21"/>
      <c r="L1060" s="21" t="s">
        <v>2048</v>
      </c>
      <c r="M1060" s="26">
        <v>43558</v>
      </c>
      <c r="N1060" s="99">
        <v>206895.04</v>
      </c>
      <c r="O1060" s="22" t="s">
        <v>15</v>
      </c>
      <c r="P1060" s="22" t="s">
        <v>19</v>
      </c>
      <c r="Q1060" s="44">
        <f t="shared" si="109"/>
        <v>0</v>
      </c>
      <c r="R1060" s="24">
        <f t="shared" si="112"/>
        <v>206895.04</v>
      </c>
    </row>
    <row r="1061" spans="2:19" hidden="1" x14ac:dyDescent="0.25">
      <c r="B1061" s="21" t="s">
        <v>395</v>
      </c>
      <c r="C1061" s="22" t="s">
        <v>2459</v>
      </c>
      <c r="D1061" s="22"/>
      <c r="E1061" s="21" t="s">
        <v>75</v>
      </c>
      <c r="F1061" s="21"/>
      <c r="G1061" s="147" t="s">
        <v>1146</v>
      </c>
      <c r="H1061" s="23" t="s">
        <v>1147</v>
      </c>
      <c r="I1061" s="23"/>
      <c r="J1061" s="21" t="s">
        <v>1153</v>
      </c>
      <c r="K1061" s="21"/>
      <c r="L1061" s="21" t="s">
        <v>2050</v>
      </c>
      <c r="M1061" s="26" t="s">
        <v>2051</v>
      </c>
      <c r="N1061" s="99">
        <v>0</v>
      </c>
      <c r="O1061" s="22" t="s">
        <v>15</v>
      </c>
      <c r="P1061" s="22" t="s">
        <v>19</v>
      </c>
      <c r="Q1061" s="44">
        <f t="shared" si="109"/>
        <v>0</v>
      </c>
      <c r="R1061" s="24">
        <f t="shared" si="112"/>
        <v>0</v>
      </c>
    </row>
    <row r="1062" spans="2:19" hidden="1" x14ac:dyDescent="0.25">
      <c r="B1062" s="21" t="s">
        <v>395</v>
      </c>
      <c r="C1062" s="22" t="s">
        <v>5921</v>
      </c>
      <c r="D1062" s="22"/>
      <c r="E1062" s="21" t="s">
        <v>3234</v>
      </c>
      <c r="F1062" s="21"/>
      <c r="G1062" s="147" t="s">
        <v>1146</v>
      </c>
      <c r="H1062" s="23" t="s">
        <v>5922</v>
      </c>
      <c r="I1062" s="23"/>
      <c r="J1062" s="21" t="s">
        <v>5924</v>
      </c>
      <c r="K1062" s="21"/>
      <c r="L1062" s="21" t="s">
        <v>5925</v>
      </c>
      <c r="M1062" s="26">
        <v>44468</v>
      </c>
      <c r="N1062" s="44">
        <v>85000</v>
      </c>
      <c r="O1062" s="22" t="s">
        <v>276</v>
      </c>
      <c r="P1062" s="44">
        <v>85000</v>
      </c>
      <c r="Q1062" s="44">
        <f t="shared" ref="Q1062:Q1083" si="113">IF(P1062="en cours",N1062,IF(P1062="OK",0,IF(N1062-P1062&lt;0,0,N1062-P1062)))</f>
        <v>0</v>
      </c>
      <c r="R1062" s="24">
        <f t="shared" si="112"/>
        <v>85000</v>
      </c>
    </row>
    <row r="1063" spans="2:19" hidden="1" x14ac:dyDescent="0.25">
      <c r="B1063" s="21" t="s">
        <v>395</v>
      </c>
      <c r="C1063" s="22" t="s">
        <v>5921</v>
      </c>
      <c r="D1063" s="22"/>
      <c r="E1063" s="21" t="s">
        <v>3234</v>
      </c>
      <c r="F1063" s="21"/>
      <c r="G1063" s="147" t="s">
        <v>1146</v>
      </c>
      <c r="H1063" s="23" t="s">
        <v>5923</v>
      </c>
      <c r="I1063" s="23"/>
      <c r="J1063" s="21" t="s">
        <v>5924</v>
      </c>
      <c r="K1063" s="21"/>
      <c r="L1063" s="21" t="s">
        <v>5925</v>
      </c>
      <c r="M1063" s="26">
        <v>44468</v>
      </c>
      <c r="N1063" s="44">
        <v>18000</v>
      </c>
      <c r="O1063" s="22" t="s">
        <v>276</v>
      </c>
      <c r="P1063" s="44">
        <v>18000</v>
      </c>
      <c r="Q1063" s="44">
        <f t="shared" si="113"/>
        <v>0</v>
      </c>
      <c r="R1063" s="24">
        <f t="shared" si="112"/>
        <v>18000</v>
      </c>
    </row>
    <row r="1064" spans="2:19" hidden="1" x14ac:dyDescent="0.25">
      <c r="B1064" s="21" t="s">
        <v>395</v>
      </c>
      <c r="C1064" s="22" t="s">
        <v>5809</v>
      </c>
      <c r="D1064" s="22"/>
      <c r="E1064" s="21" t="s">
        <v>75</v>
      </c>
      <c r="F1064" s="21"/>
      <c r="G1064" s="147" t="s">
        <v>1146</v>
      </c>
      <c r="H1064" s="23" t="s">
        <v>5397</v>
      </c>
      <c r="I1064" s="23" t="s">
        <v>8071</v>
      </c>
      <c r="J1064" s="21" t="s">
        <v>5398</v>
      </c>
      <c r="K1064" s="47"/>
      <c r="L1064" s="21" t="s">
        <v>5702</v>
      </c>
      <c r="M1064" s="26">
        <v>44446</v>
      </c>
      <c r="N1064" s="44">
        <v>45175.78</v>
      </c>
      <c r="O1064" s="22" t="s">
        <v>15</v>
      </c>
      <c r="P1064" s="22">
        <v>45175.78</v>
      </c>
      <c r="Q1064" s="44">
        <f t="shared" si="113"/>
        <v>0</v>
      </c>
      <c r="R1064" s="24">
        <f t="shared" si="112"/>
        <v>45175.78</v>
      </c>
    </row>
    <row r="1065" spans="2:19" hidden="1" x14ac:dyDescent="0.25">
      <c r="B1065" s="21" t="s">
        <v>395</v>
      </c>
      <c r="C1065" s="22" t="s">
        <v>8972</v>
      </c>
      <c r="D1065" s="22"/>
      <c r="E1065" s="21" t="s">
        <v>75</v>
      </c>
      <c r="F1065" s="21"/>
      <c r="G1065" s="147" t="s">
        <v>1146</v>
      </c>
      <c r="H1065" s="23" t="s">
        <v>8973</v>
      </c>
      <c r="I1065" s="23"/>
      <c r="J1065" s="21" t="s">
        <v>8974</v>
      </c>
      <c r="K1065" s="47"/>
      <c r="L1065" s="21" t="s">
        <v>8979</v>
      </c>
      <c r="M1065" s="26">
        <v>45212</v>
      </c>
      <c r="N1065" s="89">
        <v>1208618.24</v>
      </c>
      <c r="O1065" s="22" t="s">
        <v>15</v>
      </c>
      <c r="P1065" s="44">
        <v>1208618.24</v>
      </c>
      <c r="Q1065" s="44">
        <f t="shared" si="113"/>
        <v>0</v>
      </c>
      <c r="R1065" s="24">
        <f t="shared" si="112"/>
        <v>1208618.24</v>
      </c>
    </row>
    <row r="1066" spans="2:19" hidden="1" x14ac:dyDescent="0.25">
      <c r="B1066" s="21" t="s">
        <v>395</v>
      </c>
      <c r="C1066" s="22" t="s">
        <v>8972</v>
      </c>
      <c r="D1066" s="22"/>
      <c r="E1066" s="21" t="s">
        <v>75</v>
      </c>
      <c r="F1066" s="21"/>
      <c r="G1066" s="147" t="s">
        <v>1146</v>
      </c>
      <c r="H1066" s="23" t="s">
        <v>8973</v>
      </c>
      <c r="I1066" s="23"/>
      <c r="J1066" s="21" t="s">
        <v>10389</v>
      </c>
      <c r="K1066" s="47"/>
      <c r="L1066" s="21" t="s">
        <v>9106</v>
      </c>
      <c r="M1066" s="26">
        <v>45237</v>
      </c>
      <c r="N1066" s="89">
        <v>258989.63</v>
      </c>
      <c r="O1066" s="22" t="s">
        <v>15</v>
      </c>
      <c r="P1066" s="44">
        <v>258989.63</v>
      </c>
      <c r="Q1066" s="44">
        <f t="shared" si="113"/>
        <v>0</v>
      </c>
      <c r="R1066" s="24">
        <f t="shared" si="112"/>
        <v>258989.63</v>
      </c>
    </row>
    <row r="1067" spans="2:19" hidden="1" x14ac:dyDescent="0.25">
      <c r="B1067" s="21" t="s">
        <v>395</v>
      </c>
      <c r="C1067" s="22" t="s">
        <v>8972</v>
      </c>
      <c r="D1067" s="22"/>
      <c r="E1067" s="21" t="s">
        <v>75</v>
      </c>
      <c r="F1067" s="21"/>
      <c r="G1067" s="147" t="s">
        <v>1146</v>
      </c>
      <c r="H1067" s="23" t="s">
        <v>8973</v>
      </c>
      <c r="I1067" s="23"/>
      <c r="J1067" s="21" t="s">
        <v>10390</v>
      </c>
      <c r="K1067" s="47"/>
      <c r="L1067" s="21" t="s">
        <v>9282</v>
      </c>
      <c r="M1067" s="26">
        <v>45266</v>
      </c>
      <c r="N1067" s="89">
        <v>258989.62</v>
      </c>
      <c r="O1067" s="22" t="s">
        <v>15</v>
      </c>
      <c r="P1067" s="44">
        <v>258989.63</v>
      </c>
      <c r="Q1067" s="44">
        <f t="shared" si="113"/>
        <v>0</v>
      </c>
      <c r="R1067" s="24">
        <f t="shared" si="112"/>
        <v>258989.63</v>
      </c>
    </row>
    <row r="1068" spans="2:19" hidden="1" x14ac:dyDescent="0.25">
      <c r="B1068" s="21" t="s">
        <v>395</v>
      </c>
      <c r="C1068" s="22" t="s">
        <v>8972</v>
      </c>
      <c r="D1068" s="22"/>
      <c r="E1068" s="21" t="s">
        <v>75</v>
      </c>
      <c r="F1068" s="21"/>
      <c r="G1068" s="147" t="s">
        <v>1146</v>
      </c>
      <c r="H1068" s="23" t="s">
        <v>8973</v>
      </c>
      <c r="I1068" s="23"/>
      <c r="J1068" s="21" t="s">
        <v>8975</v>
      </c>
      <c r="K1068" s="47"/>
      <c r="L1068" s="21" t="s">
        <v>9302</v>
      </c>
      <c r="M1068" s="26">
        <v>45274</v>
      </c>
      <c r="N1068" s="100">
        <v>261776.83</v>
      </c>
      <c r="O1068" s="22" t="s">
        <v>15</v>
      </c>
      <c r="P1068" s="44">
        <f>261776.83</f>
        <v>261776.83</v>
      </c>
      <c r="Q1068" s="44">
        <f t="shared" si="113"/>
        <v>0</v>
      </c>
      <c r="R1068" s="24">
        <f t="shared" si="112"/>
        <v>261776.83</v>
      </c>
    </row>
    <row r="1069" spans="2:19" hidden="1" x14ac:dyDescent="0.25">
      <c r="B1069" s="21" t="s">
        <v>395</v>
      </c>
      <c r="C1069" s="22" t="s">
        <v>8972</v>
      </c>
      <c r="D1069" s="22"/>
      <c r="E1069" s="21" t="s">
        <v>75</v>
      </c>
      <c r="F1069" s="21"/>
      <c r="G1069" s="147" t="s">
        <v>1146</v>
      </c>
      <c r="H1069" s="23" t="s">
        <v>8973</v>
      </c>
      <c r="I1069" s="23"/>
      <c r="J1069" s="21" t="s">
        <v>8976</v>
      </c>
      <c r="K1069" s="47"/>
      <c r="L1069" s="21" t="s">
        <v>9302</v>
      </c>
      <c r="M1069" s="26">
        <v>45274</v>
      </c>
      <c r="N1069" s="100">
        <v>56095.040000000001</v>
      </c>
      <c r="O1069" s="22" t="s">
        <v>15</v>
      </c>
      <c r="P1069" s="44">
        <v>56095.040000000001</v>
      </c>
      <c r="Q1069" s="44">
        <f t="shared" si="113"/>
        <v>0</v>
      </c>
      <c r="R1069" s="24">
        <f t="shared" si="112"/>
        <v>56095.040000000001</v>
      </c>
    </row>
    <row r="1070" spans="2:19" hidden="1" x14ac:dyDescent="0.25">
      <c r="B1070" s="21" t="s">
        <v>395</v>
      </c>
      <c r="C1070" s="22" t="s">
        <v>8972</v>
      </c>
      <c r="D1070" s="22"/>
      <c r="E1070" s="21" t="s">
        <v>75</v>
      </c>
      <c r="F1070" s="21"/>
      <c r="G1070" s="147" t="s">
        <v>1146</v>
      </c>
      <c r="H1070" s="23" t="s">
        <v>8973</v>
      </c>
      <c r="I1070" s="23"/>
      <c r="J1070" s="21" t="s">
        <v>8976</v>
      </c>
      <c r="K1070" s="47"/>
      <c r="L1070" s="21" t="s">
        <v>9302</v>
      </c>
      <c r="M1070" s="26">
        <v>45274</v>
      </c>
      <c r="N1070" s="100">
        <v>56095.03</v>
      </c>
      <c r="O1070" s="22" t="s">
        <v>15</v>
      </c>
      <c r="P1070" s="44">
        <v>56095.03</v>
      </c>
      <c r="Q1070" s="44">
        <f t="shared" si="113"/>
        <v>0</v>
      </c>
      <c r="R1070" s="24">
        <f t="shared" si="112"/>
        <v>56095.03</v>
      </c>
    </row>
    <row r="1071" spans="2:19" hidden="1" x14ac:dyDescent="0.25">
      <c r="B1071" s="21" t="s">
        <v>395</v>
      </c>
      <c r="C1071" s="22" t="s">
        <v>8972</v>
      </c>
      <c r="D1071" s="22"/>
      <c r="E1071" s="21" t="s">
        <v>75</v>
      </c>
      <c r="F1071" s="21"/>
      <c r="G1071" s="147" t="s">
        <v>1146</v>
      </c>
      <c r="H1071" s="23" t="s">
        <v>10206</v>
      </c>
      <c r="I1071" s="23"/>
      <c r="J1071" s="21" t="s">
        <v>10443</v>
      </c>
      <c r="K1071" s="47"/>
      <c r="L1071" s="21"/>
      <c r="M1071" s="26"/>
      <c r="N1071" s="101">
        <v>0</v>
      </c>
      <c r="O1071" s="22" t="s">
        <v>15</v>
      </c>
      <c r="P1071" s="44">
        <v>0</v>
      </c>
      <c r="Q1071" s="44">
        <f t="shared" si="113"/>
        <v>0</v>
      </c>
      <c r="R1071" s="24">
        <f t="shared" si="112"/>
        <v>0</v>
      </c>
      <c r="S1071" s="5" t="s">
        <v>10444</v>
      </c>
    </row>
    <row r="1072" spans="2:19" hidden="1" x14ac:dyDescent="0.25">
      <c r="B1072" s="21" t="s">
        <v>395</v>
      </c>
      <c r="C1072" s="22" t="s">
        <v>6675</v>
      </c>
      <c r="D1072" s="22"/>
      <c r="E1072" s="21" t="s">
        <v>75</v>
      </c>
      <c r="F1072" s="21"/>
      <c r="G1072" s="147" t="s">
        <v>1146</v>
      </c>
      <c r="H1072" s="23" t="s">
        <v>6977</v>
      </c>
      <c r="I1072" s="23"/>
      <c r="J1072" s="196" t="s">
        <v>6959</v>
      </c>
      <c r="K1072" s="47"/>
      <c r="L1072" s="196" t="s">
        <v>6072</v>
      </c>
      <c r="M1072" s="197">
        <v>44509</v>
      </c>
      <c r="N1072" s="209">
        <v>1104752.56</v>
      </c>
      <c r="O1072" s="22" t="s">
        <v>15</v>
      </c>
      <c r="P1072" s="209">
        <f t="shared" ref="P1072:P1077" si="114">N1072</f>
        <v>1104752.56</v>
      </c>
      <c r="Q1072" s="44">
        <f t="shared" si="113"/>
        <v>0</v>
      </c>
      <c r="R1072" s="24">
        <f t="shared" si="112"/>
        <v>1104752.56</v>
      </c>
    </row>
    <row r="1073" spans="2:18" hidden="1" x14ac:dyDescent="0.25">
      <c r="B1073" s="21" t="s">
        <v>395</v>
      </c>
      <c r="C1073" s="22" t="s">
        <v>6675</v>
      </c>
      <c r="D1073" s="22"/>
      <c r="E1073" s="21" t="s">
        <v>75</v>
      </c>
      <c r="F1073" s="21"/>
      <c r="G1073" s="147" t="s">
        <v>1146</v>
      </c>
      <c r="H1073" s="23" t="s">
        <v>6977</v>
      </c>
      <c r="I1073" s="23"/>
      <c r="J1073" s="191" t="s">
        <v>6960</v>
      </c>
      <c r="K1073" s="191"/>
      <c r="L1073" s="191" t="s">
        <v>6071</v>
      </c>
      <c r="M1073" s="193">
        <v>44509</v>
      </c>
      <c r="N1073" s="192">
        <v>236732.69</v>
      </c>
      <c r="O1073" s="22" t="s">
        <v>15</v>
      </c>
      <c r="P1073" s="192">
        <f t="shared" si="114"/>
        <v>236732.69</v>
      </c>
      <c r="Q1073" s="44">
        <f t="shared" si="113"/>
        <v>0</v>
      </c>
      <c r="R1073" s="24">
        <f t="shared" si="112"/>
        <v>236732.69</v>
      </c>
    </row>
    <row r="1074" spans="2:18" hidden="1" x14ac:dyDescent="0.25">
      <c r="B1074" s="21" t="s">
        <v>395</v>
      </c>
      <c r="C1074" s="22" t="s">
        <v>6675</v>
      </c>
      <c r="D1074" s="22"/>
      <c r="E1074" s="21" t="s">
        <v>75</v>
      </c>
      <c r="F1074" s="21"/>
      <c r="G1074" s="147" t="s">
        <v>1146</v>
      </c>
      <c r="H1074" s="23" t="s">
        <v>6977</v>
      </c>
      <c r="I1074" s="23"/>
      <c r="J1074" s="307" t="s">
        <v>6961</v>
      </c>
      <c r="K1074" s="307"/>
      <c r="L1074" s="307" t="s">
        <v>6719</v>
      </c>
      <c r="M1074" s="306" t="s">
        <v>6720</v>
      </c>
      <c r="N1074" s="308">
        <v>236732.69</v>
      </c>
      <c r="O1074" s="22" t="s">
        <v>15</v>
      </c>
      <c r="P1074" s="308">
        <f t="shared" si="114"/>
        <v>236732.69</v>
      </c>
      <c r="Q1074" s="44">
        <f t="shared" si="113"/>
        <v>0</v>
      </c>
      <c r="R1074" s="24">
        <f t="shared" si="112"/>
        <v>236732.69</v>
      </c>
    </row>
    <row r="1075" spans="2:18" hidden="1" x14ac:dyDescent="0.25">
      <c r="B1075" s="21" t="s">
        <v>395</v>
      </c>
      <c r="C1075" s="22" t="s">
        <v>6675</v>
      </c>
      <c r="D1075" s="22"/>
      <c r="E1075" s="21" t="s">
        <v>75</v>
      </c>
      <c r="F1075" s="21"/>
      <c r="G1075" s="147" t="s">
        <v>1146</v>
      </c>
      <c r="H1075" s="23" t="s">
        <v>6977</v>
      </c>
      <c r="I1075" s="23"/>
      <c r="J1075" s="280" t="s">
        <v>6962</v>
      </c>
      <c r="K1075" s="280"/>
      <c r="L1075" s="280" t="s">
        <v>6747</v>
      </c>
      <c r="M1075" s="145">
        <v>44687</v>
      </c>
      <c r="N1075" s="284">
        <v>89893.57</v>
      </c>
      <c r="O1075" s="22" t="s">
        <v>15</v>
      </c>
      <c r="P1075" s="284">
        <f t="shared" si="114"/>
        <v>89893.57</v>
      </c>
      <c r="Q1075" s="44">
        <f t="shared" si="113"/>
        <v>0</v>
      </c>
      <c r="R1075" s="24">
        <f t="shared" si="112"/>
        <v>89893.57</v>
      </c>
    </row>
    <row r="1076" spans="2:18" hidden="1" x14ac:dyDescent="0.25">
      <c r="B1076" s="21" t="s">
        <v>395</v>
      </c>
      <c r="C1076" s="22" t="s">
        <v>6675</v>
      </c>
      <c r="D1076" s="22"/>
      <c r="E1076" s="21" t="s">
        <v>75</v>
      </c>
      <c r="F1076" s="21"/>
      <c r="G1076" s="147" t="s">
        <v>1146</v>
      </c>
      <c r="H1076" s="23" t="s">
        <v>6977</v>
      </c>
      <c r="I1076" s="23"/>
      <c r="J1076" s="274" t="s">
        <v>6963</v>
      </c>
      <c r="K1076" s="274"/>
      <c r="L1076" s="274" t="s">
        <v>6747</v>
      </c>
      <c r="M1076" s="276">
        <v>44687</v>
      </c>
      <c r="N1076" s="279">
        <v>89893.57</v>
      </c>
      <c r="O1076" s="22" t="s">
        <v>15</v>
      </c>
      <c r="P1076" s="279">
        <f t="shared" si="114"/>
        <v>89893.57</v>
      </c>
      <c r="Q1076" s="44">
        <f t="shared" si="113"/>
        <v>0</v>
      </c>
      <c r="R1076" s="24">
        <f t="shared" si="112"/>
        <v>89893.57</v>
      </c>
    </row>
    <row r="1077" spans="2:18" hidden="1" x14ac:dyDescent="0.25">
      <c r="B1077" s="21" t="s">
        <v>395</v>
      </c>
      <c r="C1077" s="22" t="s">
        <v>6675</v>
      </c>
      <c r="D1077" s="22"/>
      <c r="E1077" s="21" t="s">
        <v>75</v>
      </c>
      <c r="F1077" s="21"/>
      <c r="G1077" s="147" t="s">
        <v>1146</v>
      </c>
      <c r="H1077" s="23" t="s">
        <v>6977</v>
      </c>
      <c r="I1077" s="23"/>
      <c r="J1077" s="310" t="s">
        <v>6964</v>
      </c>
      <c r="K1077" s="310"/>
      <c r="L1077" s="310" t="s">
        <v>6908</v>
      </c>
      <c r="M1077" s="367">
        <v>44747</v>
      </c>
      <c r="N1077" s="312">
        <v>391023</v>
      </c>
      <c r="O1077" s="22" t="s">
        <v>15</v>
      </c>
      <c r="P1077" s="312">
        <f t="shared" si="114"/>
        <v>391023</v>
      </c>
      <c r="Q1077" s="44">
        <f t="shared" si="113"/>
        <v>0</v>
      </c>
      <c r="R1077" s="24">
        <f t="shared" si="112"/>
        <v>391023</v>
      </c>
    </row>
    <row r="1078" spans="2:18" hidden="1" x14ac:dyDescent="0.25">
      <c r="B1078" s="21" t="s">
        <v>395</v>
      </c>
      <c r="C1078" s="22" t="s">
        <v>6675</v>
      </c>
      <c r="D1078" s="22"/>
      <c r="E1078" s="21" t="s">
        <v>75</v>
      </c>
      <c r="F1078" s="21"/>
      <c r="G1078" s="147" t="s">
        <v>1146</v>
      </c>
      <c r="H1078" s="23" t="s">
        <v>6977</v>
      </c>
      <c r="I1078" s="23"/>
      <c r="J1078" s="21" t="s">
        <v>6965</v>
      </c>
      <c r="K1078" s="47"/>
      <c r="L1078" s="21" t="s">
        <v>7022</v>
      </c>
      <c r="M1078" s="26">
        <v>44778</v>
      </c>
      <c r="N1078" s="44">
        <v>1222207</v>
      </c>
      <c r="O1078" s="22" t="s">
        <v>15</v>
      </c>
      <c r="P1078" s="114">
        <v>1222207</v>
      </c>
      <c r="Q1078" s="44">
        <f t="shared" si="113"/>
        <v>0</v>
      </c>
      <c r="R1078" s="24">
        <f t="shared" si="112"/>
        <v>1222207</v>
      </c>
    </row>
    <row r="1079" spans="2:18" hidden="1" x14ac:dyDescent="0.25">
      <c r="B1079" s="21" t="s">
        <v>395</v>
      </c>
      <c r="C1079" s="22" t="s">
        <v>6675</v>
      </c>
      <c r="D1079" s="22"/>
      <c r="E1079" s="21" t="s">
        <v>75</v>
      </c>
      <c r="F1079" s="21"/>
      <c r="G1079" s="147" t="s">
        <v>1146</v>
      </c>
      <c r="H1079" s="23" t="s">
        <v>6977</v>
      </c>
      <c r="I1079" s="23"/>
      <c r="J1079" s="21" t="s">
        <v>6966</v>
      </c>
      <c r="K1079" s="47"/>
      <c r="L1079" s="21" t="s">
        <v>7077</v>
      </c>
      <c r="M1079" s="26">
        <v>44813</v>
      </c>
      <c r="N1079" s="44">
        <v>2523013</v>
      </c>
      <c r="O1079" s="22" t="s">
        <v>15</v>
      </c>
      <c r="P1079" s="114">
        <v>2523013</v>
      </c>
      <c r="Q1079" s="44">
        <f t="shared" si="113"/>
        <v>0</v>
      </c>
      <c r="R1079" s="24">
        <f t="shared" si="112"/>
        <v>2523013</v>
      </c>
    </row>
    <row r="1080" spans="2:18" hidden="1" x14ac:dyDescent="0.25">
      <c r="B1080" s="21" t="s">
        <v>395</v>
      </c>
      <c r="C1080" s="22" t="s">
        <v>6675</v>
      </c>
      <c r="D1080" s="22"/>
      <c r="E1080" s="21" t="s">
        <v>75</v>
      </c>
      <c r="F1080" s="21"/>
      <c r="G1080" s="147" t="s">
        <v>1146</v>
      </c>
      <c r="H1080" s="23" t="s">
        <v>6977</v>
      </c>
      <c r="I1080" s="23"/>
      <c r="J1080" s="21" t="s">
        <v>629</v>
      </c>
      <c r="K1080" s="47"/>
      <c r="L1080" s="21" t="s">
        <v>7248</v>
      </c>
      <c r="M1080" s="26">
        <v>44866</v>
      </c>
      <c r="N1080" s="44">
        <v>392993</v>
      </c>
      <c r="O1080" s="22" t="s">
        <v>15</v>
      </c>
      <c r="P1080" s="114">
        <v>392993</v>
      </c>
      <c r="Q1080" s="44">
        <f t="shared" si="113"/>
        <v>0</v>
      </c>
      <c r="R1080" s="24">
        <f t="shared" si="112"/>
        <v>392993</v>
      </c>
    </row>
    <row r="1081" spans="2:18" hidden="1" x14ac:dyDescent="0.25">
      <c r="B1081" s="21" t="s">
        <v>395</v>
      </c>
      <c r="C1081" s="22" t="s">
        <v>6675</v>
      </c>
      <c r="D1081" s="22"/>
      <c r="E1081" s="21" t="s">
        <v>75</v>
      </c>
      <c r="F1081" s="21"/>
      <c r="G1081" s="147" t="s">
        <v>1146</v>
      </c>
      <c r="H1081" s="23" t="s">
        <v>6977</v>
      </c>
      <c r="I1081" s="23"/>
      <c r="J1081" s="21" t="s">
        <v>6967</v>
      </c>
      <c r="K1081" s="47"/>
      <c r="L1081" s="21" t="s">
        <v>8538</v>
      </c>
      <c r="M1081" s="26">
        <v>44931</v>
      </c>
      <c r="N1081" s="44">
        <v>392993</v>
      </c>
      <c r="O1081" s="22" t="s">
        <v>15</v>
      </c>
      <c r="P1081" s="114">
        <v>392993</v>
      </c>
      <c r="Q1081" s="44">
        <f t="shared" si="113"/>
        <v>0</v>
      </c>
      <c r="R1081" s="24">
        <f t="shared" si="112"/>
        <v>392993</v>
      </c>
    </row>
    <row r="1082" spans="2:18" hidden="1" x14ac:dyDescent="0.25">
      <c r="B1082" s="21" t="s">
        <v>395</v>
      </c>
      <c r="C1082" s="22" t="s">
        <v>6675</v>
      </c>
      <c r="D1082" s="22"/>
      <c r="E1082" s="21" t="s">
        <v>75</v>
      </c>
      <c r="F1082" s="21"/>
      <c r="G1082" s="147" t="s">
        <v>1146</v>
      </c>
      <c r="H1082" s="23" t="s">
        <v>6977</v>
      </c>
      <c r="I1082" s="23"/>
      <c r="J1082" s="21" t="s">
        <v>6968</v>
      </c>
      <c r="K1082" s="47"/>
      <c r="L1082" s="21" t="s">
        <v>8539</v>
      </c>
      <c r="M1082" s="26">
        <v>45103</v>
      </c>
      <c r="N1082" s="44">
        <v>1964964</v>
      </c>
      <c r="O1082" s="22" t="s">
        <v>15</v>
      </c>
      <c r="P1082" s="114">
        <v>1964964</v>
      </c>
      <c r="Q1082" s="44">
        <f t="shared" si="113"/>
        <v>0</v>
      </c>
      <c r="R1082" s="24">
        <f t="shared" si="112"/>
        <v>1964964</v>
      </c>
    </row>
    <row r="1083" spans="2:18" hidden="1" x14ac:dyDescent="0.25">
      <c r="B1083" s="21" t="s">
        <v>395</v>
      </c>
      <c r="C1083" s="22" t="s">
        <v>6675</v>
      </c>
      <c r="D1083" s="22"/>
      <c r="E1083" s="21" t="s">
        <v>75</v>
      </c>
      <c r="F1083" s="21"/>
      <c r="G1083" s="147" t="s">
        <v>1146</v>
      </c>
      <c r="H1083" s="23" t="s">
        <v>6977</v>
      </c>
      <c r="I1083" s="23"/>
      <c r="J1083" s="21" t="s">
        <v>6978</v>
      </c>
      <c r="K1083" s="47"/>
      <c r="L1083" s="21" t="s">
        <v>7023</v>
      </c>
      <c r="M1083" s="26">
        <v>44778</v>
      </c>
      <c r="N1083" s="44">
        <v>1994443</v>
      </c>
      <c r="O1083" s="22" t="s">
        <v>15</v>
      </c>
      <c r="P1083" s="114">
        <v>1994443</v>
      </c>
      <c r="Q1083" s="44">
        <f t="shared" si="113"/>
        <v>0</v>
      </c>
      <c r="R1083" s="24">
        <f t="shared" si="112"/>
        <v>1994443</v>
      </c>
    </row>
    <row r="1084" spans="2:18" hidden="1" x14ac:dyDescent="0.25">
      <c r="C1084" s="4" t="s">
        <v>6675</v>
      </c>
      <c r="E1084" s="5" t="s">
        <v>75</v>
      </c>
      <c r="G1084" s="146" t="s">
        <v>1146</v>
      </c>
      <c r="H1084" s="7" t="s">
        <v>6977</v>
      </c>
      <c r="J1084" s="5" t="s">
        <v>6979</v>
      </c>
      <c r="N1084" s="45">
        <v>-1994443</v>
      </c>
      <c r="O1084" s="4" t="s">
        <v>15</v>
      </c>
      <c r="P1084" s="122"/>
      <c r="Q1084" s="45">
        <f>N1084</f>
        <v>-1994443</v>
      </c>
      <c r="R1084" s="3">
        <f t="shared" si="112"/>
        <v>0</v>
      </c>
    </row>
    <row r="1085" spans="2:18" hidden="1" x14ac:dyDescent="0.25">
      <c r="B1085" s="21" t="s">
        <v>395</v>
      </c>
      <c r="C1085" s="22" t="s">
        <v>6675</v>
      </c>
      <c r="D1085" s="22"/>
      <c r="E1085" s="21" t="s">
        <v>75</v>
      </c>
      <c r="F1085" s="21"/>
      <c r="G1085" s="147" t="s">
        <v>1146</v>
      </c>
      <c r="H1085" s="23" t="s">
        <v>6977</v>
      </c>
      <c r="I1085" s="23"/>
      <c r="J1085" s="85" t="s">
        <v>6980</v>
      </c>
      <c r="K1085" s="182"/>
      <c r="L1085" s="85" t="s">
        <v>6080</v>
      </c>
      <c r="M1085" s="369">
        <v>44510</v>
      </c>
      <c r="N1085" s="94">
        <v>424997.57</v>
      </c>
      <c r="O1085" s="94" t="s">
        <v>15</v>
      </c>
      <c r="P1085" s="94">
        <f>N1085</f>
        <v>424997.57</v>
      </c>
      <c r="Q1085" s="94">
        <f>IF(P1085="en cours",N1085,IF(P1085="OK",0,IF(N1085-P1085&lt;0,0,N1085-P1085)))</f>
        <v>0</v>
      </c>
      <c r="R1085" s="94">
        <f t="shared" si="112"/>
        <v>424997.57</v>
      </c>
    </row>
    <row r="1086" spans="2:18" hidden="1" x14ac:dyDescent="0.25">
      <c r="B1086" s="21" t="s">
        <v>395</v>
      </c>
      <c r="C1086" s="22" t="s">
        <v>6675</v>
      </c>
      <c r="D1086" s="22"/>
      <c r="E1086" s="21" t="s">
        <v>75</v>
      </c>
      <c r="F1086" s="21"/>
      <c r="G1086" s="147" t="s">
        <v>1146</v>
      </c>
      <c r="H1086" s="23" t="s">
        <v>6977</v>
      </c>
      <c r="I1086" s="23"/>
      <c r="J1086" s="39" t="s">
        <v>6981</v>
      </c>
      <c r="K1086" s="370"/>
      <c r="L1086" s="39" t="s">
        <v>6080</v>
      </c>
      <c r="M1086" s="41">
        <v>44510</v>
      </c>
      <c r="N1086" s="97">
        <v>91070.91</v>
      </c>
      <c r="O1086" s="97" t="s">
        <v>15</v>
      </c>
      <c r="P1086" s="97">
        <f>N1086</f>
        <v>91070.91</v>
      </c>
      <c r="Q1086" s="97">
        <f>IF(P1086="en cours",N1086,IF(P1086="OK",0,IF(N1086-P1086&lt;0,0,N1086-P1086)))</f>
        <v>0</v>
      </c>
      <c r="R1086" s="97">
        <f t="shared" si="112"/>
        <v>91070.91</v>
      </c>
    </row>
    <row r="1087" spans="2:18" hidden="1" x14ac:dyDescent="0.25">
      <c r="B1087" s="21" t="s">
        <v>395</v>
      </c>
      <c r="C1087" s="22" t="s">
        <v>6675</v>
      </c>
      <c r="D1087" s="22"/>
      <c r="E1087" s="21" t="s">
        <v>75</v>
      </c>
      <c r="F1087" s="21"/>
      <c r="G1087" s="147" t="s">
        <v>1146</v>
      </c>
      <c r="H1087" s="23" t="s">
        <v>6977</v>
      </c>
      <c r="I1087" s="23"/>
      <c r="J1087" s="65" t="s">
        <v>6982</v>
      </c>
      <c r="K1087" s="181"/>
      <c r="L1087" s="65" t="s">
        <v>6627</v>
      </c>
      <c r="M1087" s="167">
        <v>44649</v>
      </c>
      <c r="N1087" s="96">
        <v>91070.91</v>
      </c>
      <c r="O1087" s="96" t="s">
        <v>15</v>
      </c>
      <c r="P1087" s="96">
        <f>N1087</f>
        <v>91070.91</v>
      </c>
      <c r="Q1087" s="96">
        <f>IF(P1087="en cours",N1087,IF(P1087="OK",0,IF(N1087-P1087&lt;0,0,N1087-P1087)))</f>
        <v>0</v>
      </c>
      <c r="R1087" s="96">
        <f t="shared" si="112"/>
        <v>91070.91</v>
      </c>
    </row>
    <row r="1088" spans="2:18" hidden="1" x14ac:dyDescent="0.25">
      <c r="B1088" s="21" t="s">
        <v>395</v>
      </c>
      <c r="C1088" s="22" t="s">
        <v>6675</v>
      </c>
      <c r="D1088" s="22"/>
      <c r="E1088" s="21" t="s">
        <v>75</v>
      </c>
      <c r="F1088" s="21"/>
      <c r="G1088" s="147" t="s">
        <v>1146</v>
      </c>
      <c r="H1088" s="23" t="s">
        <v>6977</v>
      </c>
      <c r="I1088" s="23"/>
      <c r="J1088" s="79" t="s">
        <v>6983</v>
      </c>
      <c r="K1088" s="371"/>
      <c r="L1088" s="79" t="s">
        <v>7001</v>
      </c>
      <c r="M1088" s="179" t="s">
        <v>7002</v>
      </c>
      <c r="N1088" s="105">
        <v>391616.08</v>
      </c>
      <c r="O1088" s="105" t="s">
        <v>15</v>
      </c>
      <c r="P1088" s="105">
        <f>N1088</f>
        <v>391616.08</v>
      </c>
      <c r="Q1088" s="105">
        <f>IF(P1088="en cours",N1088,IF(P1088="OK",0,IF(N1088-P1088&lt;0,0,N1088-P1088)))</f>
        <v>0</v>
      </c>
      <c r="R1088" s="105">
        <f t="shared" si="112"/>
        <v>391616.08</v>
      </c>
    </row>
    <row r="1089" spans="2:18" hidden="1" x14ac:dyDescent="0.25">
      <c r="B1089" s="219" t="s">
        <v>395</v>
      </c>
      <c r="C1089" s="22" t="s">
        <v>6675</v>
      </c>
      <c r="D1089" s="22"/>
      <c r="E1089" s="21" t="s">
        <v>75</v>
      </c>
      <c r="F1089" s="21"/>
      <c r="G1089" s="147" t="s">
        <v>1146</v>
      </c>
      <c r="H1089" s="23" t="s">
        <v>6977</v>
      </c>
      <c r="I1089" s="23"/>
      <c r="J1089" s="21" t="s">
        <v>6985</v>
      </c>
      <c r="K1089" s="47"/>
      <c r="L1089" s="21" t="s">
        <v>7076</v>
      </c>
      <c r="M1089" s="26">
        <v>44813</v>
      </c>
      <c r="N1089" s="44">
        <v>1065333</v>
      </c>
      <c r="O1089" s="22" t="s">
        <v>15</v>
      </c>
      <c r="P1089" s="114">
        <v>1065333</v>
      </c>
      <c r="Q1089" s="44">
        <f>IF(P1089="en cours",N1089,IF(P1089="OK",0,IF(N1089-P1089&lt;0,0,N1089-P1089)))</f>
        <v>0</v>
      </c>
      <c r="R1089" s="24">
        <f t="shared" si="112"/>
        <v>1065333</v>
      </c>
    </row>
    <row r="1090" spans="2:18" hidden="1" x14ac:dyDescent="0.25">
      <c r="C1090" s="4" t="s">
        <v>6675</v>
      </c>
      <c r="E1090" s="5" t="s">
        <v>75</v>
      </c>
      <c r="G1090" s="146" t="s">
        <v>1146</v>
      </c>
      <c r="H1090" s="7" t="s">
        <v>6977</v>
      </c>
      <c r="J1090" s="5" t="s">
        <v>6986</v>
      </c>
      <c r="N1090" s="45">
        <v>-1065333</v>
      </c>
      <c r="O1090" s="4" t="s">
        <v>15</v>
      </c>
      <c r="P1090" s="122"/>
      <c r="Q1090" s="45">
        <f>N1090</f>
        <v>-1065333</v>
      </c>
      <c r="R1090" s="3">
        <f t="shared" si="112"/>
        <v>0</v>
      </c>
    </row>
    <row r="1091" spans="2:18" hidden="1" x14ac:dyDescent="0.25">
      <c r="B1091" s="21" t="s">
        <v>395</v>
      </c>
      <c r="C1091" s="22" t="s">
        <v>6675</v>
      </c>
      <c r="D1091" s="22"/>
      <c r="E1091" s="21" t="s">
        <v>75</v>
      </c>
      <c r="F1091" s="21"/>
      <c r="G1091" s="147" t="s">
        <v>1146</v>
      </c>
      <c r="H1091" s="23" t="s">
        <v>6977</v>
      </c>
      <c r="I1091" s="23"/>
      <c r="J1091" s="21" t="s">
        <v>6991</v>
      </c>
      <c r="K1091" s="47"/>
      <c r="L1091" s="21" t="s">
        <v>7547</v>
      </c>
      <c r="M1091" s="26">
        <v>44960</v>
      </c>
      <c r="N1091" s="44">
        <v>477449</v>
      </c>
      <c r="O1091" s="22" t="s">
        <v>15</v>
      </c>
      <c r="P1091" s="114">
        <v>477449</v>
      </c>
      <c r="Q1091" s="44">
        <f>IF(P1091="en cours",N1091,IF(P1091="OK",0,IF(N1091-P1091&lt;0,0,N1091-P1091)))</f>
        <v>0</v>
      </c>
      <c r="R1091" s="24">
        <f t="shared" si="112"/>
        <v>477449</v>
      </c>
    </row>
    <row r="1092" spans="2:18" hidden="1" x14ac:dyDescent="0.25">
      <c r="C1092" s="4" t="s">
        <v>6675</v>
      </c>
      <c r="E1092" s="5" t="s">
        <v>75</v>
      </c>
      <c r="G1092" s="146" t="s">
        <v>1146</v>
      </c>
      <c r="H1092" s="7" t="s">
        <v>6977</v>
      </c>
      <c r="J1092" s="5" t="s">
        <v>6992</v>
      </c>
      <c r="N1092" s="45">
        <v>-477449</v>
      </c>
      <c r="O1092" s="4" t="s">
        <v>15</v>
      </c>
      <c r="P1092" s="122"/>
      <c r="Q1092" s="45">
        <f>N1092</f>
        <v>-477449</v>
      </c>
      <c r="R1092" s="3">
        <f t="shared" si="112"/>
        <v>0</v>
      </c>
    </row>
    <row r="1093" spans="2:18" hidden="1" x14ac:dyDescent="0.25">
      <c r="B1093" s="21" t="s">
        <v>395</v>
      </c>
      <c r="C1093" s="22" t="s">
        <v>6675</v>
      </c>
      <c r="D1093" s="22"/>
      <c r="E1093" s="21" t="s">
        <v>75</v>
      </c>
      <c r="F1093" s="21"/>
      <c r="G1093" s="147" t="s">
        <v>1146</v>
      </c>
      <c r="H1093" s="23" t="s">
        <v>8729</v>
      </c>
      <c r="I1093" s="23"/>
      <c r="J1093" s="21" t="s">
        <v>8727</v>
      </c>
      <c r="K1093" s="47"/>
      <c r="L1093" s="21" t="s">
        <v>8809</v>
      </c>
      <c r="M1093" s="26">
        <v>45162</v>
      </c>
      <c r="N1093" s="44">
        <v>4111390</v>
      </c>
      <c r="O1093" s="22" t="s">
        <v>15</v>
      </c>
      <c r="P1093" s="114">
        <v>4111390</v>
      </c>
      <c r="Q1093" s="44">
        <f t="shared" ref="Q1093:Q1122" si="115">IF(P1093="en cours",N1093,IF(P1093="OK",0,IF(N1093-P1093&lt;0,0,N1093-P1093)))</f>
        <v>0</v>
      </c>
      <c r="R1093" s="24">
        <f t="shared" si="112"/>
        <v>4111390</v>
      </c>
    </row>
    <row r="1094" spans="2:18" hidden="1" x14ac:dyDescent="0.25">
      <c r="B1094" s="21" t="s">
        <v>395</v>
      </c>
      <c r="C1094" s="22" t="s">
        <v>6675</v>
      </c>
      <c r="D1094" s="22"/>
      <c r="E1094" s="21" t="s">
        <v>75</v>
      </c>
      <c r="F1094" s="21"/>
      <c r="G1094" s="147" t="s">
        <v>1146</v>
      </c>
      <c r="H1094" s="23" t="s">
        <v>8729</v>
      </c>
      <c r="I1094" s="23"/>
      <c r="J1094" s="21" t="s">
        <v>6969</v>
      </c>
      <c r="K1094" s="47"/>
      <c r="L1094" s="21" t="s">
        <v>8832</v>
      </c>
      <c r="M1094" s="26">
        <v>45187</v>
      </c>
      <c r="N1094" s="44">
        <v>2245434</v>
      </c>
      <c r="O1094" s="22" t="s">
        <v>15</v>
      </c>
      <c r="P1094" s="114">
        <v>2245434</v>
      </c>
      <c r="Q1094" s="44">
        <f t="shared" si="115"/>
        <v>0</v>
      </c>
      <c r="R1094" s="24">
        <f t="shared" si="112"/>
        <v>2245434</v>
      </c>
    </row>
    <row r="1095" spans="2:18" hidden="1" x14ac:dyDescent="0.25">
      <c r="B1095" s="21" t="s">
        <v>395</v>
      </c>
      <c r="C1095" s="22" t="s">
        <v>6675</v>
      </c>
      <c r="D1095" s="22"/>
      <c r="E1095" s="21" t="s">
        <v>75</v>
      </c>
      <c r="F1095" s="21"/>
      <c r="G1095" s="147" t="s">
        <v>1146</v>
      </c>
      <c r="H1095" s="23" t="s">
        <v>8729</v>
      </c>
      <c r="I1095" s="23"/>
      <c r="J1095" s="21" t="s">
        <v>6970</v>
      </c>
      <c r="K1095" s="47"/>
      <c r="L1095" s="21" t="s">
        <v>9281</v>
      </c>
      <c r="M1095" s="26">
        <v>45271</v>
      </c>
      <c r="N1095" s="44">
        <v>2245434</v>
      </c>
      <c r="O1095" s="22" t="s">
        <v>15</v>
      </c>
      <c r="P1095" s="114">
        <v>2245434</v>
      </c>
      <c r="Q1095" s="44">
        <f t="shared" si="115"/>
        <v>0</v>
      </c>
      <c r="R1095" s="24">
        <f t="shared" si="112"/>
        <v>2245434</v>
      </c>
    </row>
    <row r="1096" spans="2:18" hidden="1" x14ac:dyDescent="0.25">
      <c r="B1096" s="21" t="s">
        <v>395</v>
      </c>
      <c r="C1096" s="22" t="s">
        <v>6675</v>
      </c>
      <c r="D1096" s="22"/>
      <c r="E1096" s="21" t="s">
        <v>75</v>
      </c>
      <c r="F1096" s="21"/>
      <c r="G1096" s="147" t="s">
        <v>1146</v>
      </c>
      <c r="H1096" s="23" t="s">
        <v>9715</v>
      </c>
      <c r="I1096" s="23"/>
      <c r="J1096" s="21" t="s">
        <v>6971</v>
      </c>
      <c r="K1096" s="47"/>
      <c r="L1096" s="21" t="s">
        <v>9777</v>
      </c>
      <c r="M1096" s="26">
        <v>45378</v>
      </c>
      <c r="N1096" s="44">
        <v>2941173</v>
      </c>
      <c r="O1096" s="22" t="s">
        <v>15</v>
      </c>
      <c r="P1096" s="114">
        <v>2941173</v>
      </c>
      <c r="Q1096" s="44">
        <f t="shared" si="115"/>
        <v>0</v>
      </c>
      <c r="R1096" s="24">
        <f t="shared" si="112"/>
        <v>2941173</v>
      </c>
    </row>
    <row r="1097" spans="2:18" hidden="1" x14ac:dyDescent="0.25">
      <c r="B1097" s="21" t="s">
        <v>395</v>
      </c>
      <c r="C1097" s="22" t="s">
        <v>6675</v>
      </c>
      <c r="D1097" s="22"/>
      <c r="E1097" s="21" t="s">
        <v>75</v>
      </c>
      <c r="F1097" s="21"/>
      <c r="G1097" s="147" t="s">
        <v>1146</v>
      </c>
      <c r="H1097" s="23" t="s">
        <v>8729</v>
      </c>
      <c r="I1097" s="23"/>
      <c r="J1097" s="21" t="s">
        <v>9301</v>
      </c>
      <c r="K1097" s="47"/>
      <c r="L1097" s="21" t="s">
        <v>9405</v>
      </c>
      <c r="M1097" s="26" t="s">
        <v>9406</v>
      </c>
      <c r="N1097" s="44">
        <v>2694521</v>
      </c>
      <c r="O1097" s="22" t="s">
        <v>15</v>
      </c>
      <c r="P1097" s="114">
        <f>2694521-2694521+2694521</f>
        <v>2694521</v>
      </c>
      <c r="Q1097" s="44">
        <f t="shared" si="115"/>
        <v>0</v>
      </c>
      <c r="R1097" s="24">
        <f t="shared" si="112"/>
        <v>2694521</v>
      </c>
    </row>
    <row r="1098" spans="2:18" hidden="1" x14ac:dyDescent="0.25">
      <c r="B1098" s="21" t="s">
        <v>395</v>
      </c>
      <c r="C1098" s="22" t="s">
        <v>6675</v>
      </c>
      <c r="D1098" s="22"/>
      <c r="E1098" s="21" t="s">
        <v>75</v>
      </c>
      <c r="F1098" s="21"/>
      <c r="G1098" s="147" t="s">
        <v>1146</v>
      </c>
      <c r="H1098" s="23" t="s">
        <v>8729</v>
      </c>
      <c r="I1098" s="23"/>
      <c r="J1098" s="21" t="s">
        <v>6972</v>
      </c>
      <c r="K1098" s="47"/>
      <c r="L1098" s="21" t="s">
        <v>9567</v>
      </c>
      <c r="M1098" s="26">
        <v>45338</v>
      </c>
      <c r="N1098" s="44">
        <v>3143608</v>
      </c>
      <c r="O1098" s="22" t="s">
        <v>15</v>
      </c>
      <c r="P1098" s="114">
        <v>3143608</v>
      </c>
      <c r="Q1098" s="44">
        <f t="shared" si="115"/>
        <v>0</v>
      </c>
      <c r="R1098" s="24">
        <f t="shared" si="112"/>
        <v>3143608</v>
      </c>
    </row>
    <row r="1099" spans="2:18" hidden="1" x14ac:dyDescent="0.25">
      <c r="B1099" s="21" t="s">
        <v>395</v>
      </c>
      <c r="C1099" s="22" t="s">
        <v>6675</v>
      </c>
      <c r="D1099" s="22"/>
      <c r="E1099" s="21" t="s">
        <v>75</v>
      </c>
      <c r="F1099" s="21"/>
      <c r="G1099" s="147" t="s">
        <v>1146</v>
      </c>
      <c r="H1099" s="23" t="s">
        <v>9715</v>
      </c>
      <c r="I1099" s="23"/>
      <c r="J1099" s="21" t="s">
        <v>9716</v>
      </c>
      <c r="K1099" s="47"/>
      <c r="L1099" s="21" t="s">
        <v>9780</v>
      </c>
      <c r="M1099" s="26">
        <v>45377</v>
      </c>
      <c r="N1099" s="44">
        <v>3431368</v>
      </c>
      <c r="O1099" s="22" t="s">
        <v>15</v>
      </c>
      <c r="P1099" s="114">
        <v>3431368</v>
      </c>
      <c r="Q1099" s="44">
        <f t="shared" si="115"/>
        <v>0</v>
      </c>
      <c r="R1099" s="24">
        <f t="shared" si="112"/>
        <v>3431368</v>
      </c>
    </row>
    <row r="1100" spans="2:18" hidden="1" x14ac:dyDescent="0.25">
      <c r="B1100" s="21" t="s">
        <v>395</v>
      </c>
      <c r="C1100" s="22" t="s">
        <v>6675</v>
      </c>
      <c r="D1100" s="22"/>
      <c r="E1100" s="21" t="s">
        <v>75</v>
      </c>
      <c r="F1100" s="21"/>
      <c r="G1100" s="147" t="s">
        <v>1146</v>
      </c>
      <c r="H1100" s="23" t="s">
        <v>9715</v>
      </c>
      <c r="I1100" s="23"/>
      <c r="J1100" s="21" t="s">
        <v>6973</v>
      </c>
      <c r="K1100" s="47"/>
      <c r="L1100" s="21" t="s">
        <v>9937</v>
      </c>
      <c r="M1100" s="26">
        <v>45462</v>
      </c>
      <c r="N1100" s="44">
        <v>1960782</v>
      </c>
      <c r="O1100" s="22" t="s">
        <v>15</v>
      </c>
      <c r="P1100" s="114">
        <v>1960782</v>
      </c>
      <c r="Q1100" s="44">
        <f t="shared" si="115"/>
        <v>0</v>
      </c>
      <c r="R1100" s="24">
        <f t="shared" si="112"/>
        <v>1960782</v>
      </c>
    </row>
    <row r="1101" spans="2:18" hidden="1" x14ac:dyDescent="0.25">
      <c r="B1101" s="21" t="s">
        <v>395</v>
      </c>
      <c r="C1101" s="22" t="s">
        <v>6675</v>
      </c>
      <c r="D1101" s="22"/>
      <c r="E1101" s="21" t="s">
        <v>75</v>
      </c>
      <c r="F1101" s="21"/>
      <c r="G1101" s="147" t="s">
        <v>1146</v>
      </c>
      <c r="H1101" s="23" t="s">
        <v>9715</v>
      </c>
      <c r="I1101" s="23"/>
      <c r="J1101" s="21" t="s">
        <v>6974</v>
      </c>
      <c r="K1101" s="47"/>
      <c r="L1101" s="21" t="s">
        <v>10306</v>
      </c>
      <c r="M1101" s="23" t="s">
        <v>10307</v>
      </c>
      <c r="N1101" s="44">
        <v>1960782</v>
      </c>
      <c r="O1101" s="22" t="s">
        <v>15</v>
      </c>
      <c r="P1101" s="114">
        <v>1960782</v>
      </c>
      <c r="Q1101" s="44">
        <f t="shared" si="115"/>
        <v>0</v>
      </c>
      <c r="R1101" s="24">
        <f t="shared" si="112"/>
        <v>1960782</v>
      </c>
    </row>
    <row r="1102" spans="2:18" hidden="1" x14ac:dyDescent="0.25">
      <c r="B1102" s="21" t="s">
        <v>395</v>
      </c>
      <c r="C1102" s="22" t="s">
        <v>6675</v>
      </c>
      <c r="D1102" s="22"/>
      <c r="E1102" s="21" t="s">
        <v>75</v>
      </c>
      <c r="F1102" s="21"/>
      <c r="G1102" s="147" t="s">
        <v>1146</v>
      </c>
      <c r="H1102" s="23" t="s">
        <v>9715</v>
      </c>
      <c r="I1102" s="23"/>
      <c r="J1102" s="21" t="s">
        <v>6975</v>
      </c>
      <c r="K1102" s="47"/>
      <c r="L1102" s="21" t="s">
        <v>10712</v>
      </c>
      <c r="M1102" s="26">
        <v>45562</v>
      </c>
      <c r="N1102" s="44">
        <v>2450977</v>
      </c>
      <c r="O1102" s="22" t="s">
        <v>15</v>
      </c>
      <c r="P1102" s="114">
        <v>2941172.4</v>
      </c>
      <c r="Q1102" s="44">
        <f t="shared" si="115"/>
        <v>0</v>
      </c>
      <c r="R1102" s="24">
        <f t="shared" si="112"/>
        <v>2941172.4</v>
      </c>
    </row>
    <row r="1103" spans="2:18" hidden="1" x14ac:dyDescent="0.25">
      <c r="B1103" s="21" t="s">
        <v>395</v>
      </c>
      <c r="C1103" s="22" t="s">
        <v>6675</v>
      </c>
      <c r="D1103" s="22"/>
      <c r="E1103" s="21" t="s">
        <v>75</v>
      </c>
      <c r="F1103" s="21"/>
      <c r="G1103" s="147" t="s">
        <v>1146</v>
      </c>
      <c r="H1103" s="23" t="s">
        <v>9715</v>
      </c>
      <c r="I1103" s="23"/>
      <c r="J1103" s="21" t="s">
        <v>6976</v>
      </c>
      <c r="K1103" s="47"/>
      <c r="L1103" s="21" t="s">
        <v>10819</v>
      </c>
      <c r="M1103" s="26">
        <v>45625</v>
      </c>
      <c r="N1103" s="44">
        <v>2450977</v>
      </c>
      <c r="O1103" s="22" t="s">
        <v>15</v>
      </c>
      <c r="P1103" s="114">
        <v>2450977</v>
      </c>
      <c r="Q1103" s="44">
        <f t="shared" si="115"/>
        <v>0</v>
      </c>
      <c r="R1103" s="24">
        <f t="shared" si="112"/>
        <v>2450977</v>
      </c>
    </row>
    <row r="1104" spans="2:18" hidden="1" x14ac:dyDescent="0.25">
      <c r="B1104" s="21" t="s">
        <v>395</v>
      </c>
      <c r="C1104" s="22" t="s">
        <v>6675</v>
      </c>
      <c r="D1104" s="22"/>
      <c r="E1104" s="21" t="s">
        <v>75</v>
      </c>
      <c r="F1104" s="21"/>
      <c r="G1104" s="147" t="s">
        <v>1146</v>
      </c>
      <c r="H1104" s="23" t="s">
        <v>9715</v>
      </c>
      <c r="I1104" s="23"/>
      <c r="J1104" s="21" t="s">
        <v>1447</v>
      </c>
      <c r="K1104" s="21"/>
      <c r="L1104" s="21" t="s">
        <v>11019</v>
      </c>
      <c r="M1104" s="26">
        <v>45657</v>
      </c>
      <c r="N1104" s="44">
        <v>2450977</v>
      </c>
      <c r="O1104" s="22" t="s">
        <v>15</v>
      </c>
      <c r="P1104" s="44">
        <v>2450977</v>
      </c>
      <c r="Q1104" s="44">
        <f t="shared" si="115"/>
        <v>0</v>
      </c>
      <c r="R1104" s="24">
        <f t="shared" si="112"/>
        <v>2450977</v>
      </c>
    </row>
    <row r="1105" spans="2:18" hidden="1" x14ac:dyDescent="0.25">
      <c r="B1105" s="21" t="s">
        <v>395</v>
      </c>
      <c r="C1105" s="22" t="s">
        <v>6675</v>
      </c>
      <c r="D1105" s="22"/>
      <c r="E1105" s="21" t="s">
        <v>75</v>
      </c>
      <c r="F1105" s="21"/>
      <c r="G1105" s="147" t="s">
        <v>1146</v>
      </c>
      <c r="H1105" s="23" t="s">
        <v>9715</v>
      </c>
      <c r="I1105" s="23"/>
      <c r="J1105" s="21" t="s">
        <v>1448</v>
      </c>
      <c r="K1105" s="21"/>
      <c r="L1105" s="21" t="s">
        <v>11750</v>
      </c>
      <c r="M1105" s="26">
        <v>45778</v>
      </c>
      <c r="N1105" s="44">
        <v>2941173</v>
      </c>
      <c r="O1105" s="22" t="s">
        <v>15</v>
      </c>
      <c r="P1105" s="44">
        <v>2941173</v>
      </c>
      <c r="Q1105" s="44">
        <f t="shared" si="115"/>
        <v>0</v>
      </c>
      <c r="R1105" s="24">
        <f t="shared" si="112"/>
        <v>2941173</v>
      </c>
    </row>
    <row r="1106" spans="2:18" hidden="1" x14ac:dyDescent="0.25">
      <c r="B1106" s="21" t="s">
        <v>395</v>
      </c>
      <c r="C1106" s="22" t="s">
        <v>6675</v>
      </c>
      <c r="D1106" s="22"/>
      <c r="E1106" s="21" t="s">
        <v>75</v>
      </c>
      <c r="F1106" s="21"/>
      <c r="G1106" s="147" t="s">
        <v>1146</v>
      </c>
      <c r="H1106" s="23" t="s">
        <v>11885</v>
      </c>
      <c r="I1106" s="23"/>
      <c r="J1106" s="21" t="s">
        <v>11884</v>
      </c>
      <c r="K1106" s="47"/>
      <c r="L1106" s="21" t="s">
        <v>11915</v>
      </c>
      <c r="M1106" s="26">
        <v>45806</v>
      </c>
      <c r="N1106" s="44">
        <v>2101003</v>
      </c>
      <c r="O1106" s="22" t="s">
        <v>15</v>
      </c>
      <c r="P1106" s="114">
        <v>2101003</v>
      </c>
      <c r="Q1106" s="44">
        <f t="shared" ref="Q1106" si="116">IF(P1106="en cours",N1106,IF(P1106="OK",0,IF(N1106-P1106&lt;0,0,N1106-P1106)))</f>
        <v>0</v>
      </c>
      <c r="R1106" s="24">
        <f t="shared" ref="R1106" si="117">IF(P1106="OK",N1106-Q1106,IF(P1106="en cours",N1106-Q1106,P1106))</f>
        <v>2101003</v>
      </c>
    </row>
    <row r="1107" spans="2:18" hidden="1" x14ac:dyDescent="0.25">
      <c r="B1107" s="21" t="s">
        <v>395</v>
      </c>
      <c r="C1107" s="22" t="s">
        <v>6675</v>
      </c>
      <c r="D1107" s="22"/>
      <c r="E1107" s="21" t="s">
        <v>75</v>
      </c>
      <c r="F1107" s="21"/>
      <c r="G1107" s="147" t="s">
        <v>1146</v>
      </c>
      <c r="H1107" s="23" t="s">
        <v>11885</v>
      </c>
      <c r="I1107" s="23"/>
      <c r="J1107" s="21" t="s">
        <v>2498</v>
      </c>
      <c r="K1107" s="47">
        <v>45809</v>
      </c>
      <c r="L1107" s="21" t="s">
        <v>12206</v>
      </c>
      <c r="M1107" s="26">
        <v>45861</v>
      </c>
      <c r="N1107" s="44">
        <v>3781632</v>
      </c>
      <c r="O1107" s="22" t="s">
        <v>15</v>
      </c>
      <c r="P1107" s="114">
        <v>3781632</v>
      </c>
      <c r="Q1107" s="44">
        <f t="shared" si="115"/>
        <v>0</v>
      </c>
      <c r="R1107" s="24">
        <f t="shared" si="112"/>
        <v>3781632</v>
      </c>
    </row>
    <row r="1108" spans="2:18" hidden="1" x14ac:dyDescent="0.25">
      <c r="C1108" s="4" t="s">
        <v>6675</v>
      </c>
      <c r="E1108" s="5" t="s">
        <v>75</v>
      </c>
      <c r="G1108" s="146" t="s">
        <v>1146</v>
      </c>
      <c r="H1108" s="7" t="s">
        <v>11885</v>
      </c>
      <c r="J1108" s="5" t="s">
        <v>2499</v>
      </c>
      <c r="K1108" s="115">
        <v>45931</v>
      </c>
      <c r="N1108" s="45">
        <v>756326</v>
      </c>
      <c r="O1108" s="4" t="s">
        <v>15</v>
      </c>
      <c r="P1108" s="122"/>
      <c r="Q1108" s="45">
        <f t="shared" si="115"/>
        <v>756326</v>
      </c>
      <c r="R1108" s="3">
        <f t="shared" si="112"/>
        <v>0</v>
      </c>
    </row>
    <row r="1109" spans="2:18" hidden="1" x14ac:dyDescent="0.25">
      <c r="C1109" s="4" t="s">
        <v>6675</v>
      </c>
      <c r="E1109" s="5" t="s">
        <v>75</v>
      </c>
      <c r="G1109" s="146" t="s">
        <v>1146</v>
      </c>
      <c r="H1109" s="7" t="s">
        <v>11885</v>
      </c>
      <c r="J1109" s="5" t="s">
        <v>2500</v>
      </c>
      <c r="K1109" s="115">
        <v>46054</v>
      </c>
      <c r="N1109" s="45">
        <v>109003</v>
      </c>
      <c r="O1109" s="4" t="s">
        <v>15</v>
      </c>
      <c r="P1109" s="122"/>
      <c r="Q1109" s="45">
        <f t="shared" si="115"/>
        <v>109003</v>
      </c>
      <c r="R1109" s="3">
        <f t="shared" si="112"/>
        <v>0</v>
      </c>
    </row>
    <row r="1110" spans="2:18" hidden="1" x14ac:dyDescent="0.25">
      <c r="C1110" s="4" t="s">
        <v>6675</v>
      </c>
      <c r="E1110" s="5" t="s">
        <v>75</v>
      </c>
      <c r="G1110" s="146" t="s">
        <v>1146</v>
      </c>
      <c r="H1110" s="7" t="s">
        <v>11885</v>
      </c>
      <c r="J1110" s="170" t="s">
        <v>6984</v>
      </c>
      <c r="K1110" s="170"/>
      <c r="L1110" s="5" t="s">
        <v>14124</v>
      </c>
      <c r="M1110" s="12" t="s">
        <v>14125</v>
      </c>
      <c r="N1110" s="134">
        <v>8447255.5299999993</v>
      </c>
      <c r="O1110" s="4" t="s">
        <v>15</v>
      </c>
      <c r="P1110" s="122">
        <f>66067.19+151175.36+202696.55+14459+111626.23+145337.66+15.88+197880.97+129117.98+142300.29+199305.56+181949.77+129071.18+175466.28+197604.12+312184.59+235656.5+196392.71+204674.55+271784.94+4711.68+258609.99+194319.21+264851.86+207397.85+202988.66+699560.54+239396.37+464588.43+225775.16+236281.68+264360.43+262246.94+213282.19+326831.55+164930.2+251322.48+154402.63+236175.73+136597.34 + 117305.92+76322.61+70640.68+48308.09+25975.88</f>
        <v>8611951.4100000001</v>
      </c>
      <c r="Q1110" s="45">
        <f t="shared" si="115"/>
        <v>0</v>
      </c>
      <c r="R1110" s="3">
        <f t="shared" ref="R1110:R1173" si="118">IF(P1110="OK",N1110-Q1110,IF(P1110="en cours",N1110-Q1110,P1110))</f>
        <v>8611951.4100000001</v>
      </c>
    </row>
    <row r="1111" spans="2:18" hidden="1" x14ac:dyDescent="0.25">
      <c r="C1111" s="4" t="s">
        <v>6675</v>
      </c>
      <c r="E1111" s="5" t="s">
        <v>75</v>
      </c>
      <c r="G1111" s="146" t="s">
        <v>1146</v>
      </c>
      <c r="H1111" s="7" t="s">
        <v>11885</v>
      </c>
      <c r="J1111" s="170" t="s">
        <v>6990</v>
      </c>
      <c r="K1111" s="170"/>
      <c r="L1111" s="5" t="s">
        <v>14126</v>
      </c>
      <c r="M1111" s="12" t="s">
        <v>14127</v>
      </c>
      <c r="N1111" s="134">
        <v>9380962</v>
      </c>
      <c r="O1111" s="4" t="s">
        <v>15</v>
      </c>
      <c r="P1111" s="122">
        <f>7057.17+47502.01+53040.93+71822.09+41382.49+22777.66+111809.6+58830.33+227398.02+154393.25+203519.64+305024.43+292278.57+267423.63+337018.14+207436.19+358398.11+269320.03+260522.81+281512.47+292689.62+316244.27+369820.98+283792.82+431438.79+398521.66+224915.58+291709.44+281458.77+260627.75+296529.09+406517.17+573926.76+201876.69+530192.91+396876.85+558639.4+205382.95</f>
        <v>9899629.0700000003</v>
      </c>
      <c r="Q1111" s="45">
        <f t="shared" si="115"/>
        <v>0</v>
      </c>
      <c r="R1111" s="3">
        <f t="shared" si="118"/>
        <v>9899629.0700000003</v>
      </c>
    </row>
    <row r="1112" spans="2:18" hidden="1" x14ac:dyDescent="0.25">
      <c r="C1112" s="4" t="s">
        <v>6675</v>
      </c>
      <c r="E1112" s="5" t="s">
        <v>75</v>
      </c>
      <c r="G1112" s="146" t="s">
        <v>1146</v>
      </c>
      <c r="H1112" s="7" t="s">
        <v>11885</v>
      </c>
      <c r="J1112" s="170" t="s">
        <v>6987</v>
      </c>
      <c r="K1112" s="170"/>
      <c r="L1112" s="5" t="s">
        <v>14128</v>
      </c>
      <c r="M1112" s="12" t="s">
        <v>14129</v>
      </c>
      <c r="N1112" s="134">
        <v>10366398</v>
      </c>
      <c r="O1112" s="4" t="s">
        <v>15</v>
      </c>
      <c r="P1112" s="122">
        <f>14459+40406.01+11783.44+18224.47+81010.42+51970.88+70215.19+100309.55+129766.89+287347.35+220490.93+266534.19+237649.42+252619.96+275499.34+282384.75+275499.34+328208.92+310135.31+430879.62+500475.81+501945.63+576599.53+492276.8+869491.06+326631.66+555312.56+583412.64+497786.93+287188.12+523654.17+120233.86+(-131639.04)+195866.32+17922.77+7019.24+12082.09+12215.66</f>
        <v>9633870.790000001</v>
      </c>
      <c r="Q1112" s="45">
        <f t="shared" si="115"/>
        <v>732527.20999999903</v>
      </c>
      <c r="R1112" s="3">
        <f t="shared" si="118"/>
        <v>9633870.790000001</v>
      </c>
    </row>
    <row r="1113" spans="2:18" hidden="1" x14ac:dyDescent="0.25">
      <c r="B1113" s="21" t="s">
        <v>395</v>
      </c>
      <c r="C1113" s="22" t="s">
        <v>6047</v>
      </c>
      <c r="D1113" s="22"/>
      <c r="E1113" s="21" t="s">
        <v>75</v>
      </c>
      <c r="F1113" s="21"/>
      <c r="G1113" s="147" t="s">
        <v>1146</v>
      </c>
      <c r="H1113" s="23" t="s">
        <v>6995</v>
      </c>
      <c r="I1113" s="23"/>
      <c r="J1113" s="196" t="s">
        <v>6959</v>
      </c>
      <c r="K1113" s="21"/>
      <c r="L1113" s="196" t="s">
        <v>6072</v>
      </c>
      <c r="M1113" s="197">
        <v>44509</v>
      </c>
      <c r="N1113" s="209">
        <v>355320.77</v>
      </c>
      <c r="O1113" s="22" t="s">
        <v>15</v>
      </c>
      <c r="P1113" s="209">
        <f t="shared" ref="P1113:P1118" si="119">N1113</f>
        <v>355320.77</v>
      </c>
      <c r="Q1113" s="44">
        <f t="shared" si="115"/>
        <v>0</v>
      </c>
      <c r="R1113" s="24">
        <f t="shared" si="118"/>
        <v>355320.77</v>
      </c>
    </row>
    <row r="1114" spans="2:18" hidden="1" x14ac:dyDescent="0.25">
      <c r="B1114" s="21" t="s">
        <v>395</v>
      </c>
      <c r="C1114" s="22" t="s">
        <v>6047</v>
      </c>
      <c r="D1114" s="22"/>
      <c r="E1114" s="21" t="s">
        <v>75</v>
      </c>
      <c r="F1114" s="21"/>
      <c r="G1114" s="147" t="s">
        <v>1146</v>
      </c>
      <c r="H1114" s="23" t="s">
        <v>6995</v>
      </c>
      <c r="I1114" s="23"/>
      <c r="J1114" s="191" t="s">
        <v>6960</v>
      </c>
      <c r="K1114" s="21"/>
      <c r="L1114" s="191" t="s">
        <v>6071</v>
      </c>
      <c r="M1114" s="193">
        <v>44509</v>
      </c>
      <c r="N1114" s="192">
        <v>76140.17</v>
      </c>
      <c r="O1114" s="22" t="s">
        <v>15</v>
      </c>
      <c r="P1114" s="192">
        <f t="shared" si="119"/>
        <v>76140.17</v>
      </c>
      <c r="Q1114" s="44">
        <f t="shared" si="115"/>
        <v>0</v>
      </c>
      <c r="R1114" s="24">
        <f t="shared" si="118"/>
        <v>76140.17</v>
      </c>
    </row>
    <row r="1115" spans="2:18" hidden="1" x14ac:dyDescent="0.25">
      <c r="B1115" s="21" t="s">
        <v>395</v>
      </c>
      <c r="C1115" s="22" t="s">
        <v>6047</v>
      </c>
      <c r="D1115" s="22"/>
      <c r="E1115" s="21" t="s">
        <v>75</v>
      </c>
      <c r="F1115" s="21"/>
      <c r="G1115" s="147" t="s">
        <v>1146</v>
      </c>
      <c r="H1115" s="23" t="s">
        <v>6995</v>
      </c>
      <c r="I1115" s="23"/>
      <c r="J1115" s="307" t="s">
        <v>6961</v>
      </c>
      <c r="K1115" s="21"/>
      <c r="L1115" s="307" t="s">
        <v>6719</v>
      </c>
      <c r="M1115" s="306" t="s">
        <v>6720</v>
      </c>
      <c r="N1115" s="308">
        <v>76140.17</v>
      </c>
      <c r="O1115" s="22" t="s">
        <v>15</v>
      </c>
      <c r="P1115" s="308">
        <f t="shared" si="119"/>
        <v>76140.17</v>
      </c>
      <c r="Q1115" s="44">
        <f t="shared" si="115"/>
        <v>0</v>
      </c>
      <c r="R1115" s="24">
        <f t="shared" si="118"/>
        <v>76140.17</v>
      </c>
    </row>
    <row r="1116" spans="2:18" hidden="1" x14ac:dyDescent="0.25">
      <c r="B1116" s="21" t="s">
        <v>395</v>
      </c>
      <c r="C1116" s="22" t="s">
        <v>6047</v>
      </c>
      <c r="D1116" s="22"/>
      <c r="E1116" s="21" t="s">
        <v>75</v>
      </c>
      <c r="F1116" s="21"/>
      <c r="G1116" s="147" t="s">
        <v>1146</v>
      </c>
      <c r="H1116" s="23" t="s">
        <v>6995</v>
      </c>
      <c r="I1116" s="23"/>
      <c r="J1116" s="280" t="s">
        <v>6962</v>
      </c>
      <c r="K1116" s="21"/>
      <c r="L1116" s="280" t="s">
        <v>6747</v>
      </c>
      <c r="M1116" s="145">
        <v>44687</v>
      </c>
      <c r="N1116" s="284">
        <v>28912.400000000001</v>
      </c>
      <c r="O1116" s="22" t="s">
        <v>15</v>
      </c>
      <c r="P1116" s="284">
        <f t="shared" si="119"/>
        <v>28912.400000000001</v>
      </c>
      <c r="Q1116" s="44">
        <f t="shared" si="115"/>
        <v>0</v>
      </c>
      <c r="R1116" s="24">
        <f t="shared" si="118"/>
        <v>28912.400000000001</v>
      </c>
    </row>
    <row r="1117" spans="2:18" hidden="1" x14ac:dyDescent="0.25">
      <c r="B1117" s="21" t="s">
        <v>395</v>
      </c>
      <c r="C1117" s="22" t="s">
        <v>6047</v>
      </c>
      <c r="D1117" s="22"/>
      <c r="E1117" s="21" t="s">
        <v>75</v>
      </c>
      <c r="F1117" s="21"/>
      <c r="G1117" s="147" t="s">
        <v>1146</v>
      </c>
      <c r="H1117" s="23" t="s">
        <v>6995</v>
      </c>
      <c r="I1117" s="23"/>
      <c r="J1117" s="274" t="s">
        <v>6963</v>
      </c>
      <c r="K1117" s="21"/>
      <c r="L1117" s="274" t="s">
        <v>6747</v>
      </c>
      <c r="M1117" s="276">
        <v>44687</v>
      </c>
      <c r="N1117" s="279">
        <v>28912.400000000001</v>
      </c>
      <c r="O1117" s="22" t="s">
        <v>15</v>
      </c>
      <c r="P1117" s="279">
        <f t="shared" si="119"/>
        <v>28912.400000000001</v>
      </c>
      <c r="Q1117" s="44">
        <f t="shared" si="115"/>
        <v>0</v>
      </c>
      <c r="R1117" s="24">
        <f t="shared" si="118"/>
        <v>28912.400000000001</v>
      </c>
    </row>
    <row r="1118" spans="2:18" hidden="1" x14ac:dyDescent="0.25">
      <c r="B1118" s="21" t="s">
        <v>395</v>
      </c>
      <c r="C1118" s="22" t="s">
        <v>6047</v>
      </c>
      <c r="D1118" s="22"/>
      <c r="E1118" s="21" t="s">
        <v>75</v>
      </c>
      <c r="F1118" s="21"/>
      <c r="G1118" s="147" t="s">
        <v>1146</v>
      </c>
      <c r="H1118" s="23" t="s">
        <v>6995</v>
      </c>
      <c r="I1118" s="23"/>
      <c r="J1118" s="310" t="s">
        <v>6964</v>
      </c>
      <c r="K1118" s="21"/>
      <c r="L1118" s="310" t="s">
        <v>6908</v>
      </c>
      <c r="M1118" s="367">
        <v>44747</v>
      </c>
      <c r="N1118" s="312">
        <v>479262</v>
      </c>
      <c r="O1118" s="22" t="s">
        <v>15</v>
      </c>
      <c r="P1118" s="312">
        <f t="shared" si="119"/>
        <v>479262</v>
      </c>
      <c r="Q1118" s="44">
        <f t="shared" si="115"/>
        <v>0</v>
      </c>
      <c r="R1118" s="24">
        <f t="shared" si="118"/>
        <v>479262</v>
      </c>
    </row>
    <row r="1119" spans="2:18" hidden="1" x14ac:dyDescent="0.25">
      <c r="B1119" s="21" t="s">
        <v>395</v>
      </c>
      <c r="C1119" s="22" t="s">
        <v>6047</v>
      </c>
      <c r="D1119" s="22"/>
      <c r="E1119" s="21" t="s">
        <v>75</v>
      </c>
      <c r="F1119" s="21"/>
      <c r="G1119" s="147" t="s">
        <v>1146</v>
      </c>
      <c r="H1119" s="23" t="s">
        <v>6995</v>
      </c>
      <c r="I1119" s="23"/>
      <c r="J1119" s="21" t="s">
        <v>6965</v>
      </c>
      <c r="K1119" s="21"/>
      <c r="L1119" s="21" t="s">
        <v>7021</v>
      </c>
      <c r="M1119" s="26">
        <v>44778</v>
      </c>
      <c r="N1119" s="44">
        <v>1498548</v>
      </c>
      <c r="O1119" s="22" t="s">
        <v>15</v>
      </c>
      <c r="P1119" s="44">
        <v>1498548</v>
      </c>
      <c r="Q1119" s="44">
        <f t="shared" si="115"/>
        <v>0</v>
      </c>
      <c r="R1119" s="24">
        <f t="shared" si="118"/>
        <v>1498548</v>
      </c>
    </row>
    <row r="1120" spans="2:18" hidden="1" x14ac:dyDescent="0.25">
      <c r="B1120" s="21" t="s">
        <v>395</v>
      </c>
      <c r="C1120" s="22" t="s">
        <v>6047</v>
      </c>
      <c r="D1120" s="22"/>
      <c r="E1120" s="21" t="s">
        <v>75</v>
      </c>
      <c r="F1120" s="21"/>
      <c r="G1120" s="147" t="s">
        <v>1146</v>
      </c>
      <c r="H1120" s="23" t="s">
        <v>6995</v>
      </c>
      <c r="I1120" s="23"/>
      <c r="J1120" s="21" t="s">
        <v>6966</v>
      </c>
      <c r="K1120" s="21"/>
      <c r="L1120" s="21" t="s">
        <v>7075</v>
      </c>
      <c r="M1120" s="26">
        <v>44813</v>
      </c>
      <c r="N1120" s="44">
        <v>4683567</v>
      </c>
      <c r="O1120" s="22" t="s">
        <v>15</v>
      </c>
      <c r="P1120" s="44">
        <v>4683567</v>
      </c>
      <c r="Q1120" s="44">
        <f t="shared" si="115"/>
        <v>0</v>
      </c>
      <c r="R1120" s="24">
        <f t="shared" si="118"/>
        <v>4683567</v>
      </c>
    </row>
    <row r="1121" spans="2:18" hidden="1" x14ac:dyDescent="0.25">
      <c r="B1121" s="21" t="s">
        <v>395</v>
      </c>
      <c r="C1121" s="22" t="s">
        <v>6047</v>
      </c>
      <c r="D1121" s="22"/>
      <c r="E1121" s="21" t="s">
        <v>75</v>
      </c>
      <c r="F1121" s="21"/>
      <c r="G1121" s="147" t="s">
        <v>1146</v>
      </c>
      <c r="H1121" s="23" t="s">
        <v>6995</v>
      </c>
      <c r="I1121" s="23"/>
      <c r="J1121" s="21" t="s">
        <v>629</v>
      </c>
      <c r="K1121" s="21"/>
      <c r="L1121" s="21" t="s">
        <v>7344</v>
      </c>
      <c r="M1121" s="26">
        <v>44909</v>
      </c>
      <c r="N1121" s="44">
        <v>963697</v>
      </c>
      <c r="O1121" s="22" t="s">
        <v>15</v>
      </c>
      <c r="P1121" s="44">
        <v>963697</v>
      </c>
      <c r="Q1121" s="44">
        <f t="shared" si="115"/>
        <v>0</v>
      </c>
      <c r="R1121" s="24">
        <f t="shared" si="118"/>
        <v>963697</v>
      </c>
    </row>
    <row r="1122" spans="2:18" hidden="1" x14ac:dyDescent="0.25">
      <c r="B1122" s="21" t="s">
        <v>395</v>
      </c>
      <c r="C1122" s="22" t="s">
        <v>6047</v>
      </c>
      <c r="D1122" s="22"/>
      <c r="E1122" s="21" t="s">
        <v>75</v>
      </c>
      <c r="F1122" s="21"/>
      <c r="G1122" s="147" t="s">
        <v>1146</v>
      </c>
      <c r="H1122" s="23" t="s">
        <v>6995</v>
      </c>
      <c r="I1122" s="23"/>
      <c r="J1122" s="21" t="s">
        <v>6978</v>
      </c>
      <c r="K1122" s="21"/>
      <c r="L1122" s="21" t="s">
        <v>7026</v>
      </c>
      <c r="M1122" s="26">
        <v>44778</v>
      </c>
      <c r="N1122" s="44">
        <v>3378370</v>
      </c>
      <c r="O1122" s="22" t="s">
        <v>15</v>
      </c>
      <c r="P1122" s="44">
        <v>3378370</v>
      </c>
      <c r="Q1122" s="44">
        <f t="shared" si="115"/>
        <v>0</v>
      </c>
      <c r="R1122" s="24">
        <f t="shared" si="118"/>
        <v>3378370</v>
      </c>
    </row>
    <row r="1123" spans="2:18" hidden="1" x14ac:dyDescent="0.25">
      <c r="C1123" s="4" t="s">
        <v>6047</v>
      </c>
      <c r="E1123" s="5" t="s">
        <v>75</v>
      </c>
      <c r="G1123" s="146" t="s">
        <v>1146</v>
      </c>
      <c r="H1123" s="7" t="s">
        <v>6995</v>
      </c>
      <c r="J1123" s="5" t="s">
        <v>6979</v>
      </c>
      <c r="N1123" s="45">
        <v>-3378370</v>
      </c>
      <c r="O1123" s="4" t="s">
        <v>15</v>
      </c>
      <c r="Q1123" s="45">
        <f>N1123</f>
        <v>-3378370</v>
      </c>
      <c r="R1123" s="3">
        <f t="shared" si="118"/>
        <v>0</v>
      </c>
    </row>
    <row r="1124" spans="2:18" hidden="1" x14ac:dyDescent="0.25">
      <c r="B1124" s="21" t="s">
        <v>395</v>
      </c>
      <c r="C1124" s="22" t="s">
        <v>6047</v>
      </c>
      <c r="D1124" s="22"/>
      <c r="E1124" s="21" t="s">
        <v>75</v>
      </c>
      <c r="F1124" s="21"/>
      <c r="G1124" s="147" t="s">
        <v>1146</v>
      </c>
      <c r="H1124" s="23" t="s">
        <v>6995</v>
      </c>
      <c r="I1124" s="23"/>
      <c r="J1124" s="85" t="s">
        <v>6980</v>
      </c>
      <c r="K1124" s="182"/>
      <c r="L1124" s="85" t="s">
        <v>6080</v>
      </c>
      <c r="M1124" s="369">
        <v>44510</v>
      </c>
      <c r="N1124" s="94">
        <v>136691.66</v>
      </c>
      <c r="O1124" s="94" t="s">
        <v>15</v>
      </c>
      <c r="P1124" s="94">
        <f>N1124</f>
        <v>136691.66</v>
      </c>
      <c r="Q1124" s="94">
        <f>IF(P1124="en cours",N1124,IF(P1124="OK",0,IF(N1124-P1124&lt;0,0,N1124-P1124)))</f>
        <v>0</v>
      </c>
      <c r="R1124" s="94">
        <f t="shared" si="118"/>
        <v>136691.66</v>
      </c>
    </row>
    <row r="1125" spans="2:18" hidden="1" x14ac:dyDescent="0.25">
      <c r="B1125" s="21" t="s">
        <v>395</v>
      </c>
      <c r="C1125" s="22" t="s">
        <v>6047</v>
      </c>
      <c r="D1125" s="22"/>
      <c r="E1125" s="21" t="s">
        <v>75</v>
      </c>
      <c r="F1125" s="21"/>
      <c r="G1125" s="147" t="s">
        <v>1146</v>
      </c>
      <c r="H1125" s="23" t="s">
        <v>6995</v>
      </c>
      <c r="I1125" s="23"/>
      <c r="J1125" s="39" t="s">
        <v>6981</v>
      </c>
      <c r="K1125" s="370"/>
      <c r="L1125" s="39" t="s">
        <v>6080</v>
      </c>
      <c r="M1125" s="41">
        <v>44510</v>
      </c>
      <c r="N1125" s="97">
        <v>29291.07</v>
      </c>
      <c r="O1125" s="97" t="s">
        <v>15</v>
      </c>
      <c r="P1125" s="97">
        <f>N1125</f>
        <v>29291.07</v>
      </c>
      <c r="Q1125" s="97">
        <f>IF(P1125="en cours",N1125,IF(P1125="OK",0,IF(N1125-P1125&lt;0,0,N1125-P1125)))</f>
        <v>0</v>
      </c>
      <c r="R1125" s="97">
        <f t="shared" si="118"/>
        <v>29291.07</v>
      </c>
    </row>
    <row r="1126" spans="2:18" hidden="1" x14ac:dyDescent="0.25">
      <c r="B1126" s="21" t="s">
        <v>395</v>
      </c>
      <c r="C1126" s="22" t="s">
        <v>6047</v>
      </c>
      <c r="D1126" s="22"/>
      <c r="E1126" s="21" t="s">
        <v>75</v>
      </c>
      <c r="F1126" s="21"/>
      <c r="G1126" s="147" t="s">
        <v>1146</v>
      </c>
      <c r="H1126" s="23" t="s">
        <v>6995</v>
      </c>
      <c r="I1126" s="23"/>
      <c r="J1126" s="65" t="s">
        <v>6982</v>
      </c>
      <c r="K1126" s="181"/>
      <c r="L1126" s="65" t="s">
        <v>6627</v>
      </c>
      <c r="M1126" s="167">
        <v>44649</v>
      </c>
      <c r="N1126" s="96">
        <v>29291.07</v>
      </c>
      <c r="O1126" s="96" t="s">
        <v>15</v>
      </c>
      <c r="P1126" s="96">
        <f>N1126</f>
        <v>29291.07</v>
      </c>
      <c r="Q1126" s="96">
        <f>IF(P1126="en cours",N1126,IF(P1126="OK",0,IF(N1126-P1126&lt;0,0,N1126-P1126)))</f>
        <v>0</v>
      </c>
      <c r="R1126" s="96">
        <f t="shared" si="118"/>
        <v>29291.07</v>
      </c>
    </row>
    <row r="1127" spans="2:18" hidden="1" x14ac:dyDescent="0.25">
      <c r="B1127" s="21" t="s">
        <v>395</v>
      </c>
      <c r="C1127" s="22" t="s">
        <v>6047</v>
      </c>
      <c r="D1127" s="22"/>
      <c r="E1127" s="21" t="s">
        <v>75</v>
      </c>
      <c r="F1127" s="21"/>
      <c r="G1127" s="147" t="s">
        <v>1146</v>
      </c>
      <c r="H1127" s="23" t="s">
        <v>6995</v>
      </c>
      <c r="I1127" s="23"/>
      <c r="J1127" s="79" t="s">
        <v>6983</v>
      </c>
      <c r="K1127" s="371"/>
      <c r="L1127" s="79" t="s">
        <v>7004</v>
      </c>
      <c r="M1127" s="179" t="s">
        <v>7002</v>
      </c>
      <c r="N1127" s="105">
        <v>587291.43999999994</v>
      </c>
      <c r="O1127" s="105" t="s">
        <v>15</v>
      </c>
      <c r="P1127" s="105">
        <f>N1127</f>
        <v>587291.43999999994</v>
      </c>
      <c r="Q1127" s="105">
        <f>IF(P1127="en cours",N1127,IF(P1127="OK",0,IF(N1127-P1127&lt;0,0,N1127-P1127)))</f>
        <v>0</v>
      </c>
      <c r="R1127" s="105">
        <f t="shared" si="118"/>
        <v>587291.43999999994</v>
      </c>
    </row>
    <row r="1128" spans="2:18" hidden="1" x14ac:dyDescent="0.25">
      <c r="B1128" s="21" t="s">
        <v>395</v>
      </c>
      <c r="C1128" s="22" t="s">
        <v>6047</v>
      </c>
      <c r="D1128" s="22"/>
      <c r="E1128" s="21" t="s">
        <v>75</v>
      </c>
      <c r="F1128" s="21"/>
      <c r="G1128" s="147" t="s">
        <v>1146</v>
      </c>
      <c r="H1128" s="23" t="s">
        <v>6995</v>
      </c>
      <c r="I1128" s="23"/>
      <c r="J1128" s="21" t="s">
        <v>6994</v>
      </c>
      <c r="K1128" s="21"/>
      <c r="L1128" s="21" t="s">
        <v>7075</v>
      </c>
      <c r="M1128" s="26">
        <v>44813</v>
      </c>
      <c r="N1128" s="44">
        <v>1322036</v>
      </c>
      <c r="O1128" s="22" t="s">
        <v>15</v>
      </c>
      <c r="P1128" s="44">
        <v>1322036</v>
      </c>
      <c r="Q1128" s="44">
        <f>IF(P1128="en cours",N1128,IF(P1128="OK",0,IF(N1128-P1128&lt;0,0,N1128-P1128)))</f>
        <v>0</v>
      </c>
      <c r="R1128" s="24">
        <f t="shared" si="118"/>
        <v>1322036</v>
      </c>
    </row>
    <row r="1129" spans="2:18" hidden="1" x14ac:dyDescent="0.25">
      <c r="C1129" s="4" t="s">
        <v>6047</v>
      </c>
      <c r="E1129" s="5" t="s">
        <v>75</v>
      </c>
      <c r="G1129" s="146" t="s">
        <v>1146</v>
      </c>
      <c r="H1129" s="7" t="s">
        <v>6995</v>
      </c>
      <c r="J1129" s="5" t="s">
        <v>6993</v>
      </c>
      <c r="N1129" s="45">
        <v>-1322036</v>
      </c>
      <c r="O1129" s="4" t="s">
        <v>15</v>
      </c>
      <c r="Q1129" s="45">
        <f>N1129</f>
        <v>-1322036</v>
      </c>
      <c r="R1129" s="3">
        <f t="shared" si="118"/>
        <v>0</v>
      </c>
    </row>
    <row r="1130" spans="2:18" hidden="1" x14ac:dyDescent="0.25">
      <c r="B1130" s="21" t="s">
        <v>395</v>
      </c>
      <c r="C1130" s="22" t="s">
        <v>6047</v>
      </c>
      <c r="D1130" s="22"/>
      <c r="E1130" s="21" t="s">
        <v>75</v>
      </c>
      <c r="F1130" s="21"/>
      <c r="G1130" s="147" t="s">
        <v>1146</v>
      </c>
      <c r="H1130" s="23" t="s">
        <v>6995</v>
      </c>
      <c r="I1130" s="23"/>
      <c r="J1130" s="21" t="s">
        <v>6988</v>
      </c>
      <c r="K1130" s="21"/>
      <c r="L1130" s="21" t="s">
        <v>7548</v>
      </c>
      <c r="M1130" s="26">
        <v>44960</v>
      </c>
      <c r="N1130" s="44">
        <v>642796</v>
      </c>
      <c r="O1130" s="22" t="s">
        <v>15</v>
      </c>
      <c r="P1130" s="44">
        <f>642796</f>
        <v>642796</v>
      </c>
      <c r="Q1130" s="44">
        <f>IF(P1130="en cours",N1130,IF(P1130="OK",0,IF(N1130-P1130&lt;0,0,N1130-P1130)))</f>
        <v>0</v>
      </c>
      <c r="R1130" s="24">
        <f t="shared" si="118"/>
        <v>642796</v>
      </c>
    </row>
    <row r="1131" spans="2:18" hidden="1" x14ac:dyDescent="0.25">
      <c r="C1131" s="4" t="s">
        <v>6047</v>
      </c>
      <c r="E1131" s="5" t="s">
        <v>75</v>
      </c>
      <c r="G1131" s="146" t="s">
        <v>1146</v>
      </c>
      <c r="H1131" s="7" t="s">
        <v>6995</v>
      </c>
      <c r="J1131" s="5" t="s">
        <v>6989</v>
      </c>
      <c r="N1131" s="45">
        <v>-642796</v>
      </c>
      <c r="O1131" s="4" t="s">
        <v>15</v>
      </c>
      <c r="Q1131" s="45">
        <f>N1131</f>
        <v>-642796</v>
      </c>
      <c r="R1131" s="3">
        <f t="shared" si="118"/>
        <v>0</v>
      </c>
    </row>
    <row r="1132" spans="2:18" hidden="1" x14ac:dyDescent="0.25">
      <c r="B1132" s="21" t="s">
        <v>395</v>
      </c>
      <c r="C1132" s="22" t="s">
        <v>6047</v>
      </c>
      <c r="D1132" s="22"/>
      <c r="E1132" s="21" t="s">
        <v>75</v>
      </c>
      <c r="F1132" s="21"/>
      <c r="G1132" s="147" t="s">
        <v>1146</v>
      </c>
      <c r="H1132" s="23" t="s">
        <v>8730</v>
      </c>
      <c r="I1132" s="23"/>
      <c r="J1132" s="21" t="s">
        <v>8727</v>
      </c>
      <c r="K1132" s="47"/>
      <c r="L1132" s="21" t="s">
        <v>8807</v>
      </c>
      <c r="M1132" s="26">
        <v>45163</v>
      </c>
      <c r="N1132" s="44">
        <v>1633000</v>
      </c>
      <c r="O1132" s="22" t="s">
        <v>15</v>
      </c>
      <c r="P1132" s="44">
        <v>1633000</v>
      </c>
      <c r="Q1132" s="44">
        <f t="shared" ref="Q1132:Q1166" si="120">IF(P1132="en cours",N1132,IF(P1132="OK",0,IF(N1132-P1132&lt;0,0,N1132-P1132)))</f>
        <v>0</v>
      </c>
      <c r="R1132" s="24">
        <f t="shared" si="118"/>
        <v>1633000</v>
      </c>
    </row>
    <row r="1133" spans="2:18" hidden="1" x14ac:dyDescent="0.25">
      <c r="B1133" s="21" t="s">
        <v>395</v>
      </c>
      <c r="C1133" s="22" t="s">
        <v>6047</v>
      </c>
      <c r="D1133" s="22"/>
      <c r="E1133" s="21" t="s">
        <v>75</v>
      </c>
      <c r="F1133" s="21"/>
      <c r="G1133" s="147" t="s">
        <v>1146</v>
      </c>
      <c r="H1133" s="23" t="s">
        <v>8730</v>
      </c>
      <c r="I1133" s="23"/>
      <c r="J1133" s="21" t="s">
        <v>6967</v>
      </c>
      <c r="K1133" s="47"/>
      <c r="L1133" s="21" t="s">
        <v>8808</v>
      </c>
      <c r="M1133" s="26">
        <v>45173</v>
      </c>
      <c r="N1133" s="44">
        <v>3265999</v>
      </c>
      <c r="O1133" s="22" t="s">
        <v>15</v>
      </c>
      <c r="P1133" s="44">
        <v>3265999</v>
      </c>
      <c r="Q1133" s="44">
        <f t="shared" si="120"/>
        <v>0</v>
      </c>
      <c r="R1133" s="24">
        <f t="shared" si="118"/>
        <v>3265999</v>
      </c>
    </row>
    <row r="1134" spans="2:18" hidden="1" x14ac:dyDescent="0.25">
      <c r="B1134" s="21" t="s">
        <v>395</v>
      </c>
      <c r="C1134" s="22" t="s">
        <v>6047</v>
      </c>
      <c r="D1134" s="22"/>
      <c r="E1134" s="21" t="s">
        <v>75</v>
      </c>
      <c r="F1134" s="21"/>
      <c r="G1134" s="147" t="s">
        <v>1146</v>
      </c>
      <c r="H1134" s="23" t="s">
        <v>8730</v>
      </c>
      <c r="I1134" s="23"/>
      <c r="J1134" s="21" t="s">
        <v>6996</v>
      </c>
      <c r="K1134" s="47"/>
      <c r="L1134" s="21" t="s">
        <v>9277</v>
      </c>
      <c r="M1134" s="26">
        <v>45215</v>
      </c>
      <c r="N1134" s="44">
        <v>4082499</v>
      </c>
      <c r="O1134" s="22" t="s">
        <v>15</v>
      </c>
      <c r="P1134" s="44">
        <v>4082499</v>
      </c>
      <c r="Q1134" s="44">
        <f t="shared" si="120"/>
        <v>0</v>
      </c>
      <c r="R1134" s="24">
        <f t="shared" si="118"/>
        <v>4082499</v>
      </c>
    </row>
    <row r="1135" spans="2:18" hidden="1" x14ac:dyDescent="0.25">
      <c r="B1135" s="21" t="s">
        <v>395</v>
      </c>
      <c r="C1135" s="22" t="s">
        <v>6047</v>
      </c>
      <c r="D1135" s="22"/>
      <c r="E1135" s="21" t="s">
        <v>75</v>
      </c>
      <c r="F1135" s="21"/>
      <c r="G1135" s="147" t="s">
        <v>1146</v>
      </c>
      <c r="H1135" s="23" t="s">
        <v>8730</v>
      </c>
      <c r="I1135" s="23"/>
      <c r="J1135" s="21" t="s">
        <v>3257</v>
      </c>
      <c r="K1135" s="47"/>
      <c r="L1135" s="21" t="s">
        <v>9276</v>
      </c>
      <c r="M1135" s="26">
        <v>45272</v>
      </c>
      <c r="N1135" s="44">
        <v>4626832</v>
      </c>
      <c r="O1135" s="22" t="s">
        <v>15</v>
      </c>
      <c r="P1135" s="44">
        <f>4626832</f>
        <v>4626832</v>
      </c>
      <c r="Q1135" s="44">
        <f t="shared" si="120"/>
        <v>0</v>
      </c>
      <c r="R1135" s="24">
        <f t="shared" si="118"/>
        <v>4626832</v>
      </c>
    </row>
    <row r="1136" spans="2:18" hidden="1" x14ac:dyDescent="0.25">
      <c r="B1136" s="21" t="s">
        <v>395</v>
      </c>
      <c r="C1136" s="22" t="s">
        <v>6047</v>
      </c>
      <c r="D1136" s="22"/>
      <c r="E1136" s="21" t="s">
        <v>75</v>
      </c>
      <c r="F1136" s="21"/>
      <c r="G1136" s="147" t="s">
        <v>1146</v>
      </c>
      <c r="H1136" s="23" t="s">
        <v>9711</v>
      </c>
      <c r="I1136" s="23"/>
      <c r="J1136" s="21" t="s">
        <v>6998</v>
      </c>
      <c r="K1136" s="47"/>
      <c r="L1136" s="21" t="s">
        <v>9778</v>
      </c>
      <c r="M1136" s="26">
        <v>45378</v>
      </c>
      <c r="N1136" s="44">
        <v>3489016</v>
      </c>
      <c r="O1136" s="22" t="s">
        <v>15</v>
      </c>
      <c r="P1136" s="44">
        <v>3489016</v>
      </c>
      <c r="Q1136" s="44">
        <f t="shared" si="120"/>
        <v>0</v>
      </c>
      <c r="R1136" s="24">
        <f t="shared" si="118"/>
        <v>3489016</v>
      </c>
    </row>
    <row r="1137" spans="2:18" hidden="1" x14ac:dyDescent="0.25">
      <c r="B1137" s="21" t="s">
        <v>395</v>
      </c>
      <c r="C1137" s="22" t="s">
        <v>6047</v>
      </c>
      <c r="D1137" s="22"/>
      <c r="E1137" s="21" t="s">
        <v>75</v>
      </c>
      <c r="F1137" s="21"/>
      <c r="G1137" s="147" t="s">
        <v>1146</v>
      </c>
      <c r="H1137" s="23" t="s">
        <v>9711</v>
      </c>
      <c r="I1137" s="23"/>
      <c r="J1137" s="21" t="s">
        <v>6999</v>
      </c>
      <c r="K1137" s="47"/>
      <c r="L1137" s="21" t="s">
        <v>10510</v>
      </c>
      <c r="M1137" s="26">
        <v>45553</v>
      </c>
      <c r="N1137" s="44">
        <v>4652021</v>
      </c>
      <c r="O1137" s="22" t="s">
        <v>15</v>
      </c>
      <c r="P1137" s="44">
        <v>4652021</v>
      </c>
      <c r="Q1137" s="44">
        <f t="shared" si="120"/>
        <v>0</v>
      </c>
      <c r="R1137" s="24">
        <f t="shared" si="118"/>
        <v>4652021</v>
      </c>
    </row>
    <row r="1138" spans="2:18" hidden="1" x14ac:dyDescent="0.25">
      <c r="B1138" s="21" t="s">
        <v>395</v>
      </c>
      <c r="C1138" s="22" t="s">
        <v>6047</v>
      </c>
      <c r="D1138" s="22"/>
      <c r="E1138" s="21" t="s">
        <v>75</v>
      </c>
      <c r="F1138" s="21"/>
      <c r="G1138" s="147" t="s">
        <v>1146</v>
      </c>
      <c r="H1138" s="23" t="s">
        <v>9711</v>
      </c>
      <c r="I1138" s="23"/>
      <c r="J1138" s="21" t="s">
        <v>6997</v>
      </c>
      <c r="K1138" s="21"/>
      <c r="L1138" s="21" t="s">
        <v>11018</v>
      </c>
      <c r="M1138" s="26">
        <v>45657</v>
      </c>
      <c r="N1138" s="44">
        <v>4652021</v>
      </c>
      <c r="O1138" s="22" t="s">
        <v>15</v>
      </c>
      <c r="P1138" s="44">
        <v>4652021</v>
      </c>
      <c r="Q1138" s="44">
        <f t="shared" si="120"/>
        <v>0</v>
      </c>
      <c r="R1138" s="24">
        <f t="shared" si="118"/>
        <v>4652021</v>
      </c>
    </row>
    <row r="1139" spans="2:18" hidden="1" x14ac:dyDescent="0.25">
      <c r="B1139" s="21" t="s">
        <v>395</v>
      </c>
      <c r="C1139" s="22" t="s">
        <v>6047</v>
      </c>
      <c r="D1139" s="22"/>
      <c r="E1139" s="21" t="s">
        <v>75</v>
      </c>
      <c r="F1139" s="21"/>
      <c r="G1139" s="147" t="s">
        <v>1146</v>
      </c>
      <c r="H1139" s="23" t="s">
        <v>11886</v>
      </c>
      <c r="I1139" s="23"/>
      <c r="J1139" s="21" t="s">
        <v>2485</v>
      </c>
      <c r="K1139" s="21">
        <v>45748</v>
      </c>
      <c r="L1139" s="21" t="s">
        <v>12405</v>
      </c>
      <c r="M1139" s="26" t="s">
        <v>12406</v>
      </c>
      <c r="N1139" s="44">
        <v>8384183</v>
      </c>
      <c r="O1139" s="22" t="s">
        <v>15</v>
      </c>
      <c r="P1139" s="44">
        <v>8384183</v>
      </c>
      <c r="Q1139" s="44">
        <f t="shared" si="120"/>
        <v>0</v>
      </c>
      <c r="R1139" s="24">
        <f t="shared" si="118"/>
        <v>8384183</v>
      </c>
    </row>
    <row r="1140" spans="2:18" hidden="1" x14ac:dyDescent="0.25">
      <c r="B1140" s="21" t="s">
        <v>395</v>
      </c>
      <c r="C1140" s="22" t="s">
        <v>6047</v>
      </c>
      <c r="D1140" s="22"/>
      <c r="E1140" s="21" t="s">
        <v>75</v>
      </c>
      <c r="F1140" s="21"/>
      <c r="G1140" s="147" t="s">
        <v>1146</v>
      </c>
      <c r="H1140" s="23" t="s">
        <v>11886</v>
      </c>
      <c r="I1140" s="23"/>
      <c r="J1140" s="21" t="s">
        <v>7000</v>
      </c>
      <c r="K1140" s="21">
        <v>45931</v>
      </c>
      <c r="L1140" s="21" t="s">
        <v>13491</v>
      </c>
      <c r="M1140" s="26">
        <v>45999</v>
      </c>
      <c r="N1140" s="44">
        <v>4790962</v>
      </c>
      <c r="O1140" s="22" t="s">
        <v>15</v>
      </c>
      <c r="P1140" s="44">
        <v>4790962</v>
      </c>
      <c r="Q1140" s="44">
        <f t="shared" si="120"/>
        <v>0</v>
      </c>
      <c r="R1140" s="24">
        <f t="shared" si="118"/>
        <v>4790962</v>
      </c>
    </row>
    <row r="1141" spans="2:18" hidden="1" x14ac:dyDescent="0.25">
      <c r="C1141" s="4" t="s">
        <v>6047</v>
      </c>
      <c r="E1141" s="5" t="s">
        <v>75</v>
      </c>
      <c r="G1141" s="146" t="s">
        <v>1146</v>
      </c>
      <c r="H1141" s="7" t="s">
        <v>11886</v>
      </c>
      <c r="J1141" s="5" t="s">
        <v>2490</v>
      </c>
      <c r="K1141" s="115">
        <v>46023</v>
      </c>
      <c r="N1141" s="45">
        <v>7186443</v>
      </c>
      <c r="O1141" s="4" t="s">
        <v>15</v>
      </c>
      <c r="Q1141" s="45">
        <f t="shared" si="120"/>
        <v>7186443</v>
      </c>
      <c r="R1141" s="3">
        <f t="shared" si="118"/>
        <v>0</v>
      </c>
    </row>
    <row r="1142" spans="2:18" hidden="1" x14ac:dyDescent="0.25">
      <c r="C1142" s="4" t="s">
        <v>6047</v>
      </c>
      <c r="E1142" s="5" t="s">
        <v>75</v>
      </c>
      <c r="G1142" s="146" t="s">
        <v>1146</v>
      </c>
      <c r="H1142" s="7" t="s">
        <v>11886</v>
      </c>
      <c r="J1142" s="5" t="s">
        <v>2492</v>
      </c>
      <c r="K1142" s="115">
        <v>46082</v>
      </c>
      <c r="N1142" s="45">
        <v>9581924</v>
      </c>
      <c r="O1142" s="4" t="s">
        <v>15</v>
      </c>
      <c r="Q1142" s="45">
        <f t="shared" si="120"/>
        <v>9581924</v>
      </c>
      <c r="R1142" s="3">
        <f t="shared" si="118"/>
        <v>0</v>
      </c>
    </row>
    <row r="1143" spans="2:18" hidden="1" x14ac:dyDescent="0.25">
      <c r="C1143" s="4" t="s">
        <v>6047</v>
      </c>
      <c r="E1143" s="5" t="s">
        <v>75</v>
      </c>
      <c r="G1143" s="146" t="s">
        <v>1146</v>
      </c>
      <c r="H1143" s="7" t="s">
        <v>11886</v>
      </c>
      <c r="J1143" s="5" t="s">
        <v>2494</v>
      </c>
      <c r="K1143" s="115">
        <v>46204</v>
      </c>
      <c r="N1143" s="45">
        <v>7186443</v>
      </c>
      <c r="O1143" s="4" t="s">
        <v>15</v>
      </c>
      <c r="Q1143" s="45">
        <f t="shared" si="120"/>
        <v>7186443</v>
      </c>
      <c r="R1143" s="3">
        <f t="shared" si="118"/>
        <v>0</v>
      </c>
    </row>
    <row r="1144" spans="2:18" hidden="1" x14ac:dyDescent="0.25">
      <c r="C1144" s="4" t="s">
        <v>6047</v>
      </c>
      <c r="E1144" s="5" t="s">
        <v>75</v>
      </c>
      <c r="G1144" s="146" t="s">
        <v>1146</v>
      </c>
      <c r="H1144" s="7" t="s">
        <v>11886</v>
      </c>
      <c r="J1144" s="5" t="s">
        <v>9712</v>
      </c>
      <c r="K1144" s="115">
        <v>46357</v>
      </c>
      <c r="N1144" s="45">
        <v>7186443</v>
      </c>
      <c r="O1144" s="4" t="s">
        <v>15</v>
      </c>
      <c r="Q1144" s="45">
        <f t="shared" si="120"/>
        <v>7186443</v>
      </c>
      <c r="R1144" s="3">
        <f t="shared" si="118"/>
        <v>0</v>
      </c>
    </row>
    <row r="1145" spans="2:18" hidden="1" x14ac:dyDescent="0.25">
      <c r="C1145" s="4" t="s">
        <v>6047</v>
      </c>
      <c r="E1145" s="5" t="s">
        <v>75</v>
      </c>
      <c r="G1145" s="146" t="s">
        <v>1146</v>
      </c>
      <c r="H1145" s="7" t="s">
        <v>11886</v>
      </c>
      <c r="J1145" s="5" t="s">
        <v>2495</v>
      </c>
      <c r="K1145" s="115">
        <v>46539</v>
      </c>
      <c r="N1145" s="45">
        <v>8384183</v>
      </c>
      <c r="O1145" s="4" t="s">
        <v>15</v>
      </c>
      <c r="Q1145" s="45">
        <f t="shared" si="120"/>
        <v>8384183</v>
      </c>
      <c r="R1145" s="3">
        <f t="shared" si="118"/>
        <v>0</v>
      </c>
    </row>
    <row r="1146" spans="2:18" hidden="1" x14ac:dyDescent="0.25">
      <c r="C1146" s="4" t="s">
        <v>6047</v>
      </c>
      <c r="E1146" s="5" t="s">
        <v>75</v>
      </c>
      <c r="G1146" s="146" t="s">
        <v>1146</v>
      </c>
      <c r="H1146" s="7" t="s">
        <v>11886</v>
      </c>
      <c r="J1146" s="5" t="s">
        <v>9713</v>
      </c>
      <c r="K1146" s="115">
        <v>46813</v>
      </c>
      <c r="N1146" s="45">
        <v>7186443</v>
      </c>
      <c r="O1146" s="4" t="s">
        <v>15</v>
      </c>
      <c r="Q1146" s="45">
        <f t="shared" si="120"/>
        <v>7186443</v>
      </c>
      <c r="R1146" s="3">
        <f t="shared" si="118"/>
        <v>0</v>
      </c>
    </row>
    <row r="1147" spans="2:18" hidden="1" x14ac:dyDescent="0.25">
      <c r="C1147" s="4" t="s">
        <v>6047</v>
      </c>
      <c r="E1147" s="5" t="s">
        <v>75</v>
      </c>
      <c r="G1147" s="146" t="s">
        <v>1146</v>
      </c>
      <c r="H1147" s="7" t="s">
        <v>11886</v>
      </c>
      <c r="J1147" s="5" t="s">
        <v>2496</v>
      </c>
      <c r="K1147" s="115">
        <v>47088</v>
      </c>
      <c r="N1147" s="45">
        <v>7186443</v>
      </c>
      <c r="O1147" s="4" t="s">
        <v>15</v>
      </c>
      <c r="Q1147" s="45">
        <f t="shared" si="120"/>
        <v>7186443</v>
      </c>
      <c r="R1147" s="3">
        <f t="shared" si="118"/>
        <v>0</v>
      </c>
    </row>
    <row r="1148" spans="2:18" hidden="1" x14ac:dyDescent="0.25">
      <c r="C1148" s="4" t="s">
        <v>6047</v>
      </c>
      <c r="E1148" s="5" t="s">
        <v>75</v>
      </c>
      <c r="G1148" s="146" t="s">
        <v>1146</v>
      </c>
      <c r="H1148" s="7" t="s">
        <v>11886</v>
      </c>
      <c r="J1148" s="5" t="s">
        <v>9714</v>
      </c>
      <c r="K1148" s="115">
        <v>47392</v>
      </c>
      <c r="N1148" s="45">
        <v>5988702</v>
      </c>
      <c r="O1148" s="4" t="s">
        <v>15</v>
      </c>
      <c r="Q1148" s="45">
        <f t="shared" si="120"/>
        <v>5988702</v>
      </c>
      <c r="R1148" s="3">
        <f t="shared" si="118"/>
        <v>0</v>
      </c>
    </row>
    <row r="1149" spans="2:18" hidden="1" x14ac:dyDescent="0.25">
      <c r="C1149" s="4" t="s">
        <v>6047</v>
      </c>
      <c r="E1149" s="5" t="s">
        <v>75</v>
      </c>
      <c r="G1149" s="146" t="s">
        <v>1146</v>
      </c>
      <c r="H1149" s="7" t="s">
        <v>11886</v>
      </c>
      <c r="J1149" s="5" t="s">
        <v>2498</v>
      </c>
      <c r="K1149" s="115">
        <v>47543</v>
      </c>
      <c r="N1149" s="45">
        <v>5988702</v>
      </c>
      <c r="O1149" s="4" t="s">
        <v>15</v>
      </c>
      <c r="Q1149" s="45">
        <f t="shared" si="120"/>
        <v>5988702</v>
      </c>
      <c r="R1149" s="3">
        <f t="shared" si="118"/>
        <v>0</v>
      </c>
    </row>
    <row r="1150" spans="2:18" hidden="1" x14ac:dyDescent="0.25">
      <c r="C1150" s="4" t="s">
        <v>6047</v>
      </c>
      <c r="E1150" s="5" t="s">
        <v>75</v>
      </c>
      <c r="G1150" s="146" t="s">
        <v>1146</v>
      </c>
      <c r="H1150" s="7" t="s">
        <v>11886</v>
      </c>
      <c r="J1150" s="5" t="s">
        <v>2499</v>
      </c>
      <c r="K1150" s="115">
        <v>47665</v>
      </c>
      <c r="N1150" s="45">
        <v>4790962</v>
      </c>
      <c r="O1150" s="4" t="s">
        <v>15</v>
      </c>
      <c r="Q1150" s="45">
        <f t="shared" si="120"/>
        <v>4790962</v>
      </c>
      <c r="R1150" s="3">
        <f t="shared" si="118"/>
        <v>0</v>
      </c>
    </row>
    <row r="1151" spans="2:18" hidden="1" x14ac:dyDescent="0.25">
      <c r="C1151" s="4" t="s">
        <v>6047</v>
      </c>
      <c r="E1151" s="5" t="s">
        <v>75</v>
      </c>
      <c r="G1151" s="146" t="s">
        <v>1146</v>
      </c>
      <c r="H1151" s="7" t="s">
        <v>11886</v>
      </c>
      <c r="J1151" s="5" t="s">
        <v>2500</v>
      </c>
      <c r="K1151" s="115">
        <v>47788</v>
      </c>
      <c r="N1151" s="45">
        <v>1340328</v>
      </c>
      <c r="O1151" s="4" t="s">
        <v>15</v>
      </c>
      <c r="Q1151" s="45">
        <f t="shared" si="120"/>
        <v>1340328</v>
      </c>
      <c r="R1151" s="3">
        <f t="shared" si="118"/>
        <v>0</v>
      </c>
    </row>
    <row r="1152" spans="2:18" hidden="1" x14ac:dyDescent="0.25">
      <c r="C1152" s="4" t="s">
        <v>6047</v>
      </c>
      <c r="E1152" s="5" t="s">
        <v>75</v>
      </c>
      <c r="G1152" s="146" t="s">
        <v>1146</v>
      </c>
      <c r="H1152" s="7" t="s">
        <v>11886</v>
      </c>
      <c r="J1152" s="170" t="s">
        <v>6984</v>
      </c>
      <c r="L1152" s="5" t="s">
        <v>14118</v>
      </c>
      <c r="M1152" s="12" t="s">
        <v>14119</v>
      </c>
      <c r="N1152" s="134">
        <v>27980891.559999999</v>
      </c>
      <c r="O1152" s="4" t="s">
        <v>15</v>
      </c>
      <c r="P1152" s="45">
        <f>51262.82+84131.95+88600.92+179250+116786.5+156652.24+140194.61+104428.81+258164.3+134195.93+176653.67+97212.91+133281.92+356789.19+108054.66+329198.86+315541.05+226700.62+776190.92+137428.89+206471.28+152888.13+225457.34+120315.98+641515.35+427014.79+358670.01+82611.55+365677.25+292127.86+142432.44+551493.24+309385.86+252761.16+273537.72+196356.42+233903.14+441148.93+244009.64+253663.84+283254.12+260109.71+153573.56</f>
        <v>10439100.090000002</v>
      </c>
      <c r="Q1152" s="45">
        <f t="shared" si="120"/>
        <v>17541791.469999999</v>
      </c>
      <c r="R1152" s="3">
        <f t="shared" si="118"/>
        <v>10439100.090000002</v>
      </c>
    </row>
    <row r="1153" spans="2:18" hidden="1" x14ac:dyDescent="0.25">
      <c r="C1153" s="4" t="s">
        <v>6047</v>
      </c>
      <c r="E1153" s="5" t="s">
        <v>75</v>
      </c>
      <c r="G1153" s="146" t="s">
        <v>1146</v>
      </c>
      <c r="H1153" s="7" t="s">
        <v>11886</v>
      </c>
      <c r="J1153" s="170" t="s">
        <v>6990</v>
      </c>
      <c r="L1153" s="5" t="s">
        <v>14120</v>
      </c>
      <c r="M1153" s="12" t="s">
        <v>14121</v>
      </c>
      <c r="N1153" s="134">
        <f>12887268</f>
        <v>12887268</v>
      </c>
      <c r="O1153" s="4" t="s">
        <v>15</v>
      </c>
      <c r="P1153" s="45">
        <f>12097.99+44872.47+43129.55+12212.55+76564.72+108910.2+67029.41+50082.25+177154.22+133974.19+94527.39+197268.28+277510.02+233151.67+217433.87+251301.05+333395.3+305689.65+367820.98+347401.26+270386.05+334900.43+266988.16+327584.99+402036.82+388538.81+302522.67+456047.06+292159.8+388574.66+383981.94+527691.15+534943.76+345499.3+292800.16+505018.25+709750.23+425870.11+432757.34</f>
        <v>10939578.710000001</v>
      </c>
      <c r="Q1153" s="45">
        <f t="shared" si="120"/>
        <v>1947689.2899999991</v>
      </c>
      <c r="R1153" s="3">
        <f t="shared" si="118"/>
        <v>10939578.710000001</v>
      </c>
    </row>
    <row r="1154" spans="2:18" hidden="1" x14ac:dyDescent="0.25">
      <c r="C1154" s="4" t="s">
        <v>6047</v>
      </c>
      <c r="E1154" s="5" t="s">
        <v>75</v>
      </c>
      <c r="G1154" s="146" t="s">
        <v>1146</v>
      </c>
      <c r="H1154" s="7" t="s">
        <v>11886</v>
      </c>
      <c r="J1154" s="170" t="s">
        <v>6987</v>
      </c>
      <c r="L1154" s="5" t="s">
        <v>14122</v>
      </c>
      <c r="M1154" s="12" t="s">
        <v>14123</v>
      </c>
      <c r="N1154" s="134">
        <v>11653219</v>
      </c>
      <c r="O1154" s="4" t="s">
        <v>15</v>
      </c>
      <c r="P1154" s="45">
        <f>8908.43+22903.56+11104.58+8152.65+26386.32+26586.72+33369.61+39623.93+38251.96+56086.45+75743.34+113929.82+175752.95+104863.81+176715.55+215609.04+165368.74+225074.7+264555.21+356038.07+361342.16+335805.44+410979.85+385681.56+528714.9+545167.37+435792.46+462108.21+1068275.68+629460.34+400000.01+728718.3+548601.21+549234.17+439331.89+424006.18</f>
        <v>10398245.17</v>
      </c>
      <c r="Q1154" s="45">
        <f t="shared" si="120"/>
        <v>1254973.83</v>
      </c>
      <c r="R1154" s="3">
        <f t="shared" si="118"/>
        <v>10398245.17</v>
      </c>
    </row>
    <row r="1155" spans="2:18" hidden="1" x14ac:dyDescent="0.25">
      <c r="B1155" s="21" t="s">
        <v>395</v>
      </c>
      <c r="C1155" s="22" t="s">
        <v>6267</v>
      </c>
      <c r="D1155" s="22"/>
      <c r="E1155" s="21" t="s">
        <v>75</v>
      </c>
      <c r="F1155" s="21"/>
      <c r="G1155" s="147" t="s">
        <v>1146</v>
      </c>
      <c r="H1155" s="23" t="s">
        <v>6958</v>
      </c>
      <c r="I1155" s="23"/>
      <c r="J1155" s="196" t="s">
        <v>6959</v>
      </c>
      <c r="K1155" s="21"/>
      <c r="L1155" s="196" t="s">
        <v>6072</v>
      </c>
      <c r="M1155" s="197">
        <v>44509</v>
      </c>
      <c r="N1155" s="209">
        <v>1420869.3</v>
      </c>
      <c r="O1155" s="22" t="s">
        <v>15</v>
      </c>
      <c r="P1155" s="209">
        <f t="shared" ref="P1155:P1160" si="121">N1155</f>
        <v>1420869.3</v>
      </c>
      <c r="Q1155" s="44">
        <f t="shared" si="120"/>
        <v>0</v>
      </c>
      <c r="R1155" s="24">
        <f t="shared" si="118"/>
        <v>1420869.3</v>
      </c>
    </row>
    <row r="1156" spans="2:18" hidden="1" x14ac:dyDescent="0.25">
      <c r="B1156" s="21" t="s">
        <v>395</v>
      </c>
      <c r="C1156" s="22" t="s">
        <v>6267</v>
      </c>
      <c r="D1156" s="22"/>
      <c r="E1156" s="21" t="s">
        <v>75</v>
      </c>
      <c r="F1156" s="21"/>
      <c r="G1156" s="147" t="s">
        <v>1146</v>
      </c>
      <c r="H1156" s="23" t="s">
        <v>6958</v>
      </c>
      <c r="I1156" s="23"/>
      <c r="J1156" s="191" t="s">
        <v>6960</v>
      </c>
      <c r="K1156" s="21"/>
      <c r="L1156" s="191" t="s">
        <v>6071</v>
      </c>
      <c r="M1156" s="193">
        <v>44509</v>
      </c>
      <c r="N1156" s="192">
        <v>304471.99</v>
      </c>
      <c r="O1156" s="22" t="s">
        <v>15</v>
      </c>
      <c r="P1156" s="192">
        <f t="shared" si="121"/>
        <v>304471.99</v>
      </c>
      <c r="Q1156" s="44">
        <f t="shared" si="120"/>
        <v>0</v>
      </c>
      <c r="R1156" s="24">
        <f t="shared" si="118"/>
        <v>304471.99</v>
      </c>
    </row>
    <row r="1157" spans="2:18" hidden="1" x14ac:dyDescent="0.25">
      <c r="B1157" s="21" t="s">
        <v>395</v>
      </c>
      <c r="C1157" s="22" t="s">
        <v>6267</v>
      </c>
      <c r="D1157" s="22"/>
      <c r="E1157" s="21" t="s">
        <v>75</v>
      </c>
      <c r="F1157" s="21"/>
      <c r="G1157" s="147" t="s">
        <v>1146</v>
      </c>
      <c r="H1157" s="23" t="s">
        <v>6958</v>
      </c>
      <c r="I1157" s="23"/>
      <c r="J1157" s="307" t="s">
        <v>6961</v>
      </c>
      <c r="K1157" s="21"/>
      <c r="L1157" s="307" t="s">
        <v>6719</v>
      </c>
      <c r="M1157" s="306" t="s">
        <v>6720</v>
      </c>
      <c r="N1157" s="308">
        <v>304471.99</v>
      </c>
      <c r="O1157" s="22" t="s">
        <v>15</v>
      </c>
      <c r="P1157" s="308">
        <f t="shared" si="121"/>
        <v>304471.99</v>
      </c>
      <c r="Q1157" s="44">
        <f t="shared" si="120"/>
        <v>0</v>
      </c>
      <c r="R1157" s="24">
        <f t="shared" si="118"/>
        <v>304471.99</v>
      </c>
    </row>
    <row r="1158" spans="2:18" hidden="1" x14ac:dyDescent="0.25">
      <c r="B1158" s="21" t="s">
        <v>395</v>
      </c>
      <c r="C1158" s="22" t="s">
        <v>6267</v>
      </c>
      <c r="D1158" s="22"/>
      <c r="E1158" s="21" t="s">
        <v>75</v>
      </c>
      <c r="F1158" s="21"/>
      <c r="G1158" s="147" t="s">
        <v>1146</v>
      </c>
      <c r="H1158" s="23" t="s">
        <v>6958</v>
      </c>
      <c r="I1158" s="23"/>
      <c r="J1158" s="280" t="s">
        <v>6962</v>
      </c>
      <c r="K1158" s="21"/>
      <c r="L1158" s="280" t="s">
        <v>6747</v>
      </c>
      <c r="M1158" s="145">
        <v>44687</v>
      </c>
      <c r="N1158" s="284">
        <v>115615.94</v>
      </c>
      <c r="O1158" s="22" t="s">
        <v>15</v>
      </c>
      <c r="P1158" s="284">
        <f t="shared" si="121"/>
        <v>115615.94</v>
      </c>
      <c r="Q1158" s="44">
        <f t="shared" si="120"/>
        <v>0</v>
      </c>
      <c r="R1158" s="24">
        <f t="shared" si="118"/>
        <v>115615.94</v>
      </c>
    </row>
    <row r="1159" spans="2:18" hidden="1" x14ac:dyDescent="0.25">
      <c r="B1159" s="21" t="s">
        <v>395</v>
      </c>
      <c r="C1159" s="22" t="s">
        <v>6267</v>
      </c>
      <c r="D1159" s="22"/>
      <c r="E1159" s="21" t="s">
        <v>75</v>
      </c>
      <c r="F1159" s="21"/>
      <c r="G1159" s="147" t="s">
        <v>1146</v>
      </c>
      <c r="H1159" s="23" t="s">
        <v>6958</v>
      </c>
      <c r="I1159" s="23"/>
      <c r="J1159" s="274" t="s">
        <v>6963</v>
      </c>
      <c r="K1159" s="21"/>
      <c r="L1159" s="274" t="s">
        <v>6747</v>
      </c>
      <c r="M1159" s="276">
        <v>44687</v>
      </c>
      <c r="N1159" s="279">
        <v>115615.94</v>
      </c>
      <c r="O1159" s="22" t="s">
        <v>15</v>
      </c>
      <c r="P1159" s="279">
        <f t="shared" si="121"/>
        <v>115615.94</v>
      </c>
      <c r="Q1159" s="44">
        <f t="shared" si="120"/>
        <v>0</v>
      </c>
      <c r="R1159" s="24">
        <f t="shared" si="118"/>
        <v>115615.94</v>
      </c>
    </row>
    <row r="1160" spans="2:18" hidden="1" x14ac:dyDescent="0.25">
      <c r="B1160" s="21" t="s">
        <v>395</v>
      </c>
      <c r="C1160" s="22" t="s">
        <v>6267</v>
      </c>
      <c r="D1160" s="22"/>
      <c r="E1160" s="21" t="s">
        <v>75</v>
      </c>
      <c r="F1160" s="21"/>
      <c r="G1160" s="147" t="s">
        <v>1146</v>
      </c>
      <c r="H1160" s="23" t="s">
        <v>6958</v>
      </c>
      <c r="I1160" s="23"/>
      <c r="J1160" s="310" t="s">
        <v>6964</v>
      </c>
      <c r="K1160" s="21"/>
      <c r="L1160" s="310" t="s">
        <v>6908</v>
      </c>
      <c r="M1160" s="367">
        <v>44747</v>
      </c>
      <c r="N1160" s="312">
        <v>399477</v>
      </c>
      <c r="O1160" s="22" t="s">
        <v>15</v>
      </c>
      <c r="P1160" s="312">
        <f t="shared" si="121"/>
        <v>399477</v>
      </c>
      <c r="Q1160" s="44">
        <f t="shared" si="120"/>
        <v>0</v>
      </c>
      <c r="R1160" s="24">
        <f t="shared" si="118"/>
        <v>399477</v>
      </c>
    </row>
    <row r="1161" spans="2:18" hidden="1" x14ac:dyDescent="0.25">
      <c r="B1161" s="21" t="s">
        <v>395</v>
      </c>
      <c r="C1161" s="22" t="s">
        <v>6267</v>
      </c>
      <c r="D1161" s="22"/>
      <c r="E1161" s="21" t="s">
        <v>75</v>
      </c>
      <c r="F1161" s="21"/>
      <c r="G1161" s="147" t="s">
        <v>1146</v>
      </c>
      <c r="H1161" s="23" t="s">
        <v>6958</v>
      </c>
      <c r="I1161" s="23"/>
      <c r="J1161" s="21" t="s">
        <v>6965</v>
      </c>
      <c r="K1161" s="47"/>
      <c r="L1161" s="21" t="s">
        <v>7024</v>
      </c>
      <c r="M1161" s="26">
        <v>44782</v>
      </c>
      <c r="N1161" s="44">
        <v>1248581</v>
      </c>
      <c r="O1161" s="22" t="s">
        <v>15</v>
      </c>
      <c r="P1161" s="44">
        <v>1248581</v>
      </c>
      <c r="Q1161" s="44">
        <f t="shared" si="120"/>
        <v>0</v>
      </c>
      <c r="R1161" s="24">
        <f t="shared" si="118"/>
        <v>1248581</v>
      </c>
    </row>
    <row r="1162" spans="2:18" hidden="1" x14ac:dyDescent="0.25">
      <c r="B1162" s="21" t="s">
        <v>395</v>
      </c>
      <c r="C1162" s="22" t="s">
        <v>6267</v>
      </c>
      <c r="D1162" s="22"/>
      <c r="E1162" s="21" t="s">
        <v>75</v>
      </c>
      <c r="F1162" s="21"/>
      <c r="G1162" s="147" t="s">
        <v>1146</v>
      </c>
      <c r="H1162" s="23" t="s">
        <v>6958</v>
      </c>
      <c r="I1162" s="23"/>
      <c r="J1162" s="21" t="s">
        <v>6966</v>
      </c>
      <c r="K1162" s="47"/>
      <c r="L1162" s="21" t="s">
        <v>7081</v>
      </c>
      <c r="M1162" s="26">
        <v>44813</v>
      </c>
      <c r="N1162" s="44">
        <v>2111749</v>
      </c>
      <c r="O1162" s="22" t="s">
        <v>15</v>
      </c>
      <c r="P1162" s="44">
        <v>2111749</v>
      </c>
      <c r="Q1162" s="44">
        <f t="shared" si="120"/>
        <v>0</v>
      </c>
      <c r="R1162" s="24">
        <f t="shared" si="118"/>
        <v>2111749</v>
      </c>
    </row>
    <row r="1163" spans="2:18" hidden="1" x14ac:dyDescent="0.25">
      <c r="B1163" s="21" t="s">
        <v>395</v>
      </c>
      <c r="C1163" s="22" t="s">
        <v>6267</v>
      </c>
      <c r="D1163" s="22"/>
      <c r="E1163" s="21" t="s">
        <v>75</v>
      </c>
      <c r="F1163" s="21"/>
      <c r="G1163" s="147" t="s">
        <v>1146</v>
      </c>
      <c r="H1163" s="23" t="s">
        <v>6958</v>
      </c>
      <c r="I1163" s="23"/>
      <c r="J1163" s="21" t="s">
        <v>629</v>
      </c>
      <c r="K1163" s="47"/>
      <c r="L1163" s="21" t="s">
        <v>7119</v>
      </c>
      <c r="M1163" s="26">
        <v>44832</v>
      </c>
      <c r="N1163" s="44">
        <v>802946</v>
      </c>
      <c r="O1163" s="22" t="s">
        <v>15</v>
      </c>
      <c r="P1163" s="44">
        <v>802946</v>
      </c>
      <c r="Q1163" s="44">
        <f t="shared" si="120"/>
        <v>0</v>
      </c>
      <c r="R1163" s="24">
        <f t="shared" si="118"/>
        <v>802946</v>
      </c>
    </row>
    <row r="1164" spans="2:18" hidden="1" x14ac:dyDescent="0.25">
      <c r="B1164" s="21" t="s">
        <v>395</v>
      </c>
      <c r="C1164" s="22" t="s">
        <v>6267</v>
      </c>
      <c r="D1164" s="22"/>
      <c r="E1164" s="21" t="s">
        <v>75</v>
      </c>
      <c r="F1164" s="21"/>
      <c r="G1164" s="147" t="s">
        <v>1146</v>
      </c>
      <c r="H1164" s="23" t="s">
        <v>6958</v>
      </c>
      <c r="I1164" s="23"/>
      <c r="J1164" s="21" t="s">
        <v>6967</v>
      </c>
      <c r="K1164" s="47"/>
      <c r="L1164" s="21" t="s">
        <v>8537</v>
      </c>
      <c r="M1164" s="26">
        <v>44931</v>
      </c>
      <c r="N1164" s="44">
        <v>2007366</v>
      </c>
      <c r="O1164" s="22" t="s">
        <v>15</v>
      </c>
      <c r="P1164" s="44">
        <v>2007366</v>
      </c>
      <c r="Q1164" s="44">
        <f t="shared" si="120"/>
        <v>0</v>
      </c>
      <c r="R1164" s="24">
        <f t="shared" si="118"/>
        <v>2007366</v>
      </c>
    </row>
    <row r="1165" spans="2:18" hidden="1" x14ac:dyDescent="0.25">
      <c r="B1165" s="21" t="s">
        <v>395</v>
      </c>
      <c r="C1165" s="22" t="s">
        <v>6267</v>
      </c>
      <c r="D1165" s="22"/>
      <c r="E1165" s="21" t="s">
        <v>75</v>
      </c>
      <c r="F1165" s="21"/>
      <c r="G1165" s="147" t="s">
        <v>1146</v>
      </c>
      <c r="H1165" s="23" t="s">
        <v>6958</v>
      </c>
      <c r="I1165" s="23"/>
      <c r="J1165" s="21" t="s">
        <v>6968</v>
      </c>
      <c r="K1165" s="47"/>
      <c r="L1165" s="21" t="s">
        <v>8536</v>
      </c>
      <c r="M1165" s="26">
        <v>45103</v>
      </c>
      <c r="N1165" s="44">
        <v>2810312</v>
      </c>
      <c r="O1165" s="22" t="s">
        <v>15</v>
      </c>
      <c r="P1165" s="44">
        <v>2810312</v>
      </c>
      <c r="Q1165" s="44">
        <f t="shared" si="120"/>
        <v>0</v>
      </c>
      <c r="R1165" s="24">
        <f t="shared" si="118"/>
        <v>2810312</v>
      </c>
    </row>
    <row r="1166" spans="2:18" hidden="1" x14ac:dyDescent="0.25">
      <c r="B1166" s="21" t="s">
        <v>395</v>
      </c>
      <c r="C1166" s="22" t="s">
        <v>6267</v>
      </c>
      <c r="D1166" s="22"/>
      <c r="E1166" s="21" t="s">
        <v>75</v>
      </c>
      <c r="F1166" s="21"/>
      <c r="G1166" s="147" t="s">
        <v>1146</v>
      </c>
      <c r="H1166" s="23" t="s">
        <v>6958</v>
      </c>
      <c r="I1166" s="23"/>
      <c r="J1166" s="21" t="s">
        <v>6978</v>
      </c>
      <c r="K1166" s="47"/>
      <c r="L1166" s="21" t="s">
        <v>7025</v>
      </c>
      <c r="M1166" s="26">
        <v>44782</v>
      </c>
      <c r="N1166" s="44">
        <v>1502705</v>
      </c>
      <c r="O1166" s="22" t="s">
        <v>15</v>
      </c>
      <c r="P1166" s="44">
        <v>1502705</v>
      </c>
      <c r="Q1166" s="44">
        <f t="shared" si="120"/>
        <v>0</v>
      </c>
      <c r="R1166" s="24">
        <f t="shared" si="118"/>
        <v>1502705</v>
      </c>
    </row>
    <row r="1167" spans="2:18" hidden="1" x14ac:dyDescent="0.25">
      <c r="C1167" s="4" t="s">
        <v>6267</v>
      </c>
      <c r="E1167" s="5" t="s">
        <v>75</v>
      </c>
      <c r="G1167" s="146" t="s">
        <v>1146</v>
      </c>
      <c r="H1167" s="7" t="s">
        <v>6958</v>
      </c>
      <c r="J1167" s="5" t="s">
        <v>6979</v>
      </c>
      <c r="N1167" s="45">
        <v>-1502705</v>
      </c>
      <c r="O1167" s="4" t="s">
        <v>15</v>
      </c>
      <c r="Q1167" s="45">
        <f>N1167</f>
        <v>-1502705</v>
      </c>
      <c r="R1167" s="3">
        <f t="shared" si="118"/>
        <v>0</v>
      </c>
    </row>
    <row r="1168" spans="2:18" hidden="1" x14ac:dyDescent="0.25">
      <c r="B1168" s="21" t="s">
        <v>395</v>
      </c>
      <c r="C1168" s="22" t="s">
        <v>6267</v>
      </c>
      <c r="D1168" s="22"/>
      <c r="E1168" s="21" t="s">
        <v>75</v>
      </c>
      <c r="F1168" s="21"/>
      <c r="G1168" s="147" t="s">
        <v>1146</v>
      </c>
      <c r="H1168" s="23" t="s">
        <v>6958</v>
      </c>
      <c r="I1168" s="23"/>
      <c r="J1168" s="85" t="s">
        <v>6980</v>
      </c>
      <c r="K1168" s="182"/>
      <c r="L1168" s="85" t="s">
        <v>6080</v>
      </c>
      <c r="M1168" s="369">
        <v>44510</v>
      </c>
      <c r="N1168" s="94">
        <v>546607.47</v>
      </c>
      <c r="O1168" s="94" t="s">
        <v>15</v>
      </c>
      <c r="P1168" s="94">
        <f>N1168</f>
        <v>546607.47</v>
      </c>
      <c r="Q1168" s="94">
        <f>IF(P1168="en cours",N1168,IF(P1168="OK",0,IF(N1168-P1168&lt;0,0,N1168-P1168)))</f>
        <v>0</v>
      </c>
      <c r="R1168" s="94">
        <f t="shared" si="118"/>
        <v>546607.47</v>
      </c>
    </row>
    <row r="1169" spans="2:18" hidden="1" x14ac:dyDescent="0.25">
      <c r="B1169" s="21" t="s">
        <v>395</v>
      </c>
      <c r="C1169" s="22" t="s">
        <v>6267</v>
      </c>
      <c r="D1169" s="22"/>
      <c r="E1169" s="21" t="s">
        <v>75</v>
      </c>
      <c r="F1169" s="21"/>
      <c r="G1169" s="147" t="s">
        <v>1146</v>
      </c>
      <c r="H1169" s="23" t="s">
        <v>6958</v>
      </c>
      <c r="I1169" s="23"/>
      <c r="J1169" s="39" t="s">
        <v>6981</v>
      </c>
      <c r="K1169" s="370"/>
      <c r="L1169" s="39" t="s">
        <v>6080</v>
      </c>
      <c r="M1169" s="41">
        <v>44510</v>
      </c>
      <c r="N1169" s="97">
        <v>117130.17</v>
      </c>
      <c r="O1169" s="97" t="s">
        <v>15</v>
      </c>
      <c r="P1169" s="97">
        <f>N1169</f>
        <v>117130.17</v>
      </c>
      <c r="Q1169" s="97">
        <f>IF(P1169="en cours",N1169,IF(P1169="OK",0,IF(N1169-P1169&lt;0,0,N1169-P1169)))</f>
        <v>0</v>
      </c>
      <c r="R1169" s="97">
        <f t="shared" si="118"/>
        <v>117130.17</v>
      </c>
    </row>
    <row r="1170" spans="2:18" hidden="1" x14ac:dyDescent="0.25">
      <c r="B1170" s="21" t="s">
        <v>395</v>
      </c>
      <c r="C1170" s="22" t="s">
        <v>6267</v>
      </c>
      <c r="D1170" s="22"/>
      <c r="E1170" s="21" t="s">
        <v>75</v>
      </c>
      <c r="F1170" s="21"/>
      <c r="G1170" s="147" t="s">
        <v>1146</v>
      </c>
      <c r="H1170" s="23" t="s">
        <v>6958</v>
      </c>
      <c r="I1170" s="23"/>
      <c r="J1170" s="65" t="s">
        <v>6982</v>
      </c>
      <c r="K1170" s="181"/>
      <c r="L1170" s="65" t="s">
        <v>6627</v>
      </c>
      <c r="M1170" s="167">
        <v>44649</v>
      </c>
      <c r="N1170" s="96">
        <v>117130.17</v>
      </c>
      <c r="O1170" s="96" t="s">
        <v>15</v>
      </c>
      <c r="P1170" s="96">
        <f>N1170</f>
        <v>117130.17</v>
      </c>
      <c r="Q1170" s="96">
        <f>IF(P1170="en cours",N1170,IF(P1170="OK",0,IF(N1170-P1170&lt;0,0,N1170-P1170)))</f>
        <v>0</v>
      </c>
      <c r="R1170" s="96">
        <f t="shared" si="118"/>
        <v>117130.17</v>
      </c>
    </row>
    <row r="1171" spans="2:18" hidden="1" x14ac:dyDescent="0.25">
      <c r="B1171" s="21" t="s">
        <v>395</v>
      </c>
      <c r="C1171" s="22" t="s">
        <v>6267</v>
      </c>
      <c r="D1171" s="22"/>
      <c r="E1171" s="21" t="s">
        <v>75</v>
      </c>
      <c r="F1171" s="21"/>
      <c r="G1171" s="147" t="s">
        <v>1146</v>
      </c>
      <c r="H1171" s="23" t="s">
        <v>6958</v>
      </c>
      <c r="I1171" s="23"/>
      <c r="J1171" s="79" t="s">
        <v>6983</v>
      </c>
      <c r="K1171" s="371"/>
      <c r="L1171" s="79" t="s">
        <v>7003</v>
      </c>
      <c r="M1171" s="179" t="s">
        <v>7002</v>
      </c>
      <c r="N1171" s="105">
        <v>463095.98</v>
      </c>
      <c r="O1171" s="105" t="s">
        <v>15</v>
      </c>
      <c r="P1171" s="105">
        <f>N1171</f>
        <v>463095.98</v>
      </c>
      <c r="Q1171" s="105">
        <f>IF(P1171="en cours",N1171,IF(P1171="OK",0,IF(N1171-P1171&lt;0,0,N1171-P1171)))</f>
        <v>0</v>
      </c>
      <c r="R1171" s="105">
        <f t="shared" si="118"/>
        <v>463095.98</v>
      </c>
    </row>
    <row r="1172" spans="2:18" hidden="1" x14ac:dyDescent="0.25">
      <c r="B1172" s="21" t="s">
        <v>395</v>
      </c>
      <c r="C1172" s="22" t="s">
        <v>6267</v>
      </c>
      <c r="D1172" s="22"/>
      <c r="E1172" s="21" t="s">
        <v>75</v>
      </c>
      <c r="F1172" s="21"/>
      <c r="G1172" s="147" t="s">
        <v>1146</v>
      </c>
      <c r="H1172" s="23" t="s">
        <v>6958</v>
      </c>
      <c r="I1172" s="23"/>
      <c r="J1172" s="21" t="s">
        <v>6994</v>
      </c>
      <c r="K1172" s="47"/>
      <c r="L1172" s="21" t="s">
        <v>7080</v>
      </c>
      <c r="M1172" s="26">
        <v>44813</v>
      </c>
      <c r="N1172" s="44">
        <v>811203</v>
      </c>
      <c r="O1172" s="22" t="s">
        <v>15</v>
      </c>
      <c r="P1172" s="44">
        <v>811203</v>
      </c>
      <c r="Q1172" s="44">
        <f>IF(P1172="en cours",N1172,IF(P1172="OK",0,IF(N1172-P1172&lt;0,0,N1172-P1172)))</f>
        <v>0</v>
      </c>
      <c r="R1172" s="24">
        <f t="shared" si="118"/>
        <v>811203</v>
      </c>
    </row>
    <row r="1173" spans="2:18" hidden="1" x14ac:dyDescent="0.25">
      <c r="C1173" s="4" t="s">
        <v>6267</v>
      </c>
      <c r="E1173" s="5" t="s">
        <v>75</v>
      </c>
      <c r="G1173" s="146" t="s">
        <v>1146</v>
      </c>
      <c r="H1173" s="7" t="s">
        <v>6958</v>
      </c>
      <c r="J1173" s="5" t="s">
        <v>6993</v>
      </c>
      <c r="N1173" s="45">
        <v>-811203</v>
      </c>
      <c r="O1173" s="4" t="s">
        <v>15</v>
      </c>
      <c r="Q1173" s="45">
        <f>N1173</f>
        <v>-811203</v>
      </c>
      <c r="R1173" s="3">
        <f t="shared" si="118"/>
        <v>0</v>
      </c>
    </row>
    <row r="1174" spans="2:18" hidden="1" x14ac:dyDescent="0.25">
      <c r="B1174" s="21" t="s">
        <v>395</v>
      </c>
      <c r="C1174" s="22" t="s">
        <v>6267</v>
      </c>
      <c r="D1174" s="22"/>
      <c r="E1174" s="21" t="s">
        <v>75</v>
      </c>
      <c r="F1174" s="21"/>
      <c r="G1174" s="147" t="s">
        <v>1146</v>
      </c>
      <c r="H1174" s="23" t="s">
        <v>6958</v>
      </c>
      <c r="I1174" s="23"/>
      <c r="J1174" s="21" t="s">
        <v>6988</v>
      </c>
      <c r="K1174" s="47"/>
      <c r="L1174" s="21" t="s">
        <v>7546</v>
      </c>
      <c r="M1174" s="26">
        <v>44960</v>
      </c>
      <c r="N1174" s="44">
        <v>499905</v>
      </c>
      <c r="O1174" s="22" t="s">
        <v>15</v>
      </c>
      <c r="P1174" s="44">
        <f>499905</f>
        <v>499905</v>
      </c>
      <c r="Q1174" s="44">
        <f>IF(P1174="en cours",N1174,IF(P1174="OK",0,IF(N1174-P1174&lt;0,0,N1174-P1174)))</f>
        <v>0</v>
      </c>
      <c r="R1174" s="24">
        <f t="shared" ref="R1174:R1239" si="122">IF(P1174="OK",N1174-Q1174,IF(P1174="en cours",N1174-Q1174,P1174))</f>
        <v>499905</v>
      </c>
    </row>
    <row r="1175" spans="2:18" hidden="1" x14ac:dyDescent="0.25">
      <c r="C1175" s="4" t="s">
        <v>6267</v>
      </c>
      <c r="E1175" s="5" t="s">
        <v>75</v>
      </c>
      <c r="G1175" s="146" t="s">
        <v>1146</v>
      </c>
      <c r="H1175" s="7" t="s">
        <v>6958</v>
      </c>
      <c r="J1175" s="5" t="s">
        <v>6989</v>
      </c>
      <c r="N1175" s="45">
        <v>-499905</v>
      </c>
      <c r="O1175" s="4" t="s">
        <v>15</v>
      </c>
      <c r="Q1175" s="45">
        <f>N1175</f>
        <v>-499905</v>
      </c>
      <c r="R1175" s="3">
        <f t="shared" si="122"/>
        <v>0</v>
      </c>
    </row>
    <row r="1176" spans="2:18" hidden="1" x14ac:dyDescent="0.25">
      <c r="B1176" s="21" t="s">
        <v>395</v>
      </c>
      <c r="C1176" s="22" t="s">
        <v>6267</v>
      </c>
      <c r="D1176" s="22"/>
      <c r="E1176" s="21" t="s">
        <v>75</v>
      </c>
      <c r="F1176" s="21"/>
      <c r="G1176" s="147" t="s">
        <v>1146</v>
      </c>
      <c r="H1176" s="23" t="s">
        <v>8726</v>
      </c>
      <c r="I1176" s="23"/>
      <c r="J1176" s="21" t="s">
        <v>8727</v>
      </c>
      <c r="K1176" s="47"/>
      <c r="L1176" s="21" t="s">
        <v>8810</v>
      </c>
      <c r="M1176" s="26">
        <v>45162</v>
      </c>
      <c r="N1176" s="44">
        <v>2257510</v>
      </c>
      <c r="O1176" s="22" t="s">
        <v>15</v>
      </c>
      <c r="P1176" s="44">
        <v>2257510</v>
      </c>
      <c r="Q1176" s="44">
        <f t="shared" ref="Q1176:Q1224" si="123">IF(P1176="en cours",N1176,IF(P1176="OK",0,IF(N1176-P1176&lt;0,0,N1176-P1176)))</f>
        <v>0</v>
      </c>
      <c r="R1176" s="24">
        <f t="shared" si="122"/>
        <v>2257510</v>
      </c>
    </row>
    <row r="1177" spans="2:18" hidden="1" x14ac:dyDescent="0.25">
      <c r="B1177" s="21" t="s">
        <v>395</v>
      </c>
      <c r="C1177" s="22" t="s">
        <v>6267</v>
      </c>
      <c r="D1177" s="22"/>
      <c r="E1177" s="21" t="s">
        <v>75</v>
      </c>
      <c r="F1177" s="21"/>
      <c r="G1177" s="147" t="s">
        <v>1146</v>
      </c>
      <c r="H1177" s="23" t="s">
        <v>8726</v>
      </c>
      <c r="I1177" s="23"/>
      <c r="J1177" s="21" t="s">
        <v>6969</v>
      </c>
      <c r="K1177" s="47"/>
      <c r="L1177" s="21" t="s">
        <v>8898</v>
      </c>
      <c r="M1177" s="26">
        <v>45194</v>
      </c>
      <c r="N1177" s="44">
        <v>3160514</v>
      </c>
      <c r="O1177" s="22" t="s">
        <v>15</v>
      </c>
      <c r="P1177" s="44">
        <f>3160514</f>
        <v>3160514</v>
      </c>
      <c r="Q1177" s="44">
        <f t="shared" si="123"/>
        <v>0</v>
      </c>
      <c r="R1177" s="24">
        <f t="shared" si="122"/>
        <v>3160514</v>
      </c>
    </row>
    <row r="1178" spans="2:18" hidden="1" x14ac:dyDescent="0.25">
      <c r="B1178" s="21" t="s">
        <v>395</v>
      </c>
      <c r="C1178" s="22" t="s">
        <v>6267</v>
      </c>
      <c r="D1178" s="22"/>
      <c r="E1178" s="21" t="s">
        <v>75</v>
      </c>
      <c r="F1178" s="21"/>
      <c r="G1178" s="147" t="s">
        <v>1146</v>
      </c>
      <c r="H1178" s="23" t="s">
        <v>8726</v>
      </c>
      <c r="I1178" s="23"/>
      <c r="J1178" s="21" t="s">
        <v>6970</v>
      </c>
      <c r="K1178" s="47"/>
      <c r="L1178" s="21" t="s">
        <v>9548</v>
      </c>
      <c r="M1178" s="26">
        <v>45331</v>
      </c>
      <c r="N1178" s="44">
        <v>3160514</v>
      </c>
      <c r="O1178" s="22" t="s">
        <v>15</v>
      </c>
      <c r="P1178" s="44">
        <v>3160514</v>
      </c>
      <c r="Q1178" s="44">
        <f t="shared" si="123"/>
        <v>0</v>
      </c>
      <c r="R1178" s="24">
        <f t="shared" si="122"/>
        <v>3160514</v>
      </c>
    </row>
    <row r="1179" spans="2:18" hidden="1" x14ac:dyDescent="0.25">
      <c r="B1179" s="21" t="s">
        <v>395</v>
      </c>
      <c r="C1179" s="22" t="s">
        <v>6267</v>
      </c>
      <c r="D1179" s="22"/>
      <c r="E1179" s="21" t="s">
        <v>75</v>
      </c>
      <c r="F1179" s="21"/>
      <c r="G1179" s="147" t="s">
        <v>1146</v>
      </c>
      <c r="H1179" s="23" t="s">
        <v>8726</v>
      </c>
      <c r="I1179" s="23"/>
      <c r="J1179" s="21" t="s">
        <v>9718</v>
      </c>
      <c r="K1179" s="47"/>
      <c r="L1179" s="21" t="s">
        <v>9779</v>
      </c>
      <c r="M1179" s="26">
        <v>45377</v>
      </c>
      <c r="N1179" s="44">
        <v>1008988</v>
      </c>
      <c r="O1179" s="22" t="s">
        <v>15</v>
      </c>
      <c r="P1179" s="44">
        <v>1008988</v>
      </c>
      <c r="Q1179" s="44">
        <f t="shared" si="123"/>
        <v>0</v>
      </c>
      <c r="R1179" s="24">
        <f t="shared" si="122"/>
        <v>1008988</v>
      </c>
    </row>
    <row r="1180" spans="2:18" hidden="1" x14ac:dyDescent="0.25">
      <c r="B1180" s="21" t="s">
        <v>395</v>
      </c>
      <c r="C1180" s="22" t="s">
        <v>6267</v>
      </c>
      <c r="D1180" s="22"/>
      <c r="E1180" s="21" t="s">
        <v>75</v>
      </c>
      <c r="F1180" s="21"/>
      <c r="G1180" s="147" t="s">
        <v>1146</v>
      </c>
      <c r="H1180" s="23" t="s">
        <v>8726</v>
      </c>
      <c r="I1180" s="23"/>
      <c r="J1180" s="21" t="s">
        <v>6972</v>
      </c>
      <c r="K1180" s="47"/>
      <c r="L1180" s="21" t="s">
        <v>9566</v>
      </c>
      <c r="M1180" s="26">
        <v>45345</v>
      </c>
      <c r="N1180" s="44">
        <v>4063518</v>
      </c>
      <c r="O1180" s="22" t="s">
        <v>15</v>
      </c>
      <c r="P1180" s="44">
        <v>4063518</v>
      </c>
      <c r="Q1180" s="44">
        <f t="shared" si="123"/>
        <v>0</v>
      </c>
      <c r="R1180" s="24">
        <f t="shared" si="122"/>
        <v>4063518</v>
      </c>
    </row>
    <row r="1181" spans="2:18" hidden="1" x14ac:dyDescent="0.25">
      <c r="B1181" s="21" t="s">
        <v>395</v>
      </c>
      <c r="C1181" s="22" t="s">
        <v>6267</v>
      </c>
      <c r="D1181" s="22"/>
      <c r="E1181" s="21" t="s">
        <v>75</v>
      </c>
      <c r="F1181" s="21"/>
      <c r="G1181" s="147" t="s">
        <v>1146</v>
      </c>
      <c r="H1181" s="23" t="s">
        <v>9717</v>
      </c>
      <c r="I1181" s="23"/>
      <c r="J1181" s="21" t="s">
        <v>9716</v>
      </c>
      <c r="K1181" s="47"/>
      <c r="L1181" s="21" t="s">
        <v>9779</v>
      </c>
      <c r="M1181" s="26">
        <v>45377</v>
      </c>
      <c r="N1181" s="44">
        <v>4035953</v>
      </c>
      <c r="O1181" s="22" t="s">
        <v>15</v>
      </c>
      <c r="P1181" s="44">
        <v>4035953</v>
      </c>
      <c r="Q1181" s="44">
        <f t="shared" si="123"/>
        <v>0</v>
      </c>
      <c r="R1181" s="24">
        <f t="shared" si="122"/>
        <v>4035953</v>
      </c>
    </row>
    <row r="1182" spans="2:18" hidden="1" x14ac:dyDescent="0.25">
      <c r="B1182" s="21" t="s">
        <v>395</v>
      </c>
      <c r="C1182" s="22" t="s">
        <v>6267</v>
      </c>
      <c r="D1182" s="22"/>
      <c r="E1182" s="21" t="s">
        <v>75</v>
      </c>
      <c r="F1182" s="21"/>
      <c r="G1182" s="147" t="s">
        <v>1146</v>
      </c>
      <c r="H1182" s="23" t="s">
        <v>9717</v>
      </c>
      <c r="I1182" s="23"/>
      <c r="J1182" s="21" t="s">
        <v>6971</v>
      </c>
      <c r="K1182" s="47"/>
      <c r="L1182" s="21" t="s">
        <v>9797</v>
      </c>
      <c r="M1182" s="26">
        <v>45420</v>
      </c>
      <c r="N1182" s="44">
        <v>1008988</v>
      </c>
      <c r="O1182" s="22" t="s">
        <v>15</v>
      </c>
      <c r="P1182" s="44">
        <v>1008988</v>
      </c>
      <c r="Q1182" s="44">
        <f t="shared" si="123"/>
        <v>0</v>
      </c>
      <c r="R1182" s="24">
        <f t="shared" si="122"/>
        <v>1008988</v>
      </c>
    </row>
    <row r="1183" spans="2:18" hidden="1" x14ac:dyDescent="0.25">
      <c r="B1183" s="21" t="s">
        <v>395</v>
      </c>
      <c r="C1183" s="22" t="s">
        <v>6267</v>
      </c>
      <c r="D1183" s="22"/>
      <c r="E1183" s="21" t="s">
        <v>75</v>
      </c>
      <c r="F1183" s="21"/>
      <c r="G1183" s="147" t="s">
        <v>1146</v>
      </c>
      <c r="H1183" s="23" t="s">
        <v>8726</v>
      </c>
      <c r="I1183" s="23"/>
      <c r="J1183" s="21" t="s">
        <v>6973</v>
      </c>
      <c r="K1183" s="47"/>
      <c r="L1183" s="21" t="s">
        <v>9946</v>
      </c>
      <c r="M1183" s="26">
        <v>45463</v>
      </c>
      <c r="N1183" s="44">
        <v>2017976</v>
      </c>
      <c r="O1183" s="22" t="s">
        <v>15</v>
      </c>
      <c r="P1183" s="44">
        <f>2017976</f>
        <v>2017976</v>
      </c>
      <c r="Q1183" s="44">
        <f t="shared" si="123"/>
        <v>0</v>
      </c>
      <c r="R1183" s="24">
        <f t="shared" si="122"/>
        <v>2017976</v>
      </c>
    </row>
    <row r="1184" spans="2:18" hidden="1" x14ac:dyDescent="0.25">
      <c r="B1184" s="21" t="s">
        <v>395</v>
      </c>
      <c r="C1184" s="22" t="s">
        <v>6267</v>
      </c>
      <c r="D1184" s="22"/>
      <c r="E1184" s="21" t="s">
        <v>75</v>
      </c>
      <c r="F1184" s="21"/>
      <c r="G1184" s="147" t="s">
        <v>1146</v>
      </c>
      <c r="H1184" s="23" t="s">
        <v>8726</v>
      </c>
      <c r="I1184" s="23"/>
      <c r="J1184" s="21" t="s">
        <v>6974</v>
      </c>
      <c r="K1184" s="47"/>
      <c r="L1184" s="21" t="s">
        <v>10308</v>
      </c>
      <c r="M1184" s="26">
        <v>45513</v>
      </c>
      <c r="N1184" s="44">
        <v>2017976</v>
      </c>
      <c r="O1184" s="22" t="s">
        <v>15</v>
      </c>
      <c r="P1184" s="44">
        <v>2017976</v>
      </c>
      <c r="Q1184" s="44">
        <f t="shared" si="123"/>
        <v>0</v>
      </c>
      <c r="R1184" s="24">
        <f t="shared" si="122"/>
        <v>2017976</v>
      </c>
    </row>
    <row r="1185" spans="2:19" hidden="1" x14ac:dyDescent="0.25">
      <c r="B1185" s="21" t="s">
        <v>395</v>
      </c>
      <c r="C1185" s="22" t="s">
        <v>6267</v>
      </c>
      <c r="D1185" s="22"/>
      <c r="E1185" s="21" t="s">
        <v>75</v>
      </c>
      <c r="F1185" s="21"/>
      <c r="G1185" s="147" t="s">
        <v>1146</v>
      </c>
      <c r="H1185" s="23" t="s">
        <v>8726</v>
      </c>
      <c r="I1185" s="23"/>
      <c r="J1185" s="21" t="s">
        <v>6975</v>
      </c>
      <c r="K1185" s="47"/>
      <c r="L1185" s="21" t="s">
        <v>10711</v>
      </c>
      <c r="M1185" s="26">
        <v>45562</v>
      </c>
      <c r="N1185" s="44">
        <v>2522471</v>
      </c>
      <c r="O1185" s="22" t="s">
        <v>15</v>
      </c>
      <c r="P1185" s="44">
        <v>2522471</v>
      </c>
      <c r="Q1185" s="44">
        <f t="shared" si="123"/>
        <v>0</v>
      </c>
      <c r="R1185" s="24">
        <f t="shared" si="122"/>
        <v>2522471</v>
      </c>
    </row>
    <row r="1186" spans="2:19" hidden="1" x14ac:dyDescent="0.25">
      <c r="B1186" s="21" t="s">
        <v>395</v>
      </c>
      <c r="C1186" s="22" t="s">
        <v>6267</v>
      </c>
      <c r="D1186" s="22"/>
      <c r="E1186" s="21" t="s">
        <v>75</v>
      </c>
      <c r="F1186" s="21"/>
      <c r="G1186" s="147" t="s">
        <v>1146</v>
      </c>
      <c r="H1186" s="23" t="s">
        <v>8726</v>
      </c>
      <c r="I1186" s="23"/>
      <c r="J1186" s="21" t="s">
        <v>6976</v>
      </c>
      <c r="K1186" s="47"/>
      <c r="L1186" s="21" t="s">
        <v>10818</v>
      </c>
      <c r="M1186" s="26">
        <v>45625</v>
      </c>
      <c r="N1186" s="44">
        <v>2017976</v>
      </c>
      <c r="O1186" s="22" t="s">
        <v>15</v>
      </c>
      <c r="P1186" s="44">
        <v>2017976</v>
      </c>
      <c r="Q1186" s="44">
        <f t="shared" si="123"/>
        <v>0</v>
      </c>
      <c r="R1186" s="24">
        <f t="shared" si="122"/>
        <v>2017976</v>
      </c>
    </row>
    <row r="1187" spans="2:19" hidden="1" x14ac:dyDescent="0.25">
      <c r="B1187" s="21" t="s">
        <v>395</v>
      </c>
      <c r="C1187" s="22" t="s">
        <v>6267</v>
      </c>
      <c r="D1187" s="22"/>
      <c r="E1187" s="21" t="s">
        <v>75</v>
      </c>
      <c r="F1187" s="21"/>
      <c r="G1187" s="147" t="s">
        <v>1146</v>
      </c>
      <c r="H1187" s="23" t="s">
        <v>8726</v>
      </c>
      <c r="I1187" s="23"/>
      <c r="J1187" s="21" t="s">
        <v>8728</v>
      </c>
      <c r="K1187" s="21"/>
      <c r="L1187" s="21" t="s">
        <v>11020</v>
      </c>
      <c r="M1187" s="26">
        <v>45657</v>
      </c>
      <c r="N1187" s="44">
        <v>2017976</v>
      </c>
      <c r="O1187" s="22" t="s">
        <v>15</v>
      </c>
      <c r="P1187" s="44">
        <v>2017976</v>
      </c>
      <c r="Q1187" s="44">
        <f t="shared" si="123"/>
        <v>0</v>
      </c>
      <c r="R1187" s="24">
        <f t="shared" si="122"/>
        <v>2017976</v>
      </c>
    </row>
    <row r="1188" spans="2:19" hidden="1" x14ac:dyDescent="0.25">
      <c r="B1188" s="21" t="s">
        <v>395</v>
      </c>
      <c r="C1188" s="22" t="s">
        <v>6267</v>
      </c>
      <c r="D1188" s="22"/>
      <c r="E1188" s="21" t="s">
        <v>75</v>
      </c>
      <c r="F1188" s="21"/>
      <c r="G1188" s="147" t="s">
        <v>1146</v>
      </c>
      <c r="H1188" s="23" t="s">
        <v>8726</v>
      </c>
      <c r="I1188" s="23"/>
      <c r="J1188" s="21" t="s">
        <v>1448</v>
      </c>
      <c r="K1188" s="21"/>
      <c r="L1188" s="21" t="s">
        <v>11749</v>
      </c>
      <c r="M1188" s="26">
        <v>45778</v>
      </c>
      <c r="N1188" s="44">
        <v>3531459</v>
      </c>
      <c r="O1188" s="22" t="s">
        <v>15</v>
      </c>
      <c r="P1188" s="44">
        <v>3531459</v>
      </c>
      <c r="Q1188" s="44">
        <f t="shared" si="123"/>
        <v>0</v>
      </c>
      <c r="R1188" s="24">
        <f t="shared" si="122"/>
        <v>3531459</v>
      </c>
    </row>
    <row r="1189" spans="2:19" hidden="1" x14ac:dyDescent="0.25">
      <c r="B1189" s="21" t="s">
        <v>395</v>
      </c>
      <c r="C1189" s="22" t="s">
        <v>6267</v>
      </c>
      <c r="D1189" s="22"/>
      <c r="E1189" s="21" t="s">
        <v>75</v>
      </c>
      <c r="F1189" s="21"/>
      <c r="G1189" s="147" t="s">
        <v>1146</v>
      </c>
      <c r="H1189" s="23" t="s">
        <v>11883</v>
      </c>
      <c r="I1189" s="23"/>
      <c r="J1189" s="21" t="s">
        <v>11884</v>
      </c>
      <c r="K1189" s="47"/>
      <c r="L1189" s="21" t="s">
        <v>11914</v>
      </c>
      <c r="M1189" s="26">
        <v>45806</v>
      </c>
      <c r="N1189" s="44">
        <v>932593</v>
      </c>
      <c r="O1189" s="22" t="s">
        <v>15</v>
      </c>
      <c r="P1189" s="44">
        <v>932593</v>
      </c>
      <c r="Q1189" s="44">
        <f t="shared" ref="Q1189" si="124">IF(P1189="en cours",N1189,IF(P1189="OK",0,IF(N1189-P1189&lt;0,0,N1189-P1189)))</f>
        <v>0</v>
      </c>
      <c r="R1189" s="24">
        <f t="shared" ref="R1189" si="125">IF(P1189="OK",N1189-Q1189,IF(P1189="en cours",N1189-Q1189,P1189))</f>
        <v>932593</v>
      </c>
    </row>
    <row r="1190" spans="2:19" hidden="1" x14ac:dyDescent="0.25">
      <c r="B1190" s="21" t="s">
        <v>395</v>
      </c>
      <c r="C1190" s="22" t="s">
        <v>6267</v>
      </c>
      <c r="D1190" s="22"/>
      <c r="E1190" s="21" t="s">
        <v>75</v>
      </c>
      <c r="F1190" s="21"/>
      <c r="G1190" s="147" t="s">
        <v>1146</v>
      </c>
      <c r="H1190" s="23" t="s">
        <v>11883</v>
      </c>
      <c r="I1190" s="23"/>
      <c r="J1190" s="21" t="s">
        <v>2498</v>
      </c>
      <c r="K1190" s="47">
        <v>45778</v>
      </c>
      <c r="L1190" s="21" t="s">
        <v>12207</v>
      </c>
      <c r="M1190" s="26">
        <v>45861</v>
      </c>
      <c r="N1190" s="44">
        <v>4464052</v>
      </c>
      <c r="O1190" s="22" t="s">
        <v>15</v>
      </c>
      <c r="P1190" s="44">
        <v>4464052</v>
      </c>
      <c r="Q1190" s="44">
        <f t="shared" si="123"/>
        <v>0</v>
      </c>
      <c r="R1190" s="24">
        <f t="shared" si="122"/>
        <v>4464052</v>
      </c>
    </row>
    <row r="1191" spans="2:19" hidden="1" x14ac:dyDescent="0.25">
      <c r="C1191" s="4" t="s">
        <v>6267</v>
      </c>
      <c r="E1191" s="5" t="s">
        <v>75</v>
      </c>
      <c r="G1191" s="146" t="s">
        <v>1146</v>
      </c>
      <c r="H1191" s="7" t="s">
        <v>11883</v>
      </c>
      <c r="J1191" s="5" t="s">
        <v>2499</v>
      </c>
      <c r="K1191" s="115">
        <v>45901</v>
      </c>
      <c r="N1191" s="45">
        <v>2363322</v>
      </c>
      <c r="O1191" s="4" t="s">
        <v>15</v>
      </c>
      <c r="Q1191" s="45">
        <f t="shared" si="123"/>
        <v>2363322</v>
      </c>
      <c r="R1191" s="3">
        <f t="shared" si="122"/>
        <v>0</v>
      </c>
    </row>
    <row r="1192" spans="2:19" hidden="1" x14ac:dyDescent="0.25">
      <c r="C1192" s="4" t="s">
        <v>6267</v>
      </c>
      <c r="E1192" s="5" t="s">
        <v>75</v>
      </c>
      <c r="G1192" s="146" t="s">
        <v>1146</v>
      </c>
      <c r="H1192" s="7" t="s">
        <v>11883</v>
      </c>
      <c r="J1192" s="5" t="s">
        <v>2500</v>
      </c>
      <c r="K1192" s="115">
        <v>46023</v>
      </c>
      <c r="N1192" s="45">
        <v>294999</v>
      </c>
      <c r="O1192" s="4" t="s">
        <v>15</v>
      </c>
      <c r="Q1192" s="45">
        <f t="shared" si="123"/>
        <v>294999</v>
      </c>
      <c r="R1192" s="3">
        <f t="shared" si="122"/>
        <v>0</v>
      </c>
    </row>
    <row r="1193" spans="2:19" hidden="1" x14ac:dyDescent="0.25">
      <c r="C1193" s="4" t="s">
        <v>6267</v>
      </c>
      <c r="E1193" s="5" t="s">
        <v>75</v>
      </c>
      <c r="G1193" s="146" t="s">
        <v>1146</v>
      </c>
      <c r="H1193" s="7" t="s">
        <v>11883</v>
      </c>
      <c r="J1193" s="170" t="s">
        <v>6984</v>
      </c>
      <c r="K1193" s="170"/>
      <c r="L1193" s="5" t="s">
        <v>13870</v>
      </c>
      <c r="M1193" s="12" t="s">
        <v>13871</v>
      </c>
      <c r="N1193" s="134">
        <v>10429952.210000001</v>
      </c>
      <c r="O1193" s="4" t="s">
        <v>15</v>
      </c>
      <c r="P1193" s="45">
        <f>84130.41+150731.86+400.67+145709.77+47023.23+140646.27+157523.43+129.97+117075.71+244562.78+140283.5+188620.49+139413.51+266618.6+261484.53+250212.49+344349.2+219218.46+219218.46+147598.48+358162.56+214038.7+299813.15+223130.88+173041.58+193882.99+214698.6+225695.8+435333.56+317294.98+448583.08+324513.17+379651.29+240115.01+341321.14+257068.03+401620.47+154430.4+336042.84+194937.22+279772.33+151632.28+198191.69+85346.82+62408.4+35770</f>
        <v>9811448.7899999991</v>
      </c>
      <c r="Q1193" s="45">
        <f t="shared" si="123"/>
        <v>618503.42000000179</v>
      </c>
      <c r="R1193" s="3">
        <f t="shared" si="122"/>
        <v>9811448.7899999991</v>
      </c>
    </row>
    <row r="1194" spans="2:19" hidden="1" x14ac:dyDescent="0.25">
      <c r="C1194" s="4" t="s">
        <v>6267</v>
      </c>
      <c r="E1194" s="5" t="s">
        <v>75</v>
      </c>
      <c r="G1194" s="146" t="s">
        <v>1146</v>
      </c>
      <c r="H1194" s="7" t="s">
        <v>11883</v>
      </c>
      <c r="J1194" s="170" t="s">
        <v>6990</v>
      </c>
      <c r="K1194" s="170"/>
      <c r="L1194" s="5" t="s">
        <v>14295</v>
      </c>
      <c r="M1194" s="12" t="s">
        <v>14296</v>
      </c>
      <c r="N1194" s="134">
        <v>7496027</v>
      </c>
      <c r="O1194" s="4" t="s">
        <v>15</v>
      </c>
      <c r="P1194" s="45">
        <f>48066.13+24975.17+79024.94+62024.96+61076.19+166322.18+91709.15+56665.88+118280.35+108626.18+143356.38+194565.49+217642.56+165571.62+234805+331887.53+338672.42+242696.96+279532.73+324325.69+347000.66+144012.36+131632.82+315952.78+345608.63+388396.33+194159.2+425680.09+368515.28+230263.44+341520.46+342307.63+413660.95+219885.55+331989.01+516762.66+224674.71+548750.5+202808.41</f>
        <v>9323408.9800000004</v>
      </c>
      <c r="Q1194" s="45">
        <f t="shared" si="123"/>
        <v>0</v>
      </c>
      <c r="R1194" s="3">
        <f t="shared" si="122"/>
        <v>9323408.9800000004</v>
      </c>
      <c r="S1194" s="5" t="s">
        <v>14292</v>
      </c>
    </row>
    <row r="1195" spans="2:19" hidden="1" x14ac:dyDescent="0.25">
      <c r="C1195" s="4" t="s">
        <v>6267</v>
      </c>
      <c r="E1195" s="5" t="s">
        <v>75</v>
      </c>
      <c r="G1195" s="146" t="s">
        <v>1146</v>
      </c>
      <c r="H1195" s="7" t="s">
        <v>11883</v>
      </c>
      <c r="J1195" s="5" t="s">
        <v>6987</v>
      </c>
      <c r="K1195" s="115"/>
      <c r="L1195" s="5" t="s">
        <v>14293</v>
      </c>
      <c r="M1195" s="12" t="s">
        <v>14294</v>
      </c>
      <c r="N1195" s="45">
        <v>7162215</v>
      </c>
      <c r="O1195" s="4" t="s">
        <v>15</v>
      </c>
      <c r="P1195" s="45">
        <f>47023.23+22078.21+14556.01+26319.1+56302.61+57970.66+96219.9+127707.15+269145.92+209887.59+212577.01+219078.87+299903.23+283491.28+347215.57+283491.28+327816.41+314509.69+423984.66+475809.05+423103.26+532461.39+397922.88+732697.81+329694.39+451672.27+511636.1+393530.04+228310.26+382602.55+66551.84+118064.27+52030.16+30373.67+28277.3+21935</f>
        <v>8815950.6199999992</v>
      </c>
      <c r="Q1195" s="45">
        <f t="shared" si="123"/>
        <v>0</v>
      </c>
      <c r="R1195" s="3">
        <f t="shared" si="122"/>
        <v>8815950.6199999992</v>
      </c>
      <c r="S1195" s="5" t="s">
        <v>14292</v>
      </c>
    </row>
    <row r="1196" spans="2:19" hidden="1" x14ac:dyDescent="0.25">
      <c r="C1196" s="4" t="s">
        <v>3798</v>
      </c>
      <c r="E1196" s="5" t="s">
        <v>75</v>
      </c>
      <c r="G1196" s="146" t="s">
        <v>1146</v>
      </c>
      <c r="H1196" s="7" t="s">
        <v>5242</v>
      </c>
      <c r="I1196" s="7" t="s">
        <v>7969</v>
      </c>
      <c r="J1196" s="5" t="s">
        <v>3799</v>
      </c>
      <c r="K1196" s="13">
        <v>44287</v>
      </c>
      <c r="L1196" s="5" t="s">
        <v>4579</v>
      </c>
      <c r="M1196" s="12" t="s">
        <v>4580</v>
      </c>
      <c r="N1196" s="45">
        <v>38307</v>
      </c>
      <c r="O1196" s="4" t="s">
        <v>15</v>
      </c>
      <c r="P1196" s="4">
        <f>12001.5+21019.75</f>
        <v>33021.25</v>
      </c>
      <c r="Q1196" s="3">
        <f t="shared" si="123"/>
        <v>5285.75</v>
      </c>
      <c r="R1196" s="3">
        <f t="shared" si="122"/>
        <v>33021.25</v>
      </c>
    </row>
    <row r="1197" spans="2:19" hidden="1" x14ac:dyDescent="0.25">
      <c r="B1197" s="21" t="s">
        <v>395</v>
      </c>
      <c r="C1197" s="22" t="s">
        <v>8972</v>
      </c>
      <c r="D1197" s="22"/>
      <c r="E1197" s="21" t="s">
        <v>75</v>
      </c>
      <c r="F1197" s="21" t="s">
        <v>9783</v>
      </c>
      <c r="G1197" s="147" t="s">
        <v>1146</v>
      </c>
      <c r="H1197" s="23" t="s">
        <v>10388</v>
      </c>
      <c r="I1197" s="23"/>
      <c r="J1197" s="21" t="s">
        <v>10391</v>
      </c>
      <c r="K1197" s="47"/>
      <c r="L1197" s="21" t="s">
        <v>10448</v>
      </c>
      <c r="M1197" s="26">
        <v>45518</v>
      </c>
      <c r="N1197" s="89">
        <v>1727064.17</v>
      </c>
      <c r="O1197" s="22" t="s">
        <v>15</v>
      </c>
      <c r="P1197" s="44">
        <f>1727064.17</f>
        <v>1727064.17</v>
      </c>
      <c r="Q1197" s="44">
        <f t="shared" si="123"/>
        <v>0</v>
      </c>
      <c r="R1197" s="24">
        <f t="shared" si="122"/>
        <v>1727064.17</v>
      </c>
    </row>
    <row r="1198" spans="2:19" hidden="1" x14ac:dyDescent="0.25">
      <c r="B1198" s="21" t="s">
        <v>395</v>
      </c>
      <c r="C1198" s="22" t="s">
        <v>8972</v>
      </c>
      <c r="D1198" s="22"/>
      <c r="E1198" s="21" t="s">
        <v>75</v>
      </c>
      <c r="F1198" s="21" t="s">
        <v>9783</v>
      </c>
      <c r="G1198" s="147" t="s">
        <v>1146</v>
      </c>
      <c r="H1198" s="23" t="s">
        <v>10388</v>
      </c>
      <c r="I1198" s="23"/>
      <c r="J1198" s="21" t="s">
        <v>10392</v>
      </c>
      <c r="K1198" s="47"/>
      <c r="L1198" s="21" t="s">
        <v>10448</v>
      </c>
      <c r="M1198" s="26">
        <v>45518</v>
      </c>
      <c r="N1198" s="89">
        <v>1727064.17</v>
      </c>
      <c r="O1198" s="22" t="s">
        <v>15</v>
      </c>
      <c r="P1198" s="44">
        <v>1727064.17</v>
      </c>
      <c r="Q1198" s="44">
        <f t="shared" si="123"/>
        <v>0</v>
      </c>
      <c r="R1198" s="24">
        <f t="shared" si="122"/>
        <v>1727064.17</v>
      </c>
    </row>
    <row r="1199" spans="2:19" hidden="1" x14ac:dyDescent="0.25">
      <c r="B1199" s="21" t="s">
        <v>395</v>
      </c>
      <c r="C1199" s="22" t="s">
        <v>8972</v>
      </c>
      <c r="D1199" s="22"/>
      <c r="E1199" s="21" t="s">
        <v>75</v>
      </c>
      <c r="F1199" s="21" t="s">
        <v>9783</v>
      </c>
      <c r="G1199" s="147" t="s">
        <v>1146</v>
      </c>
      <c r="H1199" s="23" t="s">
        <v>10388</v>
      </c>
      <c r="I1199" s="23"/>
      <c r="J1199" s="21" t="s">
        <v>10393</v>
      </c>
      <c r="K1199" s="47"/>
      <c r="L1199" s="21" t="s">
        <v>11276</v>
      </c>
      <c r="M1199" s="26">
        <v>45715</v>
      </c>
      <c r="N1199" s="89">
        <v>1831734.73</v>
      </c>
      <c r="O1199" s="22" t="s">
        <v>15</v>
      </c>
      <c r="P1199" s="44">
        <v>1831734.73</v>
      </c>
      <c r="Q1199" s="44">
        <f t="shared" si="123"/>
        <v>0</v>
      </c>
      <c r="R1199" s="24">
        <f t="shared" si="122"/>
        <v>1831734.73</v>
      </c>
    </row>
    <row r="1200" spans="2:19" hidden="1" x14ac:dyDescent="0.25">
      <c r="B1200" s="21" t="s">
        <v>395</v>
      </c>
      <c r="C1200" s="22" t="s">
        <v>8972</v>
      </c>
      <c r="D1200" s="22"/>
      <c r="E1200" s="21" t="s">
        <v>75</v>
      </c>
      <c r="F1200" s="21" t="s">
        <v>9783</v>
      </c>
      <c r="G1200" s="147" t="s">
        <v>1146</v>
      </c>
      <c r="H1200" s="23" t="s">
        <v>10388</v>
      </c>
      <c r="I1200" s="23"/>
      <c r="J1200" s="21" t="s">
        <v>10394</v>
      </c>
      <c r="K1200" s="47"/>
      <c r="L1200" s="21" t="s">
        <v>11582</v>
      </c>
      <c r="M1200" s="26">
        <v>45747</v>
      </c>
      <c r="N1200" s="89">
        <v>1308381.95</v>
      </c>
      <c r="O1200" s="22" t="s">
        <v>15</v>
      </c>
      <c r="P1200" s="44">
        <v>1308381.95</v>
      </c>
      <c r="Q1200" s="44">
        <f t="shared" si="123"/>
        <v>0</v>
      </c>
      <c r="R1200" s="24">
        <f t="shared" si="122"/>
        <v>1308381.95</v>
      </c>
    </row>
    <row r="1201" spans="2:18" hidden="1" x14ac:dyDescent="0.25">
      <c r="B1201" s="21" t="s">
        <v>395</v>
      </c>
      <c r="C1201" s="22" t="s">
        <v>8972</v>
      </c>
      <c r="D1201" s="22"/>
      <c r="E1201" s="21" t="s">
        <v>75</v>
      </c>
      <c r="F1201" s="21" t="s">
        <v>9783</v>
      </c>
      <c r="G1201" s="147" t="s">
        <v>1146</v>
      </c>
      <c r="H1201" s="23" t="s">
        <v>10388</v>
      </c>
      <c r="I1201" s="23"/>
      <c r="J1201" s="21" t="s">
        <v>10395</v>
      </c>
      <c r="K1201" s="47"/>
      <c r="L1201" s="21" t="s">
        <v>11978</v>
      </c>
      <c r="M1201" s="26">
        <v>45817</v>
      </c>
      <c r="N1201" s="89">
        <v>1308381.95</v>
      </c>
      <c r="O1201" s="22" t="s">
        <v>15</v>
      </c>
      <c r="P1201" s="44">
        <v>1308381.95</v>
      </c>
      <c r="Q1201" s="44">
        <f t="shared" si="123"/>
        <v>0</v>
      </c>
      <c r="R1201" s="24">
        <f t="shared" si="122"/>
        <v>1308381.95</v>
      </c>
    </row>
    <row r="1202" spans="2:18" hidden="1" x14ac:dyDescent="0.25">
      <c r="C1202" s="4" t="s">
        <v>8972</v>
      </c>
      <c r="E1202" s="5" t="s">
        <v>75</v>
      </c>
      <c r="F1202" s="5" t="s">
        <v>9783</v>
      </c>
      <c r="G1202" s="146" t="s">
        <v>1146</v>
      </c>
      <c r="H1202" s="7" t="s">
        <v>10388</v>
      </c>
      <c r="J1202" s="5" t="s">
        <v>10396</v>
      </c>
      <c r="K1202" s="115" t="s">
        <v>10397</v>
      </c>
      <c r="L1202" s="5" t="s">
        <v>12404</v>
      </c>
      <c r="M1202" s="12">
        <v>45898</v>
      </c>
      <c r="N1202" s="89">
        <v>1308381.95</v>
      </c>
      <c r="O1202" s="4" t="s">
        <v>15</v>
      </c>
      <c r="P1202" s="45">
        <v>1308381.95</v>
      </c>
      <c r="Q1202" s="45">
        <f t="shared" si="123"/>
        <v>0</v>
      </c>
      <c r="R1202" s="3">
        <f t="shared" si="122"/>
        <v>1308381.95</v>
      </c>
    </row>
    <row r="1203" spans="2:18" hidden="1" x14ac:dyDescent="0.25">
      <c r="C1203" s="4" t="s">
        <v>8972</v>
      </c>
      <c r="E1203" s="5" t="s">
        <v>75</v>
      </c>
      <c r="F1203" s="5" t="s">
        <v>9783</v>
      </c>
      <c r="G1203" s="146" t="s">
        <v>1146</v>
      </c>
      <c r="H1203" s="7" t="s">
        <v>10388</v>
      </c>
      <c r="J1203" s="5" t="s">
        <v>10398</v>
      </c>
      <c r="K1203" s="115" t="s">
        <v>10399</v>
      </c>
      <c r="M1203" s="12"/>
      <c r="N1203" s="89">
        <v>1308381.95</v>
      </c>
      <c r="O1203" s="4" t="s">
        <v>15</v>
      </c>
      <c r="Q1203" s="45">
        <f t="shared" si="123"/>
        <v>1308381.95</v>
      </c>
      <c r="R1203" s="3">
        <f t="shared" si="122"/>
        <v>0</v>
      </c>
    </row>
    <row r="1204" spans="2:18" hidden="1" x14ac:dyDescent="0.25">
      <c r="B1204" s="21" t="s">
        <v>395</v>
      </c>
      <c r="C1204" s="22" t="s">
        <v>8972</v>
      </c>
      <c r="D1204" s="22"/>
      <c r="E1204" s="21" t="s">
        <v>75</v>
      </c>
      <c r="F1204" s="21" t="s">
        <v>9783</v>
      </c>
      <c r="G1204" s="147" t="s">
        <v>1146</v>
      </c>
      <c r="H1204" s="23" t="s">
        <v>10388</v>
      </c>
      <c r="I1204" s="23"/>
      <c r="J1204" s="21" t="s">
        <v>10400</v>
      </c>
      <c r="K1204" s="47" t="s">
        <v>10401</v>
      </c>
      <c r="L1204" s="21" t="s">
        <v>13434</v>
      </c>
      <c r="M1204" s="26">
        <v>45989</v>
      </c>
      <c r="N1204" s="89">
        <v>1308381.95</v>
      </c>
      <c r="O1204" s="22" t="s">
        <v>15</v>
      </c>
      <c r="P1204" s="44">
        <v>1308381.95</v>
      </c>
      <c r="Q1204" s="44">
        <f t="shared" si="123"/>
        <v>0</v>
      </c>
      <c r="R1204" s="24">
        <f t="shared" si="122"/>
        <v>1308381.95</v>
      </c>
    </row>
    <row r="1205" spans="2:18" hidden="1" x14ac:dyDescent="0.25">
      <c r="C1205" s="4" t="s">
        <v>8972</v>
      </c>
      <c r="E1205" s="5" t="s">
        <v>75</v>
      </c>
      <c r="F1205" s="5" t="s">
        <v>9783</v>
      </c>
      <c r="G1205" s="146" t="s">
        <v>1146</v>
      </c>
      <c r="H1205" s="7" t="s">
        <v>10388</v>
      </c>
      <c r="J1205" s="5" t="s">
        <v>10402</v>
      </c>
      <c r="K1205" s="115" t="s">
        <v>10403</v>
      </c>
      <c r="M1205" s="12"/>
      <c r="N1205" s="89">
        <v>1308381.95</v>
      </c>
      <c r="O1205" s="4" t="s">
        <v>15</v>
      </c>
      <c r="Q1205" s="45">
        <f t="shared" si="123"/>
        <v>1308381.95</v>
      </c>
      <c r="R1205" s="3">
        <f t="shared" si="122"/>
        <v>0</v>
      </c>
    </row>
    <row r="1206" spans="2:18" hidden="1" x14ac:dyDescent="0.25">
      <c r="B1206" s="21" t="s">
        <v>395</v>
      </c>
      <c r="C1206" s="22" t="s">
        <v>8972</v>
      </c>
      <c r="D1206" s="22"/>
      <c r="E1206" s="21" t="s">
        <v>75</v>
      </c>
      <c r="F1206" s="21" t="s">
        <v>9783</v>
      </c>
      <c r="G1206" s="147" t="s">
        <v>1146</v>
      </c>
      <c r="H1206" s="23" t="s">
        <v>10388</v>
      </c>
      <c r="I1206" s="23"/>
      <c r="J1206" s="21" t="s">
        <v>10404</v>
      </c>
      <c r="K1206" s="47" t="s">
        <v>10405</v>
      </c>
      <c r="L1206" s="21" t="s">
        <v>13869</v>
      </c>
      <c r="M1206" s="26">
        <v>46036</v>
      </c>
      <c r="N1206" s="89">
        <v>1308381.95</v>
      </c>
      <c r="O1206" s="22" t="s">
        <v>15</v>
      </c>
      <c r="P1206" s="44">
        <v>1308381.95</v>
      </c>
      <c r="Q1206" s="44">
        <f t="shared" si="123"/>
        <v>0</v>
      </c>
      <c r="R1206" s="24">
        <f t="shared" si="122"/>
        <v>1308381.95</v>
      </c>
    </row>
    <row r="1207" spans="2:18" hidden="1" x14ac:dyDescent="0.25">
      <c r="C1207" s="4" t="s">
        <v>8972</v>
      </c>
      <c r="E1207" s="5" t="s">
        <v>75</v>
      </c>
      <c r="F1207" s="5" t="s">
        <v>9783</v>
      </c>
      <c r="G1207" s="146" t="s">
        <v>1146</v>
      </c>
      <c r="H1207" s="7" t="s">
        <v>10388</v>
      </c>
      <c r="J1207" s="5" t="s">
        <v>10406</v>
      </c>
      <c r="K1207" s="115" t="s">
        <v>10407</v>
      </c>
      <c r="M1207" s="12"/>
      <c r="N1207" s="89">
        <v>1308381.95</v>
      </c>
      <c r="O1207" s="4" t="s">
        <v>15</v>
      </c>
      <c r="Q1207" s="45">
        <f t="shared" si="123"/>
        <v>1308381.95</v>
      </c>
      <c r="R1207" s="3">
        <f t="shared" si="122"/>
        <v>0</v>
      </c>
    </row>
    <row r="1208" spans="2:18" hidden="1" x14ac:dyDescent="0.25">
      <c r="C1208" s="4" t="s">
        <v>8972</v>
      </c>
      <c r="E1208" s="5" t="s">
        <v>75</v>
      </c>
      <c r="F1208" s="5" t="s">
        <v>9783</v>
      </c>
      <c r="G1208" s="146" t="s">
        <v>1146</v>
      </c>
      <c r="H1208" s="7" t="s">
        <v>10388</v>
      </c>
      <c r="J1208" s="5" t="s">
        <v>10408</v>
      </c>
      <c r="K1208" s="115" t="s">
        <v>10409</v>
      </c>
      <c r="M1208" s="12"/>
      <c r="N1208" s="89">
        <v>1046705.56</v>
      </c>
      <c r="O1208" s="4" t="s">
        <v>15</v>
      </c>
      <c r="Q1208" s="45">
        <f t="shared" si="123"/>
        <v>1046705.56</v>
      </c>
      <c r="R1208" s="3">
        <f t="shared" si="122"/>
        <v>0</v>
      </c>
    </row>
    <row r="1209" spans="2:18" hidden="1" x14ac:dyDescent="0.25">
      <c r="C1209" s="4" t="s">
        <v>8972</v>
      </c>
      <c r="E1209" s="5" t="s">
        <v>75</v>
      </c>
      <c r="F1209" s="5" t="s">
        <v>9783</v>
      </c>
      <c r="G1209" s="146" t="s">
        <v>1146</v>
      </c>
      <c r="H1209" s="7" t="s">
        <v>10388</v>
      </c>
      <c r="J1209" s="5" t="s">
        <v>10410</v>
      </c>
      <c r="K1209" s="115" t="s">
        <v>10411</v>
      </c>
      <c r="M1209" s="12"/>
      <c r="N1209" s="89">
        <v>523352.78</v>
      </c>
      <c r="O1209" s="4" t="s">
        <v>15</v>
      </c>
      <c r="Q1209" s="45">
        <f t="shared" si="123"/>
        <v>523352.78</v>
      </c>
      <c r="R1209" s="3">
        <f t="shared" si="122"/>
        <v>0</v>
      </c>
    </row>
    <row r="1210" spans="2:18" hidden="1" x14ac:dyDescent="0.25">
      <c r="C1210" s="4" t="s">
        <v>8972</v>
      </c>
      <c r="E1210" s="5" t="s">
        <v>75</v>
      </c>
      <c r="F1210" s="5" t="s">
        <v>9783</v>
      </c>
      <c r="G1210" s="146" t="s">
        <v>1146</v>
      </c>
      <c r="H1210" s="7" t="s">
        <v>10388</v>
      </c>
      <c r="J1210" s="5" t="s">
        <v>10412</v>
      </c>
      <c r="K1210" s="115" t="s">
        <v>10411</v>
      </c>
      <c r="M1210" s="12"/>
      <c r="N1210" s="89">
        <v>523352.78</v>
      </c>
      <c r="O1210" s="4" t="s">
        <v>15</v>
      </c>
      <c r="Q1210" s="45">
        <f t="shared" si="123"/>
        <v>523352.78</v>
      </c>
      <c r="R1210" s="3">
        <f t="shared" si="122"/>
        <v>0</v>
      </c>
    </row>
    <row r="1211" spans="2:18" hidden="1" x14ac:dyDescent="0.25">
      <c r="C1211" s="4" t="s">
        <v>8972</v>
      </c>
      <c r="E1211" s="5" t="s">
        <v>75</v>
      </c>
      <c r="F1211" s="5" t="s">
        <v>9783</v>
      </c>
      <c r="G1211" s="146" t="s">
        <v>1146</v>
      </c>
      <c r="H1211" s="7" t="s">
        <v>10388</v>
      </c>
      <c r="J1211" s="5" t="s">
        <v>10413</v>
      </c>
      <c r="K1211" s="115" t="s">
        <v>10414</v>
      </c>
      <c r="M1211" s="12"/>
      <c r="N1211" s="89">
        <v>1046705.56</v>
      </c>
      <c r="O1211" s="4" t="s">
        <v>15</v>
      </c>
      <c r="Q1211" s="45">
        <f t="shared" si="123"/>
        <v>1046705.56</v>
      </c>
      <c r="R1211" s="3">
        <f t="shared" si="122"/>
        <v>0</v>
      </c>
    </row>
    <row r="1212" spans="2:18" hidden="1" x14ac:dyDescent="0.25">
      <c r="C1212" s="4" t="s">
        <v>8972</v>
      </c>
      <c r="E1212" s="5" t="s">
        <v>75</v>
      </c>
      <c r="F1212" s="5" t="s">
        <v>9783</v>
      </c>
      <c r="G1212" s="146" t="s">
        <v>1146</v>
      </c>
      <c r="H1212" s="7" t="s">
        <v>10388</v>
      </c>
      <c r="J1212" s="5" t="s">
        <v>10415</v>
      </c>
      <c r="K1212" s="115" t="s">
        <v>10416</v>
      </c>
      <c r="M1212" s="12"/>
      <c r="N1212" s="89">
        <v>1046705.56</v>
      </c>
      <c r="O1212" s="4" t="s">
        <v>15</v>
      </c>
      <c r="Q1212" s="45">
        <f t="shared" si="123"/>
        <v>1046705.56</v>
      </c>
      <c r="R1212" s="3">
        <f t="shared" si="122"/>
        <v>0</v>
      </c>
    </row>
    <row r="1213" spans="2:18" hidden="1" x14ac:dyDescent="0.25">
      <c r="C1213" s="4" t="s">
        <v>8972</v>
      </c>
      <c r="E1213" s="5" t="s">
        <v>75</v>
      </c>
      <c r="F1213" s="5" t="s">
        <v>9783</v>
      </c>
      <c r="G1213" s="146" t="s">
        <v>1146</v>
      </c>
      <c r="H1213" s="7" t="s">
        <v>10388</v>
      </c>
      <c r="J1213" s="5" t="s">
        <v>10417</v>
      </c>
      <c r="K1213" s="115" t="s">
        <v>10418</v>
      </c>
      <c r="M1213" s="12"/>
      <c r="N1213" s="89">
        <v>1046705.56</v>
      </c>
      <c r="O1213" s="4" t="s">
        <v>15</v>
      </c>
      <c r="Q1213" s="45">
        <f t="shared" si="123"/>
        <v>1046705.56</v>
      </c>
      <c r="R1213" s="3">
        <f t="shared" si="122"/>
        <v>0</v>
      </c>
    </row>
    <row r="1214" spans="2:18" hidden="1" x14ac:dyDescent="0.25">
      <c r="C1214" s="4" t="s">
        <v>8972</v>
      </c>
      <c r="E1214" s="5" t="s">
        <v>75</v>
      </c>
      <c r="F1214" s="5" t="s">
        <v>9783</v>
      </c>
      <c r="G1214" s="146" t="s">
        <v>1146</v>
      </c>
      <c r="H1214" s="7" t="s">
        <v>10388</v>
      </c>
      <c r="J1214" s="5" t="s">
        <v>10419</v>
      </c>
      <c r="K1214" s="115" t="s">
        <v>10420</v>
      </c>
      <c r="M1214" s="12"/>
      <c r="N1214" s="89">
        <v>1046705.56</v>
      </c>
      <c r="O1214" s="4" t="s">
        <v>15</v>
      </c>
      <c r="Q1214" s="45">
        <f t="shared" si="123"/>
        <v>1046705.56</v>
      </c>
      <c r="R1214" s="3">
        <f t="shared" si="122"/>
        <v>0</v>
      </c>
    </row>
    <row r="1215" spans="2:18" hidden="1" x14ac:dyDescent="0.25">
      <c r="C1215" s="4" t="s">
        <v>8972</v>
      </c>
      <c r="E1215" s="5" t="s">
        <v>75</v>
      </c>
      <c r="F1215" s="5" t="s">
        <v>9783</v>
      </c>
      <c r="G1215" s="146" t="s">
        <v>1146</v>
      </c>
      <c r="H1215" s="7" t="s">
        <v>10388</v>
      </c>
      <c r="J1215" s="5" t="s">
        <v>10421</v>
      </c>
      <c r="K1215" s="115" t="s">
        <v>10422</v>
      </c>
      <c r="M1215" s="12"/>
      <c r="N1215" s="89">
        <v>1046705.56</v>
      </c>
      <c r="O1215" s="4" t="s">
        <v>15</v>
      </c>
      <c r="Q1215" s="45">
        <f t="shared" si="123"/>
        <v>1046705.56</v>
      </c>
      <c r="R1215" s="3">
        <f t="shared" si="122"/>
        <v>0</v>
      </c>
    </row>
    <row r="1216" spans="2:18" hidden="1" x14ac:dyDescent="0.25">
      <c r="C1216" s="4" t="s">
        <v>8972</v>
      </c>
      <c r="E1216" s="5" t="s">
        <v>75</v>
      </c>
      <c r="F1216" s="5" t="s">
        <v>9783</v>
      </c>
      <c r="G1216" s="146" t="s">
        <v>1146</v>
      </c>
      <c r="H1216" s="7" t="s">
        <v>10388</v>
      </c>
      <c r="J1216" s="5" t="s">
        <v>10423</v>
      </c>
      <c r="K1216" s="115" t="s">
        <v>10424</v>
      </c>
      <c r="M1216" s="12"/>
      <c r="N1216" s="89">
        <v>785029.17</v>
      </c>
      <c r="O1216" s="4" t="s">
        <v>15</v>
      </c>
      <c r="Q1216" s="45">
        <f t="shared" si="123"/>
        <v>785029.17</v>
      </c>
      <c r="R1216" s="3">
        <f t="shared" si="122"/>
        <v>0</v>
      </c>
    </row>
    <row r="1217" spans="2:19" hidden="1" x14ac:dyDescent="0.25">
      <c r="C1217" s="4" t="s">
        <v>8972</v>
      </c>
      <c r="E1217" s="5" t="s">
        <v>75</v>
      </c>
      <c r="F1217" s="5" t="s">
        <v>9783</v>
      </c>
      <c r="G1217" s="146" t="s">
        <v>1146</v>
      </c>
      <c r="H1217" s="7" t="s">
        <v>10388</v>
      </c>
      <c r="J1217" s="5" t="s">
        <v>10425</v>
      </c>
      <c r="K1217" s="115" t="s">
        <v>10426</v>
      </c>
      <c r="M1217" s="12"/>
      <c r="N1217" s="89">
        <v>130838.2</v>
      </c>
      <c r="O1217" s="4" t="s">
        <v>15</v>
      </c>
      <c r="Q1217" s="45">
        <f t="shared" si="123"/>
        <v>130838.2</v>
      </c>
      <c r="R1217" s="3">
        <f t="shared" si="122"/>
        <v>0</v>
      </c>
    </row>
    <row r="1218" spans="2:19" hidden="1" x14ac:dyDescent="0.25">
      <c r="C1218" s="4" t="s">
        <v>8972</v>
      </c>
      <c r="E1218" s="5" t="s">
        <v>75</v>
      </c>
      <c r="F1218" s="5" t="s">
        <v>9783</v>
      </c>
      <c r="G1218" s="146" t="s">
        <v>1146</v>
      </c>
      <c r="H1218" s="7" t="s">
        <v>10388</v>
      </c>
      <c r="J1218" s="5" t="s">
        <v>10427</v>
      </c>
      <c r="K1218" s="115" t="s">
        <v>10428</v>
      </c>
      <c r="M1218" s="12"/>
      <c r="N1218" s="89">
        <v>130838.2</v>
      </c>
      <c r="O1218" s="4" t="s">
        <v>15</v>
      </c>
      <c r="Q1218" s="45">
        <f t="shared" si="123"/>
        <v>130838.2</v>
      </c>
      <c r="R1218" s="3">
        <f t="shared" si="122"/>
        <v>0</v>
      </c>
    </row>
    <row r="1219" spans="2:19" hidden="1" x14ac:dyDescent="0.25">
      <c r="C1219" s="4" t="s">
        <v>8972</v>
      </c>
      <c r="E1219" s="5" t="s">
        <v>75</v>
      </c>
      <c r="F1219" s="5" t="s">
        <v>9783</v>
      </c>
      <c r="G1219" s="146" t="s">
        <v>1146</v>
      </c>
      <c r="H1219" s="7" t="s">
        <v>10388</v>
      </c>
      <c r="J1219" s="5" t="s">
        <v>10429</v>
      </c>
      <c r="K1219" s="115" t="s">
        <v>10430</v>
      </c>
      <c r="M1219" s="12"/>
      <c r="N1219" s="89">
        <v>65419.1</v>
      </c>
      <c r="O1219" s="4" t="s">
        <v>15</v>
      </c>
      <c r="Q1219" s="45">
        <f t="shared" si="123"/>
        <v>65419.1</v>
      </c>
      <c r="R1219" s="3">
        <f t="shared" si="122"/>
        <v>0</v>
      </c>
    </row>
    <row r="1220" spans="2:19" hidden="1" x14ac:dyDescent="0.25">
      <c r="C1220" s="4" t="s">
        <v>8972</v>
      </c>
      <c r="E1220" s="5" t="s">
        <v>75</v>
      </c>
      <c r="F1220" s="5" t="s">
        <v>9783</v>
      </c>
      <c r="G1220" s="146" t="s">
        <v>1146</v>
      </c>
      <c r="H1220" s="7" t="s">
        <v>10388</v>
      </c>
      <c r="J1220" s="5" t="s">
        <v>10431</v>
      </c>
      <c r="K1220" s="115" t="s">
        <v>10430</v>
      </c>
      <c r="M1220" s="12"/>
      <c r="N1220" s="89">
        <v>65419.1</v>
      </c>
      <c r="O1220" s="4" t="s">
        <v>15</v>
      </c>
      <c r="Q1220" s="45">
        <f t="shared" si="123"/>
        <v>65419.1</v>
      </c>
      <c r="R1220" s="3">
        <f t="shared" si="122"/>
        <v>0</v>
      </c>
    </row>
    <row r="1221" spans="2:19" hidden="1" x14ac:dyDescent="0.25">
      <c r="C1221" s="4" t="s">
        <v>8972</v>
      </c>
      <c r="E1221" s="5" t="s">
        <v>75</v>
      </c>
      <c r="F1221" s="5" t="s">
        <v>9783</v>
      </c>
      <c r="G1221" s="146" t="s">
        <v>1146</v>
      </c>
      <c r="H1221" s="7" t="s">
        <v>10388</v>
      </c>
      <c r="J1221" s="5" t="s">
        <v>10432</v>
      </c>
      <c r="K1221" s="115" t="s">
        <v>10433</v>
      </c>
      <c r="M1221" s="12"/>
      <c r="N1221" s="89">
        <v>130838.2</v>
      </c>
      <c r="O1221" s="4" t="s">
        <v>15</v>
      </c>
      <c r="Q1221" s="45">
        <f t="shared" si="123"/>
        <v>130838.2</v>
      </c>
      <c r="R1221" s="3">
        <f t="shared" si="122"/>
        <v>0</v>
      </c>
    </row>
    <row r="1222" spans="2:19" hidden="1" x14ac:dyDescent="0.25">
      <c r="C1222" s="4" t="s">
        <v>8972</v>
      </c>
      <c r="E1222" s="5" t="s">
        <v>75</v>
      </c>
      <c r="F1222" s="5" t="s">
        <v>9783</v>
      </c>
      <c r="G1222" s="146" t="s">
        <v>1146</v>
      </c>
      <c r="H1222" s="7" t="s">
        <v>10388</v>
      </c>
      <c r="J1222" s="5" t="s">
        <v>10434</v>
      </c>
      <c r="K1222" s="115" t="s">
        <v>10435</v>
      </c>
      <c r="M1222" s="12"/>
      <c r="N1222" s="89">
        <v>52801.95</v>
      </c>
      <c r="O1222" s="4" t="s">
        <v>15</v>
      </c>
      <c r="Q1222" s="45">
        <f t="shared" si="123"/>
        <v>52801.95</v>
      </c>
      <c r="R1222" s="3">
        <f t="shared" si="122"/>
        <v>0</v>
      </c>
    </row>
    <row r="1223" spans="2:19" hidden="1" x14ac:dyDescent="0.25">
      <c r="B1223" s="62" t="s">
        <v>395</v>
      </c>
      <c r="C1223" s="61" t="s">
        <v>8972</v>
      </c>
      <c r="D1223" s="61"/>
      <c r="E1223" s="62" t="s">
        <v>75</v>
      </c>
      <c r="F1223" s="62" t="s">
        <v>9783</v>
      </c>
      <c r="G1223" s="159" t="s">
        <v>1146</v>
      </c>
      <c r="H1223" s="63" t="s">
        <v>10388</v>
      </c>
      <c r="I1223" s="63"/>
      <c r="J1223" s="62" t="s">
        <v>10436</v>
      </c>
      <c r="K1223" s="477" t="s">
        <v>9710</v>
      </c>
      <c r="L1223" s="62" t="s">
        <v>10446</v>
      </c>
      <c r="M1223" s="211" t="s">
        <v>10447</v>
      </c>
      <c r="N1223" s="101">
        <f>224380.12</f>
        <v>224380.12</v>
      </c>
      <c r="O1223" s="61" t="s">
        <v>15</v>
      </c>
      <c r="P1223" s="101">
        <f>65270.99+92440.22+47435.63+35789.17+34565.05+44199.25+39719.81</f>
        <v>359420.12</v>
      </c>
      <c r="Q1223" s="101">
        <f t="shared" si="123"/>
        <v>0</v>
      </c>
      <c r="R1223" s="186">
        <f t="shared" si="122"/>
        <v>359420.12</v>
      </c>
      <c r="S1223" s="5" t="s">
        <v>10445</v>
      </c>
    </row>
    <row r="1224" spans="2:19" hidden="1" x14ac:dyDescent="0.25">
      <c r="C1224" s="4" t="s">
        <v>8972</v>
      </c>
      <c r="E1224" s="5" t="s">
        <v>75</v>
      </c>
      <c r="F1224" s="5" t="s">
        <v>9783</v>
      </c>
      <c r="G1224" s="146" t="s">
        <v>1146</v>
      </c>
      <c r="H1224" s="7" t="s">
        <v>10388</v>
      </c>
      <c r="J1224" s="170" t="s">
        <v>10442</v>
      </c>
      <c r="K1224" s="115"/>
      <c r="L1224" s="5" t="s">
        <v>14114</v>
      </c>
      <c r="M1224" s="12" t="s">
        <v>14115</v>
      </c>
      <c r="N1224" s="45">
        <v>5114916.3</v>
      </c>
      <c r="O1224" s="4" t="s">
        <v>15</v>
      </c>
      <c r="P1224" s="45">
        <f>92583.6+89948.42+90649.65+59900.67+65645.93+141970.38+121975.72+104398.04+82370.93+86055.68+71694.45+95308.25+70661.11+75525.15+69968.33+146082.76+79361.05</f>
        <v>1544100.12</v>
      </c>
      <c r="Q1224" s="45">
        <f t="shared" si="123"/>
        <v>3570816.1799999997</v>
      </c>
      <c r="R1224" s="3">
        <f t="shared" si="122"/>
        <v>1544100.12</v>
      </c>
    </row>
    <row r="1225" spans="2:19" hidden="1" x14ac:dyDescent="0.25">
      <c r="C1225" s="4" t="s">
        <v>8972</v>
      </c>
      <c r="E1225" s="5" t="s">
        <v>75</v>
      </c>
      <c r="F1225" s="5" t="s">
        <v>9783</v>
      </c>
      <c r="G1225" s="146" t="s">
        <v>1146</v>
      </c>
      <c r="H1225" s="7" t="s">
        <v>10388</v>
      </c>
      <c r="J1225" s="5" t="s">
        <v>10437</v>
      </c>
      <c r="K1225" s="115"/>
      <c r="M1225" s="12"/>
      <c r="N1225" s="100">
        <v>-373966.9</v>
      </c>
      <c r="O1225" s="4" t="s">
        <v>15</v>
      </c>
      <c r="Q1225" s="45">
        <v>-373966.9</v>
      </c>
      <c r="R1225" s="3">
        <f t="shared" si="122"/>
        <v>0</v>
      </c>
    </row>
    <row r="1226" spans="2:19" hidden="1" x14ac:dyDescent="0.25">
      <c r="C1226" s="4" t="s">
        <v>8972</v>
      </c>
      <c r="E1226" s="5" t="s">
        <v>75</v>
      </c>
      <c r="F1226" s="5" t="s">
        <v>9783</v>
      </c>
      <c r="G1226" s="146" t="s">
        <v>1146</v>
      </c>
      <c r="H1226" s="7" t="s">
        <v>10388</v>
      </c>
      <c r="J1226" s="170" t="s">
        <v>10438</v>
      </c>
      <c r="K1226" s="115"/>
      <c r="L1226" s="5" t="s">
        <v>14116</v>
      </c>
      <c r="M1226" s="12" t="s">
        <v>14117</v>
      </c>
      <c r="N1226" s="45">
        <v>6003083</v>
      </c>
      <c r="O1226" s="4" t="s">
        <v>15</v>
      </c>
      <c r="P1226" s="45">
        <f>6917.99+47053.12+43252.54+50269.69+87557.6+67185.79+76719.41+68259.73+80836.77+137258.3+94228.17+104187.45+83718.21+109199.02+98203.51+144072.97+155310.46+207711.92</f>
        <v>1661942.6499999997</v>
      </c>
      <c r="Q1226" s="45">
        <f>IF(P1226="en cours",N1226,IF(P1226="OK",0,IF(N1226-P1226&lt;0,0,N1226-P1226)))</f>
        <v>4341140.3500000006</v>
      </c>
      <c r="R1226" s="3">
        <f t="shared" si="122"/>
        <v>1661942.6499999997</v>
      </c>
    </row>
    <row r="1227" spans="2:19" hidden="1" x14ac:dyDescent="0.25">
      <c r="B1227" s="21" t="s">
        <v>395</v>
      </c>
      <c r="C1227" s="22" t="s">
        <v>8972</v>
      </c>
      <c r="D1227" s="22"/>
      <c r="E1227" s="21" t="s">
        <v>75</v>
      </c>
      <c r="F1227" s="21" t="s">
        <v>9783</v>
      </c>
      <c r="G1227" s="147" t="s">
        <v>1146</v>
      </c>
      <c r="H1227" s="23" t="s">
        <v>10388</v>
      </c>
      <c r="I1227" s="23"/>
      <c r="J1227" s="21" t="s">
        <v>10439</v>
      </c>
      <c r="K1227" s="47"/>
      <c r="L1227" s="21" t="s">
        <v>10441</v>
      </c>
      <c r="M1227" s="26">
        <v>45530</v>
      </c>
      <c r="N1227" s="44">
        <v>70000</v>
      </c>
      <c r="O1227" s="22" t="s">
        <v>15</v>
      </c>
      <c r="P1227" s="44">
        <v>70000</v>
      </c>
      <c r="Q1227" s="44">
        <f>IF(P1227="en cours",N1227,IF(P1227="OK",0,IF(N1227-P1227&lt;0,0,N1227-P1227)))</f>
        <v>0</v>
      </c>
      <c r="R1227" s="3">
        <f t="shared" si="122"/>
        <v>70000</v>
      </c>
    </row>
    <row r="1228" spans="2:19" hidden="1" x14ac:dyDescent="0.25">
      <c r="C1228" s="4" t="s">
        <v>8972</v>
      </c>
      <c r="E1228" s="5" t="s">
        <v>75</v>
      </c>
      <c r="F1228" s="5" t="s">
        <v>9783</v>
      </c>
      <c r="G1228" s="146" t="s">
        <v>1146</v>
      </c>
      <c r="H1228" s="7" t="s">
        <v>10388</v>
      </c>
      <c r="J1228" s="5" t="s">
        <v>10440</v>
      </c>
      <c r="K1228" s="115"/>
      <c r="M1228" s="12"/>
      <c r="N1228" s="45">
        <v>-70000</v>
      </c>
      <c r="O1228" s="4" t="s">
        <v>15</v>
      </c>
      <c r="Q1228" s="45">
        <v>-70000</v>
      </c>
      <c r="R1228" s="3">
        <f t="shared" si="122"/>
        <v>0</v>
      </c>
    </row>
    <row r="1229" spans="2:19" hidden="1" x14ac:dyDescent="0.25">
      <c r="C1229" s="4" t="s">
        <v>6047</v>
      </c>
      <c r="E1229" s="5" t="s">
        <v>3559</v>
      </c>
      <c r="G1229" s="146" t="s">
        <v>6368</v>
      </c>
      <c r="H1229" s="7" t="s">
        <v>6046</v>
      </c>
      <c r="J1229" s="5" t="s">
        <v>6048</v>
      </c>
      <c r="L1229" s="5" t="s">
        <v>6369</v>
      </c>
      <c r="M1229" s="12">
        <v>44580</v>
      </c>
      <c r="N1229" s="45">
        <v>27500</v>
      </c>
      <c r="O1229" s="4" t="s">
        <v>15</v>
      </c>
      <c r="P1229" s="45">
        <v>25000</v>
      </c>
      <c r="Q1229" s="45">
        <f t="shared" ref="Q1229:Q1261" si="126">IF(P1229="en cours",N1229,IF(P1229="OK",0,IF(N1229-P1229&lt;0,0,N1229-P1229)))</f>
        <v>2500</v>
      </c>
      <c r="R1229" s="3">
        <f t="shared" si="122"/>
        <v>25000</v>
      </c>
    </row>
    <row r="1230" spans="2:19" hidden="1" x14ac:dyDescent="0.25">
      <c r="C1230" s="4" t="s">
        <v>6047</v>
      </c>
      <c r="E1230" s="5" t="s">
        <v>3559</v>
      </c>
      <c r="G1230" s="146" t="s">
        <v>6368</v>
      </c>
      <c r="H1230" s="7" t="s">
        <v>6046</v>
      </c>
      <c r="J1230" s="5" t="s">
        <v>6049</v>
      </c>
      <c r="N1230" s="45">
        <v>16500</v>
      </c>
      <c r="O1230" s="4" t="s">
        <v>15</v>
      </c>
      <c r="Q1230" s="45">
        <f t="shared" si="126"/>
        <v>16500</v>
      </c>
      <c r="R1230" s="3">
        <f t="shared" si="122"/>
        <v>0</v>
      </c>
    </row>
    <row r="1231" spans="2:19" hidden="1" x14ac:dyDescent="0.25">
      <c r="C1231" s="4" t="s">
        <v>6047</v>
      </c>
      <c r="E1231" s="5" t="s">
        <v>3559</v>
      </c>
      <c r="G1231" s="146" t="s">
        <v>6368</v>
      </c>
      <c r="H1231" s="7" t="s">
        <v>6046</v>
      </c>
      <c r="J1231" s="5" t="s">
        <v>6050</v>
      </c>
      <c r="N1231" s="45">
        <v>11000</v>
      </c>
      <c r="O1231" s="4" t="s">
        <v>15</v>
      </c>
      <c r="Q1231" s="45">
        <f t="shared" si="126"/>
        <v>11000</v>
      </c>
      <c r="R1231" s="3">
        <f t="shared" si="122"/>
        <v>0</v>
      </c>
    </row>
    <row r="1232" spans="2:19" hidden="1" x14ac:dyDescent="0.25">
      <c r="B1232" s="21" t="s">
        <v>395</v>
      </c>
      <c r="C1232" s="22" t="s">
        <v>6047</v>
      </c>
      <c r="D1232" s="22"/>
      <c r="E1232" s="21" t="s">
        <v>3559</v>
      </c>
      <c r="F1232" s="21" t="s">
        <v>10696</v>
      </c>
      <c r="G1232" s="147" t="s">
        <v>6368</v>
      </c>
      <c r="H1232" s="23" t="s">
        <v>6046</v>
      </c>
      <c r="I1232" s="23"/>
      <c r="J1232" s="21" t="s">
        <v>6051</v>
      </c>
      <c r="K1232" s="21"/>
      <c r="L1232" s="21" t="s">
        <v>6369</v>
      </c>
      <c r="M1232" s="26">
        <v>44580</v>
      </c>
      <c r="N1232" s="44">
        <v>5000</v>
      </c>
      <c r="O1232" s="22" t="s">
        <v>15</v>
      </c>
      <c r="P1232" s="44">
        <v>5000</v>
      </c>
      <c r="Q1232" s="44">
        <f t="shared" si="126"/>
        <v>0</v>
      </c>
      <c r="R1232" s="24">
        <f t="shared" si="122"/>
        <v>5000</v>
      </c>
    </row>
    <row r="1233" spans="2:19" hidden="1" x14ac:dyDescent="0.25">
      <c r="C1233" s="4" t="s">
        <v>2450</v>
      </c>
      <c r="E1233" s="5" t="s">
        <v>9313</v>
      </c>
      <c r="F1233" s="5" t="s">
        <v>10696</v>
      </c>
      <c r="G1233" s="146" t="s">
        <v>6368</v>
      </c>
      <c r="H1233" s="7" t="s">
        <v>12257</v>
      </c>
      <c r="I1233" s="58" t="s">
        <v>12259</v>
      </c>
      <c r="J1233" s="5" t="s">
        <v>12258</v>
      </c>
      <c r="L1233" s="5" t="s">
        <v>14370</v>
      </c>
      <c r="M1233" s="12" t="s">
        <v>14371</v>
      </c>
      <c r="N1233" s="45">
        <f>(349888.83+22017.88)+860540.51</f>
        <v>1232447.22</v>
      </c>
      <c r="O1233" s="4" t="s">
        <v>15</v>
      </c>
      <c r="P1233" s="45">
        <f>66178.48+52483.26+19142.11+14043.22+1160.02-1081.51+15942.86+580.01+17437.74+17442.75+1160.02+10250.25+1160.02+5190.15+580.01+580.01+15559.24+580.01+15555.9+16166.16+580.01+580.01+179836.55+78229.52+2219.24+17084.2+573.71+19476.58+573.71+76368.86+17080.38+573.71+573.71+573.71+37905.2+17080.38+573.71+22183.09+21338.61+575.71+573.71+38270.7+573.71</f>
        <v>803509.42999999935</v>
      </c>
      <c r="Q1233" s="3">
        <f t="shared" si="126"/>
        <v>428937.79000000062</v>
      </c>
      <c r="R1233" s="3">
        <f t="shared" si="122"/>
        <v>803509.42999999935</v>
      </c>
      <c r="S1233" s="5" t="s">
        <v>12143</v>
      </c>
    </row>
    <row r="1234" spans="2:19" hidden="1" x14ac:dyDescent="0.25">
      <c r="B1234" s="21" t="s">
        <v>395</v>
      </c>
      <c r="C1234" s="22" t="s">
        <v>2450</v>
      </c>
      <c r="D1234" s="22"/>
      <c r="E1234" s="21" t="s">
        <v>9313</v>
      </c>
      <c r="F1234" s="21" t="s">
        <v>10696</v>
      </c>
      <c r="G1234" s="147" t="s">
        <v>6368</v>
      </c>
      <c r="H1234" s="23" t="s">
        <v>10373</v>
      </c>
      <c r="I1234" s="23"/>
      <c r="J1234" s="21" t="s">
        <v>11006</v>
      </c>
      <c r="K1234" s="21"/>
      <c r="L1234" s="21" t="s">
        <v>8881</v>
      </c>
      <c r="M1234" s="26" t="s">
        <v>10516</v>
      </c>
      <c r="N1234" s="44">
        <v>124853.07</v>
      </c>
      <c r="O1234" s="22" t="s">
        <v>276</v>
      </c>
      <c r="P1234" s="44">
        <f>62426.53+62426.54</f>
        <v>124853.07</v>
      </c>
      <c r="Q1234" s="44">
        <f t="shared" si="126"/>
        <v>0</v>
      </c>
      <c r="R1234" s="24">
        <f t="shared" si="122"/>
        <v>124853.07</v>
      </c>
    </row>
    <row r="1235" spans="2:19" hidden="1" x14ac:dyDescent="0.25">
      <c r="B1235" s="21" t="s">
        <v>395</v>
      </c>
      <c r="C1235" s="22" t="s">
        <v>2450</v>
      </c>
      <c r="D1235" s="22"/>
      <c r="E1235" s="21" t="s">
        <v>9313</v>
      </c>
      <c r="F1235" s="21" t="s">
        <v>10696</v>
      </c>
      <c r="G1235" s="147" t="s">
        <v>6368</v>
      </c>
      <c r="H1235" s="23" t="s">
        <v>11005</v>
      </c>
      <c r="I1235" s="23"/>
      <c r="J1235" s="21" t="s">
        <v>11007</v>
      </c>
      <c r="K1235" s="21"/>
      <c r="L1235" s="21" t="s">
        <v>11011</v>
      </c>
      <c r="M1235" s="26">
        <v>45643</v>
      </c>
      <c r="N1235" s="44">
        <v>21473.39</v>
      </c>
      <c r="O1235" s="22" t="s">
        <v>276</v>
      </c>
      <c r="P1235" s="44">
        <v>21473.39</v>
      </c>
      <c r="Q1235" s="44">
        <f t="shared" si="126"/>
        <v>0</v>
      </c>
      <c r="R1235" s="24">
        <f t="shared" si="122"/>
        <v>21473.39</v>
      </c>
    </row>
    <row r="1236" spans="2:19" hidden="1" x14ac:dyDescent="0.25">
      <c r="B1236" s="21" t="s">
        <v>395</v>
      </c>
      <c r="C1236" s="22" t="s">
        <v>2450</v>
      </c>
      <c r="D1236" s="22"/>
      <c r="E1236" s="21" t="s">
        <v>9313</v>
      </c>
      <c r="F1236" s="21" t="s">
        <v>10696</v>
      </c>
      <c r="G1236" s="147" t="s">
        <v>6368</v>
      </c>
      <c r="H1236" s="23" t="s">
        <v>11005</v>
      </c>
      <c r="I1236" s="23"/>
      <c r="J1236" s="21" t="s">
        <v>11008</v>
      </c>
      <c r="K1236" s="21"/>
      <c r="L1236" s="21" t="s">
        <v>11094</v>
      </c>
      <c r="M1236" s="26">
        <v>45665</v>
      </c>
      <c r="N1236" s="44">
        <v>5600.81</v>
      </c>
      <c r="O1236" s="22" t="s">
        <v>276</v>
      </c>
      <c r="P1236" s="44">
        <v>5600.81</v>
      </c>
      <c r="Q1236" s="44">
        <f t="shared" si="126"/>
        <v>0</v>
      </c>
      <c r="R1236" s="24">
        <f t="shared" si="122"/>
        <v>5600.81</v>
      </c>
    </row>
    <row r="1237" spans="2:19" hidden="1" x14ac:dyDescent="0.25">
      <c r="C1237" s="4" t="s">
        <v>2450</v>
      </c>
      <c r="E1237" s="5" t="s">
        <v>9313</v>
      </c>
      <c r="F1237" s="5" t="s">
        <v>10696</v>
      </c>
      <c r="G1237" s="146" t="s">
        <v>6368</v>
      </c>
      <c r="H1237" s="7" t="s">
        <v>11005</v>
      </c>
      <c r="J1237" s="5" t="s">
        <v>11009</v>
      </c>
      <c r="L1237" s="5" t="s">
        <v>14367</v>
      </c>
      <c r="M1237" s="12" t="s">
        <v>14113</v>
      </c>
      <c r="N1237" s="45">
        <f>975509.71-146326.46</f>
        <v>829183.25</v>
      </c>
      <c r="O1237" s="4" t="s">
        <v>276</v>
      </c>
      <c r="P1237" s="45">
        <f>200267.62+65711.72+35143.8+21160.56+21542.15+24003.95+18782.87+10333.8+10150.51+10567.46+18823.42+18210.07+9038.56</f>
        <v>463736.49</v>
      </c>
      <c r="Q1237" s="45">
        <f t="shared" si="126"/>
        <v>365446.76</v>
      </c>
      <c r="R1237" s="3">
        <f t="shared" si="122"/>
        <v>463736.49</v>
      </c>
    </row>
    <row r="1238" spans="2:19" hidden="1" x14ac:dyDescent="0.25">
      <c r="C1238" s="4" t="s">
        <v>2450</v>
      </c>
      <c r="E1238" s="5" t="s">
        <v>9313</v>
      </c>
      <c r="F1238" s="5" t="s">
        <v>10696</v>
      </c>
      <c r="G1238" s="146" t="s">
        <v>6368</v>
      </c>
      <c r="H1238" s="7" t="s">
        <v>11005</v>
      </c>
      <c r="J1238" s="5" t="s">
        <v>11010</v>
      </c>
      <c r="L1238" s="5" t="s">
        <v>14368</v>
      </c>
      <c r="M1238" s="12" t="s">
        <v>14369</v>
      </c>
      <c r="N1238" s="45">
        <f>(37338.75+59340)</f>
        <v>96678.75</v>
      </c>
      <c r="O1238" s="4" t="s">
        <v>276</v>
      </c>
      <c r="P1238" s="45">
        <f>664.96+41212+1015.74+23131.78+9796.73+2045.5+2172.49+1573.06+922.99+4445.77+1753.81+1687.62+17496.14+3252.11+5273.96</f>
        <v>116444.66</v>
      </c>
      <c r="Q1238" s="45">
        <f t="shared" ref="Q1238" si="127">IF(P1238="en cours",N1238,IF(P1238="OK",0,IF(N1238-P1238&lt;0,0,N1238-P1238)))</f>
        <v>0</v>
      </c>
      <c r="R1238" s="3">
        <f t="shared" ref="R1238" si="128">IF(P1238="OK",N1238-Q1238,IF(P1238="en cours",N1238-Q1238,P1238))</f>
        <v>116444.66</v>
      </c>
    </row>
    <row r="1239" spans="2:19" hidden="1" x14ac:dyDescent="0.25">
      <c r="B1239" s="21"/>
      <c r="C1239" s="22" t="s">
        <v>2450</v>
      </c>
      <c r="D1239" s="22"/>
      <c r="E1239" s="21" t="s">
        <v>9313</v>
      </c>
      <c r="F1239" s="21" t="s">
        <v>10696</v>
      </c>
      <c r="G1239" s="147" t="s">
        <v>6368</v>
      </c>
      <c r="H1239" s="23" t="s">
        <v>11005</v>
      </c>
      <c r="I1239" s="23"/>
      <c r="J1239" s="21" t="s">
        <v>13392</v>
      </c>
      <c r="K1239" s="21"/>
      <c r="L1239" s="21" t="s">
        <v>13391</v>
      </c>
      <c r="M1239" s="26">
        <v>45665</v>
      </c>
      <c r="N1239" s="44">
        <v>-5600.81</v>
      </c>
      <c r="O1239" s="22" t="s">
        <v>276</v>
      </c>
      <c r="P1239" s="44"/>
      <c r="Q1239" s="44">
        <f t="shared" si="126"/>
        <v>0</v>
      </c>
      <c r="R1239" s="24">
        <f t="shared" si="122"/>
        <v>0</v>
      </c>
    </row>
    <row r="1240" spans="2:19" hidden="1" x14ac:dyDescent="0.25">
      <c r="C1240" s="4" t="s">
        <v>5792</v>
      </c>
      <c r="E1240" s="5" t="s">
        <v>0</v>
      </c>
      <c r="G1240" s="146" t="s">
        <v>7208</v>
      </c>
      <c r="H1240" s="7" t="s">
        <v>7210</v>
      </c>
      <c r="I1240" s="7" t="s">
        <v>8199</v>
      </c>
      <c r="J1240" s="5" t="s">
        <v>7209</v>
      </c>
      <c r="L1240" s="5" t="s">
        <v>7624</v>
      </c>
      <c r="M1240" s="12">
        <v>44974</v>
      </c>
      <c r="N1240" s="45">
        <v>25900</v>
      </c>
      <c r="O1240" s="4" t="s">
        <v>276</v>
      </c>
      <c r="P1240" s="45">
        <f>10900</f>
        <v>10900</v>
      </c>
      <c r="Q1240" s="45">
        <f t="shared" si="126"/>
        <v>15000</v>
      </c>
      <c r="R1240" s="3">
        <f t="shared" ref="R1240:R1294" si="129">IF(P1240="OK",N1240-Q1240,IF(P1240="en cours",N1240-Q1240,P1240))</f>
        <v>10900</v>
      </c>
    </row>
    <row r="1241" spans="2:19" hidden="1" x14ac:dyDescent="0.25">
      <c r="B1241" s="21" t="s">
        <v>395</v>
      </c>
      <c r="C1241" s="22" t="s">
        <v>5792</v>
      </c>
      <c r="D1241" s="22"/>
      <c r="E1241" s="331" t="s">
        <v>0</v>
      </c>
      <c r="F1241" s="331"/>
      <c r="G1241" s="147" t="s">
        <v>7208</v>
      </c>
      <c r="H1241" s="23" t="s">
        <v>6915</v>
      </c>
      <c r="I1241" s="23" t="s">
        <v>8179</v>
      </c>
      <c r="J1241" s="21" t="s">
        <v>6917</v>
      </c>
      <c r="K1241" s="21"/>
      <c r="L1241" s="21" t="s">
        <v>7135</v>
      </c>
      <c r="M1241" s="26">
        <v>44834</v>
      </c>
      <c r="N1241" s="44">
        <v>124875</v>
      </c>
      <c r="O1241" s="22" t="s">
        <v>276</v>
      </c>
      <c r="P1241" s="44">
        <f>(62437.5+62437.5)</f>
        <v>124875</v>
      </c>
      <c r="Q1241" s="44">
        <f t="shared" si="126"/>
        <v>0</v>
      </c>
      <c r="R1241" s="24">
        <f t="shared" si="129"/>
        <v>124875</v>
      </c>
    </row>
    <row r="1242" spans="2:19" hidden="1" x14ac:dyDescent="0.25">
      <c r="B1242" s="21" t="s">
        <v>395</v>
      </c>
      <c r="C1242" s="22" t="s">
        <v>5792</v>
      </c>
      <c r="D1242" s="22"/>
      <c r="E1242" s="331" t="s">
        <v>0</v>
      </c>
      <c r="F1242" s="331"/>
      <c r="G1242" s="147" t="s">
        <v>7208</v>
      </c>
      <c r="H1242" s="23" t="s">
        <v>6915</v>
      </c>
      <c r="I1242" s="23" t="s">
        <v>8179</v>
      </c>
      <c r="J1242" s="21" t="s">
        <v>6916</v>
      </c>
      <c r="K1242" s="21"/>
      <c r="L1242" s="21" t="s">
        <v>7135</v>
      </c>
      <c r="M1242" s="26">
        <v>44834</v>
      </c>
      <c r="N1242" s="44">
        <f t="shared" ref="N1242:N1289" si="130">221054/48</f>
        <v>4605.291666666667</v>
      </c>
      <c r="O1242" s="22" t="s">
        <v>276</v>
      </c>
      <c r="P1242" s="44">
        <v>4605.3</v>
      </c>
      <c r="Q1242" s="44">
        <f t="shared" si="126"/>
        <v>0</v>
      </c>
      <c r="R1242" s="24">
        <f t="shared" si="129"/>
        <v>4605.3</v>
      </c>
    </row>
    <row r="1243" spans="2:19" hidden="1" x14ac:dyDescent="0.25">
      <c r="B1243" s="21" t="s">
        <v>395</v>
      </c>
      <c r="C1243" s="22" t="s">
        <v>5792</v>
      </c>
      <c r="D1243" s="22"/>
      <c r="E1243" s="331" t="s">
        <v>0</v>
      </c>
      <c r="F1243" s="331"/>
      <c r="G1243" s="147" t="s">
        <v>7208</v>
      </c>
      <c r="H1243" s="23" t="s">
        <v>6915</v>
      </c>
      <c r="I1243" s="23" t="s">
        <v>8179</v>
      </c>
      <c r="J1243" s="21" t="s">
        <v>6916</v>
      </c>
      <c r="K1243" s="377"/>
      <c r="L1243" s="21" t="s">
        <v>7347</v>
      </c>
      <c r="M1243" s="23" t="s">
        <v>7348</v>
      </c>
      <c r="N1243" s="44">
        <f t="shared" si="130"/>
        <v>4605.291666666667</v>
      </c>
      <c r="O1243" s="22" t="s">
        <v>276</v>
      </c>
      <c r="P1243" s="44">
        <v>4605.3</v>
      </c>
      <c r="Q1243" s="44">
        <f t="shared" si="126"/>
        <v>0</v>
      </c>
      <c r="R1243" s="24">
        <f t="shared" si="129"/>
        <v>4605.3</v>
      </c>
    </row>
    <row r="1244" spans="2:19" hidden="1" x14ac:dyDescent="0.25">
      <c r="B1244" s="21" t="s">
        <v>395</v>
      </c>
      <c r="C1244" s="22" t="s">
        <v>5792</v>
      </c>
      <c r="D1244" s="22"/>
      <c r="E1244" s="331" t="s">
        <v>0</v>
      </c>
      <c r="F1244" s="331"/>
      <c r="G1244" s="147" t="s">
        <v>7208</v>
      </c>
      <c r="H1244" s="23" t="s">
        <v>6915</v>
      </c>
      <c r="I1244" s="23" t="s">
        <v>8179</v>
      </c>
      <c r="J1244" s="21" t="s">
        <v>6916</v>
      </c>
      <c r="K1244" s="377"/>
      <c r="L1244" s="21" t="s">
        <v>7349</v>
      </c>
      <c r="M1244" s="23" t="s">
        <v>7350</v>
      </c>
      <c r="N1244" s="44">
        <f t="shared" si="130"/>
        <v>4605.291666666667</v>
      </c>
      <c r="O1244" s="22" t="s">
        <v>276</v>
      </c>
      <c r="P1244" s="44">
        <v>4605.3</v>
      </c>
      <c r="Q1244" s="44">
        <f t="shared" si="126"/>
        <v>0</v>
      </c>
      <c r="R1244" s="24">
        <f t="shared" si="129"/>
        <v>4605.3</v>
      </c>
    </row>
    <row r="1245" spans="2:19" hidden="1" x14ac:dyDescent="0.25">
      <c r="B1245" s="21" t="s">
        <v>395</v>
      </c>
      <c r="C1245" s="22" t="s">
        <v>5792</v>
      </c>
      <c r="D1245" s="22"/>
      <c r="E1245" s="331" t="s">
        <v>0</v>
      </c>
      <c r="F1245" s="331"/>
      <c r="G1245" s="147" t="s">
        <v>7208</v>
      </c>
      <c r="H1245" s="23" t="s">
        <v>6915</v>
      </c>
      <c r="I1245" s="23" t="s">
        <v>8179</v>
      </c>
      <c r="J1245" s="21" t="s">
        <v>6916</v>
      </c>
      <c r="K1245" s="377"/>
      <c r="L1245" s="21" t="s">
        <v>7343</v>
      </c>
      <c r="M1245" s="26">
        <v>44909</v>
      </c>
      <c r="N1245" s="44">
        <f t="shared" si="130"/>
        <v>4605.291666666667</v>
      </c>
      <c r="O1245" s="22" t="s">
        <v>276</v>
      </c>
      <c r="P1245" s="44">
        <v>4605.3</v>
      </c>
      <c r="Q1245" s="44">
        <f t="shared" si="126"/>
        <v>0</v>
      </c>
      <c r="R1245" s="24">
        <f t="shared" si="129"/>
        <v>4605.3</v>
      </c>
    </row>
    <row r="1246" spans="2:19" hidden="1" x14ac:dyDescent="0.25">
      <c r="B1246" s="21" t="s">
        <v>395</v>
      </c>
      <c r="C1246" s="22" t="s">
        <v>5792</v>
      </c>
      <c r="D1246" s="22"/>
      <c r="E1246" s="331" t="s">
        <v>0</v>
      </c>
      <c r="F1246" s="331"/>
      <c r="G1246" s="147" t="s">
        <v>7208</v>
      </c>
      <c r="H1246" s="23" t="s">
        <v>6915</v>
      </c>
      <c r="I1246" s="23" t="s">
        <v>8179</v>
      </c>
      <c r="J1246" s="21" t="s">
        <v>6916</v>
      </c>
      <c r="K1246" s="377"/>
      <c r="L1246" s="21" t="s">
        <v>7497</v>
      </c>
      <c r="M1246" s="26">
        <v>44949</v>
      </c>
      <c r="N1246" s="44">
        <f t="shared" si="130"/>
        <v>4605.291666666667</v>
      </c>
      <c r="O1246" s="22" t="s">
        <v>276</v>
      </c>
      <c r="P1246" s="44">
        <f>4605.3</f>
        <v>4605.3</v>
      </c>
      <c r="Q1246" s="44">
        <f t="shared" si="126"/>
        <v>0</v>
      </c>
      <c r="R1246" s="24">
        <f t="shared" si="129"/>
        <v>4605.3</v>
      </c>
    </row>
    <row r="1247" spans="2:19" hidden="1" x14ac:dyDescent="0.25">
      <c r="B1247" s="21" t="s">
        <v>395</v>
      </c>
      <c r="C1247" s="22" t="s">
        <v>5792</v>
      </c>
      <c r="D1247" s="22"/>
      <c r="E1247" s="331" t="s">
        <v>0</v>
      </c>
      <c r="F1247" s="331"/>
      <c r="G1247" s="147" t="s">
        <v>7208</v>
      </c>
      <c r="H1247" s="23" t="s">
        <v>6915</v>
      </c>
      <c r="I1247" s="23" t="s">
        <v>8179</v>
      </c>
      <c r="J1247" s="21" t="s">
        <v>6916</v>
      </c>
      <c r="K1247" s="377"/>
      <c r="L1247" s="21" t="s">
        <v>7624</v>
      </c>
      <c r="M1247" s="26">
        <v>44974</v>
      </c>
      <c r="N1247" s="44">
        <f t="shared" si="130"/>
        <v>4605.291666666667</v>
      </c>
      <c r="O1247" s="22" t="s">
        <v>276</v>
      </c>
      <c r="P1247" s="44">
        <v>4605.3</v>
      </c>
      <c r="Q1247" s="44">
        <f t="shared" si="126"/>
        <v>0</v>
      </c>
      <c r="R1247" s="24">
        <f t="shared" si="129"/>
        <v>4605.3</v>
      </c>
    </row>
    <row r="1248" spans="2:19" hidden="1" x14ac:dyDescent="0.25">
      <c r="B1248" s="21" t="s">
        <v>395</v>
      </c>
      <c r="C1248" s="22" t="s">
        <v>5792</v>
      </c>
      <c r="D1248" s="22"/>
      <c r="E1248" s="331" t="s">
        <v>0</v>
      </c>
      <c r="F1248" s="331"/>
      <c r="G1248" s="147" t="s">
        <v>7208</v>
      </c>
      <c r="H1248" s="23" t="s">
        <v>6915</v>
      </c>
      <c r="I1248" s="23" t="s">
        <v>8179</v>
      </c>
      <c r="J1248" s="21" t="s">
        <v>6916</v>
      </c>
      <c r="K1248" s="377"/>
      <c r="L1248" s="21" t="s">
        <v>7677</v>
      </c>
      <c r="M1248" s="26">
        <v>45002</v>
      </c>
      <c r="N1248" s="44">
        <f t="shared" si="130"/>
        <v>4605.291666666667</v>
      </c>
      <c r="O1248" s="22" t="s">
        <v>276</v>
      </c>
      <c r="P1248" s="44">
        <v>4605.3</v>
      </c>
      <c r="Q1248" s="44">
        <f t="shared" si="126"/>
        <v>0</v>
      </c>
      <c r="R1248" s="24">
        <f t="shared" si="129"/>
        <v>4605.3</v>
      </c>
    </row>
    <row r="1249" spans="2:18" hidden="1" x14ac:dyDescent="0.25">
      <c r="B1249" s="21" t="s">
        <v>395</v>
      </c>
      <c r="C1249" s="22" t="s">
        <v>5792</v>
      </c>
      <c r="D1249" s="22"/>
      <c r="E1249" s="331" t="s">
        <v>0</v>
      </c>
      <c r="F1249" s="331"/>
      <c r="G1249" s="147" t="s">
        <v>7208</v>
      </c>
      <c r="H1249" s="23" t="s">
        <v>6915</v>
      </c>
      <c r="I1249" s="23" t="s">
        <v>8179</v>
      </c>
      <c r="J1249" s="21" t="s">
        <v>6916</v>
      </c>
      <c r="K1249" s="377"/>
      <c r="L1249" s="21" t="s">
        <v>7792</v>
      </c>
      <c r="M1249" s="26">
        <v>45034</v>
      </c>
      <c r="N1249" s="44">
        <f t="shared" si="130"/>
        <v>4605.291666666667</v>
      </c>
      <c r="O1249" s="22" t="s">
        <v>276</v>
      </c>
      <c r="P1249" s="44">
        <v>4605.3</v>
      </c>
      <c r="Q1249" s="44">
        <f t="shared" si="126"/>
        <v>0</v>
      </c>
      <c r="R1249" s="24">
        <f t="shared" si="129"/>
        <v>4605.3</v>
      </c>
    </row>
    <row r="1250" spans="2:18" hidden="1" x14ac:dyDescent="0.25">
      <c r="B1250" s="21" t="s">
        <v>395</v>
      </c>
      <c r="C1250" s="22" t="s">
        <v>5792</v>
      </c>
      <c r="D1250" s="22"/>
      <c r="E1250" s="331" t="s">
        <v>0</v>
      </c>
      <c r="F1250" s="331"/>
      <c r="G1250" s="147" t="s">
        <v>7208</v>
      </c>
      <c r="H1250" s="23" t="s">
        <v>6915</v>
      </c>
      <c r="I1250" s="23" t="s">
        <v>8179</v>
      </c>
      <c r="J1250" s="21" t="s">
        <v>6916</v>
      </c>
      <c r="K1250" s="377"/>
      <c r="L1250" s="21" t="s">
        <v>8504</v>
      </c>
      <c r="M1250" s="26">
        <v>45092</v>
      </c>
      <c r="N1250" s="44">
        <f t="shared" si="130"/>
        <v>4605.291666666667</v>
      </c>
      <c r="O1250" s="22" t="s">
        <v>276</v>
      </c>
      <c r="P1250" s="44">
        <v>4605.29</v>
      </c>
      <c r="Q1250" s="44">
        <f t="shared" si="126"/>
        <v>1.6666666670062114E-3</v>
      </c>
      <c r="R1250" s="24">
        <f t="shared" si="129"/>
        <v>4605.29</v>
      </c>
    </row>
    <row r="1251" spans="2:18" hidden="1" x14ac:dyDescent="0.25">
      <c r="B1251" s="21" t="s">
        <v>395</v>
      </c>
      <c r="C1251" s="22" t="s">
        <v>5792</v>
      </c>
      <c r="D1251" s="22"/>
      <c r="E1251" s="331" t="s">
        <v>0</v>
      </c>
      <c r="F1251" s="331"/>
      <c r="G1251" s="147" t="s">
        <v>7208</v>
      </c>
      <c r="H1251" s="23" t="s">
        <v>6915</v>
      </c>
      <c r="I1251" s="23" t="s">
        <v>8179</v>
      </c>
      <c r="J1251" s="21" t="s">
        <v>6916</v>
      </c>
      <c r="K1251" s="377"/>
      <c r="L1251" s="21" t="s">
        <v>8504</v>
      </c>
      <c r="M1251" s="26">
        <v>45092</v>
      </c>
      <c r="N1251" s="44">
        <f t="shared" si="130"/>
        <v>4605.291666666667</v>
      </c>
      <c r="O1251" s="22" t="s">
        <v>276</v>
      </c>
      <c r="P1251" s="44">
        <v>4605.29</v>
      </c>
      <c r="Q1251" s="44">
        <f t="shared" si="126"/>
        <v>1.6666666670062114E-3</v>
      </c>
      <c r="R1251" s="24">
        <f t="shared" si="129"/>
        <v>4605.29</v>
      </c>
    </row>
    <row r="1252" spans="2:18" hidden="1" x14ac:dyDescent="0.25">
      <c r="B1252" s="21" t="s">
        <v>395</v>
      </c>
      <c r="C1252" s="22" t="s">
        <v>5792</v>
      </c>
      <c r="D1252" s="22"/>
      <c r="E1252" s="331" t="s">
        <v>0</v>
      </c>
      <c r="F1252" s="331"/>
      <c r="G1252" s="147" t="s">
        <v>7208</v>
      </c>
      <c r="H1252" s="23" t="s">
        <v>6915</v>
      </c>
      <c r="I1252" s="23" t="s">
        <v>8179</v>
      </c>
      <c r="J1252" s="21" t="s">
        <v>6916</v>
      </c>
      <c r="K1252" s="377"/>
      <c r="L1252" s="21" t="s">
        <v>8619</v>
      </c>
      <c r="M1252" s="26">
        <v>45125</v>
      </c>
      <c r="N1252" s="44">
        <f t="shared" si="130"/>
        <v>4605.291666666667</v>
      </c>
      <c r="O1252" s="22" t="s">
        <v>276</v>
      </c>
      <c r="P1252" s="44">
        <f>4605.3</f>
        <v>4605.3</v>
      </c>
      <c r="Q1252" s="44">
        <f t="shared" si="126"/>
        <v>0</v>
      </c>
      <c r="R1252" s="24">
        <f t="shared" si="129"/>
        <v>4605.3</v>
      </c>
    </row>
    <row r="1253" spans="2:18" hidden="1" x14ac:dyDescent="0.25">
      <c r="B1253" s="21" t="s">
        <v>395</v>
      </c>
      <c r="C1253" s="22" t="s">
        <v>5792</v>
      </c>
      <c r="D1253" s="22"/>
      <c r="E1253" s="331" t="s">
        <v>0</v>
      </c>
      <c r="F1253" s="331"/>
      <c r="G1253" s="147" t="s">
        <v>7208</v>
      </c>
      <c r="H1253" s="23" t="s">
        <v>6915</v>
      </c>
      <c r="I1253" s="23" t="s">
        <v>8179</v>
      </c>
      <c r="J1253" s="21" t="s">
        <v>6916</v>
      </c>
      <c r="K1253" s="377"/>
      <c r="L1253" s="21" t="s">
        <v>8715</v>
      </c>
      <c r="M1253" s="26">
        <v>45152</v>
      </c>
      <c r="N1253" s="44">
        <f t="shared" si="130"/>
        <v>4605.291666666667</v>
      </c>
      <c r="O1253" s="22" t="s">
        <v>276</v>
      </c>
      <c r="P1253" s="44">
        <v>4605.3</v>
      </c>
      <c r="Q1253" s="44">
        <f t="shared" si="126"/>
        <v>0</v>
      </c>
      <c r="R1253" s="24">
        <f t="shared" si="129"/>
        <v>4605.3</v>
      </c>
    </row>
    <row r="1254" spans="2:18" hidden="1" x14ac:dyDescent="0.25">
      <c r="B1254" s="21" t="s">
        <v>395</v>
      </c>
      <c r="C1254" s="22" t="s">
        <v>5792</v>
      </c>
      <c r="D1254" s="22"/>
      <c r="E1254" s="331" t="s">
        <v>0</v>
      </c>
      <c r="F1254" s="331"/>
      <c r="G1254" s="147" t="s">
        <v>7208</v>
      </c>
      <c r="H1254" s="23" t="s">
        <v>6915</v>
      </c>
      <c r="I1254" s="23" t="s">
        <v>8179</v>
      </c>
      <c r="J1254" s="21" t="s">
        <v>6916</v>
      </c>
      <c r="K1254" s="377"/>
      <c r="L1254" s="21" t="s">
        <v>8891</v>
      </c>
      <c r="M1254" s="26">
        <v>45182</v>
      </c>
      <c r="N1254" s="44">
        <f t="shared" si="130"/>
        <v>4605.291666666667</v>
      </c>
      <c r="O1254" s="22" t="s">
        <v>276</v>
      </c>
      <c r="P1254" s="44">
        <v>4605.3</v>
      </c>
      <c r="Q1254" s="44">
        <f t="shared" si="126"/>
        <v>0</v>
      </c>
      <c r="R1254" s="24">
        <f t="shared" si="129"/>
        <v>4605.3</v>
      </c>
    </row>
    <row r="1255" spans="2:18" hidden="1" x14ac:dyDescent="0.25">
      <c r="B1255" s="21" t="s">
        <v>395</v>
      </c>
      <c r="C1255" s="22" t="s">
        <v>5792</v>
      </c>
      <c r="D1255" s="22"/>
      <c r="E1255" s="331" t="s">
        <v>0</v>
      </c>
      <c r="F1255" s="331"/>
      <c r="G1255" s="147" t="s">
        <v>7208</v>
      </c>
      <c r="H1255" s="23" t="s">
        <v>6915</v>
      </c>
      <c r="I1255" s="23" t="s">
        <v>8179</v>
      </c>
      <c r="J1255" s="21" t="s">
        <v>6916</v>
      </c>
      <c r="K1255" s="377"/>
      <c r="L1255" s="21" t="s">
        <v>8977</v>
      </c>
      <c r="M1255" s="26">
        <v>45211</v>
      </c>
      <c r="N1255" s="44">
        <f t="shared" si="130"/>
        <v>4605.291666666667</v>
      </c>
      <c r="O1255" s="22" t="s">
        <v>276</v>
      </c>
      <c r="P1255" s="44">
        <v>4605.3</v>
      </c>
      <c r="Q1255" s="44">
        <f t="shared" si="126"/>
        <v>0</v>
      </c>
      <c r="R1255" s="24">
        <f t="shared" si="129"/>
        <v>4605.3</v>
      </c>
    </row>
    <row r="1256" spans="2:18" hidden="1" x14ac:dyDescent="0.25">
      <c r="B1256" s="21" t="s">
        <v>395</v>
      </c>
      <c r="C1256" s="22" t="s">
        <v>5792</v>
      </c>
      <c r="D1256" s="22"/>
      <c r="E1256" s="331" t="s">
        <v>0</v>
      </c>
      <c r="F1256" s="331"/>
      <c r="G1256" s="147" t="s">
        <v>7208</v>
      </c>
      <c r="H1256" s="23" t="s">
        <v>6915</v>
      </c>
      <c r="I1256" s="23" t="s">
        <v>8179</v>
      </c>
      <c r="J1256" s="21" t="s">
        <v>6916</v>
      </c>
      <c r="K1256" s="377"/>
      <c r="L1256" s="21" t="s">
        <v>9166</v>
      </c>
      <c r="M1256" s="26">
        <v>45247</v>
      </c>
      <c r="N1256" s="44">
        <f t="shared" si="130"/>
        <v>4605.291666666667</v>
      </c>
      <c r="O1256" s="22" t="s">
        <v>276</v>
      </c>
      <c r="P1256" s="44">
        <v>4605.3</v>
      </c>
      <c r="Q1256" s="44">
        <f t="shared" si="126"/>
        <v>0</v>
      </c>
      <c r="R1256" s="24">
        <f t="shared" si="129"/>
        <v>4605.3</v>
      </c>
    </row>
    <row r="1257" spans="2:18" hidden="1" x14ac:dyDescent="0.25">
      <c r="B1257" s="21" t="s">
        <v>395</v>
      </c>
      <c r="C1257" s="22" t="s">
        <v>5792</v>
      </c>
      <c r="D1257" s="22"/>
      <c r="E1257" s="331" t="s">
        <v>0</v>
      </c>
      <c r="F1257" s="331"/>
      <c r="G1257" s="147" t="s">
        <v>7208</v>
      </c>
      <c r="H1257" s="23" t="s">
        <v>6915</v>
      </c>
      <c r="I1257" s="23" t="s">
        <v>8179</v>
      </c>
      <c r="J1257" s="21" t="s">
        <v>6916</v>
      </c>
      <c r="K1257" s="377"/>
      <c r="L1257" s="21" t="s">
        <v>9369</v>
      </c>
      <c r="M1257" s="26">
        <v>45292</v>
      </c>
      <c r="N1257" s="44">
        <f t="shared" si="130"/>
        <v>4605.291666666667</v>
      </c>
      <c r="O1257" s="22" t="s">
        <v>276</v>
      </c>
      <c r="P1257" s="44">
        <v>4605.3</v>
      </c>
      <c r="Q1257" s="44">
        <f t="shared" si="126"/>
        <v>0</v>
      </c>
      <c r="R1257" s="24">
        <f t="shared" si="129"/>
        <v>4605.3</v>
      </c>
    </row>
    <row r="1258" spans="2:18" hidden="1" x14ac:dyDescent="0.25">
      <c r="B1258" s="21" t="s">
        <v>395</v>
      </c>
      <c r="C1258" s="22" t="s">
        <v>5792</v>
      </c>
      <c r="D1258" s="22"/>
      <c r="E1258" s="331" t="s">
        <v>0</v>
      </c>
      <c r="F1258" s="331"/>
      <c r="G1258" s="147" t="s">
        <v>7208</v>
      </c>
      <c r="H1258" s="23" t="s">
        <v>6915</v>
      </c>
      <c r="I1258" s="23" t="s">
        <v>8179</v>
      </c>
      <c r="J1258" s="21" t="s">
        <v>6916</v>
      </c>
      <c r="K1258" s="377"/>
      <c r="L1258" s="21" t="s">
        <v>13264</v>
      </c>
      <c r="M1258" s="26">
        <v>45978</v>
      </c>
      <c r="N1258" s="44">
        <f t="shared" si="130"/>
        <v>4605.291666666667</v>
      </c>
      <c r="O1258" s="22" t="s">
        <v>276</v>
      </c>
      <c r="P1258" s="44">
        <v>4605.3</v>
      </c>
      <c r="Q1258" s="44">
        <f t="shared" si="126"/>
        <v>0</v>
      </c>
      <c r="R1258" s="24">
        <f t="shared" si="129"/>
        <v>4605.3</v>
      </c>
    </row>
    <row r="1259" spans="2:18" hidden="1" x14ac:dyDescent="0.25">
      <c r="B1259" s="21" t="s">
        <v>395</v>
      </c>
      <c r="C1259" s="22" t="s">
        <v>5792</v>
      </c>
      <c r="D1259" s="22"/>
      <c r="E1259" s="331" t="s">
        <v>0</v>
      </c>
      <c r="F1259" s="331"/>
      <c r="G1259" s="147" t="s">
        <v>7208</v>
      </c>
      <c r="H1259" s="23" t="s">
        <v>6915</v>
      </c>
      <c r="I1259" s="23" t="s">
        <v>8179</v>
      </c>
      <c r="J1259" s="21" t="s">
        <v>6916</v>
      </c>
      <c r="K1259" s="377"/>
      <c r="L1259" s="21" t="s">
        <v>13264</v>
      </c>
      <c r="M1259" s="26">
        <v>45978</v>
      </c>
      <c r="N1259" s="44">
        <f t="shared" si="130"/>
        <v>4605.291666666667</v>
      </c>
      <c r="O1259" s="22" t="s">
        <v>276</v>
      </c>
      <c r="P1259" s="44">
        <v>4605.3</v>
      </c>
      <c r="Q1259" s="44">
        <f t="shared" si="126"/>
        <v>0</v>
      </c>
      <c r="R1259" s="24">
        <f t="shared" si="129"/>
        <v>4605.3</v>
      </c>
    </row>
    <row r="1260" spans="2:18" hidden="1" x14ac:dyDescent="0.25">
      <c r="B1260" s="21" t="s">
        <v>395</v>
      </c>
      <c r="C1260" s="22" t="s">
        <v>5792</v>
      </c>
      <c r="D1260" s="22"/>
      <c r="E1260" s="331" t="s">
        <v>0</v>
      </c>
      <c r="F1260" s="331"/>
      <c r="G1260" s="147" t="s">
        <v>7208</v>
      </c>
      <c r="H1260" s="23" t="s">
        <v>6915</v>
      </c>
      <c r="I1260" s="23" t="s">
        <v>8179</v>
      </c>
      <c r="J1260" s="21" t="s">
        <v>6916</v>
      </c>
      <c r="K1260" s="377"/>
      <c r="L1260" s="21" t="s">
        <v>13264</v>
      </c>
      <c r="M1260" s="26">
        <v>45978</v>
      </c>
      <c r="N1260" s="44">
        <f t="shared" si="130"/>
        <v>4605.291666666667</v>
      </c>
      <c r="O1260" s="22" t="s">
        <v>276</v>
      </c>
      <c r="P1260" s="44">
        <v>4605.3</v>
      </c>
      <c r="Q1260" s="44">
        <f t="shared" si="126"/>
        <v>0</v>
      </c>
      <c r="R1260" s="24">
        <f t="shared" si="129"/>
        <v>4605.3</v>
      </c>
    </row>
    <row r="1261" spans="2:18" hidden="1" x14ac:dyDescent="0.25">
      <c r="B1261" s="21" t="s">
        <v>395</v>
      </c>
      <c r="C1261" s="22" t="s">
        <v>5792</v>
      </c>
      <c r="D1261" s="22"/>
      <c r="E1261" s="331" t="s">
        <v>0</v>
      </c>
      <c r="F1261" s="331"/>
      <c r="G1261" s="147" t="s">
        <v>7208</v>
      </c>
      <c r="H1261" s="23" t="s">
        <v>6915</v>
      </c>
      <c r="I1261" s="23" t="s">
        <v>8179</v>
      </c>
      <c r="J1261" s="21" t="s">
        <v>6916</v>
      </c>
      <c r="K1261" s="377"/>
      <c r="L1261" s="21" t="s">
        <v>13264</v>
      </c>
      <c r="M1261" s="26">
        <v>45978</v>
      </c>
      <c r="N1261" s="44">
        <f t="shared" si="130"/>
        <v>4605.291666666667</v>
      </c>
      <c r="O1261" s="22" t="s">
        <v>276</v>
      </c>
      <c r="P1261" s="44">
        <v>4605.3</v>
      </c>
      <c r="Q1261" s="44">
        <f t="shared" si="126"/>
        <v>0</v>
      </c>
      <c r="R1261" s="24">
        <f t="shared" si="129"/>
        <v>4605.3</v>
      </c>
    </row>
    <row r="1262" spans="2:18" hidden="1" x14ac:dyDescent="0.25">
      <c r="B1262" s="21" t="s">
        <v>395</v>
      </c>
      <c r="C1262" s="22" t="s">
        <v>5792</v>
      </c>
      <c r="D1262" s="22"/>
      <c r="E1262" s="331" t="s">
        <v>0</v>
      </c>
      <c r="F1262" s="331"/>
      <c r="G1262" s="147" t="s">
        <v>7208</v>
      </c>
      <c r="H1262" s="23" t="s">
        <v>6915</v>
      </c>
      <c r="I1262" s="23" t="s">
        <v>8179</v>
      </c>
      <c r="J1262" s="21" t="s">
        <v>6916</v>
      </c>
      <c r="K1262" s="377"/>
      <c r="L1262" s="21" t="s">
        <v>13264</v>
      </c>
      <c r="M1262" s="26">
        <v>45978</v>
      </c>
      <c r="N1262" s="44">
        <f t="shared" si="130"/>
        <v>4605.291666666667</v>
      </c>
      <c r="O1262" s="22" t="s">
        <v>276</v>
      </c>
      <c r="P1262" s="44">
        <v>4605.3</v>
      </c>
      <c r="Q1262" s="44">
        <f t="shared" ref="Q1262:Q1290" si="131">IF(P1262="en cours",N1262,IF(P1262="OK",0,IF(N1262-P1262&lt;0,0,N1262-P1262)))</f>
        <v>0</v>
      </c>
      <c r="R1262" s="24">
        <f t="shared" si="129"/>
        <v>4605.3</v>
      </c>
    </row>
    <row r="1263" spans="2:18" hidden="1" x14ac:dyDescent="0.25">
      <c r="B1263" s="21" t="s">
        <v>395</v>
      </c>
      <c r="C1263" s="22" t="s">
        <v>5792</v>
      </c>
      <c r="D1263" s="22"/>
      <c r="E1263" s="331" t="s">
        <v>0</v>
      </c>
      <c r="F1263" s="331"/>
      <c r="G1263" s="147" t="s">
        <v>7208</v>
      </c>
      <c r="H1263" s="23" t="s">
        <v>6915</v>
      </c>
      <c r="I1263" s="23" t="s">
        <v>8179</v>
      </c>
      <c r="J1263" s="21" t="s">
        <v>6916</v>
      </c>
      <c r="K1263" s="377"/>
      <c r="L1263" s="21" t="s">
        <v>13264</v>
      </c>
      <c r="M1263" s="26">
        <v>45978</v>
      </c>
      <c r="N1263" s="44">
        <f t="shared" si="130"/>
        <v>4605.291666666667</v>
      </c>
      <c r="O1263" s="22" t="s">
        <v>276</v>
      </c>
      <c r="P1263" s="44">
        <v>4605.3</v>
      </c>
      <c r="Q1263" s="44">
        <f t="shared" si="131"/>
        <v>0</v>
      </c>
      <c r="R1263" s="24">
        <f t="shared" si="129"/>
        <v>4605.3</v>
      </c>
    </row>
    <row r="1264" spans="2:18" hidden="1" x14ac:dyDescent="0.25">
      <c r="B1264" s="21" t="s">
        <v>395</v>
      </c>
      <c r="C1264" s="22" t="s">
        <v>5792</v>
      </c>
      <c r="D1264" s="22"/>
      <c r="E1264" s="331" t="s">
        <v>0</v>
      </c>
      <c r="F1264" s="331"/>
      <c r="G1264" s="147" t="s">
        <v>7208</v>
      </c>
      <c r="H1264" s="23" t="s">
        <v>6915</v>
      </c>
      <c r="I1264" s="23" t="s">
        <v>8179</v>
      </c>
      <c r="J1264" s="21" t="s">
        <v>6916</v>
      </c>
      <c r="K1264" s="377"/>
      <c r="L1264" s="21" t="s">
        <v>13264</v>
      </c>
      <c r="M1264" s="26">
        <v>45978</v>
      </c>
      <c r="N1264" s="44">
        <f t="shared" si="130"/>
        <v>4605.291666666667</v>
      </c>
      <c r="O1264" s="22" t="s">
        <v>276</v>
      </c>
      <c r="P1264" s="44">
        <v>4605.3</v>
      </c>
      <c r="Q1264" s="44">
        <f t="shared" si="131"/>
        <v>0</v>
      </c>
      <c r="R1264" s="24">
        <f t="shared" si="129"/>
        <v>4605.3</v>
      </c>
    </row>
    <row r="1265" spans="2:18" hidden="1" x14ac:dyDescent="0.25">
      <c r="B1265" s="21" t="s">
        <v>395</v>
      </c>
      <c r="C1265" s="22" t="s">
        <v>5792</v>
      </c>
      <c r="D1265" s="22"/>
      <c r="E1265" s="331" t="s">
        <v>0</v>
      </c>
      <c r="F1265" s="331"/>
      <c r="G1265" s="147" t="s">
        <v>7208</v>
      </c>
      <c r="H1265" s="23" t="s">
        <v>6915</v>
      </c>
      <c r="I1265" s="23" t="s">
        <v>8179</v>
      </c>
      <c r="J1265" s="21" t="s">
        <v>6916</v>
      </c>
      <c r="K1265" s="377"/>
      <c r="L1265" s="21" t="s">
        <v>13264</v>
      </c>
      <c r="M1265" s="26">
        <v>45978</v>
      </c>
      <c r="N1265" s="44">
        <f t="shared" si="130"/>
        <v>4605.291666666667</v>
      </c>
      <c r="O1265" s="22" t="s">
        <v>276</v>
      </c>
      <c r="P1265" s="44">
        <v>4605.3</v>
      </c>
      <c r="Q1265" s="44">
        <f t="shared" si="131"/>
        <v>0</v>
      </c>
      <c r="R1265" s="24">
        <f t="shared" si="129"/>
        <v>4605.3</v>
      </c>
    </row>
    <row r="1266" spans="2:18" hidden="1" x14ac:dyDescent="0.25">
      <c r="B1266" s="21" t="s">
        <v>395</v>
      </c>
      <c r="C1266" s="22" t="s">
        <v>5792</v>
      </c>
      <c r="D1266" s="22"/>
      <c r="E1266" s="331" t="s">
        <v>0</v>
      </c>
      <c r="F1266" s="331"/>
      <c r="G1266" s="147" t="s">
        <v>7208</v>
      </c>
      <c r="H1266" s="23" t="s">
        <v>6915</v>
      </c>
      <c r="I1266" s="23" t="s">
        <v>8179</v>
      </c>
      <c r="J1266" s="21" t="s">
        <v>6916</v>
      </c>
      <c r="K1266" s="377"/>
      <c r="L1266" s="21" t="s">
        <v>13264</v>
      </c>
      <c r="M1266" s="26">
        <v>45978</v>
      </c>
      <c r="N1266" s="44">
        <f t="shared" si="130"/>
        <v>4605.291666666667</v>
      </c>
      <c r="O1266" s="22" t="s">
        <v>276</v>
      </c>
      <c r="P1266" s="44">
        <v>4605.3</v>
      </c>
      <c r="Q1266" s="44">
        <f t="shared" si="131"/>
        <v>0</v>
      </c>
      <c r="R1266" s="24">
        <f t="shared" si="129"/>
        <v>4605.3</v>
      </c>
    </row>
    <row r="1267" spans="2:18" hidden="1" x14ac:dyDescent="0.25">
      <c r="B1267" s="21" t="s">
        <v>395</v>
      </c>
      <c r="C1267" s="22" t="s">
        <v>5792</v>
      </c>
      <c r="D1267" s="22"/>
      <c r="E1267" s="331" t="s">
        <v>0</v>
      </c>
      <c r="F1267" s="331"/>
      <c r="G1267" s="147" t="s">
        <v>7208</v>
      </c>
      <c r="H1267" s="23" t="s">
        <v>6915</v>
      </c>
      <c r="I1267" s="23" t="s">
        <v>8179</v>
      </c>
      <c r="J1267" s="21" t="s">
        <v>6916</v>
      </c>
      <c r="K1267" s="377"/>
      <c r="L1267" s="21" t="s">
        <v>13264</v>
      </c>
      <c r="M1267" s="26">
        <v>45978</v>
      </c>
      <c r="N1267" s="44">
        <f t="shared" si="130"/>
        <v>4605.291666666667</v>
      </c>
      <c r="O1267" s="22" t="s">
        <v>276</v>
      </c>
      <c r="P1267" s="44">
        <v>4605.3</v>
      </c>
      <c r="Q1267" s="44">
        <f t="shared" si="131"/>
        <v>0</v>
      </c>
      <c r="R1267" s="24">
        <f t="shared" si="129"/>
        <v>4605.3</v>
      </c>
    </row>
    <row r="1268" spans="2:18" hidden="1" x14ac:dyDescent="0.25">
      <c r="B1268" s="21" t="s">
        <v>395</v>
      </c>
      <c r="C1268" s="22" t="s">
        <v>5792</v>
      </c>
      <c r="D1268" s="22"/>
      <c r="E1268" s="331" t="s">
        <v>0</v>
      </c>
      <c r="F1268" s="331"/>
      <c r="G1268" s="147" t="s">
        <v>7208</v>
      </c>
      <c r="H1268" s="23" t="s">
        <v>6915</v>
      </c>
      <c r="I1268" s="23" t="s">
        <v>8179</v>
      </c>
      <c r="J1268" s="21" t="s">
        <v>6916</v>
      </c>
      <c r="K1268" s="377"/>
      <c r="L1268" s="21" t="s">
        <v>13264</v>
      </c>
      <c r="M1268" s="26">
        <v>45978</v>
      </c>
      <c r="N1268" s="44">
        <f t="shared" si="130"/>
        <v>4605.291666666667</v>
      </c>
      <c r="O1268" s="22" t="s">
        <v>276</v>
      </c>
      <c r="P1268" s="44">
        <v>4605.3</v>
      </c>
      <c r="Q1268" s="44">
        <f t="shared" si="131"/>
        <v>0</v>
      </c>
      <c r="R1268" s="24">
        <f t="shared" si="129"/>
        <v>4605.3</v>
      </c>
    </row>
    <row r="1269" spans="2:18" hidden="1" x14ac:dyDescent="0.25">
      <c r="B1269" s="21" t="s">
        <v>395</v>
      </c>
      <c r="C1269" s="22" t="s">
        <v>5792</v>
      </c>
      <c r="D1269" s="22"/>
      <c r="E1269" s="331" t="s">
        <v>0</v>
      </c>
      <c r="F1269" s="331"/>
      <c r="G1269" s="147" t="s">
        <v>7208</v>
      </c>
      <c r="H1269" s="23" t="s">
        <v>6915</v>
      </c>
      <c r="I1269" s="23" t="s">
        <v>8179</v>
      </c>
      <c r="J1269" s="21" t="s">
        <v>6916</v>
      </c>
      <c r="K1269" s="377"/>
      <c r="L1269" s="21" t="s">
        <v>13264</v>
      </c>
      <c r="M1269" s="26">
        <v>45978</v>
      </c>
      <c r="N1269" s="44">
        <f t="shared" si="130"/>
        <v>4605.291666666667</v>
      </c>
      <c r="O1269" s="22" t="s">
        <v>276</v>
      </c>
      <c r="P1269" s="44">
        <v>4605.3</v>
      </c>
      <c r="Q1269" s="44">
        <f t="shared" si="131"/>
        <v>0</v>
      </c>
      <c r="R1269" s="24">
        <f t="shared" si="129"/>
        <v>4605.3</v>
      </c>
    </row>
    <row r="1270" spans="2:18" hidden="1" x14ac:dyDescent="0.25">
      <c r="B1270" s="21" t="s">
        <v>395</v>
      </c>
      <c r="C1270" s="22" t="s">
        <v>5792</v>
      </c>
      <c r="D1270" s="22"/>
      <c r="E1270" s="331" t="s">
        <v>0</v>
      </c>
      <c r="F1270" s="331"/>
      <c r="G1270" s="147" t="s">
        <v>7208</v>
      </c>
      <c r="H1270" s="23" t="s">
        <v>6915</v>
      </c>
      <c r="I1270" s="23" t="s">
        <v>8179</v>
      </c>
      <c r="J1270" s="21" t="s">
        <v>6916</v>
      </c>
      <c r="K1270" s="377"/>
      <c r="L1270" s="21" t="s">
        <v>13264</v>
      </c>
      <c r="M1270" s="26">
        <v>45978</v>
      </c>
      <c r="N1270" s="44">
        <f t="shared" si="130"/>
        <v>4605.291666666667</v>
      </c>
      <c r="O1270" s="22" t="s">
        <v>276</v>
      </c>
      <c r="P1270" s="44">
        <v>4605.3</v>
      </c>
      <c r="Q1270" s="44">
        <f t="shared" si="131"/>
        <v>0</v>
      </c>
      <c r="R1270" s="24">
        <f t="shared" si="129"/>
        <v>4605.3</v>
      </c>
    </row>
    <row r="1271" spans="2:18" hidden="1" x14ac:dyDescent="0.25">
      <c r="B1271" s="21" t="s">
        <v>395</v>
      </c>
      <c r="C1271" s="22" t="s">
        <v>5792</v>
      </c>
      <c r="D1271" s="22"/>
      <c r="E1271" s="331" t="s">
        <v>0</v>
      </c>
      <c r="F1271" s="331"/>
      <c r="G1271" s="147" t="s">
        <v>7208</v>
      </c>
      <c r="H1271" s="23" t="s">
        <v>6915</v>
      </c>
      <c r="I1271" s="23" t="s">
        <v>8179</v>
      </c>
      <c r="J1271" s="21" t="s">
        <v>6916</v>
      </c>
      <c r="K1271" s="377"/>
      <c r="L1271" s="21" t="s">
        <v>13264</v>
      </c>
      <c r="M1271" s="26">
        <v>45978</v>
      </c>
      <c r="N1271" s="44">
        <f t="shared" si="130"/>
        <v>4605.291666666667</v>
      </c>
      <c r="O1271" s="22" t="s">
        <v>276</v>
      </c>
      <c r="P1271" s="44">
        <v>4605.3</v>
      </c>
      <c r="Q1271" s="44">
        <f t="shared" si="131"/>
        <v>0</v>
      </c>
      <c r="R1271" s="24">
        <f t="shared" si="129"/>
        <v>4605.3</v>
      </c>
    </row>
    <row r="1272" spans="2:18" hidden="1" x14ac:dyDescent="0.25">
      <c r="B1272" s="21" t="s">
        <v>395</v>
      </c>
      <c r="C1272" s="22" t="s">
        <v>5792</v>
      </c>
      <c r="D1272" s="22"/>
      <c r="E1272" s="331" t="s">
        <v>0</v>
      </c>
      <c r="F1272" s="331"/>
      <c r="G1272" s="147" t="s">
        <v>7208</v>
      </c>
      <c r="H1272" s="23" t="s">
        <v>6915</v>
      </c>
      <c r="I1272" s="23" t="s">
        <v>8179</v>
      </c>
      <c r="J1272" s="21" t="s">
        <v>6916</v>
      </c>
      <c r="K1272" s="377"/>
      <c r="L1272" s="21" t="s">
        <v>13264</v>
      </c>
      <c r="M1272" s="26">
        <v>45978</v>
      </c>
      <c r="N1272" s="44">
        <f t="shared" si="130"/>
        <v>4605.291666666667</v>
      </c>
      <c r="O1272" s="22" t="s">
        <v>276</v>
      </c>
      <c r="P1272" s="44">
        <v>4605.3</v>
      </c>
      <c r="Q1272" s="44">
        <f t="shared" si="131"/>
        <v>0</v>
      </c>
      <c r="R1272" s="24">
        <f t="shared" si="129"/>
        <v>4605.3</v>
      </c>
    </row>
    <row r="1273" spans="2:18" hidden="1" x14ac:dyDescent="0.25">
      <c r="B1273" s="21" t="s">
        <v>395</v>
      </c>
      <c r="C1273" s="22" t="s">
        <v>5792</v>
      </c>
      <c r="D1273" s="22"/>
      <c r="E1273" s="331" t="s">
        <v>0</v>
      </c>
      <c r="F1273" s="331"/>
      <c r="G1273" s="147" t="s">
        <v>7208</v>
      </c>
      <c r="H1273" s="23" t="s">
        <v>6915</v>
      </c>
      <c r="I1273" s="23" t="s">
        <v>8179</v>
      </c>
      <c r="J1273" s="21" t="s">
        <v>6916</v>
      </c>
      <c r="K1273" s="377"/>
      <c r="L1273" s="21" t="s">
        <v>13264</v>
      </c>
      <c r="M1273" s="26">
        <v>45978</v>
      </c>
      <c r="N1273" s="44">
        <f t="shared" si="130"/>
        <v>4605.291666666667</v>
      </c>
      <c r="O1273" s="22" t="s">
        <v>276</v>
      </c>
      <c r="P1273" s="44">
        <v>4605.3</v>
      </c>
      <c r="Q1273" s="44">
        <f t="shared" si="131"/>
        <v>0</v>
      </c>
      <c r="R1273" s="24">
        <f t="shared" si="129"/>
        <v>4605.3</v>
      </c>
    </row>
    <row r="1274" spans="2:18" hidden="1" x14ac:dyDescent="0.25">
      <c r="B1274" s="21" t="s">
        <v>395</v>
      </c>
      <c r="C1274" s="22" t="s">
        <v>5792</v>
      </c>
      <c r="D1274" s="22"/>
      <c r="E1274" s="331" t="s">
        <v>0</v>
      </c>
      <c r="F1274" s="331"/>
      <c r="G1274" s="147" t="s">
        <v>7208</v>
      </c>
      <c r="H1274" s="23" t="s">
        <v>6915</v>
      </c>
      <c r="I1274" s="23" t="s">
        <v>8179</v>
      </c>
      <c r="J1274" s="21" t="s">
        <v>6916</v>
      </c>
      <c r="K1274" s="377"/>
      <c r="L1274" s="21" t="s">
        <v>13264</v>
      </c>
      <c r="M1274" s="26">
        <v>45978</v>
      </c>
      <c r="N1274" s="44">
        <f t="shared" si="130"/>
        <v>4605.291666666667</v>
      </c>
      <c r="O1274" s="22" t="s">
        <v>276</v>
      </c>
      <c r="P1274" s="44">
        <v>4605.3</v>
      </c>
      <c r="Q1274" s="44">
        <f t="shared" si="131"/>
        <v>0</v>
      </c>
      <c r="R1274" s="24">
        <f t="shared" si="129"/>
        <v>4605.3</v>
      </c>
    </row>
    <row r="1275" spans="2:18" hidden="1" x14ac:dyDescent="0.25">
      <c r="B1275" s="21" t="s">
        <v>395</v>
      </c>
      <c r="C1275" s="22" t="s">
        <v>5792</v>
      </c>
      <c r="D1275" s="22"/>
      <c r="E1275" s="331" t="s">
        <v>0</v>
      </c>
      <c r="F1275" s="331"/>
      <c r="G1275" s="147" t="s">
        <v>7208</v>
      </c>
      <c r="H1275" s="23" t="s">
        <v>6915</v>
      </c>
      <c r="I1275" s="23" t="s">
        <v>8179</v>
      </c>
      <c r="J1275" s="21" t="s">
        <v>6916</v>
      </c>
      <c r="K1275" s="377"/>
      <c r="L1275" s="21" t="s">
        <v>13264</v>
      </c>
      <c r="M1275" s="26">
        <v>45978</v>
      </c>
      <c r="N1275" s="44">
        <f t="shared" si="130"/>
        <v>4605.291666666667</v>
      </c>
      <c r="O1275" s="22" t="s">
        <v>276</v>
      </c>
      <c r="P1275" s="44">
        <v>4605.3</v>
      </c>
      <c r="Q1275" s="44">
        <f t="shared" si="131"/>
        <v>0</v>
      </c>
      <c r="R1275" s="24">
        <f t="shared" si="129"/>
        <v>4605.3</v>
      </c>
    </row>
    <row r="1276" spans="2:18" hidden="1" x14ac:dyDescent="0.25">
      <c r="B1276" s="21" t="s">
        <v>395</v>
      </c>
      <c r="C1276" s="22" t="s">
        <v>5792</v>
      </c>
      <c r="D1276" s="22"/>
      <c r="E1276" s="331" t="s">
        <v>0</v>
      </c>
      <c r="F1276" s="331"/>
      <c r="G1276" s="147" t="s">
        <v>7208</v>
      </c>
      <c r="H1276" s="23" t="s">
        <v>6915</v>
      </c>
      <c r="I1276" s="23" t="s">
        <v>8179</v>
      </c>
      <c r="J1276" s="21" t="s">
        <v>6916</v>
      </c>
      <c r="K1276" s="377"/>
      <c r="L1276" s="21" t="s">
        <v>13264</v>
      </c>
      <c r="M1276" s="26">
        <v>45978</v>
      </c>
      <c r="N1276" s="44">
        <f t="shared" si="130"/>
        <v>4605.291666666667</v>
      </c>
      <c r="O1276" s="22" t="s">
        <v>276</v>
      </c>
      <c r="P1276" s="44">
        <v>4605.3</v>
      </c>
      <c r="Q1276" s="44">
        <f t="shared" si="131"/>
        <v>0</v>
      </c>
      <c r="R1276" s="24">
        <f t="shared" si="129"/>
        <v>4605.3</v>
      </c>
    </row>
    <row r="1277" spans="2:18" hidden="1" x14ac:dyDescent="0.25">
      <c r="B1277" s="21" t="s">
        <v>395</v>
      </c>
      <c r="C1277" s="22" t="s">
        <v>5792</v>
      </c>
      <c r="D1277" s="22"/>
      <c r="E1277" s="331" t="s">
        <v>0</v>
      </c>
      <c r="F1277" s="331"/>
      <c r="G1277" s="147" t="s">
        <v>7208</v>
      </c>
      <c r="H1277" s="23" t="s">
        <v>6915</v>
      </c>
      <c r="I1277" s="23" t="s">
        <v>8179</v>
      </c>
      <c r="J1277" s="21" t="s">
        <v>6916</v>
      </c>
      <c r="K1277" s="377"/>
      <c r="L1277" s="21" t="s">
        <v>13264</v>
      </c>
      <c r="M1277" s="26">
        <v>45978</v>
      </c>
      <c r="N1277" s="44">
        <f t="shared" si="130"/>
        <v>4605.291666666667</v>
      </c>
      <c r="O1277" s="22" t="s">
        <v>276</v>
      </c>
      <c r="P1277" s="44">
        <v>4605.3</v>
      </c>
      <c r="Q1277" s="44">
        <f t="shared" si="131"/>
        <v>0</v>
      </c>
      <c r="R1277" s="24">
        <f t="shared" si="129"/>
        <v>4605.3</v>
      </c>
    </row>
    <row r="1278" spans="2:18" hidden="1" x14ac:dyDescent="0.25">
      <c r="B1278" s="21" t="s">
        <v>395</v>
      </c>
      <c r="C1278" s="22" t="s">
        <v>5792</v>
      </c>
      <c r="D1278" s="22"/>
      <c r="E1278" s="331" t="s">
        <v>0</v>
      </c>
      <c r="F1278" s="331"/>
      <c r="G1278" s="147" t="s">
        <v>7208</v>
      </c>
      <c r="H1278" s="23" t="s">
        <v>6915</v>
      </c>
      <c r="I1278" s="23" t="s">
        <v>8179</v>
      </c>
      <c r="J1278" s="21" t="s">
        <v>6916</v>
      </c>
      <c r="K1278" s="377"/>
      <c r="L1278" s="21" t="s">
        <v>13264</v>
      </c>
      <c r="M1278" s="26">
        <v>45978</v>
      </c>
      <c r="N1278" s="44">
        <f t="shared" si="130"/>
        <v>4605.291666666667</v>
      </c>
      <c r="O1278" s="22" t="s">
        <v>276</v>
      </c>
      <c r="P1278" s="44">
        <v>4605.3</v>
      </c>
      <c r="Q1278" s="44">
        <f t="shared" si="131"/>
        <v>0</v>
      </c>
      <c r="R1278" s="24">
        <f t="shared" si="129"/>
        <v>4605.3</v>
      </c>
    </row>
    <row r="1279" spans="2:18" hidden="1" x14ac:dyDescent="0.25">
      <c r="B1279" s="21" t="s">
        <v>395</v>
      </c>
      <c r="C1279" s="22" t="s">
        <v>5792</v>
      </c>
      <c r="D1279" s="22"/>
      <c r="E1279" s="331" t="s">
        <v>0</v>
      </c>
      <c r="F1279" s="331"/>
      <c r="G1279" s="147" t="s">
        <v>7208</v>
      </c>
      <c r="H1279" s="23" t="s">
        <v>6915</v>
      </c>
      <c r="I1279" s="23" t="s">
        <v>8179</v>
      </c>
      <c r="J1279" s="21" t="s">
        <v>6916</v>
      </c>
      <c r="K1279" s="377"/>
      <c r="L1279" s="21" t="s">
        <v>13264</v>
      </c>
      <c r="M1279" s="26">
        <v>45978</v>
      </c>
      <c r="N1279" s="44">
        <f t="shared" si="130"/>
        <v>4605.291666666667</v>
      </c>
      <c r="O1279" s="22" t="s">
        <v>276</v>
      </c>
      <c r="P1279" s="44">
        <v>4605.3</v>
      </c>
      <c r="Q1279" s="44">
        <f t="shared" si="131"/>
        <v>0</v>
      </c>
      <c r="R1279" s="24">
        <f t="shared" si="129"/>
        <v>4605.3</v>
      </c>
    </row>
    <row r="1280" spans="2:18" hidden="1" x14ac:dyDescent="0.25">
      <c r="B1280" s="21" t="s">
        <v>395</v>
      </c>
      <c r="C1280" s="22" t="s">
        <v>5792</v>
      </c>
      <c r="D1280" s="22"/>
      <c r="E1280" s="331" t="s">
        <v>0</v>
      </c>
      <c r="F1280" s="331"/>
      <c r="G1280" s="147" t="s">
        <v>7208</v>
      </c>
      <c r="H1280" s="23" t="s">
        <v>6915</v>
      </c>
      <c r="I1280" s="23" t="s">
        <v>8179</v>
      </c>
      <c r="J1280" s="21" t="s">
        <v>6916</v>
      </c>
      <c r="K1280" s="377"/>
      <c r="L1280" s="21" t="s">
        <v>13264</v>
      </c>
      <c r="M1280" s="26">
        <v>45978</v>
      </c>
      <c r="N1280" s="44">
        <f t="shared" si="130"/>
        <v>4605.291666666667</v>
      </c>
      <c r="O1280" s="22" t="s">
        <v>276</v>
      </c>
      <c r="P1280" s="44">
        <v>4605.3</v>
      </c>
      <c r="Q1280" s="44">
        <f t="shared" si="131"/>
        <v>0</v>
      </c>
      <c r="R1280" s="24">
        <f t="shared" si="129"/>
        <v>4605.3</v>
      </c>
    </row>
    <row r="1281" spans="2:19" hidden="1" x14ac:dyDescent="0.25">
      <c r="C1281" s="4" t="s">
        <v>5792</v>
      </c>
      <c r="E1281" s="170" t="s">
        <v>0</v>
      </c>
      <c r="F1281" s="170"/>
      <c r="G1281" s="146" t="s">
        <v>7208</v>
      </c>
      <c r="H1281" s="7" t="s">
        <v>6915</v>
      </c>
      <c r="I1281" s="7" t="s">
        <v>8179</v>
      </c>
      <c r="J1281" s="5" t="s">
        <v>6916</v>
      </c>
      <c r="K1281" s="356">
        <v>45992</v>
      </c>
      <c r="N1281" s="45">
        <f t="shared" si="130"/>
        <v>4605.291666666667</v>
      </c>
      <c r="O1281" s="4" t="s">
        <v>276</v>
      </c>
      <c r="Q1281" s="45">
        <f t="shared" si="131"/>
        <v>4605.291666666667</v>
      </c>
      <c r="R1281" s="3">
        <f t="shared" si="129"/>
        <v>0</v>
      </c>
    </row>
    <row r="1282" spans="2:19" hidden="1" x14ac:dyDescent="0.25">
      <c r="C1282" s="4" t="s">
        <v>5792</v>
      </c>
      <c r="E1282" s="170" t="s">
        <v>0</v>
      </c>
      <c r="F1282" s="170"/>
      <c r="G1282" s="146" t="s">
        <v>7208</v>
      </c>
      <c r="H1282" s="7" t="s">
        <v>6915</v>
      </c>
      <c r="I1282" s="7" t="s">
        <v>8179</v>
      </c>
      <c r="J1282" s="5" t="s">
        <v>6916</v>
      </c>
      <c r="K1282" s="356">
        <v>46023</v>
      </c>
      <c r="N1282" s="45">
        <f t="shared" si="130"/>
        <v>4605.291666666667</v>
      </c>
      <c r="O1282" s="4" t="s">
        <v>276</v>
      </c>
      <c r="Q1282" s="45">
        <f t="shared" si="131"/>
        <v>4605.291666666667</v>
      </c>
      <c r="R1282" s="3">
        <f t="shared" si="129"/>
        <v>0</v>
      </c>
    </row>
    <row r="1283" spans="2:19" hidden="1" x14ac:dyDescent="0.25">
      <c r="C1283" s="4" t="s">
        <v>5792</v>
      </c>
      <c r="E1283" s="170" t="s">
        <v>0</v>
      </c>
      <c r="F1283" s="170"/>
      <c r="G1283" s="146" t="s">
        <v>7208</v>
      </c>
      <c r="H1283" s="7" t="s">
        <v>6915</v>
      </c>
      <c r="I1283" s="7" t="s">
        <v>8179</v>
      </c>
      <c r="J1283" s="5" t="s">
        <v>6916</v>
      </c>
      <c r="K1283" s="356">
        <v>46054</v>
      </c>
      <c r="N1283" s="45">
        <f t="shared" si="130"/>
        <v>4605.291666666667</v>
      </c>
      <c r="O1283" s="4" t="s">
        <v>276</v>
      </c>
      <c r="Q1283" s="45">
        <f t="shared" si="131"/>
        <v>4605.291666666667</v>
      </c>
      <c r="R1283" s="3">
        <f t="shared" si="129"/>
        <v>0</v>
      </c>
    </row>
    <row r="1284" spans="2:19" hidden="1" x14ac:dyDescent="0.25">
      <c r="C1284" s="4" t="s">
        <v>5792</v>
      </c>
      <c r="E1284" s="170" t="s">
        <v>0</v>
      </c>
      <c r="F1284" s="170"/>
      <c r="G1284" s="146" t="s">
        <v>7208</v>
      </c>
      <c r="H1284" s="7" t="s">
        <v>6915</v>
      </c>
      <c r="I1284" s="7" t="s">
        <v>8179</v>
      </c>
      <c r="J1284" s="5" t="s">
        <v>6916</v>
      </c>
      <c r="K1284" s="356">
        <v>46082</v>
      </c>
      <c r="N1284" s="45">
        <f t="shared" si="130"/>
        <v>4605.291666666667</v>
      </c>
      <c r="O1284" s="4" t="s">
        <v>276</v>
      </c>
      <c r="Q1284" s="45">
        <f t="shared" si="131"/>
        <v>4605.291666666667</v>
      </c>
      <c r="R1284" s="3">
        <f t="shared" si="129"/>
        <v>0</v>
      </c>
    </row>
    <row r="1285" spans="2:19" hidden="1" x14ac:dyDescent="0.25">
      <c r="C1285" s="4" t="s">
        <v>5792</v>
      </c>
      <c r="E1285" s="170" t="s">
        <v>0</v>
      </c>
      <c r="F1285" s="170"/>
      <c r="G1285" s="146" t="s">
        <v>7208</v>
      </c>
      <c r="H1285" s="7" t="s">
        <v>6915</v>
      </c>
      <c r="I1285" s="7" t="s">
        <v>8179</v>
      </c>
      <c r="J1285" s="5" t="s">
        <v>6916</v>
      </c>
      <c r="K1285" s="356">
        <v>46113</v>
      </c>
      <c r="N1285" s="45">
        <f t="shared" si="130"/>
        <v>4605.291666666667</v>
      </c>
      <c r="O1285" s="4" t="s">
        <v>276</v>
      </c>
      <c r="Q1285" s="45">
        <f t="shared" si="131"/>
        <v>4605.291666666667</v>
      </c>
      <c r="R1285" s="3">
        <f t="shared" si="129"/>
        <v>0</v>
      </c>
    </row>
    <row r="1286" spans="2:19" hidden="1" x14ac:dyDescent="0.25">
      <c r="C1286" s="4" t="s">
        <v>5792</v>
      </c>
      <c r="E1286" s="170" t="s">
        <v>0</v>
      </c>
      <c r="F1286" s="170"/>
      <c r="G1286" s="146" t="s">
        <v>7208</v>
      </c>
      <c r="H1286" s="7" t="s">
        <v>6915</v>
      </c>
      <c r="I1286" s="7" t="s">
        <v>8179</v>
      </c>
      <c r="J1286" s="5" t="s">
        <v>6916</v>
      </c>
      <c r="K1286" s="356">
        <v>46143</v>
      </c>
      <c r="N1286" s="45">
        <f t="shared" si="130"/>
        <v>4605.291666666667</v>
      </c>
      <c r="O1286" s="4" t="s">
        <v>276</v>
      </c>
      <c r="Q1286" s="45">
        <f t="shared" si="131"/>
        <v>4605.291666666667</v>
      </c>
      <c r="R1286" s="3">
        <f t="shared" si="129"/>
        <v>0</v>
      </c>
    </row>
    <row r="1287" spans="2:19" hidden="1" x14ac:dyDescent="0.25">
      <c r="C1287" s="4" t="s">
        <v>5792</v>
      </c>
      <c r="E1287" s="170" t="s">
        <v>0</v>
      </c>
      <c r="F1287" s="170"/>
      <c r="G1287" s="146" t="s">
        <v>7208</v>
      </c>
      <c r="H1287" s="7" t="s">
        <v>6915</v>
      </c>
      <c r="I1287" s="7" t="s">
        <v>8179</v>
      </c>
      <c r="J1287" s="5" t="s">
        <v>6916</v>
      </c>
      <c r="K1287" s="356">
        <v>46174</v>
      </c>
      <c r="N1287" s="45">
        <f t="shared" si="130"/>
        <v>4605.291666666667</v>
      </c>
      <c r="O1287" s="4" t="s">
        <v>276</v>
      </c>
      <c r="Q1287" s="45">
        <f t="shared" si="131"/>
        <v>4605.291666666667</v>
      </c>
      <c r="R1287" s="3">
        <f t="shared" si="129"/>
        <v>0</v>
      </c>
    </row>
    <row r="1288" spans="2:19" hidden="1" x14ac:dyDescent="0.25">
      <c r="C1288" s="4" t="s">
        <v>5792</v>
      </c>
      <c r="E1288" s="170" t="s">
        <v>0</v>
      </c>
      <c r="F1288" s="170"/>
      <c r="G1288" s="146" t="s">
        <v>7208</v>
      </c>
      <c r="H1288" s="7" t="s">
        <v>6915</v>
      </c>
      <c r="I1288" s="7" t="s">
        <v>8179</v>
      </c>
      <c r="J1288" s="5" t="s">
        <v>6916</v>
      </c>
      <c r="K1288" s="356">
        <v>46204</v>
      </c>
      <c r="N1288" s="45">
        <f t="shared" si="130"/>
        <v>4605.291666666667</v>
      </c>
      <c r="O1288" s="4" t="s">
        <v>276</v>
      </c>
      <c r="Q1288" s="45">
        <f t="shared" si="131"/>
        <v>4605.291666666667</v>
      </c>
      <c r="R1288" s="3">
        <f t="shared" si="129"/>
        <v>0</v>
      </c>
    </row>
    <row r="1289" spans="2:19" hidden="1" x14ac:dyDescent="0.25">
      <c r="C1289" s="4" t="s">
        <v>5792</v>
      </c>
      <c r="E1289" s="170" t="s">
        <v>0</v>
      </c>
      <c r="F1289" s="170"/>
      <c r="G1289" s="146" t="s">
        <v>7208</v>
      </c>
      <c r="H1289" s="7" t="s">
        <v>6915</v>
      </c>
      <c r="I1289" s="7" t="s">
        <v>8179</v>
      </c>
      <c r="J1289" s="5" t="s">
        <v>6916</v>
      </c>
      <c r="K1289" s="356">
        <v>46235</v>
      </c>
      <c r="N1289" s="45">
        <f t="shared" si="130"/>
        <v>4605.291666666667</v>
      </c>
      <c r="O1289" s="4" t="s">
        <v>276</v>
      </c>
      <c r="Q1289" s="45">
        <f t="shared" si="131"/>
        <v>4605.291666666667</v>
      </c>
      <c r="R1289" s="3">
        <f t="shared" si="129"/>
        <v>0</v>
      </c>
    </row>
    <row r="1290" spans="2:19" hidden="1" x14ac:dyDescent="0.25">
      <c r="B1290" s="5" t="s">
        <v>12228</v>
      </c>
      <c r="C1290" s="4" t="s">
        <v>2450</v>
      </c>
      <c r="E1290" s="5" t="s">
        <v>10</v>
      </c>
      <c r="G1290" s="146" t="s">
        <v>6672</v>
      </c>
      <c r="H1290" s="7" t="s">
        <v>6673</v>
      </c>
      <c r="I1290" s="7" t="s">
        <v>8157</v>
      </c>
      <c r="J1290" s="5" t="s">
        <v>6674</v>
      </c>
      <c r="L1290" s="5" t="s">
        <v>8608</v>
      </c>
      <c r="M1290" s="12" t="s">
        <v>8609</v>
      </c>
      <c r="N1290" s="45">
        <v>23033.7</v>
      </c>
      <c r="O1290" s="4" t="s">
        <v>276</v>
      </c>
      <c r="P1290" s="45">
        <f>(2591.5-323.85)+2682.75+2206.89+1699.11+2265.48+1660.05+1835.82+2050.65</f>
        <v>16668.399999999998</v>
      </c>
      <c r="Q1290" s="45">
        <f t="shared" si="131"/>
        <v>6365.3000000000029</v>
      </c>
      <c r="R1290" s="3">
        <f t="shared" si="129"/>
        <v>16668.399999999998</v>
      </c>
      <c r="S1290" s="5" t="s">
        <v>7636</v>
      </c>
    </row>
    <row r="1291" spans="2:19" hidden="1" x14ac:dyDescent="0.25">
      <c r="B1291" s="21" t="s">
        <v>395</v>
      </c>
      <c r="C1291" s="22" t="s">
        <v>2450</v>
      </c>
      <c r="D1291" s="22"/>
      <c r="E1291" s="21" t="s">
        <v>10</v>
      </c>
      <c r="F1291" s="21"/>
      <c r="G1291" s="147" t="s">
        <v>6672</v>
      </c>
      <c r="H1291" s="23" t="s">
        <v>6796</v>
      </c>
      <c r="I1291" s="23" t="s">
        <v>8163</v>
      </c>
      <c r="J1291" s="21" t="s">
        <v>6795</v>
      </c>
      <c r="K1291" s="21"/>
      <c r="L1291" s="21" t="s">
        <v>7304</v>
      </c>
      <c r="M1291" s="26" t="s">
        <v>7305</v>
      </c>
      <c r="N1291" s="44">
        <v>14960</v>
      </c>
      <c r="O1291" s="22" t="s">
        <v>276</v>
      </c>
      <c r="P1291" s="44">
        <f>1131.5+1460+2372.15+1770.25+2208.25+3193.75+2500.25+323.85</f>
        <v>14960</v>
      </c>
      <c r="Q1291" s="44">
        <f t="shared" ref="Q1291:Q1298" si="132">IF(P1291="en cours",N1291,IF(P1291="OK",0,IF(N1291-P1291&lt;0,0,N1291-P1291)))</f>
        <v>0</v>
      </c>
      <c r="R1291" s="24">
        <f t="shared" si="129"/>
        <v>14960</v>
      </c>
    </row>
    <row r="1292" spans="2:19" hidden="1" x14ac:dyDescent="0.25">
      <c r="B1292" s="5" t="s">
        <v>12228</v>
      </c>
      <c r="C1292" s="4" t="s">
        <v>2450</v>
      </c>
      <c r="E1292" s="5" t="s">
        <v>10</v>
      </c>
      <c r="G1292" s="146" t="s">
        <v>6672</v>
      </c>
      <c r="H1292" s="7" t="s">
        <v>8964</v>
      </c>
      <c r="I1292" s="7" t="s">
        <v>8965</v>
      </c>
      <c r="J1292" s="5" t="s">
        <v>8966</v>
      </c>
      <c r="N1292" s="45">
        <v>34820.81</v>
      </c>
      <c r="O1292" s="4" t="s">
        <v>276</v>
      </c>
      <c r="Q1292" s="45">
        <f t="shared" si="132"/>
        <v>34820.81</v>
      </c>
      <c r="R1292" s="3">
        <f t="shared" si="129"/>
        <v>0</v>
      </c>
    </row>
    <row r="1293" spans="2:19" hidden="1" x14ac:dyDescent="0.25">
      <c r="B1293" s="5" t="s">
        <v>12228</v>
      </c>
      <c r="C1293" s="4" t="s">
        <v>2450</v>
      </c>
      <c r="E1293" s="5" t="s">
        <v>10</v>
      </c>
      <c r="G1293" s="146" t="s">
        <v>6672</v>
      </c>
      <c r="H1293" s="7" t="s">
        <v>8673</v>
      </c>
      <c r="I1293" s="7" t="s">
        <v>8674</v>
      </c>
      <c r="J1293" s="5" t="s">
        <v>8675</v>
      </c>
      <c r="N1293" s="45">
        <v>574.70000000000005</v>
      </c>
      <c r="O1293" s="4" t="s">
        <v>276</v>
      </c>
      <c r="Q1293" s="45">
        <f t="shared" si="132"/>
        <v>574.70000000000005</v>
      </c>
      <c r="R1293" s="3">
        <f t="shared" si="129"/>
        <v>0</v>
      </c>
    </row>
    <row r="1294" spans="2:19" hidden="1" x14ac:dyDescent="0.25">
      <c r="B1294" s="5" t="s">
        <v>12228</v>
      </c>
      <c r="C1294" s="4" t="s">
        <v>2450</v>
      </c>
      <c r="E1294" s="5" t="s">
        <v>10</v>
      </c>
      <c r="F1294" s="5" t="s">
        <v>9721</v>
      </c>
      <c r="G1294" s="146" t="s">
        <v>6672</v>
      </c>
      <c r="H1294" s="7" t="s">
        <v>10975</v>
      </c>
      <c r="I1294" s="7" t="s">
        <v>10976</v>
      </c>
      <c r="J1294" s="5" t="s">
        <v>10977</v>
      </c>
      <c r="L1294" s="5" t="s">
        <v>11272</v>
      </c>
      <c r="M1294" s="12" t="s">
        <v>11273</v>
      </c>
      <c r="N1294" s="45">
        <v>42464.92</v>
      </c>
      <c r="O1294" s="4" t="s">
        <v>276</v>
      </c>
      <c r="P1294" s="45">
        <f>13034.55-860.4-962.98+12024.36+11027.6</f>
        <v>34263.129999999997</v>
      </c>
      <c r="Q1294" s="3">
        <f t="shared" si="132"/>
        <v>8201.7900000000009</v>
      </c>
      <c r="R1294" s="3">
        <f t="shared" si="129"/>
        <v>34263.129999999997</v>
      </c>
    </row>
    <row r="1295" spans="2:19" hidden="1" x14ac:dyDescent="0.25">
      <c r="B1295" s="21" t="s">
        <v>395</v>
      </c>
      <c r="C1295" s="22" t="s">
        <v>2450</v>
      </c>
      <c r="D1295" s="22"/>
      <c r="E1295" s="21" t="s">
        <v>10</v>
      </c>
      <c r="F1295" s="21" t="s">
        <v>9721</v>
      </c>
      <c r="G1295" s="147" t="s">
        <v>9989</v>
      </c>
      <c r="H1295" s="23" t="s">
        <v>11137</v>
      </c>
      <c r="I1295" s="23" t="s">
        <v>11138</v>
      </c>
      <c r="J1295" s="21" t="s">
        <v>6557</v>
      </c>
      <c r="K1295" s="21"/>
      <c r="L1295" s="21" t="s">
        <v>11186</v>
      </c>
      <c r="M1295" s="26">
        <v>45687</v>
      </c>
      <c r="N1295" s="44">
        <v>1139.76</v>
      </c>
      <c r="O1295" s="22" t="s">
        <v>15</v>
      </c>
      <c r="P1295" s="44">
        <v>1139.76</v>
      </c>
      <c r="Q1295" s="44">
        <f t="shared" si="132"/>
        <v>0</v>
      </c>
      <c r="R1295" s="24">
        <f t="shared" ref="R1295:R1297" si="133">IF(P1295="OK",N1295-Q1295,IF(P1295="en cours",N1295-Q1295,P1295))</f>
        <v>1139.76</v>
      </c>
    </row>
    <row r="1296" spans="2:19" hidden="1" x14ac:dyDescent="0.25">
      <c r="B1296" s="21" t="s">
        <v>395</v>
      </c>
      <c r="C1296" s="22" t="s">
        <v>2450</v>
      </c>
      <c r="D1296" s="22"/>
      <c r="E1296" s="21" t="s">
        <v>10</v>
      </c>
      <c r="F1296" s="21" t="s">
        <v>9721</v>
      </c>
      <c r="G1296" s="147" t="s">
        <v>9989</v>
      </c>
      <c r="H1296" s="23" t="s">
        <v>11166</v>
      </c>
      <c r="I1296" s="23" t="s">
        <v>11167</v>
      </c>
      <c r="J1296" s="21" t="s">
        <v>6557</v>
      </c>
      <c r="K1296" s="21"/>
      <c r="L1296" s="21" t="s">
        <v>11205</v>
      </c>
      <c r="M1296" s="26">
        <v>45701</v>
      </c>
      <c r="N1296" s="44">
        <v>1139.76</v>
      </c>
      <c r="O1296" s="22" t="s">
        <v>15</v>
      </c>
      <c r="P1296" s="44">
        <v>1139.76</v>
      </c>
      <c r="Q1296" s="44">
        <f t="shared" si="132"/>
        <v>0</v>
      </c>
      <c r="R1296" s="24">
        <f t="shared" si="133"/>
        <v>1139.76</v>
      </c>
    </row>
    <row r="1297" spans="2:18" hidden="1" x14ac:dyDescent="0.25">
      <c r="B1297" s="5" t="s">
        <v>12228</v>
      </c>
      <c r="C1297" s="4" t="s">
        <v>2450</v>
      </c>
      <c r="E1297" s="5" t="s">
        <v>0</v>
      </c>
      <c r="F1297" s="5" t="s">
        <v>9823</v>
      </c>
      <c r="G1297" s="146" t="s">
        <v>8757</v>
      </c>
      <c r="H1297" s="7" t="s">
        <v>9827</v>
      </c>
      <c r="I1297" s="7" t="s">
        <v>9828</v>
      </c>
      <c r="J1297" s="5" t="s">
        <v>9829</v>
      </c>
      <c r="N1297" s="45">
        <v>600</v>
      </c>
      <c r="O1297" s="4" t="s">
        <v>337</v>
      </c>
      <c r="Q1297" s="3">
        <f t="shared" si="132"/>
        <v>600</v>
      </c>
      <c r="R1297" s="3">
        <f t="shared" si="133"/>
        <v>0</v>
      </c>
    </row>
    <row r="1298" spans="2:18" hidden="1" x14ac:dyDescent="0.25">
      <c r="B1298" s="5" t="s">
        <v>12228</v>
      </c>
      <c r="C1298" s="4" t="s">
        <v>2450</v>
      </c>
      <c r="E1298" s="5" t="s">
        <v>0</v>
      </c>
      <c r="F1298" s="5" t="s">
        <v>9766</v>
      </c>
      <c r="G1298" s="146" t="s">
        <v>8757</v>
      </c>
      <c r="H1298" s="7" t="s">
        <v>9999</v>
      </c>
      <c r="I1298" s="7" t="s">
        <v>10000</v>
      </c>
      <c r="J1298" s="5" t="s">
        <v>10001</v>
      </c>
      <c r="N1298" s="45">
        <v>16000</v>
      </c>
      <c r="O1298" s="4" t="s">
        <v>337</v>
      </c>
      <c r="Q1298" s="45">
        <f t="shared" si="132"/>
        <v>16000</v>
      </c>
      <c r="R1298" s="3">
        <f>IF(P1298="OK",N1298-Q1298,IF(P1298="en cours",N1298-Q1298,P1298))</f>
        <v>0</v>
      </c>
    </row>
    <row r="1299" spans="2:18" hidden="1" x14ac:dyDescent="0.25">
      <c r="B1299" s="5" t="s">
        <v>12228</v>
      </c>
      <c r="C1299" s="4" t="s">
        <v>2450</v>
      </c>
      <c r="E1299" s="5" t="s">
        <v>0</v>
      </c>
      <c r="G1299" s="146" t="s">
        <v>8757</v>
      </c>
      <c r="H1299" s="7" t="s">
        <v>10746</v>
      </c>
      <c r="I1299" s="7" t="s">
        <v>10747</v>
      </c>
      <c r="J1299" s="5" t="s">
        <v>10748</v>
      </c>
      <c r="L1299" s="5" t="s">
        <v>12332</v>
      </c>
      <c r="M1299" s="12" t="s">
        <v>12333</v>
      </c>
      <c r="N1299" s="45">
        <v>5250</v>
      </c>
      <c r="O1299" s="4" t="s">
        <v>337</v>
      </c>
      <c r="P1299" s="45">
        <f>700+2800+350+350+350</f>
        <v>4550</v>
      </c>
      <c r="Q1299" s="3">
        <f t="shared" ref="Q1299:Q1308" si="134">IF(P1299="en cours",N1299,IF(P1299="OK",0,IF(N1299-P1299&lt;0,0,N1299-P1299)))</f>
        <v>700</v>
      </c>
      <c r="R1299" s="3">
        <f>IF(P1299="OK",N1299-Q1299,IF(P1299="en cours",N1299-Q1299,P1299))</f>
        <v>4550</v>
      </c>
    </row>
    <row r="1300" spans="2:18" hidden="1" x14ac:dyDescent="0.25">
      <c r="B1300" s="21" t="s">
        <v>395</v>
      </c>
      <c r="C1300" s="22" t="s">
        <v>158</v>
      </c>
      <c r="D1300" s="22"/>
      <c r="E1300" s="21" t="s">
        <v>0</v>
      </c>
      <c r="F1300" s="21" t="s">
        <v>9823</v>
      </c>
      <c r="G1300" s="147" t="s">
        <v>8757</v>
      </c>
      <c r="H1300" s="23" t="s">
        <v>11148</v>
      </c>
      <c r="I1300" s="23" t="s">
        <v>11149</v>
      </c>
      <c r="J1300" s="21" t="s">
        <v>11150</v>
      </c>
      <c r="K1300" s="21"/>
      <c r="L1300" s="21" t="s">
        <v>11191</v>
      </c>
      <c r="M1300" s="26">
        <v>45688</v>
      </c>
      <c r="N1300" s="44">
        <v>2600</v>
      </c>
      <c r="O1300" s="22" t="s">
        <v>337</v>
      </c>
      <c r="P1300" s="44">
        <v>2600</v>
      </c>
      <c r="Q1300" s="44">
        <f t="shared" si="134"/>
        <v>0</v>
      </c>
      <c r="R1300" s="24">
        <f t="shared" ref="R1300:R1327" si="135">IF(P1300="OK",N1300-Q1300,IF(P1300="en cours",N1300-Q1300,P1300))</f>
        <v>2600</v>
      </c>
    </row>
    <row r="1301" spans="2:18" hidden="1" x14ac:dyDescent="0.25">
      <c r="C1301" s="4" t="s">
        <v>2450</v>
      </c>
      <c r="E1301" s="5" t="s">
        <v>0</v>
      </c>
      <c r="F1301" s="5" t="s">
        <v>9823</v>
      </c>
      <c r="G1301" s="146" t="s">
        <v>8757</v>
      </c>
      <c r="H1301" s="7" t="s">
        <v>11157</v>
      </c>
      <c r="I1301" s="7" t="s">
        <v>11158</v>
      </c>
      <c r="J1301" s="5" t="s">
        <v>11159</v>
      </c>
      <c r="L1301" s="5" t="s">
        <v>11485</v>
      </c>
      <c r="M1301" s="12" t="s">
        <v>11486</v>
      </c>
      <c r="N1301" s="45">
        <v>1800</v>
      </c>
      <c r="O1301" s="4" t="s">
        <v>15</v>
      </c>
      <c r="P1301" s="45">
        <f>600+600+600</f>
        <v>1800</v>
      </c>
      <c r="Q1301" s="45">
        <f t="shared" si="134"/>
        <v>0</v>
      </c>
      <c r="R1301" s="3">
        <f t="shared" si="135"/>
        <v>1800</v>
      </c>
    </row>
    <row r="1302" spans="2:18" hidden="1" x14ac:dyDescent="0.25">
      <c r="B1302" s="21" t="s">
        <v>395</v>
      </c>
      <c r="C1302" s="22" t="s">
        <v>158</v>
      </c>
      <c r="D1302" s="22"/>
      <c r="E1302" s="21" t="s">
        <v>0</v>
      </c>
      <c r="F1302" s="21" t="s">
        <v>9823</v>
      </c>
      <c r="G1302" s="147" t="s">
        <v>8757</v>
      </c>
      <c r="H1302" s="23" t="s">
        <v>11172</v>
      </c>
      <c r="I1302" s="23" t="s">
        <v>11173</v>
      </c>
      <c r="J1302" s="21" t="s">
        <v>11171</v>
      </c>
      <c r="K1302" s="21"/>
      <c r="L1302" s="21" t="s">
        <v>11192</v>
      </c>
      <c r="M1302" s="26">
        <v>45695</v>
      </c>
      <c r="N1302" s="44">
        <v>1928.66</v>
      </c>
      <c r="O1302" s="22" t="s">
        <v>15</v>
      </c>
      <c r="P1302" s="44">
        <v>1928.66</v>
      </c>
      <c r="Q1302" s="44">
        <f t="shared" si="134"/>
        <v>0</v>
      </c>
      <c r="R1302" s="24">
        <f t="shared" si="135"/>
        <v>1928.66</v>
      </c>
    </row>
    <row r="1303" spans="2:18" hidden="1" x14ac:dyDescent="0.25">
      <c r="B1303" s="21" t="s">
        <v>395</v>
      </c>
      <c r="C1303" s="22" t="s">
        <v>2459</v>
      </c>
      <c r="D1303" s="22"/>
      <c r="E1303" s="21" t="s">
        <v>75</v>
      </c>
      <c r="F1303" s="21"/>
      <c r="G1303" s="147" t="s">
        <v>1142</v>
      </c>
      <c r="H1303" s="23" t="s">
        <v>1466</v>
      </c>
      <c r="I1303" s="23"/>
      <c r="J1303" s="21" t="s">
        <v>1467</v>
      </c>
      <c r="K1303" s="21"/>
      <c r="L1303" s="21"/>
      <c r="M1303" s="23" t="s">
        <v>1504</v>
      </c>
      <c r="N1303" s="44">
        <f>(0.4*224730)-62505</f>
        <v>27387</v>
      </c>
      <c r="O1303" s="22" t="s">
        <v>15</v>
      </c>
      <c r="P1303" s="22" t="s">
        <v>19</v>
      </c>
      <c r="Q1303" s="24">
        <f t="shared" si="134"/>
        <v>0</v>
      </c>
      <c r="R1303" s="44">
        <f t="shared" si="135"/>
        <v>27387</v>
      </c>
    </row>
    <row r="1304" spans="2:18" hidden="1" x14ac:dyDescent="0.25">
      <c r="B1304" s="21" t="s">
        <v>395</v>
      </c>
      <c r="C1304" s="22" t="s">
        <v>2459</v>
      </c>
      <c r="D1304" s="22"/>
      <c r="E1304" s="21" t="s">
        <v>75</v>
      </c>
      <c r="F1304" s="21"/>
      <c r="G1304" s="147" t="s">
        <v>1142</v>
      </c>
      <c r="H1304" s="23" t="s">
        <v>1466</v>
      </c>
      <c r="I1304" s="23"/>
      <c r="J1304" s="21" t="s">
        <v>1468</v>
      </c>
      <c r="K1304" s="21"/>
      <c r="L1304" s="21"/>
      <c r="M1304" s="23" t="s">
        <v>1622</v>
      </c>
      <c r="N1304" s="44">
        <f>0.3*224730</f>
        <v>67419</v>
      </c>
      <c r="O1304" s="22" t="s">
        <v>15</v>
      </c>
      <c r="P1304" s="22" t="s">
        <v>19</v>
      </c>
      <c r="Q1304" s="24">
        <f t="shared" si="134"/>
        <v>0</v>
      </c>
      <c r="R1304" s="44">
        <f t="shared" si="135"/>
        <v>67419</v>
      </c>
    </row>
    <row r="1305" spans="2:18" hidden="1" x14ac:dyDescent="0.25">
      <c r="B1305" s="21" t="s">
        <v>395</v>
      </c>
      <c r="C1305" s="22" t="s">
        <v>2459</v>
      </c>
      <c r="D1305" s="22"/>
      <c r="E1305" s="21" t="s">
        <v>75</v>
      </c>
      <c r="F1305" s="21"/>
      <c r="G1305" s="147" t="s">
        <v>1142</v>
      </c>
      <c r="H1305" s="23" t="s">
        <v>1466</v>
      </c>
      <c r="I1305" s="23"/>
      <c r="J1305" s="21" t="s">
        <v>1469</v>
      </c>
      <c r="K1305" s="21"/>
      <c r="L1305" s="21"/>
      <c r="M1305" s="23" t="s">
        <v>1704</v>
      </c>
      <c r="N1305" s="44">
        <f>0.3*224730</f>
        <v>67419</v>
      </c>
      <c r="O1305" s="22" t="s">
        <v>15</v>
      </c>
      <c r="P1305" s="22" t="s">
        <v>19</v>
      </c>
      <c r="Q1305" s="24">
        <f t="shared" si="134"/>
        <v>0</v>
      </c>
      <c r="R1305" s="44">
        <f t="shared" si="135"/>
        <v>67419</v>
      </c>
    </row>
    <row r="1306" spans="2:18" hidden="1" x14ac:dyDescent="0.25">
      <c r="B1306" s="21" t="s">
        <v>395</v>
      </c>
      <c r="C1306" s="22" t="s">
        <v>2459</v>
      </c>
      <c r="D1306" s="22"/>
      <c r="E1306" s="21" t="s">
        <v>75</v>
      </c>
      <c r="F1306" s="21"/>
      <c r="G1306" s="147" t="s">
        <v>1142</v>
      </c>
      <c r="H1306" s="23" t="s">
        <v>1466</v>
      </c>
      <c r="I1306" s="23"/>
      <c r="J1306" s="21" t="s">
        <v>1784</v>
      </c>
      <c r="K1306" s="21"/>
      <c r="L1306" s="21" t="s">
        <v>1911</v>
      </c>
      <c r="M1306" s="26">
        <v>43646</v>
      </c>
      <c r="N1306" s="44">
        <f t="shared" ref="N1306:N1312" si="136">1*25410</f>
        <v>25410</v>
      </c>
      <c r="O1306" s="22" t="s">
        <v>15</v>
      </c>
      <c r="P1306" s="22" t="s">
        <v>19</v>
      </c>
      <c r="Q1306" s="24">
        <f t="shared" si="134"/>
        <v>0</v>
      </c>
      <c r="R1306" s="44">
        <f t="shared" si="135"/>
        <v>25410</v>
      </c>
    </row>
    <row r="1307" spans="2:18" hidden="1" x14ac:dyDescent="0.25">
      <c r="B1307" s="21" t="s">
        <v>395</v>
      </c>
      <c r="C1307" s="22" t="s">
        <v>2459</v>
      </c>
      <c r="D1307" s="22"/>
      <c r="E1307" s="21" t="s">
        <v>75</v>
      </c>
      <c r="F1307" s="21"/>
      <c r="G1307" s="147" t="s">
        <v>1142</v>
      </c>
      <c r="H1307" s="23" t="s">
        <v>1466</v>
      </c>
      <c r="I1307" s="23"/>
      <c r="J1307" s="21" t="s">
        <v>1777</v>
      </c>
      <c r="K1307" s="21"/>
      <c r="L1307" s="21" t="s">
        <v>1912</v>
      </c>
      <c r="M1307" s="26">
        <v>43661</v>
      </c>
      <c r="N1307" s="44">
        <f t="shared" si="136"/>
        <v>25410</v>
      </c>
      <c r="O1307" s="22" t="s">
        <v>15</v>
      </c>
      <c r="P1307" s="22" t="s">
        <v>19</v>
      </c>
      <c r="Q1307" s="24">
        <f t="shared" si="134"/>
        <v>0</v>
      </c>
      <c r="R1307" s="44">
        <f t="shared" si="135"/>
        <v>25410</v>
      </c>
    </row>
    <row r="1308" spans="2:18" hidden="1" x14ac:dyDescent="0.25">
      <c r="B1308" s="21" t="s">
        <v>395</v>
      </c>
      <c r="C1308" s="22" t="s">
        <v>2459</v>
      </c>
      <c r="D1308" s="22"/>
      <c r="E1308" s="21" t="s">
        <v>75</v>
      </c>
      <c r="F1308" s="21"/>
      <c r="G1308" s="147" t="s">
        <v>1142</v>
      </c>
      <c r="H1308" s="23" t="s">
        <v>1466</v>
      </c>
      <c r="I1308" s="23"/>
      <c r="J1308" s="21" t="s">
        <v>1778</v>
      </c>
      <c r="K1308" s="21"/>
      <c r="L1308" s="21" t="s">
        <v>1913</v>
      </c>
      <c r="M1308" s="26">
        <v>43692</v>
      </c>
      <c r="N1308" s="44">
        <f t="shared" si="136"/>
        <v>25410</v>
      </c>
      <c r="O1308" s="22" t="s">
        <v>15</v>
      </c>
      <c r="P1308" s="22" t="s">
        <v>19</v>
      </c>
      <c r="Q1308" s="24">
        <f t="shared" si="134"/>
        <v>0</v>
      </c>
      <c r="R1308" s="44">
        <f t="shared" si="135"/>
        <v>25410</v>
      </c>
    </row>
    <row r="1309" spans="2:18" hidden="1" x14ac:dyDescent="0.25">
      <c r="B1309" s="21" t="s">
        <v>395</v>
      </c>
      <c r="C1309" s="22" t="s">
        <v>2459</v>
      </c>
      <c r="D1309" s="22"/>
      <c r="E1309" s="21" t="s">
        <v>75</v>
      </c>
      <c r="F1309" s="21"/>
      <c r="G1309" s="147" t="s">
        <v>1142</v>
      </c>
      <c r="H1309" s="23" t="s">
        <v>1466</v>
      </c>
      <c r="I1309" s="23"/>
      <c r="J1309" s="21" t="s">
        <v>1779</v>
      </c>
      <c r="K1309" s="21"/>
      <c r="L1309" s="21" t="s">
        <v>1953</v>
      </c>
      <c r="M1309" s="26">
        <v>43723</v>
      </c>
      <c r="N1309" s="44">
        <f t="shared" si="136"/>
        <v>25410</v>
      </c>
      <c r="O1309" s="22" t="s">
        <v>15</v>
      </c>
      <c r="P1309" s="22" t="s">
        <v>19</v>
      </c>
      <c r="Q1309" s="24">
        <f t="shared" ref="Q1309:Q1322" si="137">IF(P1309="en cours",N1309,IF(P1309="OK",0,IF(N1309-P1309&lt;0,0,N1309-P1309)))</f>
        <v>0</v>
      </c>
      <c r="R1309" s="44">
        <f t="shared" si="135"/>
        <v>25410</v>
      </c>
    </row>
    <row r="1310" spans="2:18" hidden="1" x14ac:dyDescent="0.25">
      <c r="B1310" s="21" t="s">
        <v>395</v>
      </c>
      <c r="C1310" s="22" t="s">
        <v>2459</v>
      </c>
      <c r="D1310" s="22"/>
      <c r="E1310" s="21" t="s">
        <v>75</v>
      </c>
      <c r="F1310" s="21"/>
      <c r="G1310" s="147" t="s">
        <v>1142</v>
      </c>
      <c r="H1310" s="23" t="s">
        <v>1466</v>
      </c>
      <c r="I1310" s="23"/>
      <c r="J1310" s="21" t="s">
        <v>1780</v>
      </c>
      <c r="K1310" s="21"/>
      <c r="L1310" s="21" t="s">
        <v>2256</v>
      </c>
      <c r="M1310" s="26">
        <v>43753</v>
      </c>
      <c r="N1310" s="44">
        <f t="shared" si="136"/>
        <v>25410</v>
      </c>
      <c r="O1310" s="22" t="s">
        <v>15</v>
      </c>
      <c r="P1310" s="22" t="s">
        <v>19</v>
      </c>
      <c r="Q1310" s="24">
        <f t="shared" si="137"/>
        <v>0</v>
      </c>
      <c r="R1310" s="44">
        <f t="shared" si="135"/>
        <v>25410</v>
      </c>
    </row>
    <row r="1311" spans="2:18" hidden="1" x14ac:dyDescent="0.25">
      <c r="B1311" s="21" t="s">
        <v>395</v>
      </c>
      <c r="C1311" s="22" t="s">
        <v>2459</v>
      </c>
      <c r="D1311" s="22"/>
      <c r="E1311" s="21" t="s">
        <v>75</v>
      </c>
      <c r="F1311" s="21"/>
      <c r="G1311" s="147" t="s">
        <v>1142</v>
      </c>
      <c r="H1311" s="23" t="s">
        <v>1466</v>
      </c>
      <c r="I1311" s="23"/>
      <c r="J1311" s="21" t="s">
        <v>1781</v>
      </c>
      <c r="K1311" s="21"/>
      <c r="L1311" s="21" t="s">
        <v>2539</v>
      </c>
      <c r="M1311" s="26">
        <v>43784</v>
      </c>
      <c r="N1311" s="44">
        <f t="shared" si="136"/>
        <v>25410</v>
      </c>
      <c r="O1311" s="22" t="s">
        <v>15</v>
      </c>
      <c r="P1311" s="22" t="s">
        <v>19</v>
      </c>
      <c r="Q1311" s="24">
        <f t="shared" si="137"/>
        <v>0</v>
      </c>
      <c r="R1311" s="44">
        <f t="shared" si="135"/>
        <v>25410</v>
      </c>
    </row>
    <row r="1312" spans="2:18" hidden="1" x14ac:dyDescent="0.25">
      <c r="B1312" s="21" t="s">
        <v>395</v>
      </c>
      <c r="C1312" s="22" t="s">
        <v>2459</v>
      </c>
      <c r="D1312" s="22"/>
      <c r="E1312" s="21" t="s">
        <v>75</v>
      </c>
      <c r="F1312" s="21"/>
      <c r="G1312" s="147" t="s">
        <v>1142</v>
      </c>
      <c r="H1312" s="23" t="s">
        <v>1466</v>
      </c>
      <c r="I1312" s="23"/>
      <c r="J1312" s="21" t="s">
        <v>1782</v>
      </c>
      <c r="K1312" s="21"/>
      <c r="L1312" s="21" t="s">
        <v>2645</v>
      </c>
      <c r="M1312" s="26">
        <v>43814</v>
      </c>
      <c r="N1312" s="44">
        <f t="shared" si="136"/>
        <v>25410</v>
      </c>
      <c r="O1312" s="22" t="s">
        <v>15</v>
      </c>
      <c r="P1312" s="22" t="s">
        <v>19</v>
      </c>
      <c r="Q1312" s="24">
        <f t="shared" si="137"/>
        <v>0</v>
      </c>
      <c r="R1312" s="44">
        <f t="shared" si="135"/>
        <v>25410</v>
      </c>
    </row>
    <row r="1313" spans="2:18" hidden="1" x14ac:dyDescent="0.25">
      <c r="B1313" s="21" t="s">
        <v>395</v>
      </c>
      <c r="C1313" s="22" t="s">
        <v>2459</v>
      </c>
      <c r="D1313" s="22"/>
      <c r="E1313" s="21" t="s">
        <v>75</v>
      </c>
      <c r="F1313" s="21"/>
      <c r="G1313" s="147" t="s">
        <v>1142</v>
      </c>
      <c r="H1313" s="23" t="s">
        <v>1466</v>
      </c>
      <c r="I1313" s="23"/>
      <c r="J1313" s="21" t="s">
        <v>1783</v>
      </c>
      <c r="K1313" s="21"/>
      <c r="L1313" s="21" t="s">
        <v>2753</v>
      </c>
      <c r="M1313" s="26">
        <v>43845</v>
      </c>
      <c r="N1313" s="44">
        <f>25410</f>
        <v>25410</v>
      </c>
      <c r="O1313" s="22" t="s">
        <v>15</v>
      </c>
      <c r="P1313" s="22" t="s">
        <v>19</v>
      </c>
      <c r="Q1313" s="24">
        <f t="shared" si="137"/>
        <v>0</v>
      </c>
      <c r="R1313" s="44">
        <f t="shared" si="135"/>
        <v>25410</v>
      </c>
    </row>
    <row r="1314" spans="2:18" hidden="1" x14ac:dyDescent="0.25">
      <c r="B1314" s="21" t="s">
        <v>395</v>
      </c>
      <c r="C1314" s="22" t="s">
        <v>2459</v>
      </c>
      <c r="D1314" s="22"/>
      <c r="E1314" s="21" t="s">
        <v>75</v>
      </c>
      <c r="F1314" s="21"/>
      <c r="G1314" s="147" t="s">
        <v>1142</v>
      </c>
      <c r="H1314" s="23" t="s">
        <v>1466</v>
      </c>
      <c r="I1314" s="23"/>
      <c r="J1314" s="21" t="s">
        <v>1783</v>
      </c>
      <c r="K1314" s="21"/>
      <c r="L1314" s="21" t="s">
        <v>2904</v>
      </c>
      <c r="M1314" s="26">
        <v>43876</v>
      </c>
      <c r="N1314" s="44">
        <f>25410</f>
        <v>25410</v>
      </c>
      <c r="O1314" s="22" t="s">
        <v>15</v>
      </c>
      <c r="P1314" s="22" t="s">
        <v>19</v>
      </c>
      <c r="Q1314" s="24">
        <f t="shared" si="137"/>
        <v>0</v>
      </c>
      <c r="R1314" s="44">
        <f t="shared" si="135"/>
        <v>25410</v>
      </c>
    </row>
    <row r="1315" spans="2:18" hidden="1" x14ac:dyDescent="0.25">
      <c r="B1315" s="21" t="s">
        <v>395</v>
      </c>
      <c r="C1315" s="22" t="s">
        <v>2459</v>
      </c>
      <c r="D1315" s="22"/>
      <c r="E1315" s="21" t="s">
        <v>75</v>
      </c>
      <c r="F1315" s="21"/>
      <c r="G1315" s="147" t="s">
        <v>1142</v>
      </c>
      <c r="H1315" s="23" t="s">
        <v>1466</v>
      </c>
      <c r="I1315" s="23"/>
      <c r="J1315" s="21" t="s">
        <v>1783</v>
      </c>
      <c r="K1315" s="21"/>
      <c r="L1315" s="21" t="s">
        <v>3066</v>
      </c>
      <c r="M1315" s="26">
        <v>43905</v>
      </c>
      <c r="N1315" s="44">
        <f>25410</f>
        <v>25410</v>
      </c>
      <c r="O1315" s="22" t="s">
        <v>15</v>
      </c>
      <c r="P1315" s="22" t="s">
        <v>19</v>
      </c>
      <c r="Q1315" s="24">
        <f t="shared" si="137"/>
        <v>0</v>
      </c>
      <c r="R1315" s="44">
        <f t="shared" si="135"/>
        <v>25410</v>
      </c>
    </row>
    <row r="1316" spans="2:18" hidden="1" x14ac:dyDescent="0.25">
      <c r="B1316" s="21" t="s">
        <v>395</v>
      </c>
      <c r="C1316" s="22" t="s">
        <v>2459</v>
      </c>
      <c r="D1316" s="22"/>
      <c r="E1316" s="21" t="s">
        <v>75</v>
      </c>
      <c r="F1316" s="21"/>
      <c r="G1316" s="147" t="s">
        <v>1142</v>
      </c>
      <c r="H1316" s="23" t="s">
        <v>1466</v>
      </c>
      <c r="I1316" s="23"/>
      <c r="J1316" s="21" t="s">
        <v>1783</v>
      </c>
      <c r="K1316" s="21"/>
      <c r="L1316" s="21" t="s">
        <v>3206</v>
      </c>
      <c r="M1316" s="26">
        <v>43936</v>
      </c>
      <c r="N1316" s="44">
        <f>25410</f>
        <v>25410</v>
      </c>
      <c r="O1316" s="22" t="s">
        <v>15</v>
      </c>
      <c r="P1316" s="22" t="s">
        <v>19</v>
      </c>
      <c r="Q1316" s="24">
        <f t="shared" si="137"/>
        <v>0</v>
      </c>
      <c r="R1316" s="44">
        <f t="shared" si="135"/>
        <v>25410</v>
      </c>
    </row>
    <row r="1317" spans="2:18" hidden="1" x14ac:dyDescent="0.25">
      <c r="B1317" s="21" t="s">
        <v>395</v>
      </c>
      <c r="C1317" s="22" t="s">
        <v>2459</v>
      </c>
      <c r="D1317" s="22"/>
      <c r="E1317" s="21" t="s">
        <v>75</v>
      </c>
      <c r="F1317" s="21"/>
      <c r="G1317" s="147" t="s">
        <v>1142</v>
      </c>
      <c r="H1317" s="23" t="s">
        <v>1466</v>
      </c>
      <c r="I1317" s="23"/>
      <c r="J1317" s="21" t="s">
        <v>1783</v>
      </c>
      <c r="K1317" s="21"/>
      <c r="L1317" s="21" t="s">
        <v>3331</v>
      </c>
      <c r="M1317" s="26">
        <v>43966</v>
      </c>
      <c r="N1317" s="44">
        <f>25410</f>
        <v>25410</v>
      </c>
      <c r="O1317" s="22" t="s">
        <v>15</v>
      </c>
      <c r="P1317" s="22" t="s">
        <v>19</v>
      </c>
      <c r="Q1317" s="24">
        <f t="shared" si="137"/>
        <v>0</v>
      </c>
      <c r="R1317" s="44">
        <f t="shared" si="135"/>
        <v>25410</v>
      </c>
    </row>
    <row r="1318" spans="2:18" hidden="1" x14ac:dyDescent="0.25">
      <c r="B1318" s="21" t="s">
        <v>395</v>
      </c>
      <c r="C1318" s="22" t="s">
        <v>2459</v>
      </c>
      <c r="D1318" s="22"/>
      <c r="E1318" s="21" t="s">
        <v>75</v>
      </c>
      <c r="F1318" s="21"/>
      <c r="G1318" s="147" t="s">
        <v>1142</v>
      </c>
      <c r="H1318" s="23" t="s">
        <v>1466</v>
      </c>
      <c r="I1318" s="23"/>
      <c r="J1318" s="21" t="s">
        <v>1783</v>
      </c>
      <c r="K1318" s="21"/>
      <c r="L1318" s="21" t="s">
        <v>3452</v>
      </c>
      <c r="M1318" s="26">
        <v>43997</v>
      </c>
      <c r="N1318" s="44">
        <f>25410</f>
        <v>25410</v>
      </c>
      <c r="O1318" s="22" t="s">
        <v>15</v>
      </c>
      <c r="P1318" s="22" t="s">
        <v>19</v>
      </c>
      <c r="Q1318" s="24">
        <f t="shared" si="137"/>
        <v>0</v>
      </c>
      <c r="R1318" s="44">
        <f t="shared" si="135"/>
        <v>25410</v>
      </c>
    </row>
    <row r="1319" spans="2:18" hidden="1" x14ac:dyDescent="0.25">
      <c r="B1319" s="21" t="s">
        <v>395</v>
      </c>
      <c r="C1319" s="22" t="s">
        <v>2459</v>
      </c>
      <c r="D1319" s="22"/>
      <c r="E1319" s="21" t="s">
        <v>75</v>
      </c>
      <c r="F1319" s="21"/>
      <c r="G1319" s="147" t="s">
        <v>1142</v>
      </c>
      <c r="H1319" s="23" t="s">
        <v>1466</v>
      </c>
      <c r="I1319" s="23"/>
      <c r="J1319" s="21" t="s">
        <v>1783</v>
      </c>
      <c r="K1319" s="120"/>
      <c r="L1319" s="21" t="s">
        <v>3606</v>
      </c>
      <c r="M1319" s="26">
        <v>44027</v>
      </c>
      <c r="N1319" s="44">
        <f>25410</f>
        <v>25410</v>
      </c>
      <c r="O1319" s="22" t="s">
        <v>15</v>
      </c>
      <c r="P1319" s="44" t="s">
        <v>19</v>
      </c>
      <c r="Q1319" s="24">
        <f t="shared" si="137"/>
        <v>0</v>
      </c>
      <c r="R1319" s="24">
        <f t="shared" si="135"/>
        <v>25410</v>
      </c>
    </row>
    <row r="1320" spans="2:18" hidden="1" x14ac:dyDescent="0.25">
      <c r="B1320" s="21" t="s">
        <v>395</v>
      </c>
      <c r="C1320" s="22" t="s">
        <v>2459</v>
      </c>
      <c r="D1320" s="22"/>
      <c r="E1320" s="21" t="s">
        <v>75</v>
      </c>
      <c r="F1320" s="21"/>
      <c r="G1320" s="147" t="s">
        <v>1142</v>
      </c>
      <c r="H1320" s="23" t="s">
        <v>1466</v>
      </c>
      <c r="I1320" s="23"/>
      <c r="J1320" s="21" t="s">
        <v>1783</v>
      </c>
      <c r="K1320" s="120"/>
      <c r="L1320" s="21" t="s">
        <v>3674</v>
      </c>
      <c r="M1320" s="26">
        <v>44058</v>
      </c>
      <c r="N1320" s="44">
        <f>25410</f>
        <v>25410</v>
      </c>
      <c r="O1320" s="22" t="s">
        <v>15</v>
      </c>
      <c r="P1320" s="44" t="s">
        <v>19</v>
      </c>
      <c r="Q1320" s="24">
        <f t="shared" si="137"/>
        <v>0</v>
      </c>
      <c r="R1320" s="24">
        <f t="shared" si="135"/>
        <v>25410</v>
      </c>
    </row>
    <row r="1321" spans="2:18" hidden="1" x14ac:dyDescent="0.25">
      <c r="B1321" s="21" t="s">
        <v>395</v>
      </c>
      <c r="C1321" s="22" t="s">
        <v>2459</v>
      </c>
      <c r="D1321" s="22"/>
      <c r="E1321" s="21" t="s">
        <v>75</v>
      </c>
      <c r="F1321" s="21"/>
      <c r="G1321" s="147" t="s">
        <v>1142</v>
      </c>
      <c r="H1321" s="23" t="s">
        <v>1466</v>
      </c>
      <c r="I1321" s="23"/>
      <c r="J1321" s="21" t="s">
        <v>1783</v>
      </c>
      <c r="K1321" s="21"/>
      <c r="L1321" s="21" t="s">
        <v>3822</v>
      </c>
      <c r="M1321" s="26">
        <v>44089</v>
      </c>
      <c r="N1321" s="44">
        <f>25410</f>
        <v>25410</v>
      </c>
      <c r="O1321" s="22" t="s">
        <v>15</v>
      </c>
      <c r="P1321" s="22" t="s">
        <v>19</v>
      </c>
      <c r="Q1321" s="24">
        <f t="shared" si="137"/>
        <v>0</v>
      </c>
      <c r="R1321" s="44">
        <f t="shared" si="135"/>
        <v>25410</v>
      </c>
    </row>
    <row r="1322" spans="2:18" hidden="1" x14ac:dyDescent="0.25">
      <c r="B1322" s="21" t="s">
        <v>395</v>
      </c>
      <c r="C1322" s="22" t="s">
        <v>2459</v>
      </c>
      <c r="D1322" s="22"/>
      <c r="E1322" s="21" t="s">
        <v>75</v>
      </c>
      <c r="F1322" s="21"/>
      <c r="G1322" s="147" t="s">
        <v>1142</v>
      </c>
      <c r="H1322" s="23" t="s">
        <v>1466</v>
      </c>
      <c r="I1322" s="23"/>
      <c r="J1322" s="21" t="s">
        <v>1783</v>
      </c>
      <c r="K1322" s="120"/>
      <c r="L1322" s="21" t="s">
        <v>3920</v>
      </c>
      <c r="M1322" s="120">
        <v>44119</v>
      </c>
      <c r="N1322" s="44">
        <f>25410</f>
        <v>25410</v>
      </c>
      <c r="O1322" s="22" t="s">
        <v>15</v>
      </c>
      <c r="P1322" s="44" t="s">
        <v>19</v>
      </c>
      <c r="Q1322" s="24">
        <f t="shared" si="137"/>
        <v>0</v>
      </c>
      <c r="R1322" s="24">
        <f t="shared" si="135"/>
        <v>25410</v>
      </c>
    </row>
    <row r="1323" spans="2:18" hidden="1" x14ac:dyDescent="0.25">
      <c r="B1323" s="21" t="s">
        <v>8441</v>
      </c>
      <c r="C1323" s="22" t="s">
        <v>2459</v>
      </c>
      <c r="D1323" s="22"/>
      <c r="E1323" s="21" t="s">
        <v>75</v>
      </c>
      <c r="F1323" s="21"/>
      <c r="G1323" s="147" t="s">
        <v>1142</v>
      </c>
      <c r="H1323" s="23" t="s">
        <v>1466</v>
      </c>
      <c r="I1323" s="23"/>
      <c r="J1323" s="21" t="s">
        <v>1470</v>
      </c>
      <c r="K1323" s="120"/>
      <c r="L1323" s="21" t="s">
        <v>8440</v>
      </c>
      <c r="M1323" s="120">
        <v>45076</v>
      </c>
      <c r="N1323" s="44">
        <v>25740</v>
      </c>
      <c r="O1323" s="22" t="s">
        <v>15</v>
      </c>
      <c r="P1323" s="44">
        <f>22878</f>
        <v>22878</v>
      </c>
      <c r="Q1323" s="24">
        <v>0</v>
      </c>
      <c r="R1323" s="24">
        <f t="shared" si="135"/>
        <v>22878</v>
      </c>
    </row>
    <row r="1324" spans="2:18" hidden="1" x14ac:dyDescent="0.25">
      <c r="B1324" s="21" t="s">
        <v>395</v>
      </c>
      <c r="C1324" s="22" t="s">
        <v>2459</v>
      </c>
      <c r="D1324" s="22"/>
      <c r="E1324" s="21" t="s">
        <v>75</v>
      </c>
      <c r="F1324" s="21"/>
      <c r="G1324" s="147" t="s">
        <v>1142</v>
      </c>
      <c r="H1324" s="23" t="s">
        <v>1466</v>
      </c>
      <c r="I1324" s="23"/>
      <c r="J1324" s="21" t="s">
        <v>1501</v>
      </c>
      <c r="K1324" s="21"/>
      <c r="L1324" s="21"/>
      <c r="M1324" s="26" t="s">
        <v>1505</v>
      </c>
      <c r="N1324" s="44">
        <f>(0.4*38995)-9093.2</f>
        <v>6504.7999999999993</v>
      </c>
      <c r="O1324" s="22" t="s">
        <v>15</v>
      </c>
      <c r="P1324" s="22" t="s">
        <v>19</v>
      </c>
      <c r="Q1324" s="24">
        <f t="shared" ref="Q1324:Q1355" si="138">IF(P1324="en cours",N1324,IF(P1324="OK",0,IF(N1324-P1324&lt;0,0,N1324-P1324)))</f>
        <v>0</v>
      </c>
      <c r="R1324" s="44">
        <f t="shared" si="135"/>
        <v>6504.7999999999993</v>
      </c>
    </row>
    <row r="1325" spans="2:18" hidden="1" x14ac:dyDescent="0.25">
      <c r="B1325" s="21" t="s">
        <v>395</v>
      </c>
      <c r="C1325" s="22" t="s">
        <v>2459</v>
      </c>
      <c r="D1325" s="22"/>
      <c r="E1325" s="21" t="s">
        <v>75</v>
      </c>
      <c r="F1325" s="21"/>
      <c r="G1325" s="147" t="s">
        <v>1142</v>
      </c>
      <c r="H1325" s="23" t="s">
        <v>1466</v>
      </c>
      <c r="I1325" s="23"/>
      <c r="J1325" s="21" t="s">
        <v>1502</v>
      </c>
      <c r="K1325" s="21"/>
      <c r="L1325" s="21"/>
      <c r="M1325" s="26" t="s">
        <v>1623</v>
      </c>
      <c r="N1325" s="44">
        <f>0.3*38995</f>
        <v>11698.5</v>
      </c>
      <c r="O1325" s="22" t="s">
        <v>15</v>
      </c>
      <c r="P1325" s="22" t="s">
        <v>19</v>
      </c>
      <c r="Q1325" s="24">
        <f t="shared" si="138"/>
        <v>0</v>
      </c>
      <c r="R1325" s="44">
        <f t="shared" si="135"/>
        <v>11698.5</v>
      </c>
    </row>
    <row r="1326" spans="2:18" hidden="1" x14ac:dyDescent="0.25">
      <c r="B1326" s="21" t="s">
        <v>395</v>
      </c>
      <c r="C1326" s="22" t="s">
        <v>2459</v>
      </c>
      <c r="D1326" s="22"/>
      <c r="E1326" s="21" t="s">
        <v>75</v>
      </c>
      <c r="F1326" s="21"/>
      <c r="G1326" s="147" t="s">
        <v>1142</v>
      </c>
      <c r="H1326" s="23" t="s">
        <v>1466</v>
      </c>
      <c r="I1326" s="23"/>
      <c r="J1326" s="21" t="s">
        <v>1503</v>
      </c>
      <c r="K1326" s="21"/>
      <c r="L1326" s="21"/>
      <c r="M1326" s="26" t="s">
        <v>1705</v>
      </c>
      <c r="N1326" s="44">
        <f>0.3*38995</f>
        <v>11698.5</v>
      </c>
      <c r="O1326" s="22" t="s">
        <v>15</v>
      </c>
      <c r="P1326" s="22" t="s">
        <v>19</v>
      </c>
      <c r="Q1326" s="24">
        <f t="shared" si="138"/>
        <v>0</v>
      </c>
      <c r="R1326" s="44">
        <f t="shared" si="135"/>
        <v>11698.5</v>
      </c>
    </row>
    <row r="1327" spans="2:18" hidden="1" x14ac:dyDescent="0.25">
      <c r="B1327" s="21" t="s">
        <v>395</v>
      </c>
      <c r="C1327" s="22" t="s">
        <v>2459</v>
      </c>
      <c r="D1327" s="22"/>
      <c r="E1327" s="21" t="s">
        <v>75</v>
      </c>
      <c r="F1327" s="21"/>
      <c r="G1327" s="147" t="s">
        <v>1142</v>
      </c>
      <c r="H1327" s="23" t="s">
        <v>3947</v>
      </c>
      <c r="I1327" s="23"/>
      <c r="J1327" s="21" t="s">
        <v>180</v>
      </c>
      <c r="K1327" s="21"/>
      <c r="L1327" s="21" t="s">
        <v>4682</v>
      </c>
      <c r="M1327" s="26" t="s">
        <v>4683</v>
      </c>
      <c r="N1327" s="44">
        <f>57000+6600</f>
        <v>63600</v>
      </c>
      <c r="O1327" s="22" t="s">
        <v>15</v>
      </c>
      <c r="P1327" s="44">
        <f>4015.96+4538.98+4639.91+3996.1+7611.39+3731.76+5857.57+9335.6+4466.91+3770.62+1279.45+1558.96+2623.93+2960.14+2064.96+429.86+1001.32</f>
        <v>63883.419999999991</v>
      </c>
      <c r="Q1327" s="24">
        <f t="shared" si="138"/>
        <v>0</v>
      </c>
      <c r="R1327" s="44">
        <f t="shared" si="135"/>
        <v>63883.419999999991</v>
      </c>
    </row>
    <row r="1328" spans="2:18" hidden="1" x14ac:dyDescent="0.25">
      <c r="B1328" s="21" t="s">
        <v>395</v>
      </c>
      <c r="C1328" s="22" t="s">
        <v>2459</v>
      </c>
      <c r="D1328" s="22"/>
      <c r="E1328" s="21" t="s">
        <v>75</v>
      </c>
      <c r="F1328" s="21"/>
      <c r="G1328" s="147" t="s">
        <v>1142</v>
      </c>
      <c r="H1328" s="23" t="s">
        <v>3948</v>
      </c>
      <c r="I1328" s="23"/>
      <c r="J1328" s="21" t="s">
        <v>2403</v>
      </c>
      <c r="K1328" s="21"/>
      <c r="L1328" s="21" t="s">
        <v>2540</v>
      </c>
      <c r="M1328" s="26">
        <v>43784</v>
      </c>
      <c r="N1328" s="44">
        <f t="shared" ref="N1328:N1339" si="139">3420/12</f>
        <v>285</v>
      </c>
      <c r="O1328" s="22" t="s">
        <v>15</v>
      </c>
      <c r="P1328" s="22" t="s">
        <v>19</v>
      </c>
      <c r="Q1328" s="24">
        <f t="shared" si="138"/>
        <v>0</v>
      </c>
      <c r="R1328" s="44">
        <f t="shared" ref="R1328:R1358" si="140">IF(P1328="OK",N1328-Q1328,IF(P1328="en cours",N1328-Q1328,P1328))</f>
        <v>285</v>
      </c>
    </row>
    <row r="1329" spans="2:18" hidden="1" x14ac:dyDescent="0.25">
      <c r="B1329" s="21" t="s">
        <v>395</v>
      </c>
      <c r="C1329" s="22" t="s">
        <v>2459</v>
      </c>
      <c r="D1329" s="22"/>
      <c r="E1329" s="21" t="s">
        <v>75</v>
      </c>
      <c r="F1329" s="21"/>
      <c r="G1329" s="147" t="s">
        <v>1142</v>
      </c>
      <c r="H1329" s="23" t="s">
        <v>3948</v>
      </c>
      <c r="I1329" s="23"/>
      <c r="J1329" s="21" t="s">
        <v>2403</v>
      </c>
      <c r="K1329" s="21"/>
      <c r="L1329" s="21" t="s">
        <v>2540</v>
      </c>
      <c r="M1329" s="26">
        <v>43784</v>
      </c>
      <c r="N1329" s="44">
        <f t="shared" si="139"/>
        <v>285</v>
      </c>
      <c r="O1329" s="22" t="s">
        <v>15</v>
      </c>
      <c r="P1329" s="22" t="s">
        <v>19</v>
      </c>
      <c r="Q1329" s="24">
        <f t="shared" si="138"/>
        <v>0</v>
      </c>
      <c r="R1329" s="44">
        <f t="shared" si="140"/>
        <v>285</v>
      </c>
    </row>
    <row r="1330" spans="2:18" hidden="1" x14ac:dyDescent="0.25">
      <c r="B1330" s="21" t="s">
        <v>395</v>
      </c>
      <c r="C1330" s="22" t="s">
        <v>2459</v>
      </c>
      <c r="D1330" s="22"/>
      <c r="E1330" s="21" t="s">
        <v>75</v>
      </c>
      <c r="F1330" s="21"/>
      <c r="G1330" s="147" t="s">
        <v>1142</v>
      </c>
      <c r="H1330" s="23" t="s">
        <v>3948</v>
      </c>
      <c r="I1330" s="23"/>
      <c r="J1330" s="21" t="s">
        <v>2403</v>
      </c>
      <c r="K1330" s="21"/>
      <c r="L1330" s="21" t="s">
        <v>2540</v>
      </c>
      <c r="M1330" s="26">
        <v>43784</v>
      </c>
      <c r="N1330" s="44">
        <f t="shared" si="139"/>
        <v>285</v>
      </c>
      <c r="O1330" s="22" t="s">
        <v>15</v>
      </c>
      <c r="P1330" s="22" t="s">
        <v>19</v>
      </c>
      <c r="Q1330" s="24">
        <f t="shared" si="138"/>
        <v>0</v>
      </c>
      <c r="R1330" s="44">
        <f t="shared" si="140"/>
        <v>285</v>
      </c>
    </row>
    <row r="1331" spans="2:18" hidden="1" x14ac:dyDescent="0.25">
      <c r="B1331" s="21" t="s">
        <v>395</v>
      </c>
      <c r="C1331" s="22" t="s">
        <v>2459</v>
      </c>
      <c r="D1331" s="22"/>
      <c r="E1331" s="21" t="s">
        <v>75</v>
      </c>
      <c r="F1331" s="21"/>
      <c r="G1331" s="147" t="s">
        <v>1142</v>
      </c>
      <c r="H1331" s="23" t="s">
        <v>3948</v>
      </c>
      <c r="I1331" s="23"/>
      <c r="J1331" s="21" t="s">
        <v>2403</v>
      </c>
      <c r="K1331" s="21"/>
      <c r="L1331" s="21" t="s">
        <v>2540</v>
      </c>
      <c r="M1331" s="26">
        <v>43784</v>
      </c>
      <c r="N1331" s="44">
        <f t="shared" si="139"/>
        <v>285</v>
      </c>
      <c r="O1331" s="22" t="s">
        <v>15</v>
      </c>
      <c r="P1331" s="22" t="s">
        <v>19</v>
      </c>
      <c r="Q1331" s="24">
        <f t="shared" si="138"/>
        <v>0</v>
      </c>
      <c r="R1331" s="44">
        <f t="shared" si="140"/>
        <v>285</v>
      </c>
    </row>
    <row r="1332" spans="2:18" hidden="1" x14ac:dyDescent="0.25">
      <c r="B1332" s="21" t="s">
        <v>395</v>
      </c>
      <c r="C1332" s="22" t="s">
        <v>2459</v>
      </c>
      <c r="D1332" s="22"/>
      <c r="E1332" s="21" t="s">
        <v>75</v>
      </c>
      <c r="F1332" s="21"/>
      <c r="G1332" s="147" t="s">
        <v>1142</v>
      </c>
      <c r="H1332" s="23" t="s">
        <v>3948</v>
      </c>
      <c r="I1332" s="23"/>
      <c r="J1332" s="21" t="s">
        <v>2403</v>
      </c>
      <c r="K1332" s="21"/>
      <c r="L1332" s="21" t="s">
        <v>2540</v>
      </c>
      <c r="M1332" s="26">
        <v>43784</v>
      </c>
      <c r="N1332" s="44">
        <f t="shared" si="139"/>
        <v>285</v>
      </c>
      <c r="O1332" s="22" t="s">
        <v>15</v>
      </c>
      <c r="P1332" s="22" t="s">
        <v>19</v>
      </c>
      <c r="Q1332" s="24">
        <f t="shared" si="138"/>
        <v>0</v>
      </c>
      <c r="R1332" s="44">
        <f t="shared" si="140"/>
        <v>285</v>
      </c>
    </row>
    <row r="1333" spans="2:18" hidden="1" x14ac:dyDescent="0.25">
      <c r="B1333" s="21" t="s">
        <v>395</v>
      </c>
      <c r="C1333" s="22" t="s">
        <v>2459</v>
      </c>
      <c r="D1333" s="22"/>
      <c r="E1333" s="21" t="s">
        <v>75</v>
      </c>
      <c r="F1333" s="21"/>
      <c r="G1333" s="147" t="s">
        <v>1142</v>
      </c>
      <c r="H1333" s="23" t="s">
        <v>3948</v>
      </c>
      <c r="I1333" s="23"/>
      <c r="J1333" s="21" t="s">
        <v>2403</v>
      </c>
      <c r="K1333" s="21"/>
      <c r="L1333" s="21" t="s">
        <v>2540</v>
      </c>
      <c r="M1333" s="26">
        <v>43784</v>
      </c>
      <c r="N1333" s="44">
        <f t="shared" si="139"/>
        <v>285</v>
      </c>
      <c r="O1333" s="22" t="s">
        <v>15</v>
      </c>
      <c r="P1333" s="22" t="s">
        <v>19</v>
      </c>
      <c r="Q1333" s="24">
        <f t="shared" si="138"/>
        <v>0</v>
      </c>
      <c r="R1333" s="44">
        <f t="shared" si="140"/>
        <v>285</v>
      </c>
    </row>
    <row r="1334" spans="2:18" hidden="1" x14ac:dyDescent="0.25">
      <c r="B1334" s="21" t="s">
        <v>395</v>
      </c>
      <c r="C1334" s="22" t="s">
        <v>2459</v>
      </c>
      <c r="D1334" s="22"/>
      <c r="E1334" s="21" t="s">
        <v>75</v>
      </c>
      <c r="F1334" s="21"/>
      <c r="G1334" s="147" t="s">
        <v>1142</v>
      </c>
      <c r="H1334" s="23" t="s">
        <v>3948</v>
      </c>
      <c r="I1334" s="23"/>
      <c r="J1334" s="21" t="s">
        <v>2403</v>
      </c>
      <c r="K1334" s="21"/>
      <c r="L1334" s="21" t="s">
        <v>2540</v>
      </c>
      <c r="M1334" s="26">
        <v>43784</v>
      </c>
      <c r="N1334" s="44">
        <f t="shared" si="139"/>
        <v>285</v>
      </c>
      <c r="O1334" s="22" t="s">
        <v>15</v>
      </c>
      <c r="P1334" s="22" t="s">
        <v>19</v>
      </c>
      <c r="Q1334" s="24">
        <f t="shared" si="138"/>
        <v>0</v>
      </c>
      <c r="R1334" s="44">
        <f t="shared" si="140"/>
        <v>285</v>
      </c>
    </row>
    <row r="1335" spans="2:18" hidden="1" x14ac:dyDescent="0.25">
      <c r="B1335" s="21" t="s">
        <v>395</v>
      </c>
      <c r="C1335" s="22" t="s">
        <v>2459</v>
      </c>
      <c r="D1335" s="22"/>
      <c r="E1335" s="21" t="s">
        <v>75</v>
      </c>
      <c r="F1335" s="21"/>
      <c r="G1335" s="147" t="s">
        <v>1142</v>
      </c>
      <c r="H1335" s="23" t="s">
        <v>3948</v>
      </c>
      <c r="I1335" s="23"/>
      <c r="J1335" s="21" t="s">
        <v>2403</v>
      </c>
      <c r="K1335" s="21"/>
      <c r="L1335" s="21" t="s">
        <v>2540</v>
      </c>
      <c r="M1335" s="26">
        <v>43784</v>
      </c>
      <c r="N1335" s="44">
        <f t="shared" si="139"/>
        <v>285</v>
      </c>
      <c r="O1335" s="22" t="s">
        <v>15</v>
      </c>
      <c r="P1335" s="22" t="s">
        <v>19</v>
      </c>
      <c r="Q1335" s="24">
        <f t="shared" si="138"/>
        <v>0</v>
      </c>
      <c r="R1335" s="44">
        <f t="shared" si="140"/>
        <v>285</v>
      </c>
    </row>
    <row r="1336" spans="2:18" hidden="1" x14ac:dyDescent="0.25">
      <c r="B1336" s="21" t="s">
        <v>395</v>
      </c>
      <c r="C1336" s="22" t="s">
        <v>2459</v>
      </c>
      <c r="D1336" s="22"/>
      <c r="E1336" s="21" t="s">
        <v>75</v>
      </c>
      <c r="F1336" s="21"/>
      <c r="G1336" s="147" t="s">
        <v>1142</v>
      </c>
      <c r="H1336" s="23" t="s">
        <v>3948</v>
      </c>
      <c r="I1336" s="23"/>
      <c r="J1336" s="21" t="s">
        <v>2403</v>
      </c>
      <c r="K1336" s="21"/>
      <c r="L1336" s="21" t="s">
        <v>2540</v>
      </c>
      <c r="M1336" s="26">
        <v>43784</v>
      </c>
      <c r="N1336" s="44">
        <f t="shared" si="139"/>
        <v>285</v>
      </c>
      <c r="O1336" s="22" t="s">
        <v>15</v>
      </c>
      <c r="P1336" s="22" t="s">
        <v>19</v>
      </c>
      <c r="Q1336" s="24">
        <f t="shared" si="138"/>
        <v>0</v>
      </c>
      <c r="R1336" s="44">
        <f t="shared" si="140"/>
        <v>285</v>
      </c>
    </row>
    <row r="1337" spans="2:18" hidden="1" x14ac:dyDescent="0.25">
      <c r="B1337" s="21" t="s">
        <v>395</v>
      </c>
      <c r="C1337" s="22" t="s">
        <v>2459</v>
      </c>
      <c r="D1337" s="22"/>
      <c r="E1337" s="21" t="s">
        <v>75</v>
      </c>
      <c r="F1337" s="21"/>
      <c r="G1337" s="147" t="s">
        <v>1142</v>
      </c>
      <c r="H1337" s="23" t="s">
        <v>3948</v>
      </c>
      <c r="I1337" s="23"/>
      <c r="J1337" s="21" t="s">
        <v>2403</v>
      </c>
      <c r="K1337" s="21"/>
      <c r="L1337" s="21" t="s">
        <v>2540</v>
      </c>
      <c r="M1337" s="26">
        <v>43784</v>
      </c>
      <c r="N1337" s="44">
        <f t="shared" si="139"/>
        <v>285</v>
      </c>
      <c r="O1337" s="22" t="s">
        <v>15</v>
      </c>
      <c r="P1337" s="22" t="s">
        <v>19</v>
      </c>
      <c r="Q1337" s="24">
        <f t="shared" si="138"/>
        <v>0</v>
      </c>
      <c r="R1337" s="44">
        <f t="shared" si="140"/>
        <v>285</v>
      </c>
    </row>
    <row r="1338" spans="2:18" hidden="1" x14ac:dyDescent="0.25">
      <c r="B1338" s="21" t="s">
        <v>395</v>
      </c>
      <c r="C1338" s="22" t="s">
        <v>2459</v>
      </c>
      <c r="D1338" s="22"/>
      <c r="E1338" s="21" t="s">
        <v>75</v>
      </c>
      <c r="F1338" s="21"/>
      <c r="G1338" s="147" t="s">
        <v>1142</v>
      </c>
      <c r="H1338" s="23" t="s">
        <v>3948</v>
      </c>
      <c r="I1338" s="23"/>
      <c r="J1338" s="21" t="s">
        <v>2403</v>
      </c>
      <c r="K1338" s="21"/>
      <c r="L1338" s="21" t="s">
        <v>2540</v>
      </c>
      <c r="M1338" s="26">
        <v>43784</v>
      </c>
      <c r="N1338" s="44">
        <f t="shared" si="139"/>
        <v>285</v>
      </c>
      <c r="O1338" s="22" t="s">
        <v>15</v>
      </c>
      <c r="P1338" s="22" t="s">
        <v>19</v>
      </c>
      <c r="Q1338" s="24">
        <f t="shared" si="138"/>
        <v>0</v>
      </c>
      <c r="R1338" s="44">
        <f t="shared" si="140"/>
        <v>285</v>
      </c>
    </row>
    <row r="1339" spans="2:18" hidden="1" x14ac:dyDescent="0.25">
      <c r="B1339" s="21" t="s">
        <v>395</v>
      </c>
      <c r="C1339" s="22" t="s">
        <v>2459</v>
      </c>
      <c r="D1339" s="22"/>
      <c r="E1339" s="21" t="s">
        <v>75</v>
      </c>
      <c r="F1339" s="21"/>
      <c r="G1339" s="147" t="s">
        <v>1142</v>
      </c>
      <c r="H1339" s="23" t="s">
        <v>3948</v>
      </c>
      <c r="I1339" s="23"/>
      <c r="J1339" s="21" t="s">
        <v>2403</v>
      </c>
      <c r="K1339" s="21"/>
      <c r="L1339" s="21" t="s">
        <v>2540</v>
      </c>
      <c r="M1339" s="26">
        <v>43784</v>
      </c>
      <c r="N1339" s="44">
        <f t="shared" si="139"/>
        <v>285</v>
      </c>
      <c r="O1339" s="22" t="s">
        <v>15</v>
      </c>
      <c r="P1339" s="22" t="s">
        <v>19</v>
      </c>
      <c r="Q1339" s="24">
        <f t="shared" si="138"/>
        <v>0</v>
      </c>
      <c r="R1339" s="44">
        <f t="shared" si="140"/>
        <v>285</v>
      </c>
    </row>
    <row r="1340" spans="2:18" hidden="1" x14ac:dyDescent="0.25">
      <c r="B1340" s="21" t="s">
        <v>395</v>
      </c>
      <c r="C1340" s="22" t="s">
        <v>2459</v>
      </c>
      <c r="D1340" s="22"/>
      <c r="E1340" s="21" t="s">
        <v>75</v>
      </c>
      <c r="F1340" s="21"/>
      <c r="G1340" s="147" t="s">
        <v>1142</v>
      </c>
      <c r="H1340" s="23" t="s">
        <v>3948</v>
      </c>
      <c r="I1340" s="23"/>
      <c r="J1340" s="21" t="s">
        <v>2404</v>
      </c>
      <c r="K1340" s="21"/>
      <c r="L1340" s="21" t="s">
        <v>2541</v>
      </c>
      <c r="M1340" s="26">
        <v>43784</v>
      </c>
      <c r="N1340" s="44">
        <v>2106</v>
      </c>
      <c r="O1340" s="22" t="s">
        <v>15</v>
      </c>
      <c r="P1340" s="22" t="s">
        <v>19</v>
      </c>
      <c r="Q1340" s="24">
        <f t="shared" si="138"/>
        <v>0</v>
      </c>
      <c r="R1340" s="44">
        <f t="shared" si="140"/>
        <v>2106</v>
      </c>
    </row>
    <row r="1341" spans="2:18" hidden="1" x14ac:dyDescent="0.25">
      <c r="B1341" s="21" t="s">
        <v>395</v>
      </c>
      <c r="C1341" s="22" t="s">
        <v>2459</v>
      </c>
      <c r="D1341" s="22"/>
      <c r="E1341" s="21" t="s">
        <v>75</v>
      </c>
      <c r="F1341" s="21"/>
      <c r="G1341" s="147" t="s">
        <v>1142</v>
      </c>
      <c r="H1341" s="23" t="s">
        <v>3946</v>
      </c>
      <c r="I1341" s="23"/>
      <c r="J1341" s="21" t="s">
        <v>2815</v>
      </c>
      <c r="K1341" s="21"/>
      <c r="L1341" s="21" t="s">
        <v>3064</v>
      </c>
      <c r="M1341" s="26" t="s">
        <v>3065</v>
      </c>
      <c r="N1341" s="44">
        <f>4500+5175</f>
        <v>9675</v>
      </c>
      <c r="O1341" s="22" t="s">
        <v>15</v>
      </c>
      <c r="P1341" s="44">
        <f>4500+5175</f>
        <v>9675</v>
      </c>
      <c r="Q1341" s="24">
        <f t="shared" si="138"/>
        <v>0</v>
      </c>
      <c r="R1341" s="44">
        <f t="shared" si="140"/>
        <v>9675</v>
      </c>
    </row>
    <row r="1342" spans="2:18" hidden="1" x14ac:dyDescent="0.25">
      <c r="B1342" s="21" t="s">
        <v>395</v>
      </c>
      <c r="C1342" s="22" t="s">
        <v>2459</v>
      </c>
      <c r="D1342" s="22"/>
      <c r="E1342" s="21" t="s">
        <v>75</v>
      </c>
      <c r="F1342" s="21"/>
      <c r="G1342" s="147" t="s">
        <v>1142</v>
      </c>
      <c r="H1342" s="23" t="s">
        <v>3946</v>
      </c>
      <c r="I1342" s="23"/>
      <c r="J1342" s="21" t="s">
        <v>2816</v>
      </c>
      <c r="K1342" s="21"/>
      <c r="L1342" s="21" t="s">
        <v>3207</v>
      </c>
      <c r="M1342" s="26">
        <v>43936</v>
      </c>
      <c r="N1342" s="44">
        <v>5175</v>
      </c>
      <c r="O1342" s="22" t="s">
        <v>15</v>
      </c>
      <c r="P1342" s="22" t="s">
        <v>19</v>
      </c>
      <c r="Q1342" s="24">
        <f t="shared" si="138"/>
        <v>0</v>
      </c>
      <c r="R1342" s="44">
        <f t="shared" si="140"/>
        <v>5175</v>
      </c>
    </row>
    <row r="1343" spans="2:18" hidden="1" x14ac:dyDescent="0.25">
      <c r="B1343" s="21" t="s">
        <v>395</v>
      </c>
      <c r="C1343" s="22" t="s">
        <v>2459</v>
      </c>
      <c r="D1343" s="22"/>
      <c r="E1343" s="21" t="s">
        <v>75</v>
      </c>
      <c r="F1343" s="21"/>
      <c r="G1343" s="147" t="s">
        <v>1142</v>
      </c>
      <c r="H1343" s="23" t="s">
        <v>3946</v>
      </c>
      <c r="I1343" s="23"/>
      <c r="J1343" s="21" t="s">
        <v>2816</v>
      </c>
      <c r="K1343" s="21"/>
      <c r="L1343" s="21" t="s">
        <v>3332</v>
      </c>
      <c r="M1343" s="26">
        <v>43966</v>
      </c>
      <c r="N1343" s="44">
        <v>5175</v>
      </c>
      <c r="O1343" s="22" t="s">
        <v>15</v>
      </c>
      <c r="P1343" s="22" t="s">
        <v>19</v>
      </c>
      <c r="Q1343" s="24">
        <f t="shared" si="138"/>
        <v>0</v>
      </c>
      <c r="R1343" s="44">
        <f t="shared" si="140"/>
        <v>5175</v>
      </c>
    </row>
    <row r="1344" spans="2:18" hidden="1" x14ac:dyDescent="0.25">
      <c r="B1344" s="21" t="s">
        <v>395</v>
      </c>
      <c r="C1344" s="22" t="s">
        <v>2459</v>
      </c>
      <c r="D1344" s="22"/>
      <c r="E1344" s="21" t="s">
        <v>75</v>
      </c>
      <c r="F1344" s="21"/>
      <c r="G1344" s="147" t="s">
        <v>1142</v>
      </c>
      <c r="H1344" s="23" t="s">
        <v>3946</v>
      </c>
      <c r="I1344" s="23"/>
      <c r="J1344" s="21" t="s">
        <v>2816</v>
      </c>
      <c r="K1344" s="21"/>
      <c r="L1344" s="21" t="s">
        <v>3453</v>
      </c>
      <c r="M1344" s="26">
        <v>43997</v>
      </c>
      <c r="N1344" s="44">
        <v>5175</v>
      </c>
      <c r="O1344" s="22" t="s">
        <v>15</v>
      </c>
      <c r="P1344" s="22" t="s">
        <v>19</v>
      </c>
      <c r="Q1344" s="24">
        <f t="shared" si="138"/>
        <v>0</v>
      </c>
      <c r="R1344" s="44">
        <f t="shared" si="140"/>
        <v>5175</v>
      </c>
    </row>
    <row r="1345" spans="1:18" hidden="1" x14ac:dyDescent="0.25">
      <c r="B1345" s="21" t="s">
        <v>395</v>
      </c>
      <c r="C1345" s="22" t="s">
        <v>2459</v>
      </c>
      <c r="D1345" s="22"/>
      <c r="E1345" s="21" t="s">
        <v>75</v>
      </c>
      <c r="F1345" s="21"/>
      <c r="G1345" s="147" t="s">
        <v>1142</v>
      </c>
      <c r="H1345" s="23" t="s">
        <v>3946</v>
      </c>
      <c r="I1345" s="23"/>
      <c r="J1345" s="21" t="s">
        <v>2816</v>
      </c>
      <c r="K1345" s="21"/>
      <c r="L1345" s="21" t="s">
        <v>3607</v>
      </c>
      <c r="M1345" s="26">
        <v>44027</v>
      </c>
      <c r="N1345" s="44">
        <v>5175</v>
      </c>
      <c r="O1345" s="22" t="s">
        <v>15</v>
      </c>
      <c r="P1345" s="22" t="s">
        <v>19</v>
      </c>
      <c r="Q1345" s="24">
        <f t="shared" si="138"/>
        <v>0</v>
      </c>
      <c r="R1345" s="44">
        <f t="shared" si="140"/>
        <v>5175</v>
      </c>
    </row>
    <row r="1346" spans="1:18" hidden="1" x14ac:dyDescent="0.25">
      <c r="B1346" s="21" t="s">
        <v>395</v>
      </c>
      <c r="C1346" s="22" t="s">
        <v>2459</v>
      </c>
      <c r="D1346" s="22"/>
      <c r="E1346" s="21" t="s">
        <v>75</v>
      </c>
      <c r="F1346" s="21"/>
      <c r="G1346" s="147" t="s">
        <v>1142</v>
      </c>
      <c r="H1346" s="23" t="s">
        <v>3946</v>
      </c>
      <c r="I1346" s="23"/>
      <c r="J1346" s="21" t="s">
        <v>2816</v>
      </c>
      <c r="K1346" s="21"/>
      <c r="L1346" s="21" t="s">
        <v>3673</v>
      </c>
      <c r="M1346" s="26">
        <v>44058</v>
      </c>
      <c r="N1346" s="44">
        <v>5175</v>
      </c>
      <c r="O1346" s="22" t="s">
        <v>15</v>
      </c>
      <c r="P1346" s="22" t="s">
        <v>19</v>
      </c>
      <c r="Q1346" s="24">
        <f t="shared" si="138"/>
        <v>0</v>
      </c>
      <c r="R1346" s="44">
        <f t="shared" si="140"/>
        <v>5175</v>
      </c>
    </row>
    <row r="1347" spans="1:18" hidden="1" x14ac:dyDescent="0.25">
      <c r="B1347" s="21" t="s">
        <v>395</v>
      </c>
      <c r="C1347" s="22" t="s">
        <v>2459</v>
      </c>
      <c r="D1347" s="22"/>
      <c r="E1347" s="21" t="s">
        <v>75</v>
      </c>
      <c r="F1347" s="21"/>
      <c r="G1347" s="147" t="s">
        <v>1142</v>
      </c>
      <c r="H1347" s="23" t="s">
        <v>3946</v>
      </c>
      <c r="I1347" s="23"/>
      <c r="J1347" s="21" t="s">
        <v>2816</v>
      </c>
      <c r="K1347" s="21"/>
      <c r="L1347" s="21" t="s">
        <v>3823</v>
      </c>
      <c r="M1347" s="26">
        <v>44089</v>
      </c>
      <c r="N1347" s="44">
        <v>5175</v>
      </c>
      <c r="O1347" s="22" t="s">
        <v>15</v>
      </c>
      <c r="P1347" s="22" t="s">
        <v>19</v>
      </c>
      <c r="Q1347" s="24">
        <f t="shared" si="138"/>
        <v>0</v>
      </c>
      <c r="R1347" s="44">
        <f t="shared" si="140"/>
        <v>5175</v>
      </c>
    </row>
    <row r="1348" spans="1:18" hidden="1" x14ac:dyDescent="0.25">
      <c r="B1348" s="21" t="s">
        <v>395</v>
      </c>
      <c r="C1348" s="22" t="s">
        <v>2459</v>
      </c>
      <c r="D1348" s="22"/>
      <c r="E1348" s="21" t="s">
        <v>75</v>
      </c>
      <c r="F1348" s="21"/>
      <c r="G1348" s="147" t="s">
        <v>1142</v>
      </c>
      <c r="H1348" s="23" t="s">
        <v>3946</v>
      </c>
      <c r="I1348" s="23"/>
      <c r="J1348" s="21" t="s">
        <v>2816</v>
      </c>
      <c r="K1348" s="120"/>
      <c r="L1348" s="120" t="s">
        <v>3921</v>
      </c>
      <c r="M1348" s="26">
        <v>44119</v>
      </c>
      <c r="N1348" s="44">
        <v>5175</v>
      </c>
      <c r="O1348" s="22" t="s">
        <v>15</v>
      </c>
      <c r="P1348" s="22" t="s">
        <v>19</v>
      </c>
      <c r="Q1348" s="24">
        <f t="shared" si="138"/>
        <v>0</v>
      </c>
      <c r="R1348" s="24">
        <f t="shared" si="140"/>
        <v>5175</v>
      </c>
    </row>
    <row r="1349" spans="1:18" hidden="1" x14ac:dyDescent="0.25">
      <c r="B1349" s="21" t="s">
        <v>395</v>
      </c>
      <c r="C1349" s="22" t="s">
        <v>2459</v>
      </c>
      <c r="D1349" s="22"/>
      <c r="E1349" s="21" t="s">
        <v>75</v>
      </c>
      <c r="F1349" s="21"/>
      <c r="G1349" s="147" t="s">
        <v>1142</v>
      </c>
      <c r="H1349" s="23" t="s">
        <v>3945</v>
      </c>
      <c r="I1349" s="23"/>
      <c r="J1349" s="21" t="s">
        <v>3087</v>
      </c>
      <c r="K1349" s="120"/>
      <c r="L1349" s="21" t="s">
        <v>3608</v>
      </c>
      <c r="M1349" s="26">
        <v>44042</v>
      </c>
      <c r="N1349" s="44">
        <v>2188</v>
      </c>
      <c r="O1349" s="22" t="s">
        <v>15</v>
      </c>
      <c r="P1349" s="22" t="s">
        <v>19</v>
      </c>
      <c r="Q1349" s="44">
        <f t="shared" si="138"/>
        <v>0</v>
      </c>
      <c r="R1349" s="24">
        <f t="shared" si="140"/>
        <v>2188</v>
      </c>
    </row>
    <row r="1350" spans="1:18" hidden="1" x14ac:dyDescent="0.25">
      <c r="B1350" s="21" t="s">
        <v>395</v>
      </c>
      <c r="C1350" s="22" t="s">
        <v>2459</v>
      </c>
      <c r="D1350" s="22"/>
      <c r="E1350" s="21" t="s">
        <v>75</v>
      </c>
      <c r="F1350" s="21"/>
      <c r="G1350" s="147" t="s">
        <v>1142</v>
      </c>
      <c r="H1350" s="23" t="s">
        <v>3945</v>
      </c>
      <c r="I1350" s="23"/>
      <c r="J1350" s="21" t="s">
        <v>3088</v>
      </c>
      <c r="K1350" s="120"/>
      <c r="L1350" s="21" t="s">
        <v>3608</v>
      </c>
      <c r="M1350" s="26">
        <v>44042</v>
      </c>
      <c r="N1350" s="44">
        <v>5580</v>
      </c>
      <c r="O1350" s="22" t="s">
        <v>15</v>
      </c>
      <c r="P1350" s="22" t="s">
        <v>19</v>
      </c>
      <c r="Q1350" s="44">
        <f t="shared" si="138"/>
        <v>0</v>
      </c>
      <c r="R1350" s="24">
        <f t="shared" si="140"/>
        <v>5580</v>
      </c>
    </row>
    <row r="1351" spans="1:18" hidden="1" x14ac:dyDescent="0.25">
      <c r="B1351" s="5" t="s">
        <v>12228</v>
      </c>
      <c r="C1351" s="4" t="s">
        <v>2459</v>
      </c>
      <c r="E1351" s="5" t="s">
        <v>75</v>
      </c>
      <c r="G1351" s="146" t="s">
        <v>1142</v>
      </c>
      <c r="H1351" s="7" t="s">
        <v>3944</v>
      </c>
      <c r="J1351" s="5" t="s">
        <v>3486</v>
      </c>
      <c r="K1351" s="13">
        <v>44166</v>
      </c>
      <c r="L1351" s="5" t="s">
        <v>3949</v>
      </c>
      <c r="M1351" s="115" t="s">
        <v>3950</v>
      </c>
      <c r="N1351" s="45">
        <v>45300</v>
      </c>
      <c r="O1351" s="4" t="s">
        <v>15</v>
      </c>
      <c r="P1351" s="372">
        <f>4500+8550+8550+8550+8550</f>
        <v>38700</v>
      </c>
      <c r="Q1351" s="45">
        <f t="shared" si="138"/>
        <v>6600</v>
      </c>
      <c r="R1351" s="3">
        <f t="shared" si="140"/>
        <v>38700</v>
      </c>
    </row>
    <row r="1352" spans="1:18" hidden="1" x14ac:dyDescent="0.25">
      <c r="B1352" s="21" t="s">
        <v>395</v>
      </c>
      <c r="C1352" s="22" t="s">
        <v>2459</v>
      </c>
      <c r="D1352" s="22"/>
      <c r="E1352" s="21" t="s">
        <v>75</v>
      </c>
      <c r="F1352" s="21"/>
      <c r="G1352" s="147" t="s">
        <v>1142</v>
      </c>
      <c r="H1352" s="23" t="s">
        <v>3994</v>
      </c>
      <c r="I1352" s="23"/>
      <c r="J1352" s="21" t="s">
        <v>3995</v>
      </c>
      <c r="K1352" s="120"/>
      <c r="L1352" s="21" t="s">
        <v>4060</v>
      </c>
      <c r="M1352" s="26">
        <v>44150</v>
      </c>
      <c r="N1352" s="44">
        <f t="shared" ref="N1352:N1357" si="141">98874/6</f>
        <v>16479</v>
      </c>
      <c r="O1352" s="22" t="s">
        <v>15</v>
      </c>
      <c r="P1352" s="22" t="s">
        <v>19</v>
      </c>
      <c r="Q1352" s="24">
        <f t="shared" si="138"/>
        <v>0</v>
      </c>
      <c r="R1352" s="24">
        <f t="shared" si="140"/>
        <v>16479</v>
      </c>
    </row>
    <row r="1353" spans="1:18" hidden="1" x14ac:dyDescent="0.25">
      <c r="B1353" s="21" t="s">
        <v>395</v>
      </c>
      <c r="C1353" s="22" t="s">
        <v>2459</v>
      </c>
      <c r="D1353" s="22"/>
      <c r="E1353" s="21" t="s">
        <v>75</v>
      </c>
      <c r="F1353" s="21"/>
      <c r="G1353" s="147" t="s">
        <v>1142</v>
      </c>
      <c r="H1353" s="23" t="s">
        <v>3994</v>
      </c>
      <c r="I1353" s="23"/>
      <c r="J1353" s="21" t="s">
        <v>3995</v>
      </c>
      <c r="K1353" s="120"/>
      <c r="L1353" s="21" t="s">
        <v>4333</v>
      </c>
      <c r="M1353" s="26">
        <v>44180</v>
      </c>
      <c r="N1353" s="44">
        <f t="shared" si="141"/>
        <v>16479</v>
      </c>
      <c r="O1353" s="22" t="s">
        <v>15</v>
      </c>
      <c r="P1353" s="22" t="s">
        <v>19</v>
      </c>
      <c r="Q1353" s="24">
        <f t="shared" si="138"/>
        <v>0</v>
      </c>
      <c r="R1353" s="24">
        <f t="shared" si="140"/>
        <v>16479</v>
      </c>
    </row>
    <row r="1354" spans="1:18" hidden="1" x14ac:dyDescent="0.25">
      <c r="B1354" s="21" t="s">
        <v>395</v>
      </c>
      <c r="C1354" s="22" t="s">
        <v>2459</v>
      </c>
      <c r="D1354" s="22"/>
      <c r="E1354" s="21" t="s">
        <v>75</v>
      </c>
      <c r="F1354" s="21"/>
      <c r="G1354" s="147" t="s">
        <v>1142</v>
      </c>
      <c r="H1354" s="23" t="s">
        <v>3994</v>
      </c>
      <c r="I1354" s="23"/>
      <c r="J1354" s="21" t="s">
        <v>3995</v>
      </c>
      <c r="K1354" s="120"/>
      <c r="L1354" s="21" t="s">
        <v>4334</v>
      </c>
      <c r="M1354" s="26">
        <v>44211</v>
      </c>
      <c r="N1354" s="44">
        <f t="shared" si="141"/>
        <v>16479</v>
      </c>
      <c r="O1354" s="22" t="s">
        <v>15</v>
      </c>
      <c r="P1354" s="22" t="s">
        <v>19</v>
      </c>
      <c r="Q1354" s="24">
        <f t="shared" si="138"/>
        <v>0</v>
      </c>
      <c r="R1354" s="24">
        <f t="shared" si="140"/>
        <v>16479</v>
      </c>
    </row>
    <row r="1355" spans="1:18" hidden="1" x14ac:dyDescent="0.25">
      <c r="B1355" s="21" t="s">
        <v>395</v>
      </c>
      <c r="C1355" s="22" t="s">
        <v>2459</v>
      </c>
      <c r="D1355" s="22"/>
      <c r="E1355" s="21" t="s">
        <v>75</v>
      </c>
      <c r="F1355" s="21"/>
      <c r="G1355" s="147" t="s">
        <v>1142</v>
      </c>
      <c r="H1355" s="23" t="s">
        <v>3994</v>
      </c>
      <c r="I1355" s="23"/>
      <c r="J1355" s="21" t="s">
        <v>3995</v>
      </c>
      <c r="K1355" s="120"/>
      <c r="L1355" s="21" t="s">
        <v>4522</v>
      </c>
      <c r="M1355" s="26">
        <v>44242</v>
      </c>
      <c r="N1355" s="44">
        <f t="shared" si="141"/>
        <v>16479</v>
      </c>
      <c r="O1355" s="22" t="s">
        <v>15</v>
      </c>
      <c r="P1355" s="22" t="s">
        <v>19</v>
      </c>
      <c r="Q1355" s="24">
        <f t="shared" si="138"/>
        <v>0</v>
      </c>
      <c r="R1355" s="24">
        <f t="shared" si="140"/>
        <v>16479</v>
      </c>
    </row>
    <row r="1356" spans="1:18" hidden="1" x14ac:dyDescent="0.25">
      <c r="B1356" s="21" t="s">
        <v>395</v>
      </c>
      <c r="C1356" s="22" t="s">
        <v>2459</v>
      </c>
      <c r="D1356" s="22"/>
      <c r="E1356" s="21" t="s">
        <v>75</v>
      </c>
      <c r="F1356" s="21"/>
      <c r="G1356" s="147" t="s">
        <v>1142</v>
      </c>
      <c r="H1356" s="23" t="s">
        <v>3994</v>
      </c>
      <c r="I1356" s="23"/>
      <c r="J1356" s="21" t="s">
        <v>3995</v>
      </c>
      <c r="K1356" s="120"/>
      <c r="L1356" s="21" t="s">
        <v>4681</v>
      </c>
      <c r="M1356" s="26">
        <v>44270</v>
      </c>
      <c r="N1356" s="44">
        <f t="shared" si="141"/>
        <v>16479</v>
      </c>
      <c r="O1356" s="22" t="s">
        <v>15</v>
      </c>
      <c r="P1356" s="22" t="s">
        <v>19</v>
      </c>
      <c r="Q1356" s="24">
        <f t="shared" ref="Q1356:Q1362" si="142">IF(P1356="en cours",N1356,IF(P1356="OK",0,IF(N1356-P1356&lt;0,0,N1356-P1356)))</f>
        <v>0</v>
      </c>
      <c r="R1356" s="24">
        <f t="shared" si="140"/>
        <v>16479</v>
      </c>
    </row>
    <row r="1357" spans="1:18" hidden="1" x14ac:dyDescent="0.25">
      <c r="B1357" s="21" t="s">
        <v>395</v>
      </c>
      <c r="C1357" s="22" t="s">
        <v>2459</v>
      </c>
      <c r="D1357" s="22"/>
      <c r="E1357" s="21" t="s">
        <v>75</v>
      </c>
      <c r="F1357" s="21"/>
      <c r="G1357" s="147" t="s">
        <v>1142</v>
      </c>
      <c r="H1357" s="23" t="s">
        <v>3994</v>
      </c>
      <c r="I1357" s="23"/>
      <c r="J1357" s="21" t="s">
        <v>3995</v>
      </c>
      <c r="K1357" s="120"/>
      <c r="L1357" s="21" t="s">
        <v>4946</v>
      </c>
      <c r="M1357" s="26">
        <v>44301</v>
      </c>
      <c r="N1357" s="44">
        <f t="shared" si="141"/>
        <v>16479</v>
      </c>
      <c r="O1357" s="22" t="s">
        <v>15</v>
      </c>
      <c r="P1357" s="22" t="s">
        <v>19</v>
      </c>
      <c r="Q1357" s="24">
        <f t="shared" si="142"/>
        <v>0</v>
      </c>
      <c r="R1357" s="24">
        <f t="shared" si="140"/>
        <v>16479</v>
      </c>
    </row>
    <row r="1358" spans="1:18" hidden="1" x14ac:dyDescent="0.25">
      <c r="C1358" s="4" t="s">
        <v>8972</v>
      </c>
      <c r="E1358" s="5" t="s">
        <v>75</v>
      </c>
      <c r="F1358" s="5" t="s">
        <v>9819</v>
      </c>
      <c r="G1358" s="146" t="s">
        <v>10232</v>
      </c>
      <c r="H1358" s="7" t="s">
        <v>10233</v>
      </c>
      <c r="I1358" s="7" t="s">
        <v>10234</v>
      </c>
      <c r="J1358" s="5" t="s">
        <v>10235</v>
      </c>
      <c r="L1358" s="5" t="s">
        <v>11595</v>
      </c>
      <c r="M1358" s="12" t="s">
        <v>11596</v>
      </c>
      <c r="N1358" s="45">
        <v>48151</v>
      </c>
      <c r="O1358" s="4" t="s">
        <v>15</v>
      </c>
      <c r="P1358" s="45">
        <f>6410+11456+25089+3180</f>
        <v>46135</v>
      </c>
      <c r="Q1358" s="3">
        <f t="shared" si="142"/>
        <v>2016</v>
      </c>
      <c r="R1358" s="3">
        <f t="shared" si="140"/>
        <v>46135</v>
      </c>
    </row>
    <row r="1359" spans="1:18" hidden="1" x14ac:dyDescent="0.25">
      <c r="B1359" s="5" t="s">
        <v>12228</v>
      </c>
      <c r="C1359" s="4" t="s">
        <v>2450</v>
      </c>
      <c r="E1359" s="5" t="s">
        <v>10</v>
      </c>
      <c r="G1359" s="146" t="s">
        <v>7162</v>
      </c>
      <c r="H1359" s="1" t="s">
        <v>8732</v>
      </c>
      <c r="I1359" s="7" t="s">
        <v>8731</v>
      </c>
      <c r="J1359" s="5" t="s">
        <v>7163</v>
      </c>
      <c r="N1359" s="45">
        <v>62900</v>
      </c>
      <c r="O1359" s="4" t="s">
        <v>341</v>
      </c>
      <c r="Q1359" s="45">
        <f t="shared" si="142"/>
        <v>62900</v>
      </c>
      <c r="R1359" s="3">
        <f t="shared" ref="R1359:R1361" si="143">IF(P1359="OK",N1359-Q1359,IF(P1359="en cours",N1359-Q1359,P1359))</f>
        <v>0</v>
      </c>
    </row>
    <row r="1360" spans="1:18" hidden="1" x14ac:dyDescent="0.25">
      <c r="A1360" t="s">
        <v>6753</v>
      </c>
      <c r="B1360" s="21" t="s">
        <v>395</v>
      </c>
      <c r="C1360" s="22" t="s">
        <v>2450</v>
      </c>
      <c r="D1360" s="22" t="s">
        <v>1451</v>
      </c>
      <c r="E1360" s="21" t="s">
        <v>10</v>
      </c>
      <c r="F1360" s="21" t="s">
        <v>9830</v>
      </c>
      <c r="G1360" s="147" t="s">
        <v>7162</v>
      </c>
      <c r="H1360" s="23" t="s">
        <v>11040</v>
      </c>
      <c r="I1360" s="23" t="s">
        <v>11041</v>
      </c>
      <c r="J1360" s="21" t="s">
        <v>11042</v>
      </c>
      <c r="K1360" s="21"/>
      <c r="L1360" s="21" t="s">
        <v>11184</v>
      </c>
      <c r="M1360" s="23" t="s">
        <v>11185</v>
      </c>
      <c r="N1360" s="44">
        <v>500</v>
      </c>
      <c r="O1360" s="22" t="s">
        <v>15</v>
      </c>
      <c r="P1360" s="44">
        <v>500</v>
      </c>
      <c r="Q1360" s="44">
        <f t="shared" si="142"/>
        <v>0</v>
      </c>
      <c r="R1360" s="24">
        <f t="shared" si="143"/>
        <v>500</v>
      </c>
    </row>
    <row r="1361" spans="1:20" hidden="1" x14ac:dyDescent="0.25">
      <c r="A1361" t="s">
        <v>6753</v>
      </c>
      <c r="B1361" s="250" t="s">
        <v>12231</v>
      </c>
      <c r="C1361" s="473" t="s">
        <v>2450</v>
      </c>
      <c r="D1361" s="473"/>
      <c r="E1361" s="250" t="s">
        <v>10</v>
      </c>
      <c r="F1361" s="250"/>
      <c r="G1361" s="474" t="s">
        <v>7313</v>
      </c>
      <c r="H1361" s="475" t="s">
        <v>9480</v>
      </c>
      <c r="I1361" s="251" t="s">
        <v>9479</v>
      </c>
      <c r="J1361" s="250" t="s">
        <v>6557</v>
      </c>
      <c r="K1361" s="250"/>
      <c r="L1361" s="250"/>
      <c r="M1361" s="251"/>
      <c r="N1361" s="476">
        <v>7253.4</v>
      </c>
      <c r="O1361" s="4" t="s">
        <v>15</v>
      </c>
      <c r="Q1361" s="45">
        <f t="shared" si="142"/>
        <v>7253.4</v>
      </c>
      <c r="R1361" s="3">
        <f t="shared" si="143"/>
        <v>0</v>
      </c>
      <c r="S1361" s="250"/>
      <c r="T1361" s="250"/>
    </row>
    <row r="1362" spans="1:20" hidden="1" x14ac:dyDescent="0.25">
      <c r="C1362" s="4" t="s">
        <v>2450</v>
      </c>
      <c r="E1362" s="5" t="s">
        <v>10</v>
      </c>
      <c r="F1362" s="5" t="s">
        <v>9721</v>
      </c>
      <c r="G1362" s="146" t="s">
        <v>7313</v>
      </c>
      <c r="H1362" s="7" t="s">
        <v>10143</v>
      </c>
      <c r="I1362" s="7" t="s">
        <v>10144</v>
      </c>
      <c r="J1362" s="5" t="s">
        <v>6557</v>
      </c>
      <c r="L1362" s="5" t="s">
        <v>10355</v>
      </c>
      <c r="M1362" s="12">
        <v>45524</v>
      </c>
      <c r="N1362" s="45">
        <v>3129.6</v>
      </c>
      <c r="O1362" s="4" t="s">
        <v>15</v>
      </c>
      <c r="P1362" s="45">
        <v>3081.6</v>
      </c>
      <c r="Q1362" s="3">
        <f t="shared" si="142"/>
        <v>48</v>
      </c>
      <c r="R1362" s="3">
        <f>IF(P1362="OK",N1362-Q1362,IF(P1362="en cours",M1362-Q1362,P1362))</f>
        <v>3081.6</v>
      </c>
    </row>
    <row r="1363" spans="1:20" hidden="1" x14ac:dyDescent="0.25">
      <c r="B1363" s="21" t="s">
        <v>395</v>
      </c>
      <c r="C1363" s="22" t="s">
        <v>158</v>
      </c>
      <c r="D1363" s="22"/>
      <c r="E1363" s="21" t="s">
        <v>10</v>
      </c>
      <c r="F1363" s="21" t="s">
        <v>9721</v>
      </c>
      <c r="G1363" s="147" t="s">
        <v>7313</v>
      </c>
      <c r="H1363" s="23" t="s">
        <v>11151</v>
      </c>
      <c r="I1363" s="23" t="s">
        <v>11152</v>
      </c>
      <c r="J1363" s="21" t="s">
        <v>6557</v>
      </c>
      <c r="K1363" s="21"/>
      <c r="L1363" s="21" t="s">
        <v>11354</v>
      </c>
      <c r="M1363" s="26">
        <v>45687</v>
      </c>
      <c r="N1363" s="44">
        <v>6344</v>
      </c>
      <c r="O1363" s="22" t="s">
        <v>15</v>
      </c>
      <c r="P1363" s="44">
        <f>6344</f>
        <v>6344</v>
      </c>
      <c r="Q1363" s="44">
        <f t="shared" ref="Q1363:Q1375" si="144">IF(P1363="en cours",N1363,IF(P1363="OK",0,IF(N1363-P1363&lt;0,0,N1363-P1363)))</f>
        <v>0</v>
      </c>
      <c r="R1363" s="24">
        <f t="shared" ref="R1363:R1367" si="145">IF(P1363="OK",N1363-Q1363,IF(P1363="en cours",N1363-Q1363,P1363))</f>
        <v>6344</v>
      </c>
    </row>
    <row r="1364" spans="1:20" hidden="1" x14ac:dyDescent="0.25">
      <c r="B1364" s="21" t="s">
        <v>395</v>
      </c>
      <c r="C1364" s="22" t="s">
        <v>8972</v>
      </c>
      <c r="D1364" s="22"/>
      <c r="E1364" s="21" t="s">
        <v>75</v>
      </c>
      <c r="F1364" s="21"/>
      <c r="G1364" s="147" t="s">
        <v>9539</v>
      </c>
      <c r="H1364" s="23" t="s">
        <v>9540</v>
      </c>
      <c r="I1364" s="23"/>
      <c r="J1364" s="21" t="s">
        <v>9541</v>
      </c>
      <c r="K1364" s="21"/>
      <c r="L1364" s="21" t="s">
        <v>9549</v>
      </c>
      <c r="M1364" s="26">
        <v>45351</v>
      </c>
      <c r="N1364" s="44">
        <v>41295</v>
      </c>
      <c r="O1364" s="22" t="s">
        <v>15</v>
      </c>
      <c r="P1364" s="44">
        <v>41295</v>
      </c>
      <c r="Q1364" s="44">
        <f t="shared" si="144"/>
        <v>0</v>
      </c>
      <c r="R1364" s="116">
        <f t="shared" si="145"/>
        <v>41295</v>
      </c>
    </row>
    <row r="1365" spans="1:20" hidden="1" x14ac:dyDescent="0.25">
      <c r="B1365" s="21" t="s">
        <v>395</v>
      </c>
      <c r="C1365" s="22" t="s">
        <v>8972</v>
      </c>
      <c r="D1365" s="22"/>
      <c r="E1365" s="21" t="s">
        <v>75</v>
      </c>
      <c r="F1365" s="21" t="s">
        <v>9767</v>
      </c>
      <c r="G1365" s="147" t="s">
        <v>9539</v>
      </c>
      <c r="H1365" s="23" t="s">
        <v>10301</v>
      </c>
      <c r="I1365" s="23"/>
      <c r="J1365" s="21" t="s">
        <v>10310</v>
      </c>
      <c r="K1365" s="21"/>
      <c r="L1365" s="21" t="s">
        <v>10354</v>
      </c>
      <c r="M1365" s="26">
        <v>45511</v>
      </c>
      <c r="N1365" s="44">
        <v>170000</v>
      </c>
      <c r="O1365" s="22" t="s">
        <v>15</v>
      </c>
      <c r="P1365" s="44">
        <v>170000</v>
      </c>
      <c r="Q1365" s="44">
        <f t="shared" si="144"/>
        <v>0</v>
      </c>
      <c r="R1365" s="24">
        <f t="shared" si="145"/>
        <v>170000</v>
      </c>
    </row>
    <row r="1366" spans="1:20" hidden="1" x14ac:dyDescent="0.25">
      <c r="C1366" s="4" t="s">
        <v>8972</v>
      </c>
      <c r="E1366" s="5" t="s">
        <v>75</v>
      </c>
      <c r="F1366" s="5" t="s">
        <v>9767</v>
      </c>
      <c r="G1366" s="146" t="s">
        <v>12142</v>
      </c>
      <c r="H1366" s="7" t="s">
        <v>10301</v>
      </c>
      <c r="J1366" s="5" t="s">
        <v>10310</v>
      </c>
      <c r="L1366" s="5" t="s">
        <v>14387</v>
      </c>
      <c r="M1366" s="12" t="s">
        <v>14388</v>
      </c>
      <c r="N1366" s="45">
        <f>5932674.55-170000</f>
        <v>5762674.5499999998</v>
      </c>
      <c r="O1366" s="4" t="s">
        <v>15</v>
      </c>
      <c r="P1366" s="45">
        <f>16212.84+31314.98+24386.5+48096.43+5790.54+25208.61-5541.12+52183.37+46318.2+112719.3+51474.37+14591.87+89134.73+79827.6+104271.65+101690.36+119289.76+117358.41+123867.65+126345.41+87793.45</f>
        <v>1372334.91</v>
      </c>
      <c r="Q1366" s="45">
        <f t="shared" si="144"/>
        <v>4390339.6399999997</v>
      </c>
      <c r="R1366" s="3">
        <f t="shared" si="145"/>
        <v>1372334.91</v>
      </c>
      <c r="S1366" s="5" t="s">
        <v>10302</v>
      </c>
    </row>
    <row r="1367" spans="1:20" hidden="1" x14ac:dyDescent="0.25">
      <c r="C1367" s="4" t="s">
        <v>2450</v>
      </c>
      <c r="E1367" s="5" t="s">
        <v>10</v>
      </c>
      <c r="G1367" s="146" t="s">
        <v>7479</v>
      </c>
      <c r="H1367" s="7" t="s">
        <v>7480</v>
      </c>
      <c r="I1367" s="7" t="s">
        <v>8245</v>
      </c>
      <c r="J1367" s="5" t="s">
        <v>7481</v>
      </c>
      <c r="M1367" s="12"/>
      <c r="N1367" s="45">
        <v>7560</v>
      </c>
      <c r="O1367" s="4" t="s">
        <v>15</v>
      </c>
      <c r="P1367" s="4"/>
      <c r="Q1367" s="45">
        <f t="shared" si="144"/>
        <v>7560</v>
      </c>
      <c r="R1367" s="3">
        <f t="shared" si="145"/>
        <v>0</v>
      </c>
    </row>
    <row r="1368" spans="1:20" hidden="1" x14ac:dyDescent="0.25">
      <c r="B1368" s="5" t="s">
        <v>12231</v>
      </c>
      <c r="C1368" s="4" t="s">
        <v>8972</v>
      </c>
      <c r="E1368" s="5" t="s">
        <v>75</v>
      </c>
      <c r="G1368" s="146" t="s">
        <v>9072</v>
      </c>
      <c r="H1368" s="7" t="s">
        <v>9128</v>
      </c>
      <c r="I1368" s="7" t="s">
        <v>9127</v>
      </c>
      <c r="J1368" s="5" t="s">
        <v>9073</v>
      </c>
      <c r="N1368" s="45">
        <v>138050</v>
      </c>
      <c r="O1368" s="4" t="s">
        <v>276</v>
      </c>
      <c r="Q1368" s="45">
        <f t="shared" si="144"/>
        <v>138050</v>
      </c>
      <c r="R1368" s="3">
        <f t="shared" ref="R1368:R1375" si="146">IF(P1368="OK",N1368-Q1368,IF(P1368="en cours",N1368-Q1368,P1368))</f>
        <v>0</v>
      </c>
    </row>
    <row r="1369" spans="1:20" hidden="1" x14ac:dyDescent="0.25">
      <c r="B1369" s="5" t="s">
        <v>12231</v>
      </c>
      <c r="C1369" s="4" t="s">
        <v>6267</v>
      </c>
      <c r="E1369" s="5" t="s">
        <v>75</v>
      </c>
      <c r="G1369" s="146" t="s">
        <v>9072</v>
      </c>
      <c r="H1369" s="7" t="s">
        <v>9575</v>
      </c>
      <c r="I1369" s="7" t="s">
        <v>9578</v>
      </c>
      <c r="J1369" s="5" t="s">
        <v>9073</v>
      </c>
      <c r="N1369" s="45">
        <v>247350</v>
      </c>
      <c r="O1369" s="4" t="s">
        <v>276</v>
      </c>
      <c r="Q1369" s="45">
        <f t="shared" si="144"/>
        <v>247350</v>
      </c>
      <c r="R1369" s="3">
        <f t="shared" si="146"/>
        <v>0</v>
      </c>
    </row>
    <row r="1370" spans="1:20" hidden="1" x14ac:dyDescent="0.25">
      <c r="B1370" s="5" t="s">
        <v>12231</v>
      </c>
      <c r="C1370" s="4" t="s">
        <v>6675</v>
      </c>
      <c r="E1370" s="5" t="s">
        <v>75</v>
      </c>
      <c r="G1370" s="146" t="s">
        <v>9072</v>
      </c>
      <c r="H1370" s="7" t="s">
        <v>9576</v>
      </c>
      <c r="I1370" s="7" t="s">
        <v>9578</v>
      </c>
      <c r="J1370" s="5" t="s">
        <v>9073</v>
      </c>
      <c r="N1370" s="45">
        <v>238550</v>
      </c>
      <c r="O1370" s="4" t="s">
        <v>276</v>
      </c>
      <c r="Q1370" s="45">
        <f t="shared" si="144"/>
        <v>238550</v>
      </c>
      <c r="R1370" s="3">
        <f t="shared" si="146"/>
        <v>0</v>
      </c>
    </row>
    <row r="1371" spans="1:20" hidden="1" x14ac:dyDescent="0.25">
      <c r="B1371" s="5" t="s">
        <v>12231</v>
      </c>
      <c r="C1371" s="4" t="s">
        <v>6047</v>
      </c>
      <c r="E1371" s="5" t="s">
        <v>75</v>
      </c>
      <c r="G1371" s="146" t="s">
        <v>9072</v>
      </c>
      <c r="H1371" s="7" t="s">
        <v>9577</v>
      </c>
      <c r="I1371" s="7" t="s">
        <v>9578</v>
      </c>
      <c r="J1371" s="5" t="s">
        <v>9073</v>
      </c>
      <c r="N1371" s="45">
        <v>449140</v>
      </c>
      <c r="O1371" s="4" t="s">
        <v>276</v>
      </c>
      <c r="Q1371" s="45">
        <f t="shared" si="144"/>
        <v>449140</v>
      </c>
      <c r="R1371" s="3">
        <f t="shared" si="146"/>
        <v>0</v>
      </c>
    </row>
    <row r="1372" spans="1:20" hidden="1" x14ac:dyDescent="0.25">
      <c r="B1372" s="21" t="s">
        <v>395</v>
      </c>
      <c r="C1372" s="22" t="s">
        <v>2421</v>
      </c>
      <c r="D1372" s="22"/>
      <c r="E1372" s="21" t="s">
        <v>75</v>
      </c>
      <c r="F1372" s="21"/>
      <c r="G1372" s="147" t="s">
        <v>6264</v>
      </c>
      <c r="H1372" s="23" t="s">
        <v>2650</v>
      </c>
      <c r="I1372" s="23"/>
      <c r="J1372" s="21" t="s">
        <v>2651</v>
      </c>
      <c r="K1372" s="120"/>
      <c r="L1372" s="21" t="s">
        <v>2652</v>
      </c>
      <c r="M1372" s="26">
        <v>43816</v>
      </c>
      <c r="N1372" s="44">
        <v>57531.25</v>
      </c>
      <c r="O1372" s="22" t="s">
        <v>15</v>
      </c>
      <c r="P1372" s="44" t="s">
        <v>19</v>
      </c>
      <c r="Q1372" s="24">
        <f t="shared" si="144"/>
        <v>0</v>
      </c>
      <c r="R1372" s="24">
        <f t="shared" si="146"/>
        <v>57531.25</v>
      </c>
      <c r="S1372" s="21"/>
    </row>
    <row r="1373" spans="1:20" hidden="1" x14ac:dyDescent="0.25">
      <c r="B1373" s="21" t="s">
        <v>395</v>
      </c>
      <c r="C1373" s="22" t="s">
        <v>2421</v>
      </c>
      <c r="D1373" s="22"/>
      <c r="E1373" s="21" t="s">
        <v>75</v>
      </c>
      <c r="F1373" s="21"/>
      <c r="G1373" s="147" t="s">
        <v>6264</v>
      </c>
      <c r="H1373" s="23" t="s">
        <v>2650</v>
      </c>
      <c r="I1373" s="23"/>
      <c r="J1373" s="21" t="s">
        <v>6265</v>
      </c>
      <c r="K1373" s="120"/>
      <c r="L1373" s="21" t="s">
        <v>6450</v>
      </c>
      <c r="M1373" s="26" t="s">
        <v>6451</v>
      </c>
      <c r="N1373" s="44">
        <f>P1373</f>
        <v>132529.4</v>
      </c>
      <c r="O1373" s="22" t="s">
        <v>15</v>
      </c>
      <c r="P1373" s="44">
        <f>6642.5+33495.63+18643.75+40138.13+15829.38+15365.63+2414.38</f>
        <v>132529.4</v>
      </c>
      <c r="Q1373" s="24">
        <f t="shared" si="144"/>
        <v>0</v>
      </c>
      <c r="R1373" s="24">
        <f t="shared" si="146"/>
        <v>132529.4</v>
      </c>
      <c r="S1373" s="21"/>
    </row>
    <row r="1374" spans="1:20" hidden="1" x14ac:dyDescent="0.25">
      <c r="B1374" s="5" t="s">
        <v>12231</v>
      </c>
      <c r="C1374" s="4" t="s">
        <v>2421</v>
      </c>
      <c r="E1374" s="5" t="s">
        <v>75</v>
      </c>
      <c r="G1374" s="146" t="s">
        <v>6264</v>
      </c>
      <c r="H1374" s="7" t="s">
        <v>2650</v>
      </c>
      <c r="J1374" s="5" t="s">
        <v>6266</v>
      </c>
      <c r="K1374" s="13"/>
      <c r="L1374" s="5" t="s">
        <v>7681</v>
      </c>
      <c r="M1374" s="12" t="s">
        <v>7682</v>
      </c>
      <c r="N1374" s="45">
        <f>864929.75-(N1372+N1373)</f>
        <v>674869.1</v>
      </c>
      <c r="O1374" s="4" t="s">
        <v>15</v>
      </c>
      <c r="P1374" s="45">
        <f>13585.13+352+4625</f>
        <v>18562.129999999997</v>
      </c>
      <c r="Q1374" s="3">
        <f t="shared" si="144"/>
        <v>656306.97</v>
      </c>
      <c r="R1374" s="3">
        <f t="shared" si="146"/>
        <v>18562.129999999997</v>
      </c>
    </row>
    <row r="1375" spans="1:20" hidden="1" x14ac:dyDescent="0.25">
      <c r="B1375" s="5" t="s">
        <v>12228</v>
      </c>
      <c r="C1375" s="4" t="s">
        <v>2450</v>
      </c>
      <c r="E1375" s="5" t="s">
        <v>10</v>
      </c>
      <c r="F1375" s="5" t="s">
        <v>9721</v>
      </c>
      <c r="G1375" s="146" t="s">
        <v>10319</v>
      </c>
      <c r="H1375" s="58" t="s">
        <v>10320</v>
      </c>
      <c r="I1375" s="7" t="s">
        <v>10320</v>
      </c>
      <c r="J1375" s="5" t="s">
        <v>6557</v>
      </c>
      <c r="N1375" s="45">
        <v>731</v>
      </c>
      <c r="O1375" s="4" t="s">
        <v>15</v>
      </c>
      <c r="Q1375" s="45">
        <f t="shared" si="144"/>
        <v>731</v>
      </c>
      <c r="R1375" s="3">
        <f t="shared" si="146"/>
        <v>0</v>
      </c>
    </row>
    <row r="1376" spans="1:20" hidden="1" x14ac:dyDescent="0.25">
      <c r="B1376" s="21" t="s">
        <v>395</v>
      </c>
      <c r="C1376" s="22" t="s">
        <v>2450</v>
      </c>
      <c r="D1376" s="22"/>
      <c r="E1376" s="21" t="s">
        <v>10</v>
      </c>
      <c r="F1376" s="21" t="s">
        <v>9721</v>
      </c>
      <c r="G1376" s="147" t="s">
        <v>11065</v>
      </c>
      <c r="H1376" s="107" t="s">
        <v>11066</v>
      </c>
      <c r="I1376" s="23" t="s">
        <v>11066</v>
      </c>
      <c r="J1376" s="21" t="s">
        <v>6557</v>
      </c>
      <c r="K1376" s="21"/>
      <c r="L1376" s="21" t="s">
        <v>11087</v>
      </c>
      <c r="M1376" s="26">
        <v>45673</v>
      </c>
      <c r="N1376" s="44">
        <v>495</v>
      </c>
      <c r="O1376" s="22" t="s">
        <v>15</v>
      </c>
      <c r="P1376" s="44">
        <v>495</v>
      </c>
      <c r="Q1376" s="44">
        <f t="shared" ref="Q1376:Q1379" si="147">IF(P1376="en cours",N1376,IF(P1376="OK",0,IF(N1376-P1376&lt;0,0,N1376-P1376)))</f>
        <v>0</v>
      </c>
      <c r="R1376" s="24">
        <f t="shared" ref="R1376:R1379" si="148">IF(P1376="OK",N1376-Q1376,IF(P1376="en cours",N1376-Q1376,P1376))</f>
        <v>495</v>
      </c>
    </row>
    <row r="1377" spans="1:18" hidden="1" x14ac:dyDescent="0.25">
      <c r="B1377" s="21" t="s">
        <v>395</v>
      </c>
      <c r="C1377" s="22" t="s">
        <v>158</v>
      </c>
      <c r="D1377" s="22"/>
      <c r="E1377" s="21" t="s">
        <v>10</v>
      </c>
      <c r="F1377" s="21" t="s">
        <v>9721</v>
      </c>
      <c r="G1377" s="147" t="s">
        <v>11065</v>
      </c>
      <c r="H1377" s="23" t="s">
        <v>11164</v>
      </c>
      <c r="I1377" s="23" t="s">
        <v>11165</v>
      </c>
      <c r="J1377" s="21" t="s">
        <v>6557</v>
      </c>
      <c r="K1377" s="21"/>
      <c r="L1377" s="21" t="s">
        <v>11204</v>
      </c>
      <c r="M1377" s="26">
        <v>45692</v>
      </c>
      <c r="N1377" s="44">
        <v>242</v>
      </c>
      <c r="O1377" s="22" t="s">
        <v>15</v>
      </c>
      <c r="P1377" s="44">
        <v>242</v>
      </c>
      <c r="Q1377" s="44">
        <f t="shared" si="147"/>
        <v>0</v>
      </c>
      <c r="R1377" s="24">
        <f t="shared" si="148"/>
        <v>242</v>
      </c>
    </row>
    <row r="1378" spans="1:18" hidden="1" x14ac:dyDescent="0.25">
      <c r="B1378" s="5" t="s">
        <v>12231</v>
      </c>
      <c r="C1378" s="4" t="s">
        <v>2450</v>
      </c>
      <c r="E1378" s="5" t="s">
        <v>0</v>
      </c>
      <c r="G1378" s="146" t="s">
        <v>10296</v>
      </c>
      <c r="H1378" s="7" t="s">
        <v>9002</v>
      </c>
      <c r="I1378" s="7" t="s">
        <v>9003</v>
      </c>
      <c r="J1378" s="5" t="s">
        <v>6711</v>
      </c>
      <c r="L1378" s="5" t="s">
        <v>9363</v>
      </c>
      <c r="M1378" s="12">
        <v>45292</v>
      </c>
      <c r="N1378" s="45">
        <v>6225</v>
      </c>
      <c r="O1378" s="4" t="s">
        <v>276</v>
      </c>
      <c r="P1378" s="45">
        <v>4661</v>
      </c>
      <c r="Q1378" s="45">
        <f t="shared" si="147"/>
        <v>1564</v>
      </c>
      <c r="R1378" s="3">
        <f t="shared" si="148"/>
        <v>4661</v>
      </c>
    </row>
    <row r="1379" spans="1:18" hidden="1" x14ac:dyDescent="0.25">
      <c r="B1379" s="21" t="s">
        <v>395</v>
      </c>
      <c r="C1379" s="22" t="s">
        <v>2450</v>
      </c>
      <c r="D1379" s="22"/>
      <c r="E1379" s="21" t="s">
        <v>0</v>
      </c>
      <c r="F1379" s="21"/>
      <c r="G1379" s="147" t="s">
        <v>10296</v>
      </c>
      <c r="H1379" s="23" t="s">
        <v>8935</v>
      </c>
      <c r="I1379" s="23" t="s">
        <v>9116</v>
      </c>
      <c r="J1379" s="21" t="s">
        <v>6502</v>
      </c>
      <c r="K1379" s="21"/>
      <c r="L1379" s="21" t="s">
        <v>9117</v>
      </c>
      <c r="M1379" s="26">
        <v>45211</v>
      </c>
      <c r="N1379" s="44">
        <v>7007</v>
      </c>
      <c r="O1379" s="22" t="s">
        <v>276</v>
      </c>
      <c r="P1379" s="44">
        <v>7007</v>
      </c>
      <c r="Q1379" s="44">
        <f t="shared" si="147"/>
        <v>0</v>
      </c>
      <c r="R1379" s="24">
        <f t="shared" si="148"/>
        <v>7007</v>
      </c>
    </row>
    <row r="1380" spans="1:18" hidden="1" x14ac:dyDescent="0.25">
      <c r="A1380" t="s">
        <v>13731</v>
      </c>
      <c r="B1380" s="21" t="s">
        <v>395</v>
      </c>
      <c r="C1380" s="22" t="s">
        <v>2450</v>
      </c>
      <c r="D1380" s="22"/>
      <c r="E1380" s="21" t="s">
        <v>10</v>
      </c>
      <c r="F1380" s="21"/>
      <c r="G1380" s="147" t="s">
        <v>1090</v>
      </c>
      <c r="H1380" s="23" t="s">
        <v>9485</v>
      </c>
      <c r="I1380" s="23" t="s">
        <v>9486</v>
      </c>
      <c r="J1380" s="21" t="s">
        <v>6557</v>
      </c>
      <c r="K1380" s="21"/>
      <c r="L1380" s="21" t="s">
        <v>13727</v>
      </c>
      <c r="M1380" s="26">
        <v>45403</v>
      </c>
      <c r="N1380" s="44">
        <v>1651.2</v>
      </c>
      <c r="O1380" s="22" t="s">
        <v>15</v>
      </c>
      <c r="P1380" s="44">
        <v>1651.2</v>
      </c>
      <c r="Q1380" s="44">
        <f t="shared" ref="Q1380:Q1398" si="149">IF(P1380="en cours",N1380,IF(P1380="OK",0,IF(N1380-P1380&lt;0,0,N1380-P1380)))</f>
        <v>0</v>
      </c>
      <c r="R1380" s="24">
        <f t="shared" ref="R1380:R1383" si="150">IF(P1380="OK",N1380-Q1380,IF(P1380="en cours",N1380-Q1380,P1380))</f>
        <v>1651.2</v>
      </c>
    </row>
    <row r="1381" spans="1:18" hidden="1" x14ac:dyDescent="0.25">
      <c r="B1381" s="21" t="s">
        <v>395</v>
      </c>
      <c r="C1381" s="22" t="s">
        <v>2450</v>
      </c>
      <c r="D1381" s="22"/>
      <c r="E1381" s="21" t="s">
        <v>10</v>
      </c>
      <c r="F1381" s="21"/>
      <c r="G1381" s="147" t="s">
        <v>1090</v>
      </c>
      <c r="H1381" s="23" t="s">
        <v>9654</v>
      </c>
      <c r="I1381" s="23" t="s">
        <v>9655</v>
      </c>
      <c r="J1381" s="21" t="s">
        <v>6557</v>
      </c>
      <c r="K1381" s="21"/>
      <c r="L1381" s="21" t="s">
        <v>13728</v>
      </c>
      <c r="M1381" s="26">
        <v>45376</v>
      </c>
      <c r="N1381" s="44">
        <v>2793.1</v>
      </c>
      <c r="O1381" s="22" t="s">
        <v>15</v>
      </c>
      <c r="P1381" s="44">
        <v>2793.1</v>
      </c>
      <c r="Q1381" s="44">
        <f t="shared" si="149"/>
        <v>0</v>
      </c>
      <c r="R1381" s="24">
        <f t="shared" si="150"/>
        <v>2793.1</v>
      </c>
    </row>
    <row r="1382" spans="1:18" hidden="1" x14ac:dyDescent="0.25">
      <c r="B1382" s="21" t="s">
        <v>395</v>
      </c>
      <c r="C1382" s="22" t="s">
        <v>2450</v>
      </c>
      <c r="D1382" s="22"/>
      <c r="E1382" s="21" t="s">
        <v>10</v>
      </c>
      <c r="F1382" s="21"/>
      <c r="G1382" s="147" t="s">
        <v>1090</v>
      </c>
      <c r="H1382" s="23" t="s">
        <v>9689</v>
      </c>
      <c r="I1382" s="23" t="s">
        <v>9690</v>
      </c>
      <c r="J1382" s="21" t="s">
        <v>6557</v>
      </c>
      <c r="K1382" s="21"/>
      <c r="L1382" s="21" t="s">
        <v>13729</v>
      </c>
      <c r="M1382" s="26">
        <v>45390</v>
      </c>
      <c r="N1382" s="44">
        <v>3552.15</v>
      </c>
      <c r="O1382" s="22" t="s">
        <v>15</v>
      </c>
      <c r="P1382" s="44">
        <v>3550.55</v>
      </c>
      <c r="Q1382" s="44">
        <f t="shared" si="149"/>
        <v>1.5999999999999091</v>
      </c>
      <c r="R1382" s="24">
        <f t="shared" si="150"/>
        <v>3550.55</v>
      </c>
    </row>
    <row r="1383" spans="1:18" hidden="1" x14ac:dyDescent="0.25">
      <c r="B1383" s="21" t="s">
        <v>395</v>
      </c>
      <c r="C1383" s="22" t="s">
        <v>2450</v>
      </c>
      <c r="D1383" s="22"/>
      <c r="E1383" s="21" t="s">
        <v>10</v>
      </c>
      <c r="F1383" s="21" t="s">
        <v>9721</v>
      </c>
      <c r="G1383" s="147" t="s">
        <v>1090</v>
      </c>
      <c r="H1383" s="23" t="s">
        <v>9738</v>
      </c>
      <c r="I1383" s="23" t="s">
        <v>9739</v>
      </c>
      <c r="J1383" s="21" t="s">
        <v>6557</v>
      </c>
      <c r="K1383" s="21"/>
      <c r="L1383" s="21" t="s">
        <v>13730</v>
      </c>
      <c r="M1383" s="26">
        <v>45433</v>
      </c>
      <c r="N1383" s="44">
        <v>5177.3500000000004</v>
      </c>
      <c r="O1383" s="22" t="s">
        <v>15</v>
      </c>
      <c r="P1383" s="44">
        <v>5177.3500000000004</v>
      </c>
      <c r="Q1383" s="44">
        <f t="shared" si="149"/>
        <v>0</v>
      </c>
      <c r="R1383" s="24">
        <f t="shared" si="150"/>
        <v>5177.3500000000004</v>
      </c>
    </row>
    <row r="1384" spans="1:18" hidden="1" x14ac:dyDescent="0.25">
      <c r="B1384" s="21" t="s">
        <v>395</v>
      </c>
      <c r="C1384" s="22" t="s">
        <v>2450</v>
      </c>
      <c r="D1384" s="22"/>
      <c r="E1384" s="21" t="s">
        <v>10</v>
      </c>
      <c r="F1384" s="21" t="s">
        <v>9721</v>
      </c>
      <c r="G1384" s="147" t="s">
        <v>1090</v>
      </c>
      <c r="H1384" s="23" t="s">
        <v>11113</v>
      </c>
      <c r="I1384" s="23" t="s">
        <v>11114</v>
      </c>
      <c r="J1384" s="21" t="s">
        <v>6557</v>
      </c>
      <c r="K1384" s="21"/>
      <c r="L1384" s="21" t="s">
        <v>11180</v>
      </c>
      <c r="M1384" s="26">
        <v>45680</v>
      </c>
      <c r="N1384" s="44">
        <v>4159.05</v>
      </c>
      <c r="O1384" s="22" t="s">
        <v>15</v>
      </c>
      <c r="P1384" s="44">
        <v>4159.05</v>
      </c>
      <c r="Q1384" s="44">
        <f t="shared" si="149"/>
        <v>0</v>
      </c>
      <c r="R1384" s="24">
        <f t="shared" ref="R1384:R1398" si="151">IF(P1384="OK",N1384-Q1384,IF(P1384="en cours",N1384-Q1384,P1384))</f>
        <v>4159.05</v>
      </c>
    </row>
    <row r="1385" spans="1:18" hidden="1" x14ac:dyDescent="0.25">
      <c r="B1385" s="21" t="s">
        <v>395</v>
      </c>
      <c r="C1385" s="22" t="s">
        <v>2450</v>
      </c>
      <c r="D1385" s="22"/>
      <c r="E1385" s="21" t="s">
        <v>10</v>
      </c>
      <c r="F1385" s="21" t="s">
        <v>9721</v>
      </c>
      <c r="G1385" s="147" t="s">
        <v>1090</v>
      </c>
      <c r="H1385" s="23" t="s">
        <v>11139</v>
      </c>
      <c r="I1385" s="23" t="s">
        <v>11140</v>
      </c>
      <c r="J1385" s="21" t="s">
        <v>6557</v>
      </c>
      <c r="K1385" s="21"/>
      <c r="L1385" s="21" t="s">
        <v>11187</v>
      </c>
      <c r="M1385" s="26">
        <v>45685</v>
      </c>
      <c r="N1385" s="44">
        <v>1654.1</v>
      </c>
      <c r="O1385" s="22" t="s">
        <v>15</v>
      </c>
      <c r="P1385" s="44">
        <v>1654.1</v>
      </c>
      <c r="Q1385" s="44">
        <f t="shared" si="149"/>
        <v>0</v>
      </c>
      <c r="R1385" s="24">
        <f t="shared" si="151"/>
        <v>1654.1</v>
      </c>
    </row>
    <row r="1386" spans="1:18" hidden="1" x14ac:dyDescent="0.25">
      <c r="B1386" s="5" t="s">
        <v>12228</v>
      </c>
      <c r="C1386" s="4" t="s">
        <v>158</v>
      </c>
      <c r="E1386" s="5" t="s">
        <v>9474</v>
      </c>
      <c r="G1386" s="146" t="s">
        <v>9475</v>
      </c>
      <c r="H1386" s="7" t="s">
        <v>9476</v>
      </c>
      <c r="I1386" s="7" t="s">
        <v>9477</v>
      </c>
      <c r="J1386" s="5" t="s">
        <v>9478</v>
      </c>
      <c r="N1386" s="45">
        <v>5500</v>
      </c>
      <c r="O1386" s="4" t="s">
        <v>15</v>
      </c>
      <c r="Q1386" s="45">
        <f t="shared" si="149"/>
        <v>5500</v>
      </c>
      <c r="R1386" s="3">
        <f t="shared" si="151"/>
        <v>0</v>
      </c>
    </row>
    <row r="1387" spans="1:18" hidden="1" x14ac:dyDescent="0.25">
      <c r="B1387" s="21" t="s">
        <v>395</v>
      </c>
      <c r="C1387" s="22" t="s">
        <v>8972</v>
      </c>
      <c r="D1387" s="22"/>
      <c r="E1387" s="21" t="s">
        <v>75</v>
      </c>
      <c r="F1387" s="21"/>
      <c r="G1387" s="147" t="s">
        <v>9295</v>
      </c>
      <c r="H1387" s="23" t="s">
        <v>9296</v>
      </c>
      <c r="I1387" s="23" t="s">
        <v>9297</v>
      </c>
      <c r="J1387" s="21" t="s">
        <v>9298</v>
      </c>
      <c r="K1387" s="21"/>
      <c r="L1387" s="21" t="s">
        <v>9398</v>
      </c>
      <c r="M1387" s="26">
        <v>45292</v>
      </c>
      <c r="N1387" s="44">
        <v>114472.5</v>
      </c>
      <c r="O1387" s="22" t="s">
        <v>15</v>
      </c>
      <c r="P1387" s="44">
        <v>114472.5</v>
      </c>
      <c r="Q1387" s="24">
        <f t="shared" si="149"/>
        <v>0</v>
      </c>
      <c r="R1387" s="24">
        <f t="shared" si="151"/>
        <v>114472.5</v>
      </c>
    </row>
    <row r="1388" spans="1:18" hidden="1" x14ac:dyDescent="0.25">
      <c r="B1388" s="21" t="s">
        <v>395</v>
      </c>
      <c r="C1388" s="22" t="s">
        <v>8972</v>
      </c>
      <c r="D1388" s="22"/>
      <c r="E1388" s="21" t="s">
        <v>75</v>
      </c>
      <c r="F1388" s="21"/>
      <c r="G1388" s="147" t="s">
        <v>9295</v>
      </c>
      <c r="H1388" s="23" t="s">
        <v>10358</v>
      </c>
      <c r="I1388" s="23" t="s">
        <v>10071</v>
      </c>
      <c r="J1388" s="21" t="s">
        <v>10359</v>
      </c>
      <c r="K1388" s="21"/>
      <c r="L1388" s="21" t="s">
        <v>10368</v>
      </c>
      <c r="M1388" s="26">
        <v>45526</v>
      </c>
      <c r="N1388" s="44">
        <f>64499.5</f>
        <v>64499.5</v>
      </c>
      <c r="O1388" s="22" t="s">
        <v>15</v>
      </c>
      <c r="P1388" s="44">
        <v>64499.75</v>
      </c>
      <c r="Q1388" s="24">
        <f t="shared" si="149"/>
        <v>0</v>
      </c>
      <c r="R1388" s="24">
        <f t="shared" si="151"/>
        <v>64499.75</v>
      </c>
    </row>
    <row r="1389" spans="1:18" hidden="1" x14ac:dyDescent="0.25">
      <c r="B1389" s="21" t="s">
        <v>395</v>
      </c>
      <c r="C1389" s="22" t="s">
        <v>8972</v>
      </c>
      <c r="D1389" s="22"/>
      <c r="E1389" s="21" t="s">
        <v>75</v>
      </c>
      <c r="F1389" s="21"/>
      <c r="G1389" s="147" t="s">
        <v>9295</v>
      </c>
      <c r="H1389" s="23" t="s">
        <v>10358</v>
      </c>
      <c r="I1389" s="23" t="s">
        <v>10071</v>
      </c>
      <c r="J1389" s="21" t="s">
        <v>14185</v>
      </c>
      <c r="K1389" s="21"/>
      <c r="L1389" s="21" t="s">
        <v>14184</v>
      </c>
      <c r="M1389" s="26">
        <v>46076</v>
      </c>
      <c r="N1389" s="44">
        <v>193449</v>
      </c>
      <c r="O1389" s="22" t="s">
        <v>15</v>
      </c>
      <c r="P1389" s="44">
        <f>193499.25</f>
        <v>193499.25</v>
      </c>
      <c r="Q1389" s="24">
        <f t="shared" si="149"/>
        <v>0</v>
      </c>
      <c r="R1389" s="24">
        <f t="shared" si="151"/>
        <v>193499.25</v>
      </c>
    </row>
    <row r="1390" spans="1:18" hidden="1" x14ac:dyDescent="0.25">
      <c r="C1390" s="4" t="s">
        <v>8972</v>
      </c>
      <c r="E1390" s="5" t="s">
        <v>75</v>
      </c>
      <c r="G1390" s="146" t="s">
        <v>9295</v>
      </c>
      <c r="H1390" s="7" t="s">
        <v>10358</v>
      </c>
      <c r="I1390" s="7" t="s">
        <v>10071</v>
      </c>
      <c r="J1390" s="5" t="s">
        <v>10360</v>
      </c>
      <c r="N1390" s="45">
        <v>193449</v>
      </c>
      <c r="O1390" s="4" t="s">
        <v>15</v>
      </c>
      <c r="Q1390" s="3">
        <f t="shared" si="149"/>
        <v>193449</v>
      </c>
      <c r="R1390" s="3">
        <f t="shared" si="151"/>
        <v>0</v>
      </c>
    </row>
    <row r="1391" spans="1:18" hidden="1" x14ac:dyDescent="0.25">
      <c r="C1391" s="4" t="s">
        <v>8972</v>
      </c>
      <c r="E1391" s="5" t="s">
        <v>75</v>
      </c>
      <c r="G1391" s="146" t="s">
        <v>9295</v>
      </c>
      <c r="H1391" s="7" t="s">
        <v>10358</v>
      </c>
      <c r="I1391" s="7" t="s">
        <v>10071</v>
      </c>
      <c r="J1391" s="5" t="s">
        <v>10361</v>
      </c>
      <c r="N1391" s="45">
        <v>193449</v>
      </c>
      <c r="O1391" s="4" t="s">
        <v>15</v>
      </c>
      <c r="Q1391" s="3">
        <f t="shared" si="149"/>
        <v>193449</v>
      </c>
      <c r="R1391" s="3">
        <f t="shared" si="151"/>
        <v>0</v>
      </c>
    </row>
    <row r="1392" spans="1:18" hidden="1" x14ac:dyDescent="0.25">
      <c r="C1392" s="4" t="s">
        <v>8972</v>
      </c>
      <c r="E1392" s="5" t="s">
        <v>75</v>
      </c>
      <c r="G1392" s="146" t="s">
        <v>9295</v>
      </c>
      <c r="H1392" s="7" t="s">
        <v>10358</v>
      </c>
      <c r="I1392" s="7" t="s">
        <v>10071</v>
      </c>
      <c r="J1392" s="5" t="s">
        <v>10362</v>
      </c>
      <c r="N1392" s="45">
        <v>182958</v>
      </c>
      <c r="O1392" s="4" t="s">
        <v>15</v>
      </c>
      <c r="Q1392" s="3">
        <f t="shared" si="149"/>
        <v>182958</v>
      </c>
      <c r="R1392" s="3">
        <f t="shared" si="151"/>
        <v>0</v>
      </c>
    </row>
    <row r="1393" spans="2:18" hidden="1" x14ac:dyDescent="0.25">
      <c r="C1393" s="4" t="s">
        <v>8972</v>
      </c>
      <c r="E1393" s="5" t="s">
        <v>75</v>
      </c>
      <c r="G1393" s="146" t="s">
        <v>9295</v>
      </c>
      <c r="H1393" s="7" t="s">
        <v>10358</v>
      </c>
      <c r="I1393" s="7" t="s">
        <v>10071</v>
      </c>
      <c r="J1393" s="5" t="s">
        <v>10363</v>
      </c>
      <c r="N1393" s="45">
        <v>182958</v>
      </c>
      <c r="O1393" s="4" t="s">
        <v>15</v>
      </c>
      <c r="Q1393" s="3">
        <f t="shared" si="149"/>
        <v>182958</v>
      </c>
      <c r="R1393" s="3">
        <f t="shared" si="151"/>
        <v>0</v>
      </c>
    </row>
    <row r="1394" spans="2:18" hidden="1" x14ac:dyDescent="0.25">
      <c r="C1394" s="4" t="s">
        <v>8972</v>
      </c>
      <c r="E1394" s="5" t="s">
        <v>75</v>
      </c>
      <c r="G1394" s="146" t="s">
        <v>9295</v>
      </c>
      <c r="H1394" s="7" t="s">
        <v>10358</v>
      </c>
      <c r="I1394" s="7" t="s">
        <v>10071</v>
      </c>
      <c r="J1394" s="5" t="s">
        <v>10364</v>
      </c>
      <c r="N1394" s="45">
        <v>243944</v>
      </c>
      <c r="O1394" s="4" t="s">
        <v>15</v>
      </c>
      <c r="Q1394" s="3">
        <f t="shared" si="149"/>
        <v>243944</v>
      </c>
      <c r="R1394" s="3">
        <f t="shared" si="151"/>
        <v>0</v>
      </c>
    </row>
    <row r="1395" spans="2:18" hidden="1" x14ac:dyDescent="0.25">
      <c r="C1395" s="4" t="s">
        <v>8972</v>
      </c>
      <c r="E1395" s="5" t="s">
        <v>75</v>
      </c>
      <c r="G1395" s="146" t="s">
        <v>9295</v>
      </c>
      <c r="H1395" s="7" t="s">
        <v>10358</v>
      </c>
      <c r="I1395" s="7" t="s">
        <v>10071</v>
      </c>
      <c r="J1395" s="5" t="s">
        <v>10365</v>
      </c>
      <c r="N1395" s="45">
        <v>156719</v>
      </c>
      <c r="O1395" s="4" t="s">
        <v>15</v>
      </c>
      <c r="Q1395" s="3">
        <f t="shared" si="149"/>
        <v>156719</v>
      </c>
      <c r="R1395" s="3">
        <f t="shared" si="151"/>
        <v>0</v>
      </c>
    </row>
    <row r="1396" spans="2:18" hidden="1" x14ac:dyDescent="0.25">
      <c r="C1396" s="4" t="s">
        <v>8972</v>
      </c>
      <c r="E1396" s="5" t="s">
        <v>75</v>
      </c>
      <c r="G1396" s="146" t="s">
        <v>9295</v>
      </c>
      <c r="H1396" s="7" t="s">
        <v>10358</v>
      </c>
      <c r="I1396" s="7" t="s">
        <v>10071</v>
      </c>
      <c r="J1396" s="5" t="s">
        <v>10366</v>
      </c>
      <c r="N1396" s="45">
        <v>156719</v>
      </c>
      <c r="O1396" s="4" t="s">
        <v>15</v>
      </c>
      <c r="Q1396" s="3">
        <f t="shared" si="149"/>
        <v>156719</v>
      </c>
      <c r="R1396" s="3">
        <f t="shared" si="151"/>
        <v>0</v>
      </c>
    </row>
    <row r="1397" spans="2:18" hidden="1" x14ac:dyDescent="0.25">
      <c r="C1397" s="4" t="s">
        <v>8972</v>
      </c>
      <c r="E1397" s="5" t="s">
        <v>75</v>
      </c>
      <c r="G1397" s="146" t="s">
        <v>9295</v>
      </c>
      <c r="H1397" s="7" t="s">
        <v>10358</v>
      </c>
      <c r="I1397" s="7" t="s">
        <v>10071</v>
      </c>
      <c r="J1397" s="5" t="s">
        <v>10367</v>
      </c>
      <c r="N1397" s="45">
        <v>208958</v>
      </c>
      <c r="O1397" s="4" t="s">
        <v>15</v>
      </c>
      <c r="Q1397" s="3">
        <f t="shared" si="149"/>
        <v>208958</v>
      </c>
      <c r="R1397" s="3">
        <f t="shared" si="151"/>
        <v>0</v>
      </c>
    </row>
    <row r="1398" spans="2:18" hidden="1" x14ac:dyDescent="0.25">
      <c r="B1398" s="5" t="s">
        <v>12228</v>
      </c>
      <c r="C1398" s="4" t="s">
        <v>2450</v>
      </c>
      <c r="E1398" s="5" t="s">
        <v>10</v>
      </c>
      <c r="G1398" s="146" t="s">
        <v>1207</v>
      </c>
      <c r="H1398" s="7" t="s">
        <v>1815</v>
      </c>
      <c r="I1398" s="7" t="s">
        <v>7875</v>
      </c>
      <c r="J1398" s="5" t="s">
        <v>1816</v>
      </c>
      <c r="K1398" s="13"/>
      <c r="L1398" s="5" t="s">
        <v>3676</v>
      </c>
      <c r="M1398" s="26" t="s">
        <v>3677</v>
      </c>
      <c r="N1398" s="45">
        <v>15551.62</v>
      </c>
      <c r="O1398" s="4" t="s">
        <v>15</v>
      </c>
      <c r="P1398" s="45">
        <f>11220.68+933.6</f>
        <v>12154.28</v>
      </c>
      <c r="Q1398" s="3">
        <f t="shared" si="149"/>
        <v>3397.34</v>
      </c>
      <c r="R1398" s="3">
        <f t="shared" si="151"/>
        <v>12154.28</v>
      </c>
    </row>
    <row r="1399" spans="2:18" hidden="1" x14ac:dyDescent="0.25">
      <c r="C1399" s="4" t="s">
        <v>7235</v>
      </c>
      <c r="E1399" s="5" t="s">
        <v>0</v>
      </c>
      <c r="G1399" s="146" t="s">
        <v>995</v>
      </c>
      <c r="H1399" s="7" t="s">
        <v>7484</v>
      </c>
      <c r="I1399" s="7" t="s">
        <v>8247</v>
      </c>
      <c r="J1399" s="5" t="s">
        <v>7485</v>
      </c>
      <c r="N1399" s="45">
        <v>7550</v>
      </c>
      <c r="O1399" s="4" t="s">
        <v>15</v>
      </c>
      <c r="P1399" s="4"/>
      <c r="Q1399" s="45">
        <f t="shared" ref="Q1399:Q1409" si="152">IF(P1399="en cours",N1399,IF(P1399="OK",0,IF(N1399-P1399&lt;0,0,N1399-P1399)))</f>
        <v>7550</v>
      </c>
      <c r="R1399" s="3">
        <f t="shared" ref="R1399:R1413" si="153">IF(P1399="OK",N1399-Q1399,IF(P1399="en cours",N1399-Q1399,P1399))</f>
        <v>0</v>
      </c>
    </row>
    <row r="1400" spans="2:18" hidden="1" x14ac:dyDescent="0.25">
      <c r="C1400" s="4" t="s">
        <v>7235</v>
      </c>
      <c r="E1400" s="5" t="s">
        <v>0</v>
      </c>
      <c r="G1400" s="146" t="s">
        <v>995</v>
      </c>
      <c r="H1400" s="7" t="s">
        <v>7789</v>
      </c>
      <c r="I1400" s="7" t="s">
        <v>8295</v>
      </c>
      <c r="J1400" s="5" t="s">
        <v>7790</v>
      </c>
      <c r="L1400" s="5" t="s">
        <v>7809</v>
      </c>
      <c r="M1400" s="12">
        <v>45044</v>
      </c>
      <c r="N1400" s="45">
        <v>78857.5</v>
      </c>
      <c r="O1400" s="4" t="s">
        <v>15</v>
      </c>
      <c r="P1400" s="45">
        <f>74857.5</f>
        <v>74857.5</v>
      </c>
      <c r="Q1400" s="45">
        <f t="shared" si="152"/>
        <v>4000</v>
      </c>
      <c r="R1400" s="3">
        <f t="shared" si="153"/>
        <v>74857.5</v>
      </c>
    </row>
    <row r="1401" spans="2:18" hidden="1" x14ac:dyDescent="0.25">
      <c r="B1401" s="21" t="s">
        <v>395</v>
      </c>
      <c r="C1401" s="22" t="s">
        <v>7235</v>
      </c>
      <c r="D1401" s="22"/>
      <c r="E1401" s="21" t="s">
        <v>0</v>
      </c>
      <c r="F1401" s="21"/>
      <c r="G1401" s="147" t="s">
        <v>995</v>
      </c>
      <c r="H1401" s="23" t="s">
        <v>8354</v>
      </c>
      <c r="I1401" s="23" t="s">
        <v>8354</v>
      </c>
      <c r="J1401" s="21" t="s">
        <v>8355</v>
      </c>
      <c r="K1401" s="120"/>
      <c r="L1401" s="21" t="s">
        <v>8883</v>
      </c>
      <c r="M1401" s="26">
        <v>45194</v>
      </c>
      <c r="N1401" s="44">
        <f>700*2</f>
        <v>1400</v>
      </c>
      <c r="O1401" s="22" t="s">
        <v>15</v>
      </c>
      <c r="P1401" s="114">
        <v>1400</v>
      </c>
      <c r="Q1401" s="24">
        <f t="shared" si="152"/>
        <v>0</v>
      </c>
      <c r="R1401" s="24">
        <f t="shared" si="153"/>
        <v>1400</v>
      </c>
    </row>
    <row r="1402" spans="2:18" hidden="1" x14ac:dyDescent="0.25">
      <c r="B1402" s="21" t="s">
        <v>395</v>
      </c>
      <c r="C1402" s="22" t="s">
        <v>7235</v>
      </c>
      <c r="D1402" s="22"/>
      <c r="E1402" s="21" t="s">
        <v>0</v>
      </c>
      <c r="F1402" s="21"/>
      <c r="G1402" s="147" t="s">
        <v>995</v>
      </c>
      <c r="H1402" s="23" t="s">
        <v>8354</v>
      </c>
      <c r="I1402" s="23" t="s">
        <v>8354</v>
      </c>
      <c r="J1402" s="21" t="s">
        <v>8361</v>
      </c>
      <c r="K1402" s="120"/>
      <c r="L1402" s="21" t="s">
        <v>8883</v>
      </c>
      <c r="M1402" s="26">
        <v>45194</v>
      </c>
      <c r="N1402" s="44">
        <v>700</v>
      </c>
      <c r="O1402" s="22" t="s">
        <v>15</v>
      </c>
      <c r="P1402" s="114">
        <v>700</v>
      </c>
      <c r="Q1402" s="24">
        <f t="shared" si="152"/>
        <v>0</v>
      </c>
      <c r="R1402" s="24">
        <f t="shared" si="153"/>
        <v>700</v>
      </c>
    </row>
    <row r="1403" spans="2:18" hidden="1" x14ac:dyDescent="0.25">
      <c r="B1403" s="21" t="s">
        <v>395</v>
      </c>
      <c r="C1403" s="22" t="s">
        <v>7235</v>
      </c>
      <c r="D1403" s="22"/>
      <c r="E1403" s="21" t="s">
        <v>0</v>
      </c>
      <c r="F1403" s="21"/>
      <c r="G1403" s="147" t="s">
        <v>995</v>
      </c>
      <c r="H1403" s="23" t="s">
        <v>8354</v>
      </c>
      <c r="I1403" s="23" t="s">
        <v>8354</v>
      </c>
      <c r="J1403" s="21" t="s">
        <v>8356</v>
      </c>
      <c r="K1403" s="120"/>
      <c r="L1403" s="21" t="s">
        <v>8883</v>
      </c>
      <c r="M1403" s="26">
        <v>45194</v>
      </c>
      <c r="N1403" s="44">
        <v>1750</v>
      </c>
      <c r="O1403" s="22" t="s">
        <v>15</v>
      </c>
      <c r="P1403" s="114">
        <v>1750</v>
      </c>
      <c r="Q1403" s="24">
        <f t="shared" si="152"/>
        <v>0</v>
      </c>
      <c r="R1403" s="24">
        <f t="shared" si="153"/>
        <v>1750</v>
      </c>
    </row>
    <row r="1404" spans="2:18" hidden="1" x14ac:dyDescent="0.25">
      <c r="C1404" s="4" t="s">
        <v>7235</v>
      </c>
      <c r="E1404" s="5" t="s">
        <v>0</v>
      </c>
      <c r="G1404" s="146" t="s">
        <v>995</v>
      </c>
      <c r="H1404" s="7" t="s">
        <v>8354</v>
      </c>
      <c r="I1404" s="7" t="s">
        <v>8354</v>
      </c>
      <c r="J1404" s="5" t="s">
        <v>8357</v>
      </c>
      <c r="N1404" s="45">
        <v>1750</v>
      </c>
      <c r="O1404" s="4" t="s">
        <v>15</v>
      </c>
      <c r="Q1404" s="45">
        <f t="shared" si="152"/>
        <v>1750</v>
      </c>
      <c r="R1404" s="3">
        <f t="shared" si="153"/>
        <v>0</v>
      </c>
    </row>
    <row r="1405" spans="2:18" hidden="1" x14ac:dyDescent="0.25">
      <c r="C1405" s="4" t="s">
        <v>7235</v>
      </c>
      <c r="E1405" s="5" t="s">
        <v>0</v>
      </c>
      <c r="G1405" s="146" t="s">
        <v>995</v>
      </c>
      <c r="H1405" s="7" t="s">
        <v>8354</v>
      </c>
      <c r="I1405" s="7" t="s">
        <v>8354</v>
      </c>
      <c r="J1405" s="5" t="s">
        <v>8358</v>
      </c>
      <c r="N1405" s="45">
        <v>1750</v>
      </c>
      <c r="O1405" s="4" t="s">
        <v>15</v>
      </c>
      <c r="Q1405" s="45">
        <f t="shared" si="152"/>
        <v>1750</v>
      </c>
      <c r="R1405" s="3">
        <f t="shared" si="153"/>
        <v>0</v>
      </c>
    </row>
    <row r="1406" spans="2:18" hidden="1" x14ac:dyDescent="0.25">
      <c r="C1406" s="4" t="s">
        <v>7235</v>
      </c>
      <c r="E1406" s="5" t="s">
        <v>0</v>
      </c>
      <c r="G1406" s="146" t="s">
        <v>995</v>
      </c>
      <c r="H1406" s="7" t="s">
        <v>8354</v>
      </c>
      <c r="I1406" s="7" t="s">
        <v>8354</v>
      </c>
      <c r="J1406" s="5" t="s">
        <v>8359</v>
      </c>
      <c r="N1406" s="45">
        <v>1400</v>
      </c>
      <c r="O1406" s="4" t="s">
        <v>15</v>
      </c>
      <c r="Q1406" s="45">
        <f t="shared" si="152"/>
        <v>1400</v>
      </c>
      <c r="R1406" s="3">
        <f t="shared" si="153"/>
        <v>0</v>
      </c>
    </row>
    <row r="1407" spans="2:18" hidden="1" x14ac:dyDescent="0.25">
      <c r="C1407" s="4" t="s">
        <v>7235</v>
      </c>
      <c r="E1407" s="5" t="s">
        <v>0</v>
      </c>
      <c r="G1407" s="146" t="s">
        <v>995</v>
      </c>
      <c r="H1407" s="7" t="s">
        <v>8354</v>
      </c>
      <c r="I1407" s="7" t="s">
        <v>8354</v>
      </c>
      <c r="J1407" s="5" t="s">
        <v>8360</v>
      </c>
      <c r="N1407" s="45">
        <v>1400</v>
      </c>
      <c r="O1407" s="4" t="s">
        <v>15</v>
      </c>
      <c r="Q1407" s="45">
        <f t="shared" si="152"/>
        <v>1400</v>
      </c>
      <c r="R1407" s="3">
        <f t="shared" si="153"/>
        <v>0</v>
      </c>
    </row>
    <row r="1408" spans="2:18" hidden="1" x14ac:dyDescent="0.25">
      <c r="C1408" s="4" t="s">
        <v>2450</v>
      </c>
      <c r="E1408" s="5" t="s">
        <v>0</v>
      </c>
      <c r="G1408" s="146" t="s">
        <v>995</v>
      </c>
      <c r="H1408" s="58" t="s">
        <v>6083</v>
      </c>
      <c r="I1408" s="58" t="s">
        <v>6083</v>
      </c>
      <c r="J1408" s="5" t="s">
        <v>6084</v>
      </c>
      <c r="L1408" s="5" t="s">
        <v>6357</v>
      </c>
      <c r="M1408" s="12" t="s">
        <v>6358</v>
      </c>
      <c r="N1408" s="45">
        <v>5400</v>
      </c>
      <c r="O1408" s="4" t="s">
        <v>15</v>
      </c>
      <c r="P1408" s="45">
        <f>1800+1800</f>
        <v>3600</v>
      </c>
      <c r="Q1408" s="3">
        <f t="shared" si="152"/>
        <v>1800</v>
      </c>
      <c r="R1408" s="3">
        <f t="shared" si="153"/>
        <v>3600</v>
      </c>
    </row>
    <row r="1409" spans="2:19" hidden="1" x14ac:dyDescent="0.25">
      <c r="C1409" s="4" t="s">
        <v>7235</v>
      </c>
      <c r="E1409" s="5" t="s">
        <v>0</v>
      </c>
      <c r="G1409" s="146" t="s">
        <v>995</v>
      </c>
      <c r="H1409" s="7" t="s">
        <v>7256</v>
      </c>
      <c r="I1409" s="7" t="s">
        <v>8206</v>
      </c>
      <c r="J1409" s="5" t="s">
        <v>7257</v>
      </c>
      <c r="L1409" s="5" t="s">
        <v>7806</v>
      </c>
      <c r="M1409" s="12" t="s">
        <v>7807</v>
      </c>
      <c r="N1409" s="45">
        <v>97500</v>
      </c>
      <c r="O1409" s="4" t="s">
        <v>15</v>
      </c>
      <c r="P1409" s="45">
        <f>48750+34125</f>
        <v>82875</v>
      </c>
      <c r="Q1409" s="3">
        <f t="shared" si="152"/>
        <v>14625</v>
      </c>
      <c r="R1409" s="3">
        <f t="shared" si="153"/>
        <v>82875</v>
      </c>
    </row>
    <row r="1410" spans="2:19" hidden="1" x14ac:dyDescent="0.25">
      <c r="B1410" s="21" t="s">
        <v>395</v>
      </c>
      <c r="C1410" s="22" t="s">
        <v>7235</v>
      </c>
      <c r="D1410" s="22"/>
      <c r="E1410" s="21" t="s">
        <v>0</v>
      </c>
      <c r="F1410" s="21"/>
      <c r="G1410" s="147" t="s">
        <v>995</v>
      </c>
      <c r="H1410" s="23" t="s">
        <v>7256</v>
      </c>
      <c r="I1410" s="23" t="s">
        <v>8206</v>
      </c>
      <c r="J1410" s="21" t="s">
        <v>7258</v>
      </c>
      <c r="K1410" s="21"/>
      <c r="L1410" s="21" t="s">
        <v>7808</v>
      </c>
      <c r="M1410" s="26">
        <v>44882</v>
      </c>
      <c r="N1410" s="44">
        <v>150000</v>
      </c>
      <c r="O1410" s="22" t="s">
        <v>15</v>
      </c>
      <c r="P1410" s="44">
        <v>150000</v>
      </c>
      <c r="Q1410" s="24">
        <f t="shared" ref="Q1410:Q1415" si="154">IF(P1410="en cours",N1410,IF(P1410="OK",0,IF(N1410-P1410&lt;0,0,N1410-P1410)))</f>
        <v>0</v>
      </c>
      <c r="R1410" s="24">
        <f t="shared" si="153"/>
        <v>150000</v>
      </c>
    </row>
    <row r="1411" spans="2:19" hidden="1" x14ac:dyDescent="0.25">
      <c r="C1411" s="4" t="s">
        <v>7235</v>
      </c>
      <c r="E1411" s="5" t="s">
        <v>0</v>
      </c>
      <c r="G1411" s="146" t="s">
        <v>995</v>
      </c>
      <c r="H1411" s="7" t="s">
        <v>7256</v>
      </c>
      <c r="I1411" s="7" t="s">
        <v>8206</v>
      </c>
      <c r="J1411" s="5" t="s">
        <v>7259</v>
      </c>
      <c r="L1411" s="5" t="s">
        <v>7808</v>
      </c>
      <c r="M1411" s="12">
        <v>44882</v>
      </c>
      <c r="N1411" s="45">
        <v>342880</v>
      </c>
      <c r="O1411" s="4" t="s">
        <v>15</v>
      </c>
      <c r="P1411" s="45">
        <v>171440</v>
      </c>
      <c r="Q1411" s="3">
        <f t="shared" si="154"/>
        <v>171440</v>
      </c>
      <c r="R1411" s="3">
        <f t="shared" si="153"/>
        <v>171440</v>
      </c>
    </row>
    <row r="1412" spans="2:19" hidden="1" x14ac:dyDescent="0.25">
      <c r="B1412" s="21" t="s">
        <v>395</v>
      </c>
      <c r="C1412" s="22" t="s">
        <v>2450</v>
      </c>
      <c r="D1412" s="22"/>
      <c r="E1412" s="21" t="s">
        <v>0</v>
      </c>
      <c r="F1412" s="21" t="s">
        <v>9807</v>
      </c>
      <c r="G1412" s="147" t="s">
        <v>11168</v>
      </c>
      <c r="H1412" s="23" t="s">
        <v>11170</v>
      </c>
      <c r="I1412" s="23" t="s">
        <v>11169</v>
      </c>
      <c r="J1412" s="21" t="s">
        <v>8944</v>
      </c>
      <c r="K1412" s="21"/>
      <c r="L1412" s="21" t="s">
        <v>13931</v>
      </c>
      <c r="M1412" s="26" t="s">
        <v>13932</v>
      </c>
      <c r="N1412" s="44">
        <v>5300</v>
      </c>
      <c r="O1412" s="22" t="s">
        <v>15</v>
      </c>
      <c r="P1412" s="44">
        <f>2650+2650</f>
        <v>5300</v>
      </c>
      <c r="Q1412" s="44">
        <f t="shared" si="154"/>
        <v>0</v>
      </c>
      <c r="R1412" s="24">
        <f t="shared" si="153"/>
        <v>5300</v>
      </c>
    </row>
    <row r="1413" spans="2:19" hidden="1" x14ac:dyDescent="0.25">
      <c r="B1413" s="21" t="s">
        <v>395</v>
      </c>
      <c r="C1413" s="22" t="s">
        <v>1940</v>
      </c>
      <c r="D1413" s="22"/>
      <c r="E1413" s="21" t="s">
        <v>75</v>
      </c>
      <c r="F1413" s="21"/>
      <c r="G1413" s="147" t="s">
        <v>100</v>
      </c>
      <c r="H1413" s="195" t="s">
        <v>4569</v>
      </c>
      <c r="I1413" s="195"/>
      <c r="J1413" s="196" t="s">
        <v>4573</v>
      </c>
      <c r="K1413" s="120"/>
      <c r="L1413" s="21" t="s">
        <v>4575</v>
      </c>
      <c r="M1413" s="26">
        <v>44264</v>
      </c>
      <c r="N1413" s="44">
        <v>0</v>
      </c>
      <c r="O1413" s="22" t="s">
        <v>15</v>
      </c>
      <c r="P1413" s="22">
        <v>0</v>
      </c>
      <c r="Q1413" s="44">
        <f t="shared" si="154"/>
        <v>0</v>
      </c>
      <c r="R1413" s="24">
        <f t="shared" si="153"/>
        <v>0</v>
      </c>
      <c r="S1413" s="5" t="s">
        <v>5474</v>
      </c>
    </row>
    <row r="1414" spans="2:19" hidden="1" x14ac:dyDescent="0.25">
      <c r="B1414" s="21" t="s">
        <v>395</v>
      </c>
      <c r="C1414" s="22" t="s">
        <v>1940</v>
      </c>
      <c r="D1414" s="22"/>
      <c r="E1414" s="21" t="s">
        <v>75</v>
      </c>
      <c r="F1414" s="21"/>
      <c r="G1414" s="147" t="s">
        <v>100</v>
      </c>
      <c r="H1414" s="23" t="s">
        <v>4569</v>
      </c>
      <c r="I1414" s="23"/>
      <c r="J1414" s="21" t="s">
        <v>4573</v>
      </c>
      <c r="K1414" s="120"/>
      <c r="L1414" s="21" t="s">
        <v>5194</v>
      </c>
      <c r="M1414" s="26">
        <v>44363</v>
      </c>
      <c r="N1414" s="44">
        <v>0</v>
      </c>
      <c r="O1414" s="22" t="s">
        <v>15</v>
      </c>
      <c r="P1414" s="22">
        <v>0</v>
      </c>
      <c r="Q1414" s="44">
        <f t="shared" si="154"/>
        <v>0</v>
      </c>
      <c r="R1414" s="24">
        <f t="shared" ref="R1414:R1475" si="155">IF(P1414="OK",N1414-Q1414,IF(P1414="en cours",N1414-Q1414,P1414))</f>
        <v>0</v>
      </c>
      <c r="S1414" s="5" t="s">
        <v>5474</v>
      </c>
    </row>
    <row r="1415" spans="2:19" hidden="1" x14ac:dyDescent="0.25">
      <c r="B1415" s="21" t="s">
        <v>395</v>
      </c>
      <c r="C1415" s="22" t="s">
        <v>1940</v>
      </c>
      <c r="D1415" s="22"/>
      <c r="E1415" s="21" t="s">
        <v>75</v>
      </c>
      <c r="F1415" s="21"/>
      <c r="G1415" s="147" t="s">
        <v>100</v>
      </c>
      <c r="H1415" s="23" t="s">
        <v>4569</v>
      </c>
      <c r="I1415" s="23"/>
      <c r="J1415" s="21" t="s">
        <v>4573</v>
      </c>
      <c r="K1415" s="120"/>
      <c r="L1415" s="21"/>
      <c r="M1415" s="26"/>
      <c r="N1415" s="44">
        <v>0</v>
      </c>
      <c r="O1415" s="22" t="s">
        <v>15</v>
      </c>
      <c r="P1415" s="22">
        <v>0</v>
      </c>
      <c r="Q1415" s="44">
        <f t="shared" si="154"/>
        <v>0</v>
      </c>
      <c r="R1415" s="24">
        <f t="shared" si="155"/>
        <v>0</v>
      </c>
      <c r="S1415" s="5" t="s">
        <v>5474</v>
      </c>
    </row>
    <row r="1416" spans="2:19" hidden="1" x14ac:dyDescent="0.25">
      <c r="B1416" s="21" t="s">
        <v>395</v>
      </c>
      <c r="C1416" s="22" t="s">
        <v>1940</v>
      </c>
      <c r="D1416" s="22"/>
      <c r="E1416" s="21" t="s">
        <v>75</v>
      </c>
      <c r="F1416" s="21"/>
      <c r="G1416" s="147" t="s">
        <v>100</v>
      </c>
      <c r="H1416" s="23" t="s">
        <v>4569</v>
      </c>
      <c r="I1416" s="23"/>
      <c r="J1416" s="21" t="s">
        <v>4573</v>
      </c>
      <c r="K1416" s="120"/>
      <c r="L1416" s="21"/>
      <c r="M1416" s="26"/>
      <c r="N1416" s="44">
        <v>0</v>
      </c>
      <c r="O1416" s="22" t="s">
        <v>15</v>
      </c>
      <c r="P1416" s="22">
        <v>0</v>
      </c>
      <c r="Q1416" s="44">
        <f t="shared" ref="Q1416:Q1447" si="156">IF(P1416="en cours",N1416,IF(P1416="OK",0,IF(N1416-P1416&lt;0,0,N1416-P1416)))</f>
        <v>0</v>
      </c>
      <c r="R1416" s="24">
        <f t="shared" si="155"/>
        <v>0</v>
      </c>
      <c r="S1416" s="5" t="s">
        <v>5474</v>
      </c>
    </row>
    <row r="1417" spans="2:19" hidden="1" x14ac:dyDescent="0.25">
      <c r="B1417" s="21" t="s">
        <v>395</v>
      </c>
      <c r="C1417" s="22" t="s">
        <v>1940</v>
      </c>
      <c r="D1417" s="22"/>
      <c r="E1417" s="21" t="s">
        <v>75</v>
      </c>
      <c r="F1417" s="21"/>
      <c r="G1417" s="147" t="s">
        <v>100</v>
      </c>
      <c r="H1417" s="23" t="s">
        <v>4569</v>
      </c>
      <c r="I1417" s="23"/>
      <c r="J1417" s="21" t="s">
        <v>4573</v>
      </c>
      <c r="K1417" s="120"/>
      <c r="L1417" s="21"/>
      <c r="M1417" s="26"/>
      <c r="N1417" s="44">
        <v>0</v>
      </c>
      <c r="O1417" s="22" t="s">
        <v>15</v>
      </c>
      <c r="P1417" s="22">
        <v>0</v>
      </c>
      <c r="Q1417" s="44">
        <f t="shared" si="156"/>
        <v>0</v>
      </c>
      <c r="R1417" s="24">
        <f t="shared" si="155"/>
        <v>0</v>
      </c>
      <c r="S1417" s="5" t="s">
        <v>5474</v>
      </c>
    </row>
    <row r="1418" spans="2:19" hidden="1" x14ac:dyDescent="0.25">
      <c r="B1418" s="21" t="s">
        <v>395</v>
      </c>
      <c r="C1418" s="22" t="s">
        <v>1940</v>
      </c>
      <c r="D1418" s="22"/>
      <c r="E1418" s="21" t="s">
        <v>75</v>
      </c>
      <c r="F1418" s="21"/>
      <c r="G1418" s="147" t="s">
        <v>100</v>
      </c>
      <c r="H1418" s="23" t="s">
        <v>4569</v>
      </c>
      <c r="I1418" s="23"/>
      <c r="J1418" s="21" t="s">
        <v>4570</v>
      </c>
      <c r="K1418" s="120"/>
      <c r="L1418" s="21" t="s">
        <v>4961</v>
      </c>
      <c r="M1418" s="26">
        <v>44327</v>
      </c>
      <c r="N1418" s="44">
        <v>0</v>
      </c>
      <c r="O1418" s="22" t="s">
        <v>15</v>
      </c>
      <c r="P1418" s="22">
        <v>0</v>
      </c>
      <c r="Q1418" s="44">
        <f t="shared" si="156"/>
        <v>0</v>
      </c>
      <c r="R1418" s="24">
        <f t="shared" si="155"/>
        <v>0</v>
      </c>
      <c r="S1418" s="5" t="s">
        <v>5474</v>
      </c>
    </row>
    <row r="1419" spans="2:19" hidden="1" x14ac:dyDescent="0.25">
      <c r="B1419" s="21" t="s">
        <v>395</v>
      </c>
      <c r="C1419" s="22" t="s">
        <v>1940</v>
      </c>
      <c r="D1419" s="22"/>
      <c r="E1419" s="21" t="s">
        <v>75</v>
      </c>
      <c r="F1419" s="21"/>
      <c r="G1419" s="147" t="s">
        <v>100</v>
      </c>
      <c r="H1419" s="190" t="s">
        <v>3106</v>
      </c>
      <c r="I1419" s="190"/>
      <c r="J1419" s="191" t="s">
        <v>3476</v>
      </c>
      <c r="K1419" s="120"/>
      <c r="L1419" s="176" t="s">
        <v>3151</v>
      </c>
      <c r="M1419" s="189" t="s">
        <v>3152</v>
      </c>
      <c r="N1419" s="44">
        <v>24603</v>
      </c>
      <c r="O1419" s="22" t="s">
        <v>15</v>
      </c>
      <c r="P1419" s="114">
        <f>26212-1609.7</f>
        <v>24602.3</v>
      </c>
      <c r="Q1419" s="44">
        <f t="shared" si="156"/>
        <v>0.7000000000007276</v>
      </c>
      <c r="R1419" s="24">
        <f t="shared" si="155"/>
        <v>24602.3</v>
      </c>
    </row>
    <row r="1420" spans="2:19" hidden="1" x14ac:dyDescent="0.25">
      <c r="B1420" s="21" t="s">
        <v>395</v>
      </c>
      <c r="C1420" s="22" t="s">
        <v>1940</v>
      </c>
      <c r="D1420" s="22"/>
      <c r="E1420" s="21" t="s">
        <v>75</v>
      </c>
      <c r="F1420" s="21"/>
      <c r="G1420" s="147" t="s">
        <v>100</v>
      </c>
      <c r="H1420" s="190" t="s">
        <v>3106</v>
      </c>
      <c r="I1420" s="190"/>
      <c r="J1420" s="191" t="s">
        <v>3476</v>
      </c>
      <c r="K1420" s="120"/>
      <c r="L1420" s="191" t="s">
        <v>3141</v>
      </c>
      <c r="M1420" s="193">
        <v>43952</v>
      </c>
      <c r="N1420" s="192">
        <v>24603</v>
      </c>
      <c r="O1420" s="22" t="s">
        <v>15</v>
      </c>
      <c r="P1420" s="44" t="s">
        <v>19</v>
      </c>
      <c r="Q1420" s="44">
        <f t="shared" si="156"/>
        <v>0</v>
      </c>
      <c r="R1420" s="24">
        <f t="shared" si="155"/>
        <v>24603</v>
      </c>
    </row>
    <row r="1421" spans="2:19" hidden="1" x14ac:dyDescent="0.25">
      <c r="B1421" s="21" t="s">
        <v>395</v>
      </c>
      <c r="C1421" s="22" t="s">
        <v>1940</v>
      </c>
      <c r="D1421" s="22"/>
      <c r="E1421" s="21" t="s">
        <v>75</v>
      </c>
      <c r="F1421" s="21"/>
      <c r="G1421" s="147" t="s">
        <v>100</v>
      </c>
      <c r="H1421" s="190" t="s">
        <v>3106</v>
      </c>
      <c r="I1421" s="190"/>
      <c r="J1421" s="191" t="s">
        <v>3476</v>
      </c>
      <c r="K1421" s="120"/>
      <c r="L1421" s="191" t="s">
        <v>3228</v>
      </c>
      <c r="M1421" s="193">
        <v>43983</v>
      </c>
      <c r="N1421" s="192">
        <v>24603</v>
      </c>
      <c r="O1421" s="22" t="s">
        <v>15</v>
      </c>
      <c r="P1421" s="44" t="s">
        <v>19</v>
      </c>
      <c r="Q1421" s="44">
        <f t="shared" si="156"/>
        <v>0</v>
      </c>
      <c r="R1421" s="24">
        <f t="shared" si="155"/>
        <v>24603</v>
      </c>
    </row>
    <row r="1422" spans="2:19" hidden="1" x14ac:dyDescent="0.25">
      <c r="B1422" s="21" t="s">
        <v>395</v>
      </c>
      <c r="C1422" s="22" t="s">
        <v>1940</v>
      </c>
      <c r="D1422" s="22"/>
      <c r="E1422" s="21" t="s">
        <v>75</v>
      </c>
      <c r="F1422" s="21"/>
      <c r="G1422" s="147" t="s">
        <v>100</v>
      </c>
      <c r="H1422" s="23" t="s">
        <v>3106</v>
      </c>
      <c r="I1422" s="23"/>
      <c r="J1422" s="21" t="s">
        <v>1567</v>
      </c>
      <c r="K1422" s="120"/>
      <c r="L1422" s="21" t="s">
        <v>4964</v>
      </c>
      <c r="M1422" s="26" t="s">
        <v>4965</v>
      </c>
      <c r="N1422" s="44">
        <v>0</v>
      </c>
      <c r="O1422" s="22" t="s">
        <v>15</v>
      </c>
      <c r="P1422" s="22">
        <v>0</v>
      </c>
      <c r="Q1422" s="44">
        <f t="shared" si="156"/>
        <v>0</v>
      </c>
      <c r="R1422" s="24">
        <f t="shared" si="155"/>
        <v>0</v>
      </c>
      <c r="S1422" s="5" t="s">
        <v>5474</v>
      </c>
    </row>
    <row r="1423" spans="2:19" hidden="1" x14ac:dyDescent="0.25">
      <c r="B1423" s="21" t="s">
        <v>395</v>
      </c>
      <c r="C1423" s="22" t="s">
        <v>1940</v>
      </c>
      <c r="D1423" s="22"/>
      <c r="E1423" s="21" t="s">
        <v>75</v>
      </c>
      <c r="F1423" s="21"/>
      <c r="G1423" s="147" t="s">
        <v>100</v>
      </c>
      <c r="H1423" s="23" t="s">
        <v>4566</v>
      </c>
      <c r="I1423" s="23"/>
      <c r="J1423" s="21" t="s">
        <v>3115</v>
      </c>
      <c r="K1423" s="120"/>
      <c r="L1423" s="21"/>
      <c r="M1423" s="26"/>
      <c r="N1423" s="44">
        <v>0</v>
      </c>
      <c r="O1423" s="22" t="s">
        <v>15</v>
      </c>
      <c r="P1423" s="22">
        <v>0</v>
      </c>
      <c r="Q1423" s="44">
        <f t="shared" si="156"/>
        <v>0</v>
      </c>
      <c r="R1423" s="24">
        <f t="shared" si="155"/>
        <v>0</v>
      </c>
      <c r="S1423" s="5" t="s">
        <v>5474</v>
      </c>
    </row>
    <row r="1424" spans="2:19" hidden="1" x14ac:dyDescent="0.25">
      <c r="B1424" s="21" t="s">
        <v>395</v>
      </c>
      <c r="C1424" s="22" t="s">
        <v>1940</v>
      </c>
      <c r="D1424" s="22"/>
      <c r="E1424" s="21" t="s">
        <v>75</v>
      </c>
      <c r="F1424" s="21"/>
      <c r="G1424" s="147" t="s">
        <v>100</v>
      </c>
      <c r="H1424" s="195" t="s">
        <v>3471</v>
      </c>
      <c r="I1424" s="195"/>
      <c r="J1424" s="196" t="s">
        <v>3472</v>
      </c>
      <c r="K1424" s="120"/>
      <c r="L1424" s="196" t="s">
        <v>3473</v>
      </c>
      <c r="M1424" s="197">
        <v>44027</v>
      </c>
      <c r="N1424" s="209">
        <v>72836</v>
      </c>
      <c r="O1424" s="22" t="s">
        <v>15</v>
      </c>
      <c r="P1424" s="44" t="s">
        <v>19</v>
      </c>
      <c r="Q1424" s="44">
        <f t="shared" si="156"/>
        <v>0</v>
      </c>
      <c r="R1424" s="24">
        <f t="shared" si="155"/>
        <v>72836</v>
      </c>
    </row>
    <row r="1425" spans="2:18" hidden="1" x14ac:dyDescent="0.25">
      <c r="B1425" s="21" t="s">
        <v>395</v>
      </c>
      <c r="C1425" s="22" t="s">
        <v>1940</v>
      </c>
      <c r="D1425" s="22"/>
      <c r="E1425" s="21" t="s">
        <v>75</v>
      </c>
      <c r="F1425" s="21"/>
      <c r="G1425" s="147" t="s">
        <v>100</v>
      </c>
      <c r="H1425" s="195" t="s">
        <v>3471</v>
      </c>
      <c r="I1425" s="195"/>
      <c r="J1425" s="196" t="s">
        <v>3474</v>
      </c>
      <c r="K1425" s="120"/>
      <c r="L1425" s="196" t="s">
        <v>3475</v>
      </c>
      <c r="M1425" s="197">
        <v>43999</v>
      </c>
      <c r="N1425" s="209">
        <v>32314</v>
      </c>
      <c r="O1425" s="22" t="s">
        <v>15</v>
      </c>
      <c r="P1425" s="44" t="s">
        <v>19</v>
      </c>
      <c r="Q1425" s="44">
        <f t="shared" si="156"/>
        <v>0</v>
      </c>
      <c r="R1425" s="24">
        <f t="shared" si="155"/>
        <v>32314</v>
      </c>
    </row>
    <row r="1426" spans="2:18" hidden="1" x14ac:dyDescent="0.25">
      <c r="B1426" s="21" t="s">
        <v>395</v>
      </c>
      <c r="C1426" s="22" t="s">
        <v>1940</v>
      </c>
      <c r="D1426" s="22"/>
      <c r="E1426" s="21" t="s">
        <v>75</v>
      </c>
      <c r="F1426" s="21"/>
      <c r="G1426" s="147" t="s">
        <v>100</v>
      </c>
      <c r="H1426" s="195" t="s">
        <v>3471</v>
      </c>
      <c r="I1426" s="195"/>
      <c r="J1426" s="196" t="s">
        <v>1559</v>
      </c>
      <c r="K1426" s="120"/>
      <c r="L1426" s="196" t="s">
        <v>4375</v>
      </c>
      <c r="M1426" s="197">
        <v>44236</v>
      </c>
      <c r="N1426" s="209">
        <v>156078</v>
      </c>
      <c r="O1426" s="22" t="s">
        <v>15</v>
      </c>
      <c r="P1426" s="44">
        <v>156078</v>
      </c>
      <c r="Q1426" s="44">
        <f t="shared" si="156"/>
        <v>0</v>
      </c>
      <c r="R1426" s="24">
        <f t="shared" si="155"/>
        <v>156078</v>
      </c>
    </row>
    <row r="1427" spans="2:18" hidden="1" x14ac:dyDescent="0.25">
      <c r="B1427" s="21" t="s">
        <v>395</v>
      </c>
      <c r="C1427" s="22" t="s">
        <v>1940</v>
      </c>
      <c r="D1427" s="22"/>
      <c r="E1427" s="21" t="s">
        <v>75</v>
      </c>
      <c r="F1427" s="21"/>
      <c r="G1427" s="147" t="s">
        <v>100</v>
      </c>
      <c r="H1427" s="195" t="s">
        <v>3471</v>
      </c>
      <c r="I1427" s="195"/>
      <c r="J1427" s="196" t="s">
        <v>1556</v>
      </c>
      <c r="K1427" s="120"/>
      <c r="L1427" s="196" t="s">
        <v>4883</v>
      </c>
      <c r="M1427" s="197">
        <v>44315</v>
      </c>
      <c r="N1427" s="209">
        <v>104052</v>
      </c>
      <c r="O1427" s="22" t="s">
        <v>15</v>
      </c>
      <c r="P1427" s="44">
        <f>(104052+2309.95)</f>
        <v>106361.95</v>
      </c>
      <c r="Q1427" s="44">
        <f t="shared" si="156"/>
        <v>0</v>
      </c>
      <c r="R1427" s="24">
        <f t="shared" si="155"/>
        <v>106361.95</v>
      </c>
    </row>
    <row r="1428" spans="2:18" hidden="1" x14ac:dyDescent="0.25">
      <c r="B1428" s="21" t="s">
        <v>395</v>
      </c>
      <c r="C1428" s="22" t="s">
        <v>1940</v>
      </c>
      <c r="D1428" s="22"/>
      <c r="E1428" s="21" t="s">
        <v>75</v>
      </c>
      <c r="F1428" s="21"/>
      <c r="G1428" s="147" t="s">
        <v>100</v>
      </c>
      <c r="H1428" s="195" t="s">
        <v>3471</v>
      </c>
      <c r="I1428" s="195"/>
      <c r="J1428" s="196" t="s">
        <v>1557</v>
      </c>
      <c r="K1428" s="120"/>
      <c r="L1428" s="196" t="s">
        <v>5174</v>
      </c>
      <c r="M1428" s="197">
        <v>44358</v>
      </c>
      <c r="N1428" s="209">
        <v>52026</v>
      </c>
      <c r="O1428" s="22" t="s">
        <v>15</v>
      </c>
      <c r="P1428" s="44">
        <v>52026</v>
      </c>
      <c r="Q1428" s="44">
        <f t="shared" si="156"/>
        <v>0</v>
      </c>
      <c r="R1428" s="24">
        <f t="shared" si="155"/>
        <v>52026</v>
      </c>
    </row>
    <row r="1429" spans="2:18" hidden="1" x14ac:dyDescent="0.25">
      <c r="B1429" s="21" t="s">
        <v>395</v>
      </c>
      <c r="C1429" s="22" t="s">
        <v>1940</v>
      </c>
      <c r="D1429" s="22"/>
      <c r="E1429" s="21" t="s">
        <v>75</v>
      </c>
      <c r="F1429" s="21"/>
      <c r="G1429" s="147" t="s">
        <v>100</v>
      </c>
      <c r="H1429" s="195" t="s">
        <v>3471</v>
      </c>
      <c r="I1429" s="195"/>
      <c r="J1429" s="196" t="s">
        <v>3477</v>
      </c>
      <c r="K1429" s="120"/>
      <c r="L1429" s="191" t="s">
        <v>3580</v>
      </c>
      <c r="M1429" s="193" t="s">
        <v>3581</v>
      </c>
      <c r="N1429" s="204">
        <f>24603-7918</f>
        <v>16685</v>
      </c>
      <c r="O1429" s="22" t="s">
        <v>15</v>
      </c>
      <c r="P1429" s="44">
        <f>24603-7918</f>
        <v>16685</v>
      </c>
      <c r="Q1429" s="44">
        <f t="shared" si="156"/>
        <v>0</v>
      </c>
      <c r="R1429" s="24">
        <f t="shared" si="155"/>
        <v>16685</v>
      </c>
    </row>
    <row r="1430" spans="2:18" hidden="1" x14ac:dyDescent="0.25">
      <c r="B1430" s="21" t="s">
        <v>395</v>
      </c>
      <c r="C1430" s="22" t="s">
        <v>1940</v>
      </c>
      <c r="D1430" s="22"/>
      <c r="E1430" s="21" t="s">
        <v>75</v>
      </c>
      <c r="F1430" s="21"/>
      <c r="G1430" s="147" t="s">
        <v>100</v>
      </c>
      <c r="H1430" s="195" t="s">
        <v>3471</v>
      </c>
      <c r="I1430" s="195"/>
      <c r="J1430" s="196" t="s">
        <v>3477</v>
      </c>
      <c r="K1430" s="120"/>
      <c r="L1430" s="196" t="s">
        <v>3582</v>
      </c>
      <c r="M1430" s="197">
        <v>44046</v>
      </c>
      <c r="N1430" s="209">
        <v>16685</v>
      </c>
      <c r="O1430" s="22" t="s">
        <v>15</v>
      </c>
      <c r="P1430" s="44" t="s">
        <v>19</v>
      </c>
      <c r="Q1430" s="44">
        <f t="shared" si="156"/>
        <v>0</v>
      </c>
      <c r="R1430" s="24">
        <f t="shared" si="155"/>
        <v>16685</v>
      </c>
    </row>
    <row r="1431" spans="2:18" hidden="1" x14ac:dyDescent="0.25">
      <c r="B1431" s="21" t="s">
        <v>395</v>
      </c>
      <c r="C1431" s="22" t="s">
        <v>1940</v>
      </c>
      <c r="D1431" s="22"/>
      <c r="E1431" s="21" t="s">
        <v>75</v>
      </c>
      <c r="F1431" s="21"/>
      <c r="G1431" s="147" t="s">
        <v>100</v>
      </c>
      <c r="H1431" s="195" t="s">
        <v>3471</v>
      </c>
      <c r="I1431" s="195"/>
      <c r="J1431" s="196" t="s">
        <v>3477</v>
      </c>
      <c r="K1431" s="120"/>
      <c r="L1431" s="196" t="s">
        <v>3638</v>
      </c>
      <c r="M1431" s="197">
        <v>44076</v>
      </c>
      <c r="N1431" s="209">
        <v>16685</v>
      </c>
      <c r="O1431" s="22" t="s">
        <v>15</v>
      </c>
      <c r="P1431" s="44">
        <v>17059.14</v>
      </c>
      <c r="Q1431" s="44">
        <f t="shared" si="156"/>
        <v>0</v>
      </c>
      <c r="R1431" s="24">
        <f t="shared" si="155"/>
        <v>17059.14</v>
      </c>
    </row>
    <row r="1432" spans="2:18" hidden="1" x14ac:dyDescent="0.25">
      <c r="B1432" s="21" t="s">
        <v>395</v>
      </c>
      <c r="C1432" s="22" t="s">
        <v>1940</v>
      </c>
      <c r="D1432" s="22"/>
      <c r="E1432" s="21" t="s">
        <v>75</v>
      </c>
      <c r="F1432" s="21"/>
      <c r="G1432" s="147" t="s">
        <v>100</v>
      </c>
      <c r="H1432" s="195" t="s">
        <v>3471</v>
      </c>
      <c r="I1432" s="195"/>
      <c r="J1432" s="196" t="s">
        <v>3477</v>
      </c>
      <c r="K1432" s="120"/>
      <c r="L1432" s="196" t="s">
        <v>3776</v>
      </c>
      <c r="M1432" s="197">
        <v>44105</v>
      </c>
      <c r="N1432" s="209">
        <v>16685</v>
      </c>
      <c r="O1432" s="22" t="s">
        <v>15</v>
      </c>
      <c r="P1432" s="44">
        <v>16930.27</v>
      </c>
      <c r="Q1432" s="44">
        <f t="shared" si="156"/>
        <v>0</v>
      </c>
      <c r="R1432" s="24">
        <f t="shared" si="155"/>
        <v>16930.27</v>
      </c>
    </row>
    <row r="1433" spans="2:18" hidden="1" x14ac:dyDescent="0.25">
      <c r="B1433" s="21" t="s">
        <v>395</v>
      </c>
      <c r="C1433" s="22" t="s">
        <v>1940</v>
      </c>
      <c r="D1433" s="22"/>
      <c r="E1433" s="21" t="s">
        <v>75</v>
      </c>
      <c r="F1433" s="21"/>
      <c r="G1433" s="147" t="s">
        <v>100</v>
      </c>
      <c r="H1433" s="195" t="s">
        <v>3471</v>
      </c>
      <c r="I1433" s="195"/>
      <c r="J1433" s="196" t="s">
        <v>3477</v>
      </c>
      <c r="K1433" s="120"/>
      <c r="L1433" s="196" t="s">
        <v>3927</v>
      </c>
      <c r="M1433" s="197">
        <v>44138</v>
      </c>
      <c r="N1433" s="209">
        <v>16685</v>
      </c>
      <c r="O1433" s="22" t="s">
        <v>15</v>
      </c>
      <c r="P1433" s="44">
        <v>16930.27</v>
      </c>
      <c r="Q1433" s="44">
        <f t="shared" si="156"/>
        <v>0</v>
      </c>
      <c r="R1433" s="24">
        <f t="shared" si="155"/>
        <v>16930.27</v>
      </c>
    </row>
    <row r="1434" spans="2:18" hidden="1" x14ac:dyDescent="0.25">
      <c r="B1434" s="21" t="s">
        <v>395</v>
      </c>
      <c r="C1434" s="22" t="s">
        <v>1940</v>
      </c>
      <c r="D1434" s="22"/>
      <c r="E1434" s="21" t="s">
        <v>75</v>
      </c>
      <c r="F1434" s="21"/>
      <c r="G1434" s="147" t="s">
        <v>100</v>
      </c>
      <c r="H1434" s="195" t="s">
        <v>3471</v>
      </c>
      <c r="I1434" s="195"/>
      <c r="J1434" s="196" t="s">
        <v>3477</v>
      </c>
      <c r="K1434" s="120"/>
      <c r="L1434" s="196" t="s">
        <v>4080</v>
      </c>
      <c r="M1434" s="197">
        <v>44167</v>
      </c>
      <c r="N1434" s="209">
        <v>16685</v>
      </c>
      <c r="O1434" s="22" t="s">
        <v>15</v>
      </c>
      <c r="P1434" s="44">
        <v>16930.27</v>
      </c>
      <c r="Q1434" s="44">
        <f t="shared" si="156"/>
        <v>0</v>
      </c>
      <c r="R1434" s="24">
        <f t="shared" si="155"/>
        <v>16930.27</v>
      </c>
    </row>
    <row r="1435" spans="2:18" hidden="1" x14ac:dyDescent="0.25">
      <c r="B1435" s="21" t="s">
        <v>395</v>
      </c>
      <c r="C1435" s="22" t="s">
        <v>1940</v>
      </c>
      <c r="D1435" s="22"/>
      <c r="E1435" s="21" t="s">
        <v>75</v>
      </c>
      <c r="F1435" s="21"/>
      <c r="G1435" s="147" t="s">
        <v>100</v>
      </c>
      <c r="H1435" s="195" t="s">
        <v>3471</v>
      </c>
      <c r="I1435" s="195"/>
      <c r="J1435" s="196" t="s">
        <v>3477</v>
      </c>
      <c r="K1435" s="120"/>
      <c r="L1435" s="196" t="s">
        <v>4289</v>
      </c>
      <c r="M1435" s="197">
        <v>44202</v>
      </c>
      <c r="N1435" s="209">
        <v>16685</v>
      </c>
      <c r="O1435" s="22" t="s">
        <v>15</v>
      </c>
      <c r="P1435" s="44">
        <v>16930.27</v>
      </c>
      <c r="Q1435" s="44">
        <f t="shared" si="156"/>
        <v>0</v>
      </c>
      <c r="R1435" s="24">
        <f t="shared" si="155"/>
        <v>16930.27</v>
      </c>
    </row>
    <row r="1436" spans="2:18" hidden="1" x14ac:dyDescent="0.25">
      <c r="B1436" s="21" t="s">
        <v>395</v>
      </c>
      <c r="C1436" s="22" t="s">
        <v>1940</v>
      </c>
      <c r="D1436" s="22"/>
      <c r="E1436" s="21" t="s">
        <v>75</v>
      </c>
      <c r="F1436" s="21"/>
      <c r="G1436" s="147" t="s">
        <v>100</v>
      </c>
      <c r="H1436" s="195" t="s">
        <v>3471</v>
      </c>
      <c r="I1436" s="195"/>
      <c r="J1436" s="196" t="s">
        <v>3477</v>
      </c>
      <c r="K1436" s="120"/>
      <c r="L1436" s="196" t="s">
        <v>4325</v>
      </c>
      <c r="M1436" s="197">
        <v>44230</v>
      </c>
      <c r="N1436" s="209">
        <v>16685</v>
      </c>
      <c r="O1436" s="22" t="s">
        <v>15</v>
      </c>
      <c r="P1436" s="44">
        <v>16930</v>
      </c>
      <c r="Q1436" s="44">
        <f t="shared" si="156"/>
        <v>0</v>
      </c>
      <c r="R1436" s="24">
        <f t="shared" si="155"/>
        <v>16930</v>
      </c>
    </row>
    <row r="1437" spans="2:18" hidden="1" x14ac:dyDescent="0.25">
      <c r="B1437" s="21" t="s">
        <v>395</v>
      </c>
      <c r="C1437" s="22" t="s">
        <v>1940</v>
      </c>
      <c r="D1437" s="22"/>
      <c r="E1437" s="21" t="s">
        <v>75</v>
      </c>
      <c r="F1437" s="21"/>
      <c r="G1437" s="147" t="s">
        <v>100</v>
      </c>
      <c r="H1437" s="195" t="s">
        <v>3471</v>
      </c>
      <c r="I1437" s="195"/>
      <c r="J1437" s="196" t="s">
        <v>3477</v>
      </c>
      <c r="K1437" s="120"/>
      <c r="L1437" s="196" t="s">
        <v>4687</v>
      </c>
      <c r="M1437" s="197">
        <v>44257</v>
      </c>
      <c r="N1437" s="209">
        <v>16685</v>
      </c>
      <c r="O1437" s="22" t="s">
        <v>15</v>
      </c>
      <c r="P1437" s="44">
        <v>17305.669999999998</v>
      </c>
      <c r="Q1437" s="44">
        <f t="shared" si="156"/>
        <v>0</v>
      </c>
      <c r="R1437" s="24">
        <f t="shared" si="155"/>
        <v>17305.669999999998</v>
      </c>
    </row>
    <row r="1438" spans="2:18" hidden="1" x14ac:dyDescent="0.25">
      <c r="B1438" s="21" t="s">
        <v>395</v>
      </c>
      <c r="C1438" s="22" t="s">
        <v>1940</v>
      </c>
      <c r="D1438" s="22"/>
      <c r="E1438" s="21" t="s">
        <v>75</v>
      </c>
      <c r="F1438" s="21"/>
      <c r="G1438" s="147" t="s">
        <v>100</v>
      </c>
      <c r="H1438" s="195" t="s">
        <v>3471</v>
      </c>
      <c r="I1438" s="195"/>
      <c r="J1438" s="196" t="s">
        <v>3477</v>
      </c>
      <c r="K1438" s="120"/>
      <c r="L1438" s="196" t="s">
        <v>4686</v>
      </c>
      <c r="M1438" s="197">
        <v>44287</v>
      </c>
      <c r="N1438" s="209">
        <v>16685</v>
      </c>
      <c r="O1438" s="22" t="s">
        <v>15</v>
      </c>
      <c r="P1438" s="44">
        <v>17055.41</v>
      </c>
      <c r="Q1438" s="44">
        <f t="shared" si="156"/>
        <v>0</v>
      </c>
      <c r="R1438" s="24">
        <f t="shared" si="155"/>
        <v>17055.41</v>
      </c>
    </row>
    <row r="1439" spans="2:18" hidden="1" x14ac:dyDescent="0.25">
      <c r="B1439" s="21" t="s">
        <v>395</v>
      </c>
      <c r="C1439" s="22" t="s">
        <v>1940</v>
      </c>
      <c r="D1439" s="22"/>
      <c r="E1439" s="21" t="s">
        <v>75</v>
      </c>
      <c r="F1439" s="21"/>
      <c r="G1439" s="147" t="s">
        <v>100</v>
      </c>
      <c r="H1439" s="195" t="s">
        <v>3471</v>
      </c>
      <c r="I1439" s="195"/>
      <c r="J1439" s="196" t="s">
        <v>3477</v>
      </c>
      <c r="K1439" s="120"/>
      <c r="L1439" s="196" t="s">
        <v>4950</v>
      </c>
      <c r="M1439" s="197">
        <v>44321</v>
      </c>
      <c r="N1439" s="209">
        <v>16685</v>
      </c>
      <c r="O1439" s="22" t="s">
        <v>15</v>
      </c>
      <c r="P1439" s="44">
        <v>17055.41</v>
      </c>
      <c r="Q1439" s="44">
        <f t="shared" si="156"/>
        <v>0</v>
      </c>
      <c r="R1439" s="24">
        <f t="shared" si="155"/>
        <v>17055.41</v>
      </c>
    </row>
    <row r="1440" spans="2:18" hidden="1" x14ac:dyDescent="0.25">
      <c r="B1440" s="21" t="s">
        <v>395</v>
      </c>
      <c r="C1440" s="22" t="s">
        <v>1940</v>
      </c>
      <c r="D1440" s="22"/>
      <c r="E1440" s="21" t="s">
        <v>75</v>
      </c>
      <c r="F1440" s="21"/>
      <c r="G1440" s="147" t="s">
        <v>100</v>
      </c>
      <c r="H1440" s="306" t="s">
        <v>5296</v>
      </c>
      <c r="I1440" s="306"/>
      <c r="J1440" s="307" t="s">
        <v>1558</v>
      </c>
      <c r="K1440" s="120"/>
      <c r="L1440" s="306" t="s">
        <v>5742</v>
      </c>
      <c r="M1440" s="309">
        <v>44454</v>
      </c>
      <c r="N1440" s="308">
        <v>52026</v>
      </c>
      <c r="O1440" s="22" t="s">
        <v>15</v>
      </c>
      <c r="P1440" s="44">
        <v>52026</v>
      </c>
      <c r="Q1440" s="44">
        <f t="shared" si="156"/>
        <v>0</v>
      </c>
      <c r="R1440" s="24">
        <f t="shared" si="155"/>
        <v>52026</v>
      </c>
    </row>
    <row r="1441" spans="2:19" hidden="1" x14ac:dyDescent="0.25">
      <c r="B1441" s="21" t="s">
        <v>395</v>
      </c>
      <c r="C1441" s="22" t="s">
        <v>1940</v>
      </c>
      <c r="D1441" s="22"/>
      <c r="E1441" s="21" t="s">
        <v>75</v>
      </c>
      <c r="F1441" s="21"/>
      <c r="G1441" s="147" t="s">
        <v>100</v>
      </c>
      <c r="H1441" s="306" t="s">
        <v>5296</v>
      </c>
      <c r="I1441" s="306"/>
      <c r="J1441" s="307" t="s">
        <v>542</v>
      </c>
      <c r="K1441" s="120"/>
      <c r="L1441" s="306" t="s">
        <v>6299</v>
      </c>
      <c r="M1441" s="309">
        <v>44551</v>
      </c>
      <c r="N1441" s="308">
        <v>38652</v>
      </c>
      <c r="O1441" s="22" t="s">
        <v>15</v>
      </c>
      <c r="P1441" s="44">
        <v>38652</v>
      </c>
      <c r="Q1441" s="44">
        <f t="shared" si="156"/>
        <v>0</v>
      </c>
      <c r="R1441" s="24">
        <f t="shared" si="155"/>
        <v>38652</v>
      </c>
    </row>
    <row r="1442" spans="2:19" hidden="1" x14ac:dyDescent="0.25">
      <c r="B1442" s="21" t="s">
        <v>395</v>
      </c>
      <c r="C1442" s="22" t="s">
        <v>1940</v>
      </c>
      <c r="D1442" s="22"/>
      <c r="E1442" s="21" t="s">
        <v>75</v>
      </c>
      <c r="F1442" s="21"/>
      <c r="G1442" s="147" t="s">
        <v>100</v>
      </c>
      <c r="H1442" s="306" t="s">
        <v>5296</v>
      </c>
      <c r="I1442" s="306"/>
      <c r="J1442" s="307" t="s">
        <v>5300</v>
      </c>
      <c r="K1442" s="120"/>
      <c r="L1442" s="306" t="s">
        <v>5316</v>
      </c>
      <c r="M1442" s="309">
        <v>44379</v>
      </c>
      <c r="N1442" s="308">
        <v>36700</v>
      </c>
      <c r="O1442" s="22" t="s">
        <v>15</v>
      </c>
      <c r="P1442" s="44">
        <v>37514.74</v>
      </c>
      <c r="Q1442" s="44">
        <f t="shared" si="156"/>
        <v>0</v>
      </c>
      <c r="R1442" s="24">
        <f t="shared" si="155"/>
        <v>37514.74</v>
      </c>
    </row>
    <row r="1443" spans="2:19" hidden="1" x14ac:dyDescent="0.25">
      <c r="B1443" s="21" t="s">
        <v>395</v>
      </c>
      <c r="C1443" s="22" t="s">
        <v>1940</v>
      </c>
      <c r="D1443" s="22"/>
      <c r="E1443" s="21" t="s">
        <v>75</v>
      </c>
      <c r="F1443" s="21"/>
      <c r="G1443" s="147" t="s">
        <v>100</v>
      </c>
      <c r="H1443" s="306" t="s">
        <v>5296</v>
      </c>
      <c r="I1443" s="306"/>
      <c r="J1443" s="307" t="s">
        <v>5299</v>
      </c>
      <c r="K1443" s="120"/>
      <c r="L1443" s="196" t="s">
        <v>5315</v>
      </c>
      <c r="M1443" s="197">
        <v>44379</v>
      </c>
      <c r="N1443" s="308">
        <v>10312</v>
      </c>
      <c r="O1443" s="22" t="s">
        <v>15</v>
      </c>
      <c r="P1443" s="44">
        <v>10540.93</v>
      </c>
      <c r="Q1443" s="44">
        <f t="shared" si="156"/>
        <v>0</v>
      </c>
      <c r="R1443" s="24">
        <f t="shared" si="155"/>
        <v>10540.93</v>
      </c>
    </row>
    <row r="1444" spans="2:19" hidden="1" x14ac:dyDescent="0.25">
      <c r="B1444" s="21" t="s">
        <v>395</v>
      </c>
      <c r="C1444" s="22" t="s">
        <v>1940</v>
      </c>
      <c r="D1444" s="22"/>
      <c r="E1444" s="21" t="s">
        <v>75</v>
      </c>
      <c r="F1444" s="21"/>
      <c r="G1444" s="147" t="s">
        <v>100</v>
      </c>
      <c r="H1444" s="306" t="s">
        <v>5296</v>
      </c>
      <c r="I1444" s="306"/>
      <c r="J1444" s="307" t="s">
        <v>5299</v>
      </c>
      <c r="K1444" s="120"/>
      <c r="L1444" s="196" t="s">
        <v>5314</v>
      </c>
      <c r="M1444" s="197">
        <v>44379</v>
      </c>
      <c r="N1444" s="308">
        <v>10312</v>
      </c>
      <c r="O1444" s="22" t="s">
        <v>15</v>
      </c>
      <c r="P1444" s="44">
        <v>10540.93</v>
      </c>
      <c r="Q1444" s="44">
        <f t="shared" si="156"/>
        <v>0</v>
      </c>
      <c r="R1444" s="24">
        <f t="shared" si="155"/>
        <v>10540.93</v>
      </c>
    </row>
    <row r="1445" spans="2:19" hidden="1" x14ac:dyDescent="0.25">
      <c r="B1445" s="21" t="s">
        <v>395</v>
      </c>
      <c r="C1445" s="22" t="s">
        <v>1940</v>
      </c>
      <c r="D1445" s="22"/>
      <c r="E1445" s="21" t="s">
        <v>75</v>
      </c>
      <c r="F1445" s="21"/>
      <c r="G1445" s="147" t="s">
        <v>100</v>
      </c>
      <c r="H1445" s="306" t="s">
        <v>5296</v>
      </c>
      <c r="I1445" s="306"/>
      <c r="J1445" s="307" t="s">
        <v>5299</v>
      </c>
      <c r="K1445" s="120"/>
      <c r="L1445" s="196" t="s">
        <v>5533</v>
      </c>
      <c r="M1445" s="197">
        <v>44411</v>
      </c>
      <c r="N1445" s="308">
        <v>10312</v>
      </c>
      <c r="O1445" s="22" t="s">
        <v>15</v>
      </c>
      <c r="P1445" s="44">
        <v>10540.93</v>
      </c>
      <c r="Q1445" s="44">
        <f t="shared" si="156"/>
        <v>0</v>
      </c>
      <c r="R1445" s="24">
        <f t="shared" si="155"/>
        <v>10540.93</v>
      </c>
    </row>
    <row r="1446" spans="2:19" hidden="1" x14ac:dyDescent="0.25">
      <c r="B1446" s="21" t="s">
        <v>395</v>
      </c>
      <c r="C1446" s="22" t="s">
        <v>1940</v>
      </c>
      <c r="D1446" s="22"/>
      <c r="E1446" s="21" t="s">
        <v>75</v>
      </c>
      <c r="F1446" s="21"/>
      <c r="G1446" s="147" t="s">
        <v>100</v>
      </c>
      <c r="H1446" s="306" t="s">
        <v>5296</v>
      </c>
      <c r="I1446" s="306"/>
      <c r="J1446" s="307" t="s">
        <v>5304</v>
      </c>
      <c r="K1446" s="120"/>
      <c r="L1446" s="307" t="s">
        <v>5305</v>
      </c>
      <c r="M1446" s="197"/>
      <c r="N1446" s="308">
        <v>20125</v>
      </c>
      <c r="O1446" s="22" t="s">
        <v>15</v>
      </c>
      <c r="P1446" s="44">
        <v>20125</v>
      </c>
      <c r="Q1446" s="44">
        <f t="shared" si="156"/>
        <v>0</v>
      </c>
      <c r="R1446" s="24">
        <f t="shared" si="155"/>
        <v>20125</v>
      </c>
    </row>
    <row r="1447" spans="2:19" hidden="1" x14ac:dyDescent="0.25">
      <c r="B1447" s="21" t="s">
        <v>395</v>
      </c>
      <c r="C1447" s="22" t="s">
        <v>1940</v>
      </c>
      <c r="D1447" s="22"/>
      <c r="E1447" s="21" t="s">
        <v>75</v>
      </c>
      <c r="F1447" s="21"/>
      <c r="G1447" s="147" t="s">
        <v>100</v>
      </c>
      <c r="H1447" s="306" t="s">
        <v>5296</v>
      </c>
      <c r="I1447" s="306"/>
      <c r="J1447" s="307" t="s">
        <v>5301</v>
      </c>
      <c r="K1447" s="120"/>
      <c r="L1447" s="307" t="s">
        <v>5637</v>
      </c>
      <c r="M1447" s="197" t="s">
        <v>5638</v>
      </c>
      <c r="N1447" s="308">
        <v>18096</v>
      </c>
      <c r="O1447" s="22" t="s">
        <v>15</v>
      </c>
      <c r="P1447" s="44">
        <f>18497.73+4031.45</f>
        <v>22529.18</v>
      </c>
      <c r="Q1447" s="44">
        <f t="shared" si="156"/>
        <v>0</v>
      </c>
      <c r="R1447" s="24">
        <f t="shared" si="155"/>
        <v>22529.18</v>
      </c>
      <c r="S1447" s="5" t="s">
        <v>5639</v>
      </c>
    </row>
    <row r="1448" spans="2:19" hidden="1" x14ac:dyDescent="0.25">
      <c r="B1448" s="21" t="s">
        <v>395</v>
      </c>
      <c r="C1448" s="22" t="s">
        <v>1940</v>
      </c>
      <c r="D1448" s="22"/>
      <c r="E1448" s="21" t="s">
        <v>75</v>
      </c>
      <c r="F1448" s="21"/>
      <c r="G1448" s="147" t="s">
        <v>100</v>
      </c>
      <c r="H1448" s="188" t="s">
        <v>6293</v>
      </c>
      <c r="I1448" s="188"/>
      <c r="J1448" s="176" t="s">
        <v>6294</v>
      </c>
      <c r="K1448" s="120"/>
      <c r="L1448" s="188" t="s">
        <v>6298</v>
      </c>
      <c r="M1448" s="189">
        <v>44559</v>
      </c>
      <c r="N1448" s="204">
        <v>57612</v>
      </c>
      <c r="O1448" s="22" t="s">
        <v>15</v>
      </c>
      <c r="P1448" s="44">
        <v>57612</v>
      </c>
      <c r="Q1448" s="44">
        <f t="shared" ref="Q1448:Q1477" si="157">IF(P1448="en cours",N1448,IF(P1448="OK",0,IF(N1448-P1448&lt;0,0,N1448-P1448)))</f>
        <v>0</v>
      </c>
      <c r="R1448" s="24">
        <f t="shared" si="155"/>
        <v>57612</v>
      </c>
    </row>
    <row r="1449" spans="2:19" hidden="1" x14ac:dyDescent="0.25">
      <c r="B1449" s="21" t="s">
        <v>395</v>
      </c>
      <c r="C1449" s="22" t="s">
        <v>2461</v>
      </c>
      <c r="D1449" s="165"/>
      <c r="E1449" s="21" t="s">
        <v>75</v>
      </c>
      <c r="F1449" s="21"/>
      <c r="G1449" s="147" t="s">
        <v>100</v>
      </c>
      <c r="H1449" s="23" t="s">
        <v>3447</v>
      </c>
      <c r="I1449" s="23"/>
      <c r="J1449" s="21" t="s">
        <v>3448</v>
      </c>
      <c r="K1449" s="120"/>
      <c r="L1449" s="165" t="s">
        <v>3449</v>
      </c>
      <c r="M1449" s="26">
        <v>44014</v>
      </c>
      <c r="N1449" s="44">
        <v>100000</v>
      </c>
      <c r="O1449" s="22" t="s">
        <v>15</v>
      </c>
      <c r="P1449" s="44">
        <v>100000</v>
      </c>
      <c r="Q1449" s="24">
        <f t="shared" si="157"/>
        <v>0</v>
      </c>
      <c r="R1449" s="24">
        <f t="shared" si="155"/>
        <v>100000</v>
      </c>
    </row>
    <row r="1450" spans="2:19" hidden="1" x14ac:dyDescent="0.25">
      <c r="B1450" s="21" t="s">
        <v>395</v>
      </c>
      <c r="C1450" s="22" t="s">
        <v>2461</v>
      </c>
      <c r="D1450" s="22"/>
      <c r="E1450" s="21" t="s">
        <v>75</v>
      </c>
      <c r="F1450" s="21"/>
      <c r="G1450" s="147" t="s">
        <v>100</v>
      </c>
      <c r="H1450" s="23" t="s">
        <v>1637</v>
      </c>
      <c r="I1450" s="23" t="s">
        <v>7857</v>
      </c>
      <c r="J1450" s="21" t="s">
        <v>1634</v>
      </c>
      <c r="K1450" s="120"/>
      <c r="L1450" s="21" t="s">
        <v>1891</v>
      </c>
      <c r="M1450" s="26">
        <v>43621</v>
      </c>
      <c r="N1450" s="44">
        <v>152667</v>
      </c>
      <c r="O1450" s="22" t="s">
        <v>15</v>
      </c>
      <c r="P1450" s="22" t="s">
        <v>19</v>
      </c>
      <c r="Q1450" s="24">
        <f t="shared" si="157"/>
        <v>0</v>
      </c>
      <c r="R1450" s="24">
        <f t="shared" si="155"/>
        <v>152667</v>
      </c>
      <c r="S1450"/>
    </row>
    <row r="1451" spans="2:19" hidden="1" x14ac:dyDescent="0.25">
      <c r="B1451" s="21" t="s">
        <v>395</v>
      </c>
      <c r="C1451" s="22" t="s">
        <v>2461</v>
      </c>
      <c r="D1451" s="22"/>
      <c r="E1451" s="21" t="s">
        <v>75</v>
      </c>
      <c r="F1451" s="21"/>
      <c r="G1451" s="147" t="s">
        <v>100</v>
      </c>
      <c r="H1451" s="23" t="s">
        <v>1637</v>
      </c>
      <c r="I1451" s="23" t="s">
        <v>7857</v>
      </c>
      <c r="J1451" s="21" t="s">
        <v>1889</v>
      </c>
      <c r="K1451" s="120"/>
      <c r="L1451" s="21"/>
      <c r="M1451" s="26"/>
      <c r="N1451" s="44">
        <v>0</v>
      </c>
      <c r="O1451" s="22" t="s">
        <v>15</v>
      </c>
      <c r="P1451" s="22" t="s">
        <v>19</v>
      </c>
      <c r="Q1451" s="24">
        <f t="shared" si="157"/>
        <v>0</v>
      </c>
      <c r="R1451" s="24">
        <f t="shared" si="155"/>
        <v>0</v>
      </c>
      <c r="S1451"/>
    </row>
    <row r="1452" spans="2:19" hidden="1" x14ac:dyDescent="0.25">
      <c r="B1452" s="21" t="s">
        <v>395</v>
      </c>
      <c r="C1452" s="22" t="s">
        <v>2461</v>
      </c>
      <c r="D1452" s="22"/>
      <c r="E1452" s="21" t="s">
        <v>75</v>
      </c>
      <c r="F1452" s="21"/>
      <c r="G1452" s="147" t="s">
        <v>100</v>
      </c>
      <c r="H1452" s="23" t="s">
        <v>1637</v>
      </c>
      <c r="I1452" s="23" t="s">
        <v>7857</v>
      </c>
      <c r="J1452" s="21" t="s">
        <v>1635</v>
      </c>
      <c r="K1452" s="120">
        <v>43831</v>
      </c>
      <c r="L1452" s="21" t="s">
        <v>1892</v>
      </c>
      <c r="M1452" s="26">
        <v>43621</v>
      </c>
      <c r="N1452" s="44">
        <v>30533</v>
      </c>
      <c r="O1452" s="22" t="s">
        <v>15</v>
      </c>
      <c r="P1452" s="22" t="s">
        <v>19</v>
      </c>
      <c r="Q1452" s="24">
        <f t="shared" si="157"/>
        <v>0</v>
      </c>
      <c r="R1452" s="24">
        <f t="shared" si="155"/>
        <v>30533</v>
      </c>
      <c r="S1452"/>
    </row>
    <row r="1453" spans="2:19" hidden="1" x14ac:dyDescent="0.25">
      <c r="B1453" s="21" t="s">
        <v>395</v>
      </c>
      <c r="C1453" s="22" t="s">
        <v>2461</v>
      </c>
      <c r="D1453" s="22"/>
      <c r="E1453" s="21" t="s">
        <v>75</v>
      </c>
      <c r="F1453" s="21"/>
      <c r="G1453" s="147" t="s">
        <v>100</v>
      </c>
      <c r="H1453" s="23" t="s">
        <v>1637</v>
      </c>
      <c r="I1453" s="23" t="s">
        <v>7857</v>
      </c>
      <c r="J1453" s="21" t="s">
        <v>1635</v>
      </c>
      <c r="K1453" s="120">
        <v>43831</v>
      </c>
      <c r="L1453" s="21" t="s">
        <v>1893</v>
      </c>
      <c r="M1453" s="26">
        <v>43647</v>
      </c>
      <c r="N1453" s="44">
        <v>30533</v>
      </c>
      <c r="O1453" s="22" t="s">
        <v>15</v>
      </c>
      <c r="P1453" s="22" t="s">
        <v>19</v>
      </c>
      <c r="Q1453" s="24">
        <f t="shared" si="157"/>
        <v>0</v>
      </c>
      <c r="R1453" s="24">
        <f t="shared" si="155"/>
        <v>30533</v>
      </c>
      <c r="S1453"/>
    </row>
    <row r="1454" spans="2:19" hidden="1" x14ac:dyDescent="0.25">
      <c r="B1454" s="21" t="s">
        <v>395</v>
      </c>
      <c r="C1454" s="22" t="s">
        <v>2461</v>
      </c>
      <c r="D1454" s="22"/>
      <c r="E1454" s="21" t="s">
        <v>75</v>
      </c>
      <c r="F1454" s="21"/>
      <c r="G1454" s="147" t="s">
        <v>100</v>
      </c>
      <c r="H1454" s="23" t="s">
        <v>1657</v>
      </c>
      <c r="I1454" s="23" t="s">
        <v>7857</v>
      </c>
      <c r="J1454" s="21" t="s">
        <v>1635</v>
      </c>
      <c r="K1454" s="120">
        <v>43831</v>
      </c>
      <c r="L1454" s="21" t="s">
        <v>1894</v>
      </c>
      <c r="M1454" s="26">
        <v>43678</v>
      </c>
      <c r="N1454" s="44">
        <v>30533</v>
      </c>
      <c r="O1454" s="22" t="s">
        <v>15</v>
      </c>
      <c r="P1454" s="22" t="s">
        <v>19</v>
      </c>
      <c r="Q1454" s="24">
        <f t="shared" si="157"/>
        <v>0</v>
      </c>
      <c r="R1454" s="24">
        <f t="shared" si="155"/>
        <v>30533</v>
      </c>
      <c r="S1454"/>
    </row>
    <row r="1455" spans="2:19" hidden="1" x14ac:dyDescent="0.25">
      <c r="B1455" s="21" t="s">
        <v>395</v>
      </c>
      <c r="C1455" s="22" t="s">
        <v>2461</v>
      </c>
      <c r="D1455" s="22"/>
      <c r="E1455" s="21" t="s">
        <v>75</v>
      </c>
      <c r="F1455" s="21"/>
      <c r="G1455" s="147" t="s">
        <v>100</v>
      </c>
      <c r="H1455" s="23" t="s">
        <v>1637</v>
      </c>
      <c r="I1455" s="23" t="s">
        <v>7857</v>
      </c>
      <c r="J1455" s="21" t="s">
        <v>1636</v>
      </c>
      <c r="K1455" s="120"/>
      <c r="L1455" s="21" t="s">
        <v>1895</v>
      </c>
      <c r="M1455" s="26">
        <v>43621</v>
      </c>
      <c r="N1455" s="99">
        <v>25381</v>
      </c>
      <c r="O1455" s="22" t="s">
        <v>15</v>
      </c>
      <c r="P1455" s="22" t="s">
        <v>19</v>
      </c>
      <c r="Q1455" s="24">
        <f t="shared" si="157"/>
        <v>0</v>
      </c>
      <c r="R1455" s="24">
        <f t="shared" si="155"/>
        <v>25381</v>
      </c>
      <c r="S1455"/>
    </row>
    <row r="1456" spans="2:19" hidden="1" x14ac:dyDescent="0.25">
      <c r="B1456" s="21" t="s">
        <v>395</v>
      </c>
      <c r="C1456" s="22" t="s">
        <v>2461</v>
      </c>
      <c r="D1456" s="22"/>
      <c r="E1456" s="21" t="s">
        <v>75</v>
      </c>
      <c r="F1456" s="21"/>
      <c r="G1456" s="147" t="s">
        <v>100</v>
      </c>
      <c r="H1456" s="23" t="s">
        <v>1858</v>
      </c>
      <c r="I1456" s="23"/>
      <c r="J1456" s="21" t="s">
        <v>5670</v>
      </c>
      <c r="K1456" s="120"/>
      <c r="L1456" s="21" t="s">
        <v>1890</v>
      </c>
      <c r="M1456" s="26">
        <v>43698</v>
      </c>
      <c r="N1456" s="44">
        <v>61067</v>
      </c>
      <c r="O1456" s="22" t="s">
        <v>15</v>
      </c>
      <c r="P1456" s="22" t="s">
        <v>19</v>
      </c>
      <c r="Q1456" s="24">
        <f t="shared" si="157"/>
        <v>0</v>
      </c>
      <c r="R1456" s="24">
        <f t="shared" si="155"/>
        <v>61067</v>
      </c>
      <c r="S1456"/>
    </row>
    <row r="1457" spans="2:19" hidden="1" x14ac:dyDescent="0.25">
      <c r="B1457" s="21" t="s">
        <v>395</v>
      </c>
      <c r="C1457" s="22" t="s">
        <v>2461</v>
      </c>
      <c r="D1457" s="22"/>
      <c r="E1457" s="21" t="s">
        <v>75</v>
      </c>
      <c r="F1457" s="21"/>
      <c r="G1457" s="147" t="s">
        <v>100</v>
      </c>
      <c r="H1457" s="23" t="s">
        <v>1858</v>
      </c>
      <c r="I1457" s="23"/>
      <c r="J1457" s="21" t="s">
        <v>5671</v>
      </c>
      <c r="K1457" s="120"/>
      <c r="L1457" s="21" t="s">
        <v>2584</v>
      </c>
      <c r="M1457" s="26">
        <v>43789</v>
      </c>
      <c r="N1457" s="44">
        <v>94464</v>
      </c>
      <c r="O1457" s="22" t="s">
        <v>15</v>
      </c>
      <c r="P1457" s="22" t="s">
        <v>19</v>
      </c>
      <c r="Q1457" s="24">
        <f t="shared" si="157"/>
        <v>0</v>
      </c>
      <c r="R1457" s="24">
        <f t="shared" si="155"/>
        <v>94464</v>
      </c>
      <c r="S1457"/>
    </row>
    <row r="1458" spans="2:19" hidden="1" x14ac:dyDescent="0.25">
      <c r="B1458" s="21" t="s">
        <v>395</v>
      </c>
      <c r="C1458" s="22" t="s">
        <v>2461</v>
      </c>
      <c r="D1458" s="165"/>
      <c r="E1458" s="21" t="s">
        <v>75</v>
      </c>
      <c r="F1458" s="21"/>
      <c r="G1458" s="147" t="s">
        <v>100</v>
      </c>
      <c r="H1458" s="23" t="s">
        <v>1858</v>
      </c>
      <c r="I1458" s="23"/>
      <c r="J1458" s="21" t="s">
        <v>5672</v>
      </c>
      <c r="K1458" s="120"/>
      <c r="L1458" s="164" t="s">
        <v>2667</v>
      </c>
      <c r="M1458" s="26">
        <v>43832</v>
      </c>
      <c r="N1458" s="44">
        <v>236160</v>
      </c>
      <c r="O1458" s="22" t="s">
        <v>15</v>
      </c>
      <c r="P1458" s="22" t="s">
        <v>19</v>
      </c>
      <c r="Q1458" s="24">
        <f t="shared" si="157"/>
        <v>0</v>
      </c>
      <c r="R1458" s="24">
        <f t="shared" si="155"/>
        <v>236160</v>
      </c>
    </row>
    <row r="1459" spans="2:19" hidden="1" x14ac:dyDescent="0.25">
      <c r="B1459" s="21" t="s">
        <v>395</v>
      </c>
      <c r="C1459" s="22" t="s">
        <v>2461</v>
      </c>
      <c r="D1459" s="22"/>
      <c r="E1459" s="21" t="s">
        <v>75</v>
      </c>
      <c r="F1459" s="21"/>
      <c r="G1459" s="147" t="s">
        <v>100</v>
      </c>
      <c r="H1459" s="23" t="s">
        <v>1858</v>
      </c>
      <c r="I1459" s="23"/>
      <c r="J1459" s="21" t="s">
        <v>1864</v>
      </c>
      <c r="K1459" s="120"/>
      <c r="L1459" s="21" t="s">
        <v>1878</v>
      </c>
      <c r="M1459" s="26">
        <v>43710</v>
      </c>
      <c r="N1459" s="44">
        <v>19544.28</v>
      </c>
      <c r="O1459" s="22" t="s">
        <v>15</v>
      </c>
      <c r="P1459" s="22" t="s">
        <v>19</v>
      </c>
      <c r="Q1459" s="24">
        <f t="shared" si="157"/>
        <v>0</v>
      </c>
      <c r="R1459" s="24">
        <f t="shared" si="155"/>
        <v>19544.28</v>
      </c>
      <c r="S1459"/>
    </row>
    <row r="1460" spans="2:19" hidden="1" x14ac:dyDescent="0.25">
      <c r="B1460" s="21" t="s">
        <v>395</v>
      </c>
      <c r="C1460" s="22" t="s">
        <v>2461</v>
      </c>
      <c r="D1460" s="22"/>
      <c r="E1460" s="21" t="s">
        <v>75</v>
      </c>
      <c r="F1460" s="21"/>
      <c r="G1460" s="147" t="s">
        <v>100</v>
      </c>
      <c r="H1460" s="23" t="s">
        <v>1858</v>
      </c>
      <c r="I1460" s="23"/>
      <c r="J1460" s="21" t="s">
        <v>1864</v>
      </c>
      <c r="K1460" s="120"/>
      <c r="L1460" s="21" t="s">
        <v>2087</v>
      </c>
      <c r="M1460" s="26">
        <v>43739</v>
      </c>
      <c r="N1460" s="44">
        <v>19544.28</v>
      </c>
      <c r="O1460" s="22" t="s">
        <v>15</v>
      </c>
      <c r="P1460" s="22" t="s">
        <v>19</v>
      </c>
      <c r="Q1460" s="24">
        <f t="shared" si="157"/>
        <v>0</v>
      </c>
      <c r="R1460" s="24">
        <f t="shared" si="155"/>
        <v>19544.28</v>
      </c>
      <c r="S1460"/>
    </row>
    <row r="1461" spans="2:19" hidden="1" x14ac:dyDescent="0.25">
      <c r="B1461" s="21" t="s">
        <v>395</v>
      </c>
      <c r="C1461" s="22" t="s">
        <v>2461</v>
      </c>
      <c r="D1461" s="22"/>
      <c r="E1461" s="21" t="s">
        <v>75</v>
      </c>
      <c r="F1461" s="21"/>
      <c r="G1461" s="147" t="s">
        <v>100</v>
      </c>
      <c r="H1461" s="23" t="s">
        <v>1858</v>
      </c>
      <c r="I1461" s="23"/>
      <c r="J1461" s="21" t="s">
        <v>1864</v>
      </c>
      <c r="K1461" s="120"/>
      <c r="L1461" s="21" t="s">
        <v>2361</v>
      </c>
      <c r="M1461" s="26">
        <v>43773</v>
      </c>
      <c r="N1461" s="44">
        <v>19544.28</v>
      </c>
      <c r="O1461" s="22" t="s">
        <v>15</v>
      </c>
      <c r="P1461" s="22" t="s">
        <v>19</v>
      </c>
      <c r="Q1461" s="24">
        <f t="shared" si="157"/>
        <v>0</v>
      </c>
      <c r="R1461" s="24">
        <f t="shared" si="155"/>
        <v>19544.28</v>
      </c>
      <c r="S1461"/>
    </row>
    <row r="1462" spans="2:19" hidden="1" x14ac:dyDescent="0.25">
      <c r="B1462" s="21" t="s">
        <v>395</v>
      </c>
      <c r="C1462" s="22" t="s">
        <v>2461</v>
      </c>
      <c r="D1462" s="22"/>
      <c r="E1462" s="21" t="s">
        <v>75</v>
      </c>
      <c r="F1462" s="21"/>
      <c r="G1462" s="147" t="s">
        <v>100</v>
      </c>
      <c r="H1462" s="23" t="s">
        <v>1858</v>
      </c>
      <c r="I1462" s="23"/>
      <c r="J1462" s="21" t="s">
        <v>1864</v>
      </c>
      <c r="K1462" s="120"/>
      <c r="L1462" s="21" t="s">
        <v>2583</v>
      </c>
      <c r="M1462" s="26">
        <v>43801</v>
      </c>
      <c r="N1462" s="44">
        <v>19544.28</v>
      </c>
      <c r="O1462" s="22" t="s">
        <v>15</v>
      </c>
      <c r="P1462" s="22" t="s">
        <v>19</v>
      </c>
      <c r="Q1462" s="24">
        <f t="shared" si="157"/>
        <v>0</v>
      </c>
      <c r="R1462" s="24">
        <f t="shared" si="155"/>
        <v>19544.28</v>
      </c>
      <c r="S1462"/>
    </row>
    <row r="1463" spans="2:19" hidden="1" x14ac:dyDescent="0.25">
      <c r="B1463" s="21" t="s">
        <v>395</v>
      </c>
      <c r="C1463" s="22" t="s">
        <v>2461</v>
      </c>
      <c r="D1463" s="22"/>
      <c r="E1463" s="21" t="s">
        <v>75</v>
      </c>
      <c r="F1463" s="21"/>
      <c r="G1463" s="147" t="s">
        <v>100</v>
      </c>
      <c r="H1463" s="23" t="s">
        <v>1858</v>
      </c>
      <c r="I1463" s="23"/>
      <c r="J1463" s="21" t="s">
        <v>1864</v>
      </c>
      <c r="K1463" s="120"/>
      <c r="L1463" s="21" t="s">
        <v>2811</v>
      </c>
      <c r="M1463" s="26">
        <v>43864</v>
      </c>
      <c r="N1463" s="44">
        <v>19544.28</v>
      </c>
      <c r="O1463" s="22" t="s">
        <v>15</v>
      </c>
      <c r="P1463" s="22" t="s">
        <v>19</v>
      </c>
      <c r="Q1463" s="24">
        <f t="shared" si="157"/>
        <v>0</v>
      </c>
      <c r="R1463" s="24">
        <f t="shared" si="155"/>
        <v>19544.28</v>
      </c>
      <c r="S1463"/>
    </row>
    <row r="1464" spans="2:19" hidden="1" x14ac:dyDescent="0.25">
      <c r="B1464" s="21" t="s">
        <v>395</v>
      </c>
      <c r="C1464" s="22" t="s">
        <v>2461</v>
      </c>
      <c r="D1464" s="22"/>
      <c r="E1464" s="21" t="s">
        <v>75</v>
      </c>
      <c r="F1464" s="21"/>
      <c r="G1464" s="147" t="s">
        <v>100</v>
      </c>
      <c r="H1464" s="23" t="s">
        <v>1858</v>
      </c>
      <c r="I1464" s="23"/>
      <c r="J1464" s="21" t="s">
        <v>1864</v>
      </c>
      <c r="K1464" s="120"/>
      <c r="L1464" s="21" t="s">
        <v>2978</v>
      </c>
      <c r="M1464" s="26">
        <v>43892</v>
      </c>
      <c r="N1464" s="44">
        <v>19544.28</v>
      </c>
      <c r="O1464" s="22" t="s">
        <v>15</v>
      </c>
      <c r="P1464" s="22" t="s">
        <v>19</v>
      </c>
      <c r="Q1464" s="24">
        <f t="shared" si="157"/>
        <v>0</v>
      </c>
      <c r="R1464" s="24">
        <f t="shared" si="155"/>
        <v>19544.28</v>
      </c>
      <c r="S1464"/>
    </row>
    <row r="1465" spans="2:19" hidden="1" x14ac:dyDescent="0.25">
      <c r="B1465" s="21" t="s">
        <v>395</v>
      </c>
      <c r="C1465" s="22" t="s">
        <v>2461</v>
      </c>
      <c r="D1465" s="22"/>
      <c r="E1465" s="21" t="s">
        <v>75</v>
      </c>
      <c r="F1465" s="21"/>
      <c r="G1465" s="147" t="s">
        <v>100</v>
      </c>
      <c r="H1465" s="23" t="s">
        <v>1858</v>
      </c>
      <c r="I1465" s="23"/>
      <c r="J1465" s="21" t="s">
        <v>1864</v>
      </c>
      <c r="K1465" s="120"/>
      <c r="L1465" s="21" t="s">
        <v>3067</v>
      </c>
      <c r="M1465" s="26">
        <v>43922</v>
      </c>
      <c r="N1465" s="44">
        <v>19544.28</v>
      </c>
      <c r="O1465" s="22" t="s">
        <v>15</v>
      </c>
      <c r="P1465" s="22" t="s">
        <v>19</v>
      </c>
      <c r="Q1465" s="24">
        <f t="shared" si="157"/>
        <v>0</v>
      </c>
      <c r="R1465" s="24">
        <f t="shared" si="155"/>
        <v>19544.28</v>
      </c>
      <c r="S1465"/>
    </row>
    <row r="1466" spans="2:19" hidden="1" x14ac:dyDescent="0.25">
      <c r="B1466" s="21" t="s">
        <v>395</v>
      </c>
      <c r="C1466" s="22" t="s">
        <v>2461</v>
      </c>
      <c r="D1466" s="22"/>
      <c r="E1466" s="21" t="s">
        <v>75</v>
      </c>
      <c r="F1466" s="21"/>
      <c r="G1466" s="147" t="s">
        <v>100</v>
      </c>
      <c r="H1466" s="23" t="s">
        <v>1858</v>
      </c>
      <c r="I1466" s="23"/>
      <c r="J1466" s="21" t="s">
        <v>1864</v>
      </c>
      <c r="K1466" s="120"/>
      <c r="L1466" s="21" t="s">
        <v>3142</v>
      </c>
      <c r="M1466" s="26">
        <v>43952</v>
      </c>
      <c r="N1466" s="44">
        <v>19544.28</v>
      </c>
      <c r="O1466" s="22" t="s">
        <v>15</v>
      </c>
      <c r="P1466" s="22" t="s">
        <v>19</v>
      </c>
      <c r="Q1466" s="24">
        <f t="shared" si="157"/>
        <v>0</v>
      </c>
      <c r="R1466" s="24">
        <f t="shared" si="155"/>
        <v>19544.28</v>
      </c>
      <c r="S1466"/>
    </row>
    <row r="1467" spans="2:19" hidden="1" x14ac:dyDescent="0.25">
      <c r="B1467" s="21" t="s">
        <v>395</v>
      </c>
      <c r="C1467" s="22" t="s">
        <v>2461</v>
      </c>
      <c r="D1467" s="22"/>
      <c r="E1467" s="21" t="s">
        <v>75</v>
      </c>
      <c r="F1467" s="21"/>
      <c r="G1467" s="147" t="s">
        <v>100</v>
      </c>
      <c r="H1467" s="23" t="s">
        <v>1858</v>
      </c>
      <c r="I1467" s="23"/>
      <c r="J1467" s="21" t="s">
        <v>1864</v>
      </c>
      <c r="K1467" s="120"/>
      <c r="L1467" s="21" t="s">
        <v>3231</v>
      </c>
      <c r="M1467" s="26">
        <v>43983</v>
      </c>
      <c r="N1467" s="44">
        <v>19544.28</v>
      </c>
      <c r="O1467" s="22" t="s">
        <v>15</v>
      </c>
      <c r="P1467" s="22" t="s">
        <v>19</v>
      </c>
      <c r="Q1467" s="24">
        <f t="shared" si="157"/>
        <v>0</v>
      </c>
      <c r="R1467" s="24">
        <f t="shared" si="155"/>
        <v>19544.28</v>
      </c>
      <c r="S1467"/>
    </row>
    <row r="1468" spans="2:19" hidden="1" x14ac:dyDescent="0.25">
      <c r="B1468" s="21" t="s">
        <v>395</v>
      </c>
      <c r="C1468" s="22" t="s">
        <v>2461</v>
      </c>
      <c r="D1468" s="22"/>
      <c r="E1468" s="21" t="s">
        <v>75</v>
      </c>
      <c r="F1468" s="21"/>
      <c r="G1468" s="147" t="s">
        <v>100</v>
      </c>
      <c r="H1468" s="23" t="s">
        <v>1858</v>
      </c>
      <c r="I1468" s="23"/>
      <c r="J1468" s="21" t="s">
        <v>1864</v>
      </c>
      <c r="K1468" s="120"/>
      <c r="L1468" s="21" t="s">
        <v>3583</v>
      </c>
      <c r="M1468" s="26" t="s">
        <v>3581</v>
      </c>
      <c r="N1468" s="44">
        <v>15071</v>
      </c>
      <c r="O1468" s="22" t="s">
        <v>15</v>
      </c>
      <c r="P1468" s="44">
        <f>19544.28-4473</f>
        <v>15071.279999999999</v>
      </c>
      <c r="Q1468" s="24">
        <f t="shared" si="157"/>
        <v>0</v>
      </c>
      <c r="R1468" s="24">
        <f t="shared" si="155"/>
        <v>15071.279999999999</v>
      </c>
      <c r="S1468"/>
    </row>
    <row r="1469" spans="2:19" hidden="1" x14ac:dyDescent="0.25">
      <c r="B1469" s="21" t="s">
        <v>395</v>
      </c>
      <c r="C1469" s="22" t="s">
        <v>2461</v>
      </c>
      <c r="D1469" s="22"/>
      <c r="E1469" s="21" t="s">
        <v>75</v>
      </c>
      <c r="F1469" s="21"/>
      <c r="G1469" s="147" t="s">
        <v>100</v>
      </c>
      <c r="H1469" s="23" t="s">
        <v>1858</v>
      </c>
      <c r="I1469" s="23"/>
      <c r="J1469" s="21" t="s">
        <v>1863</v>
      </c>
      <c r="K1469" s="120"/>
      <c r="L1469" s="21" t="s">
        <v>1890</v>
      </c>
      <c r="M1469" s="26">
        <v>43698</v>
      </c>
      <c r="N1469" s="44">
        <v>19544.28</v>
      </c>
      <c r="O1469" s="22" t="s">
        <v>15</v>
      </c>
      <c r="P1469" s="22">
        <v>19544.28</v>
      </c>
      <c r="Q1469" s="24">
        <f t="shared" si="157"/>
        <v>0</v>
      </c>
      <c r="R1469" s="24">
        <f t="shared" si="155"/>
        <v>19544.28</v>
      </c>
      <c r="S1469"/>
    </row>
    <row r="1470" spans="2:19" hidden="1" x14ac:dyDescent="0.25">
      <c r="B1470" s="21" t="s">
        <v>395</v>
      </c>
      <c r="C1470" s="22" t="s">
        <v>2461</v>
      </c>
      <c r="D1470" s="22"/>
      <c r="E1470" s="21" t="s">
        <v>75</v>
      </c>
      <c r="F1470" s="21"/>
      <c r="G1470" s="147" t="s">
        <v>100</v>
      </c>
      <c r="H1470" s="23" t="s">
        <v>1858</v>
      </c>
      <c r="I1470" s="23"/>
      <c r="J1470" s="21" t="s">
        <v>1874</v>
      </c>
      <c r="K1470" s="120"/>
      <c r="L1470" s="21" t="s">
        <v>2668</v>
      </c>
      <c r="M1470" s="26">
        <v>43832</v>
      </c>
      <c r="N1470" s="44">
        <v>19544.28</v>
      </c>
      <c r="O1470" s="22" t="s">
        <v>15</v>
      </c>
      <c r="P1470" s="22">
        <v>19544.28</v>
      </c>
      <c r="Q1470" s="24">
        <f t="shared" si="157"/>
        <v>0</v>
      </c>
      <c r="R1470" s="24">
        <f t="shared" si="155"/>
        <v>19544.28</v>
      </c>
      <c r="S1470"/>
    </row>
    <row r="1471" spans="2:19" hidden="1" x14ac:dyDescent="0.25">
      <c r="B1471" s="21" t="s">
        <v>395</v>
      </c>
      <c r="C1471" s="22" t="s">
        <v>2461</v>
      </c>
      <c r="D1471" s="22"/>
      <c r="E1471" s="21" t="s">
        <v>75</v>
      </c>
      <c r="F1471" s="21"/>
      <c r="G1471" s="147" t="s">
        <v>100</v>
      </c>
      <c r="H1471" s="23" t="s">
        <v>1858</v>
      </c>
      <c r="I1471" s="23"/>
      <c r="J1471" s="21" t="s">
        <v>2338</v>
      </c>
      <c r="K1471" s="120"/>
      <c r="L1471" s="21" t="s">
        <v>3250</v>
      </c>
      <c r="M1471" s="26">
        <v>43986</v>
      </c>
      <c r="N1471" s="99">
        <v>9079.14</v>
      </c>
      <c r="O1471" s="22" t="s">
        <v>15</v>
      </c>
      <c r="P1471" s="22" t="s">
        <v>19</v>
      </c>
      <c r="Q1471" s="24">
        <f t="shared" si="157"/>
        <v>0</v>
      </c>
      <c r="R1471" s="24">
        <f t="shared" si="155"/>
        <v>9079.14</v>
      </c>
      <c r="S1471" t="s">
        <v>2581</v>
      </c>
    </row>
    <row r="1472" spans="2:19" hidden="1" x14ac:dyDescent="0.25">
      <c r="B1472" s="21" t="s">
        <v>395</v>
      </c>
      <c r="C1472" s="22" t="s">
        <v>2461</v>
      </c>
      <c r="D1472" s="22"/>
      <c r="E1472" s="21" t="s">
        <v>75</v>
      </c>
      <c r="F1472" s="21"/>
      <c r="G1472" s="147" t="s">
        <v>100</v>
      </c>
      <c r="H1472" s="23" t="s">
        <v>1858</v>
      </c>
      <c r="I1472" s="23"/>
      <c r="J1472" s="21" t="s">
        <v>2577</v>
      </c>
      <c r="K1472" s="120"/>
      <c r="L1472" s="21" t="s">
        <v>4960</v>
      </c>
      <c r="M1472" s="26">
        <v>44327</v>
      </c>
      <c r="N1472" s="99">
        <v>9079.14</v>
      </c>
      <c r="O1472" s="22" t="s">
        <v>15</v>
      </c>
      <c r="P1472" s="22" t="s">
        <v>19</v>
      </c>
      <c r="Q1472" s="24">
        <f t="shared" si="157"/>
        <v>0</v>
      </c>
      <c r="R1472" s="24">
        <f t="shared" si="155"/>
        <v>9079.14</v>
      </c>
      <c r="S1472" t="s">
        <v>2581</v>
      </c>
    </row>
    <row r="1473" spans="2:19" hidden="1" x14ac:dyDescent="0.25">
      <c r="B1473" s="21" t="s">
        <v>395</v>
      </c>
      <c r="C1473" s="22" t="s">
        <v>2461</v>
      </c>
      <c r="D1473" s="22"/>
      <c r="E1473" s="21" t="s">
        <v>75</v>
      </c>
      <c r="F1473" s="21"/>
      <c r="G1473" s="147" t="s">
        <v>100</v>
      </c>
      <c r="H1473" s="23" t="s">
        <v>1858</v>
      </c>
      <c r="I1473" s="23"/>
      <c r="J1473" s="21" t="s">
        <v>2337</v>
      </c>
      <c r="K1473" s="120"/>
      <c r="L1473" s="21" t="s">
        <v>3100</v>
      </c>
      <c r="M1473" s="26">
        <v>43944</v>
      </c>
      <c r="N1473" s="99">
        <v>9079.14</v>
      </c>
      <c r="O1473" s="22" t="s">
        <v>15</v>
      </c>
      <c r="P1473" s="22" t="s">
        <v>19</v>
      </c>
      <c r="Q1473" s="24">
        <f t="shared" si="157"/>
        <v>0</v>
      </c>
      <c r="R1473" s="24">
        <f t="shared" si="155"/>
        <v>9079.14</v>
      </c>
      <c r="S1473" t="s">
        <v>2581</v>
      </c>
    </row>
    <row r="1474" spans="2:19" hidden="1" x14ac:dyDescent="0.25">
      <c r="B1474" s="21" t="s">
        <v>395</v>
      </c>
      <c r="C1474" s="22" t="s">
        <v>2461</v>
      </c>
      <c r="D1474" s="22"/>
      <c r="E1474" s="21" t="s">
        <v>75</v>
      </c>
      <c r="F1474" s="21"/>
      <c r="G1474" s="147" t="s">
        <v>100</v>
      </c>
      <c r="H1474" s="23" t="s">
        <v>1858</v>
      </c>
      <c r="I1474" s="23"/>
      <c r="J1474" s="21" t="s">
        <v>2576</v>
      </c>
      <c r="K1474" s="120"/>
      <c r="L1474" s="21" t="s">
        <v>4372</v>
      </c>
      <c r="M1474" s="26">
        <v>44237</v>
      </c>
      <c r="N1474" s="99">
        <v>9079.14</v>
      </c>
      <c r="O1474" s="22" t="s">
        <v>15</v>
      </c>
      <c r="P1474" s="22" t="s">
        <v>19</v>
      </c>
      <c r="Q1474" s="24">
        <f t="shared" si="157"/>
        <v>0</v>
      </c>
      <c r="R1474" s="24">
        <f t="shared" si="155"/>
        <v>9079.14</v>
      </c>
      <c r="S1474" t="s">
        <v>2581</v>
      </c>
    </row>
    <row r="1475" spans="2:19" hidden="1" x14ac:dyDescent="0.25">
      <c r="B1475" s="21" t="s">
        <v>395</v>
      </c>
      <c r="C1475" s="22" t="s">
        <v>2461</v>
      </c>
      <c r="D1475" s="165"/>
      <c r="E1475" s="21" t="s">
        <v>75</v>
      </c>
      <c r="F1475" s="21"/>
      <c r="G1475" s="147" t="s">
        <v>100</v>
      </c>
      <c r="H1475" s="23" t="s">
        <v>1858</v>
      </c>
      <c r="I1475" s="23"/>
      <c r="J1475" s="21" t="s">
        <v>2580</v>
      </c>
      <c r="K1475" s="120"/>
      <c r="L1475" s="21" t="s">
        <v>6513</v>
      </c>
      <c r="M1475" s="26">
        <v>44613</v>
      </c>
      <c r="N1475" s="99">
        <v>3026.7399999999907</v>
      </c>
      <c r="O1475" s="22" t="s">
        <v>15</v>
      </c>
      <c r="P1475" s="114">
        <v>3026.38</v>
      </c>
      <c r="Q1475" s="24">
        <f t="shared" si="157"/>
        <v>0.35999999999057763</v>
      </c>
      <c r="R1475" s="24">
        <f t="shared" si="155"/>
        <v>3026.38</v>
      </c>
      <c r="S1475" t="s">
        <v>2581</v>
      </c>
    </row>
    <row r="1476" spans="2:19" hidden="1" x14ac:dyDescent="0.25">
      <c r="B1476" s="21" t="s">
        <v>395</v>
      </c>
      <c r="C1476" s="22" t="s">
        <v>2461</v>
      </c>
      <c r="D1476" s="22"/>
      <c r="E1476" s="21" t="s">
        <v>75</v>
      </c>
      <c r="F1476" s="21"/>
      <c r="G1476" s="147" t="s">
        <v>100</v>
      </c>
      <c r="H1476" s="23" t="s">
        <v>1858</v>
      </c>
      <c r="I1476" s="23"/>
      <c r="J1476" s="21" t="s">
        <v>2339</v>
      </c>
      <c r="K1476" s="120"/>
      <c r="L1476" s="21" t="s">
        <v>3616</v>
      </c>
      <c r="M1476" s="26">
        <v>44060</v>
      </c>
      <c r="N1476" s="99">
        <v>9079.14</v>
      </c>
      <c r="O1476" s="22" t="s">
        <v>15</v>
      </c>
      <c r="P1476" s="22" t="s">
        <v>19</v>
      </c>
      <c r="Q1476" s="24">
        <f t="shared" si="157"/>
        <v>0</v>
      </c>
      <c r="R1476" s="24">
        <f t="shared" ref="R1476:R1539" si="158">IF(P1476="OK",N1476-Q1476,IF(P1476="en cours",N1476-Q1476,P1476))</f>
        <v>9079.14</v>
      </c>
      <c r="S1476" t="s">
        <v>2581</v>
      </c>
    </row>
    <row r="1477" spans="2:19" hidden="1" x14ac:dyDescent="0.25">
      <c r="B1477" s="21" t="s">
        <v>395</v>
      </c>
      <c r="C1477" s="22" t="s">
        <v>2461</v>
      </c>
      <c r="D1477" s="165"/>
      <c r="E1477" s="21" t="s">
        <v>75</v>
      </c>
      <c r="F1477" s="21"/>
      <c r="G1477" s="147" t="s">
        <v>100</v>
      </c>
      <c r="H1477" s="23" t="s">
        <v>1858</v>
      </c>
      <c r="I1477" s="23"/>
      <c r="J1477" s="21" t="s">
        <v>2578</v>
      </c>
      <c r="K1477" s="120"/>
      <c r="L1477" s="21" t="s">
        <v>6068</v>
      </c>
      <c r="M1477" s="26">
        <v>44508</v>
      </c>
      <c r="N1477" s="99">
        <v>9079.14</v>
      </c>
      <c r="O1477" s="22" t="s">
        <v>15</v>
      </c>
      <c r="P1477" s="22" t="s">
        <v>19</v>
      </c>
      <c r="Q1477" s="24">
        <f t="shared" si="157"/>
        <v>0</v>
      </c>
      <c r="R1477" s="24">
        <f t="shared" si="158"/>
        <v>9079.14</v>
      </c>
      <c r="S1477" t="s">
        <v>2581</v>
      </c>
    </row>
    <row r="1478" spans="2:19" hidden="1" x14ac:dyDescent="0.25">
      <c r="B1478" s="21" t="s">
        <v>395</v>
      </c>
      <c r="C1478" s="22" t="s">
        <v>2461</v>
      </c>
      <c r="D1478" s="22"/>
      <c r="E1478" s="21" t="s">
        <v>75</v>
      </c>
      <c r="F1478" s="21"/>
      <c r="G1478" s="147" t="s">
        <v>100</v>
      </c>
      <c r="H1478" s="23" t="s">
        <v>1858</v>
      </c>
      <c r="I1478" s="23"/>
      <c r="J1478" s="21" t="s">
        <v>2336</v>
      </c>
      <c r="K1478" s="120"/>
      <c r="L1478" s="21" t="s">
        <v>2566</v>
      </c>
      <c r="M1478" s="26">
        <v>43789</v>
      </c>
      <c r="N1478" s="99">
        <v>9079.14</v>
      </c>
      <c r="O1478" s="22" t="s">
        <v>15</v>
      </c>
      <c r="P1478" s="22" t="s">
        <v>19</v>
      </c>
      <c r="Q1478" s="24">
        <f t="shared" ref="Q1478:Q1482" si="159">IF(P1478="en cours",N1478,IF(P1478="OK",0,IF(N1478-P1478&lt;0,0,N1478-P1478)))</f>
        <v>0</v>
      </c>
      <c r="R1478" s="24">
        <f t="shared" si="158"/>
        <v>9079.14</v>
      </c>
      <c r="S1478" t="s">
        <v>2581</v>
      </c>
    </row>
    <row r="1479" spans="2:19" hidden="1" x14ac:dyDescent="0.25">
      <c r="B1479" s="21" t="s">
        <v>395</v>
      </c>
      <c r="C1479" s="22" t="s">
        <v>2461</v>
      </c>
      <c r="D1479" s="22"/>
      <c r="E1479" s="21" t="s">
        <v>75</v>
      </c>
      <c r="F1479" s="21"/>
      <c r="G1479" s="147" t="s">
        <v>100</v>
      </c>
      <c r="H1479" s="23" t="s">
        <v>1858</v>
      </c>
      <c r="I1479" s="23"/>
      <c r="J1479" s="21" t="s">
        <v>2575</v>
      </c>
      <c r="K1479" s="120"/>
      <c r="L1479" s="21" t="s">
        <v>3924</v>
      </c>
      <c r="M1479" s="26">
        <v>44140</v>
      </c>
      <c r="N1479" s="99">
        <v>9079.14</v>
      </c>
      <c r="O1479" s="22" t="s">
        <v>15</v>
      </c>
      <c r="P1479" s="22" t="s">
        <v>19</v>
      </c>
      <c r="Q1479" s="24">
        <f t="shared" si="159"/>
        <v>0</v>
      </c>
      <c r="R1479" s="24">
        <f t="shared" si="158"/>
        <v>9079.14</v>
      </c>
      <c r="S1479" t="s">
        <v>2581</v>
      </c>
    </row>
    <row r="1480" spans="2:19" hidden="1" x14ac:dyDescent="0.25">
      <c r="B1480" s="21" t="s">
        <v>395</v>
      </c>
      <c r="C1480" s="22" t="s">
        <v>2461</v>
      </c>
      <c r="D1480" s="165"/>
      <c r="E1480" s="21" t="s">
        <v>75</v>
      </c>
      <c r="F1480" s="21"/>
      <c r="G1480" s="147" t="s">
        <v>100</v>
      </c>
      <c r="H1480" s="23" t="s">
        <v>1858</v>
      </c>
      <c r="I1480" s="23"/>
      <c r="J1480" s="21" t="s">
        <v>1865</v>
      </c>
      <c r="K1480" s="120"/>
      <c r="L1480" s="165" t="s">
        <v>2950</v>
      </c>
      <c r="M1480" s="26" t="s">
        <v>2951</v>
      </c>
      <c r="N1480" s="44">
        <v>2147.5700000000002</v>
      </c>
      <c r="O1480" s="22" t="s">
        <v>15</v>
      </c>
      <c r="P1480" s="44">
        <f>2066+81.57</f>
        <v>2147.5700000000002</v>
      </c>
      <c r="Q1480" s="24">
        <f t="shared" si="159"/>
        <v>0</v>
      </c>
      <c r="R1480" s="24">
        <f t="shared" si="158"/>
        <v>2147.5700000000002</v>
      </c>
      <c r="S1480" s="5" t="s">
        <v>2940</v>
      </c>
    </row>
    <row r="1481" spans="2:19" hidden="1" x14ac:dyDescent="0.25">
      <c r="B1481" s="21" t="s">
        <v>395</v>
      </c>
      <c r="C1481" s="22" t="s">
        <v>2461</v>
      </c>
      <c r="D1481" s="165"/>
      <c r="E1481" s="21" t="s">
        <v>75</v>
      </c>
      <c r="F1481" s="21"/>
      <c r="G1481" s="147" t="s">
        <v>100</v>
      </c>
      <c r="H1481" s="23" t="s">
        <v>1858</v>
      </c>
      <c r="I1481" s="23"/>
      <c r="J1481" s="21" t="s">
        <v>1865</v>
      </c>
      <c r="K1481" s="120"/>
      <c r="L1481" s="165" t="s">
        <v>3039</v>
      </c>
      <c r="M1481" s="26">
        <v>43913</v>
      </c>
      <c r="N1481" s="44">
        <v>2170</v>
      </c>
      <c r="O1481" s="22" t="s">
        <v>15</v>
      </c>
      <c r="P1481" s="44">
        <v>2170</v>
      </c>
      <c r="Q1481" s="24">
        <f t="shared" si="159"/>
        <v>0</v>
      </c>
      <c r="R1481" s="24">
        <f t="shared" si="158"/>
        <v>2170</v>
      </c>
    </row>
    <row r="1482" spans="2:19" hidden="1" x14ac:dyDescent="0.25">
      <c r="B1482" s="21" t="s">
        <v>395</v>
      </c>
      <c r="C1482" s="22" t="s">
        <v>2461</v>
      </c>
      <c r="D1482" s="165"/>
      <c r="E1482" s="21" t="s">
        <v>75</v>
      </c>
      <c r="F1482" s="21"/>
      <c r="G1482" s="147" t="s">
        <v>100</v>
      </c>
      <c r="H1482" s="23" t="s">
        <v>1858</v>
      </c>
      <c r="I1482" s="23"/>
      <c r="J1482" s="21" t="s">
        <v>1865</v>
      </c>
      <c r="K1482" s="120"/>
      <c r="L1482" s="165" t="s">
        <v>3083</v>
      </c>
      <c r="M1482" s="26">
        <v>43934</v>
      </c>
      <c r="N1482" s="44">
        <v>1960</v>
      </c>
      <c r="O1482" s="22" t="s">
        <v>15</v>
      </c>
      <c r="P1482" s="44">
        <v>1960</v>
      </c>
      <c r="Q1482" s="24">
        <f t="shared" si="159"/>
        <v>0</v>
      </c>
      <c r="R1482" s="24">
        <f t="shared" si="158"/>
        <v>1960</v>
      </c>
    </row>
    <row r="1483" spans="2:19" hidden="1" x14ac:dyDescent="0.25">
      <c r="B1483" s="21" t="s">
        <v>395</v>
      </c>
      <c r="C1483" s="22" t="s">
        <v>2461</v>
      </c>
      <c r="D1483" s="165"/>
      <c r="E1483" s="21" t="s">
        <v>75</v>
      </c>
      <c r="F1483" s="21"/>
      <c r="G1483" s="147" t="s">
        <v>100</v>
      </c>
      <c r="H1483" s="23" t="s">
        <v>1858</v>
      </c>
      <c r="I1483" s="23"/>
      <c r="J1483" s="21" t="s">
        <v>1865</v>
      </c>
      <c r="K1483" s="120"/>
      <c r="L1483" s="165" t="s">
        <v>3229</v>
      </c>
      <c r="M1483" s="26" t="s">
        <v>3230</v>
      </c>
      <c r="N1483" s="44">
        <f>(300000/2)/6</f>
        <v>25000</v>
      </c>
      <c r="O1483" s="22" t="s">
        <v>15</v>
      </c>
      <c r="P1483" s="44">
        <f>4410+3870+4323+11647.23</f>
        <v>24250.23</v>
      </c>
      <c r="Q1483" s="24">
        <v>0</v>
      </c>
      <c r="R1483" s="24">
        <f t="shared" si="158"/>
        <v>24250.23</v>
      </c>
    </row>
    <row r="1484" spans="2:19" hidden="1" x14ac:dyDescent="0.25">
      <c r="B1484" s="21" t="s">
        <v>395</v>
      </c>
      <c r="C1484" s="22" t="s">
        <v>2461</v>
      </c>
      <c r="D1484" s="165"/>
      <c r="E1484" s="21" t="s">
        <v>75</v>
      </c>
      <c r="F1484" s="21"/>
      <c r="G1484" s="147" t="s">
        <v>100</v>
      </c>
      <c r="H1484" s="23" t="s">
        <v>1858</v>
      </c>
      <c r="I1484" s="23"/>
      <c r="J1484" s="21" t="s">
        <v>1865</v>
      </c>
      <c r="K1484" s="120"/>
      <c r="L1484" s="165" t="s">
        <v>5641</v>
      </c>
      <c r="M1484" s="26" t="s">
        <v>5642</v>
      </c>
      <c r="N1484" s="44">
        <f>(300000/2)/6-(100000/8)</f>
        <v>12500</v>
      </c>
      <c r="O1484" s="22" t="s">
        <v>15</v>
      </c>
      <c r="P1484" s="44">
        <f>500+1250+10750</f>
        <v>12500</v>
      </c>
      <c r="Q1484" s="24">
        <f t="shared" ref="Q1484:Q1515" si="160">IF(P1484="en cours",N1484,IF(P1484="OK",0,IF(N1484-P1484&lt;0,0,N1484-P1484)))</f>
        <v>0</v>
      </c>
      <c r="R1484" s="24">
        <f t="shared" si="158"/>
        <v>12500</v>
      </c>
    </row>
    <row r="1485" spans="2:19" hidden="1" x14ac:dyDescent="0.25">
      <c r="B1485" s="21" t="s">
        <v>395</v>
      </c>
      <c r="C1485" s="22" t="s">
        <v>2461</v>
      </c>
      <c r="D1485" s="165"/>
      <c r="E1485" s="21" t="s">
        <v>75</v>
      </c>
      <c r="F1485" s="21"/>
      <c r="G1485" s="147" t="s">
        <v>100</v>
      </c>
      <c r="H1485" s="23" t="s">
        <v>1858</v>
      </c>
      <c r="I1485" s="23"/>
      <c r="J1485" s="21" t="s">
        <v>1865</v>
      </c>
      <c r="K1485" s="120"/>
      <c r="L1485" s="165" t="s">
        <v>5643</v>
      </c>
      <c r="M1485" s="26">
        <v>44426</v>
      </c>
      <c r="N1485" s="44">
        <f>(300000/2)/6-(100000/8)</f>
        <v>12500</v>
      </c>
      <c r="O1485" s="22" t="s">
        <v>15</v>
      </c>
      <c r="P1485" s="44">
        <v>12500</v>
      </c>
      <c r="Q1485" s="24">
        <f t="shared" si="160"/>
        <v>0</v>
      </c>
      <c r="R1485" s="24">
        <f t="shared" si="158"/>
        <v>12500</v>
      </c>
    </row>
    <row r="1486" spans="2:19" hidden="1" x14ac:dyDescent="0.25">
      <c r="B1486" s="21" t="s">
        <v>395</v>
      </c>
      <c r="C1486" s="22" t="s">
        <v>2461</v>
      </c>
      <c r="D1486" s="165"/>
      <c r="E1486" s="21" t="s">
        <v>75</v>
      </c>
      <c r="F1486" s="21"/>
      <c r="G1486" s="147" t="s">
        <v>100</v>
      </c>
      <c r="H1486" s="23" t="s">
        <v>1858</v>
      </c>
      <c r="I1486" s="23"/>
      <c r="J1486" s="21" t="s">
        <v>3251</v>
      </c>
      <c r="K1486" s="120"/>
      <c r="L1486" s="165" t="s">
        <v>4564</v>
      </c>
      <c r="M1486" s="26">
        <v>44264</v>
      </c>
      <c r="N1486" s="44">
        <v>50000</v>
      </c>
      <c r="O1486" s="22" t="s">
        <v>15</v>
      </c>
      <c r="P1486" s="44">
        <f>50000</f>
        <v>50000</v>
      </c>
      <c r="Q1486" s="24">
        <f t="shared" si="160"/>
        <v>0</v>
      </c>
      <c r="R1486" s="24">
        <f t="shared" si="158"/>
        <v>50000</v>
      </c>
    </row>
    <row r="1487" spans="2:19" hidden="1" x14ac:dyDescent="0.25">
      <c r="B1487" s="21" t="s">
        <v>395</v>
      </c>
      <c r="C1487" s="22" t="s">
        <v>2461</v>
      </c>
      <c r="D1487" s="22"/>
      <c r="E1487" s="21" t="s">
        <v>75</v>
      </c>
      <c r="F1487" s="21"/>
      <c r="G1487" s="147" t="s">
        <v>100</v>
      </c>
      <c r="H1487" s="23" t="s">
        <v>1858</v>
      </c>
      <c r="I1487" s="23"/>
      <c r="J1487" s="21" t="s">
        <v>1859</v>
      </c>
      <c r="K1487" s="120"/>
      <c r="L1487" s="21" t="s">
        <v>1896</v>
      </c>
      <c r="M1487" s="26">
        <v>43704</v>
      </c>
      <c r="N1487" s="44">
        <v>3816.09</v>
      </c>
      <c r="O1487" s="22" t="s">
        <v>15</v>
      </c>
      <c r="P1487" s="22">
        <v>3816.09</v>
      </c>
      <c r="Q1487" s="44">
        <f t="shared" si="160"/>
        <v>0</v>
      </c>
      <c r="R1487" s="24">
        <f t="shared" si="158"/>
        <v>3816.09</v>
      </c>
    </row>
    <row r="1488" spans="2:19" hidden="1" x14ac:dyDescent="0.25">
      <c r="B1488" s="21" t="s">
        <v>395</v>
      </c>
      <c r="C1488" s="22" t="s">
        <v>2461</v>
      </c>
      <c r="D1488" s="22"/>
      <c r="E1488" s="21" t="s">
        <v>75</v>
      </c>
      <c r="F1488" s="21"/>
      <c r="G1488" s="147" t="s">
        <v>100</v>
      </c>
      <c r="H1488" s="23" t="s">
        <v>1858</v>
      </c>
      <c r="I1488" s="23"/>
      <c r="J1488" s="21" t="s">
        <v>3101</v>
      </c>
      <c r="K1488" s="120"/>
      <c r="L1488" s="21" t="s">
        <v>1897</v>
      </c>
      <c r="M1488" s="26">
        <v>43697</v>
      </c>
      <c r="N1488" s="44">
        <v>644.62</v>
      </c>
      <c r="O1488" s="22" t="s">
        <v>15</v>
      </c>
      <c r="P1488" s="22">
        <v>644.62</v>
      </c>
      <c r="Q1488" s="44">
        <f t="shared" si="160"/>
        <v>0</v>
      </c>
      <c r="R1488" s="24">
        <f t="shared" si="158"/>
        <v>644.62</v>
      </c>
    </row>
    <row r="1489" spans="2:19" hidden="1" x14ac:dyDescent="0.25">
      <c r="C1489" s="4" t="s">
        <v>2461</v>
      </c>
      <c r="D1489"/>
      <c r="E1489" s="5" t="s">
        <v>75</v>
      </c>
      <c r="G1489" s="146" t="s">
        <v>100</v>
      </c>
      <c r="H1489" s="242" t="s">
        <v>8790</v>
      </c>
      <c r="I1489" s="242"/>
      <c r="J1489" s="243" t="s">
        <v>4256</v>
      </c>
      <c r="K1489" s="248" t="s">
        <v>4257</v>
      </c>
      <c r="L1489" t="s">
        <v>8438</v>
      </c>
      <c r="M1489" s="12" t="s">
        <v>8439</v>
      </c>
      <c r="N1489" s="246">
        <f>34098+100</f>
        <v>34198</v>
      </c>
      <c r="O1489" s="4" t="s">
        <v>15</v>
      </c>
      <c r="P1489" s="4">
        <f>9287.94+9079.14+835.2+3026.38</f>
        <v>22228.660000000003</v>
      </c>
      <c r="Q1489" s="3">
        <f t="shared" si="160"/>
        <v>11969.339999999997</v>
      </c>
      <c r="R1489" s="3">
        <f t="shared" si="158"/>
        <v>22228.660000000003</v>
      </c>
      <c r="S1489"/>
    </row>
    <row r="1490" spans="2:19" hidden="1" x14ac:dyDescent="0.25">
      <c r="B1490" s="21" t="s">
        <v>395</v>
      </c>
      <c r="C1490" s="22" t="s">
        <v>2461</v>
      </c>
      <c r="D1490" s="165"/>
      <c r="E1490" s="21" t="s">
        <v>75</v>
      </c>
      <c r="F1490" s="21"/>
      <c r="G1490" s="147" t="s">
        <v>100</v>
      </c>
      <c r="H1490" s="23" t="s">
        <v>3467</v>
      </c>
      <c r="I1490" s="23"/>
      <c r="J1490" s="21" t="s">
        <v>5673</v>
      </c>
      <c r="K1490" s="120"/>
      <c r="L1490" s="164" t="s">
        <v>3730</v>
      </c>
      <c r="M1490" s="26">
        <v>44099</v>
      </c>
      <c r="N1490" s="204">
        <v>140403</v>
      </c>
      <c r="O1490" s="22" t="s">
        <v>15</v>
      </c>
      <c r="P1490" s="22" t="s">
        <v>19</v>
      </c>
      <c r="Q1490" s="24">
        <f t="shared" si="160"/>
        <v>0</v>
      </c>
      <c r="R1490" s="24">
        <f t="shared" si="158"/>
        <v>140403</v>
      </c>
    </row>
    <row r="1491" spans="2:19" hidden="1" x14ac:dyDescent="0.25">
      <c r="B1491" s="21" t="s">
        <v>395</v>
      </c>
      <c r="C1491" s="22" t="s">
        <v>2461</v>
      </c>
      <c r="D1491" s="165"/>
      <c r="E1491" s="21" t="s">
        <v>75</v>
      </c>
      <c r="F1491" s="21"/>
      <c r="G1491" s="147" t="s">
        <v>100</v>
      </c>
      <c r="H1491" s="23" t="s">
        <v>3468</v>
      </c>
      <c r="I1491" s="23"/>
      <c r="J1491" s="21" t="s">
        <v>1864</v>
      </c>
      <c r="K1491" s="120"/>
      <c r="L1491" s="164" t="s">
        <v>3584</v>
      </c>
      <c r="M1491" s="26">
        <v>44046</v>
      </c>
      <c r="N1491" s="44">
        <v>15071</v>
      </c>
      <c r="O1491" s="22" t="s">
        <v>15</v>
      </c>
      <c r="P1491" s="44">
        <v>15071</v>
      </c>
      <c r="Q1491" s="24">
        <f t="shared" si="160"/>
        <v>0</v>
      </c>
      <c r="R1491" s="24">
        <f t="shared" si="158"/>
        <v>15071</v>
      </c>
    </row>
    <row r="1492" spans="2:19" hidden="1" x14ac:dyDescent="0.25">
      <c r="B1492" s="21" t="s">
        <v>395</v>
      </c>
      <c r="C1492" s="22" t="s">
        <v>2461</v>
      </c>
      <c r="D1492" s="165"/>
      <c r="E1492" s="21" t="s">
        <v>75</v>
      </c>
      <c r="F1492" s="21"/>
      <c r="G1492" s="147" t="s">
        <v>100</v>
      </c>
      <c r="H1492" s="23" t="s">
        <v>3468</v>
      </c>
      <c r="I1492" s="23"/>
      <c r="J1492" s="21" t="s">
        <v>1864</v>
      </c>
      <c r="K1492" s="120"/>
      <c r="L1492" s="164" t="s">
        <v>3777</v>
      </c>
      <c r="M1492" s="26">
        <v>44105</v>
      </c>
      <c r="N1492" s="44">
        <v>15071</v>
      </c>
      <c r="O1492" s="22" t="s">
        <v>15</v>
      </c>
      <c r="P1492" s="44">
        <v>15292.54</v>
      </c>
      <c r="Q1492" s="24">
        <f t="shared" si="160"/>
        <v>0</v>
      </c>
      <c r="R1492" s="24">
        <f t="shared" si="158"/>
        <v>15292.54</v>
      </c>
    </row>
    <row r="1493" spans="2:19" hidden="1" x14ac:dyDescent="0.25">
      <c r="B1493" s="21" t="s">
        <v>395</v>
      </c>
      <c r="C1493" s="22" t="s">
        <v>2461</v>
      </c>
      <c r="D1493" s="165"/>
      <c r="E1493" s="21" t="s">
        <v>75</v>
      </c>
      <c r="F1493" s="21"/>
      <c r="G1493" s="147" t="s">
        <v>100</v>
      </c>
      <c r="H1493" s="23" t="s">
        <v>3468</v>
      </c>
      <c r="I1493" s="23"/>
      <c r="J1493" s="21" t="s">
        <v>1864</v>
      </c>
      <c r="K1493" s="120"/>
      <c r="L1493" s="164" t="s">
        <v>3926</v>
      </c>
      <c r="M1493" s="26">
        <v>44138</v>
      </c>
      <c r="N1493" s="44">
        <v>15071</v>
      </c>
      <c r="O1493" s="22" t="s">
        <v>15</v>
      </c>
      <c r="P1493" s="44">
        <v>15292.54</v>
      </c>
      <c r="Q1493" s="24">
        <f t="shared" si="160"/>
        <v>0</v>
      </c>
      <c r="R1493" s="24">
        <f t="shared" si="158"/>
        <v>15292.54</v>
      </c>
    </row>
    <row r="1494" spans="2:19" hidden="1" x14ac:dyDescent="0.25">
      <c r="B1494" s="21" t="s">
        <v>395</v>
      </c>
      <c r="C1494" s="22" t="s">
        <v>2461</v>
      </c>
      <c r="D1494" s="165"/>
      <c r="E1494" s="21" t="s">
        <v>75</v>
      </c>
      <c r="F1494" s="21"/>
      <c r="G1494" s="147" t="s">
        <v>100</v>
      </c>
      <c r="H1494" s="23" t="s">
        <v>3468</v>
      </c>
      <c r="I1494" s="23"/>
      <c r="J1494" s="21" t="s">
        <v>1875</v>
      </c>
      <c r="K1494" s="120"/>
      <c r="L1494" s="164" t="s">
        <v>3637</v>
      </c>
      <c r="M1494" s="26">
        <v>44076</v>
      </c>
      <c r="N1494" s="44">
        <v>15071</v>
      </c>
      <c r="O1494" s="22" t="s">
        <v>15</v>
      </c>
      <c r="P1494" s="44">
        <v>15448.34</v>
      </c>
      <c r="Q1494" s="24">
        <f t="shared" si="160"/>
        <v>0</v>
      </c>
      <c r="R1494" s="24">
        <f t="shared" si="158"/>
        <v>15448.34</v>
      </c>
    </row>
    <row r="1495" spans="2:19" hidden="1" x14ac:dyDescent="0.25">
      <c r="B1495" s="21" t="s">
        <v>395</v>
      </c>
      <c r="C1495" s="22" t="s">
        <v>2461</v>
      </c>
      <c r="D1495" s="165"/>
      <c r="E1495" s="21" t="s">
        <v>75</v>
      </c>
      <c r="F1495" s="21"/>
      <c r="G1495" s="147" t="s">
        <v>100</v>
      </c>
      <c r="H1495" s="23" t="s">
        <v>3467</v>
      </c>
      <c r="I1495" s="23"/>
      <c r="J1495" s="21" t="s">
        <v>1862</v>
      </c>
      <c r="K1495" s="120"/>
      <c r="L1495" s="165" t="s">
        <v>3635</v>
      </c>
      <c r="M1495" s="26" t="s">
        <v>3636</v>
      </c>
      <c r="N1495" s="44">
        <f>75400/3/2-(17400/3)</f>
        <v>6766.6666666666661</v>
      </c>
      <c r="O1495" s="22" t="s">
        <v>15</v>
      </c>
      <c r="P1495" s="44">
        <f>2700+1100+1100+1400+(28.84+58+8.48+9.3+109.12+180)+72.93</f>
        <v>6766.67</v>
      </c>
      <c r="Q1495" s="44">
        <f t="shared" si="160"/>
        <v>0</v>
      </c>
      <c r="R1495" s="24">
        <f t="shared" si="158"/>
        <v>6766.67</v>
      </c>
    </row>
    <row r="1496" spans="2:19" hidden="1" x14ac:dyDescent="0.25">
      <c r="B1496" s="21" t="s">
        <v>395</v>
      </c>
      <c r="C1496" s="22" t="s">
        <v>2461</v>
      </c>
      <c r="D1496" s="165"/>
      <c r="E1496" s="21" t="s">
        <v>75</v>
      </c>
      <c r="F1496" s="21"/>
      <c r="G1496" s="147" t="s">
        <v>100</v>
      </c>
      <c r="H1496" s="23" t="s">
        <v>3467</v>
      </c>
      <c r="I1496" s="23"/>
      <c r="J1496" s="21" t="s">
        <v>1862</v>
      </c>
      <c r="K1496" s="120"/>
      <c r="L1496" s="165" t="s">
        <v>6722</v>
      </c>
      <c r="M1496" s="26" t="s">
        <v>6723</v>
      </c>
      <c r="N1496" s="44">
        <f>(75400/3)+(75400/3/2)-(17400/3)</f>
        <v>31900</v>
      </c>
      <c r="O1496" s="22" t="s">
        <v>15</v>
      </c>
      <c r="P1496" s="44">
        <f>1800-72.93+1100+1500+1500+1500+1500+1500+1500+1500+1600+1600+1600+1600+1600+1600+1600+1600+1600+1600+1600+972.93</f>
        <v>31900</v>
      </c>
      <c r="Q1496" s="44">
        <f t="shared" si="160"/>
        <v>0</v>
      </c>
      <c r="R1496" s="24">
        <f t="shared" si="158"/>
        <v>31900</v>
      </c>
    </row>
    <row r="1497" spans="2:19" hidden="1" x14ac:dyDescent="0.25">
      <c r="B1497" s="21" t="s">
        <v>395</v>
      </c>
      <c r="C1497" s="22" t="s">
        <v>2461</v>
      </c>
      <c r="D1497" s="165"/>
      <c r="E1497" s="21" t="s">
        <v>75</v>
      </c>
      <c r="F1497" s="21"/>
      <c r="G1497" s="147" t="s">
        <v>100</v>
      </c>
      <c r="H1497" s="23" t="s">
        <v>3467</v>
      </c>
      <c r="I1497" s="23"/>
      <c r="J1497" s="21" t="s">
        <v>3469</v>
      </c>
      <c r="K1497" s="120"/>
      <c r="L1497" s="165" t="s">
        <v>7178</v>
      </c>
      <c r="M1497" s="26" t="s">
        <v>7179</v>
      </c>
      <c r="N1497" s="44">
        <v>14090</v>
      </c>
      <c r="O1497" s="22" t="s">
        <v>15</v>
      </c>
      <c r="P1497" s="22">
        <f>9079.14+9079.14</f>
        <v>18158.28</v>
      </c>
      <c r="Q1497" s="24">
        <f t="shared" si="160"/>
        <v>0</v>
      </c>
      <c r="R1497" s="24">
        <f t="shared" si="158"/>
        <v>18158.28</v>
      </c>
      <c r="S1497"/>
    </row>
    <row r="1498" spans="2:19" hidden="1" x14ac:dyDescent="0.25">
      <c r="B1498" s="21" t="s">
        <v>395</v>
      </c>
      <c r="C1498" s="22" t="s">
        <v>2461</v>
      </c>
      <c r="D1498" s="165"/>
      <c r="E1498" s="21" t="s">
        <v>75</v>
      </c>
      <c r="F1498" s="21"/>
      <c r="G1498" s="147" t="s">
        <v>100</v>
      </c>
      <c r="H1498" s="23" t="s">
        <v>3467</v>
      </c>
      <c r="I1498" s="23"/>
      <c r="J1498" s="21" t="s">
        <v>1866</v>
      </c>
      <c r="K1498" s="120"/>
      <c r="L1498" s="165" t="s">
        <v>5643</v>
      </c>
      <c r="M1498" s="26">
        <v>44426</v>
      </c>
      <c r="N1498" s="44">
        <f>(300000/2)/6-(100000/8)+(10000/6)</f>
        <v>14166.666666666666</v>
      </c>
      <c r="O1498" s="22" t="s">
        <v>15</v>
      </c>
      <c r="P1498" s="44">
        <v>14166.67</v>
      </c>
      <c r="Q1498" s="24">
        <f t="shared" si="160"/>
        <v>0</v>
      </c>
      <c r="R1498" s="24">
        <f t="shared" si="158"/>
        <v>14166.67</v>
      </c>
    </row>
    <row r="1499" spans="2:19" hidden="1" x14ac:dyDescent="0.25">
      <c r="B1499" s="21" t="s">
        <v>395</v>
      </c>
      <c r="C1499" s="22" t="s">
        <v>2461</v>
      </c>
      <c r="D1499" s="165"/>
      <c r="E1499" s="21" t="s">
        <v>75</v>
      </c>
      <c r="F1499" s="21"/>
      <c r="G1499" s="147" t="s">
        <v>100</v>
      </c>
      <c r="H1499" s="23" t="s">
        <v>3467</v>
      </c>
      <c r="I1499" s="23"/>
      <c r="J1499" s="21" t="s">
        <v>1866</v>
      </c>
      <c r="K1499" s="120"/>
      <c r="L1499" s="165" t="s">
        <v>5643</v>
      </c>
      <c r="M1499" s="26">
        <v>44426</v>
      </c>
      <c r="N1499" s="44">
        <f>(300000/2)/6-(100000/8)</f>
        <v>12500</v>
      </c>
      <c r="O1499" s="22" t="s">
        <v>15</v>
      </c>
      <c r="P1499" s="44">
        <f>50000-14166.67-12500-10750</f>
        <v>12583.330000000002</v>
      </c>
      <c r="Q1499" s="24">
        <f t="shared" si="160"/>
        <v>0</v>
      </c>
      <c r="R1499" s="24">
        <f t="shared" si="158"/>
        <v>12583.330000000002</v>
      </c>
    </row>
    <row r="1500" spans="2:19" hidden="1" x14ac:dyDescent="0.25">
      <c r="B1500" s="21" t="s">
        <v>395</v>
      </c>
      <c r="C1500" s="22" t="s">
        <v>2461</v>
      </c>
      <c r="D1500" s="165"/>
      <c r="E1500" s="21" t="s">
        <v>75</v>
      </c>
      <c r="F1500" s="21"/>
      <c r="G1500" s="147" t="s">
        <v>100</v>
      </c>
      <c r="H1500" s="23" t="s">
        <v>3467</v>
      </c>
      <c r="I1500" s="23"/>
      <c r="J1500" s="21" t="s">
        <v>1866</v>
      </c>
      <c r="K1500" s="120"/>
      <c r="L1500" s="165" t="s">
        <v>6052</v>
      </c>
      <c r="M1500" s="26" t="s">
        <v>6053</v>
      </c>
      <c r="N1500" s="44">
        <v>50000</v>
      </c>
      <c r="O1500" s="22" t="s">
        <v>15</v>
      </c>
      <c r="P1500" s="44">
        <f>2000+48000</f>
        <v>50000</v>
      </c>
      <c r="Q1500" s="24">
        <f t="shared" si="160"/>
        <v>0</v>
      </c>
      <c r="R1500" s="24">
        <f t="shared" si="158"/>
        <v>50000</v>
      </c>
    </row>
    <row r="1501" spans="2:19" hidden="1" x14ac:dyDescent="0.25">
      <c r="B1501" s="21" t="s">
        <v>395</v>
      </c>
      <c r="C1501" s="22" t="s">
        <v>2461</v>
      </c>
      <c r="D1501" s="165"/>
      <c r="E1501" s="21" t="s">
        <v>75</v>
      </c>
      <c r="F1501" s="21"/>
      <c r="G1501" s="147" t="s">
        <v>100</v>
      </c>
      <c r="H1501" s="23" t="s">
        <v>3467</v>
      </c>
      <c r="I1501" s="23"/>
      <c r="J1501" s="21" t="s">
        <v>1866</v>
      </c>
      <c r="K1501" s="120"/>
      <c r="L1501" s="165" t="s">
        <v>6241</v>
      </c>
      <c r="M1501" s="26" t="s">
        <v>6242</v>
      </c>
      <c r="N1501" s="44">
        <f>+P1501</f>
        <v>2250</v>
      </c>
      <c r="O1501" s="22" t="s">
        <v>15</v>
      </c>
      <c r="P1501" s="44">
        <f>50000-48000+250</f>
        <v>2250</v>
      </c>
      <c r="Q1501" s="24">
        <f t="shared" si="160"/>
        <v>0</v>
      </c>
      <c r="R1501" s="24">
        <f t="shared" si="158"/>
        <v>2250</v>
      </c>
    </row>
    <row r="1502" spans="2:19" hidden="1" x14ac:dyDescent="0.25">
      <c r="B1502" s="21" t="s">
        <v>395</v>
      </c>
      <c r="C1502" s="22" t="s">
        <v>2461</v>
      </c>
      <c r="D1502" s="165"/>
      <c r="E1502" s="21" t="s">
        <v>75</v>
      </c>
      <c r="F1502" s="21"/>
      <c r="G1502" s="147" t="s">
        <v>100</v>
      </c>
      <c r="H1502" s="23" t="s">
        <v>3467</v>
      </c>
      <c r="I1502" s="23"/>
      <c r="J1502" s="21" t="s">
        <v>1866</v>
      </c>
      <c r="K1502" s="120"/>
      <c r="L1502" s="165" t="s">
        <v>6345</v>
      </c>
      <c r="M1502" s="26">
        <v>44572</v>
      </c>
      <c r="N1502" s="44">
        <v>50000</v>
      </c>
      <c r="O1502" s="22" t="s">
        <v>15</v>
      </c>
      <c r="P1502" s="44">
        <v>50000</v>
      </c>
      <c r="Q1502" s="24">
        <f t="shared" si="160"/>
        <v>0</v>
      </c>
      <c r="R1502" s="24">
        <f t="shared" si="158"/>
        <v>50000</v>
      </c>
    </row>
    <row r="1503" spans="2:19" hidden="1" x14ac:dyDescent="0.25">
      <c r="B1503" s="21" t="s">
        <v>395</v>
      </c>
      <c r="C1503" s="22" t="s">
        <v>2461</v>
      </c>
      <c r="D1503" s="165"/>
      <c r="E1503" s="21" t="s">
        <v>75</v>
      </c>
      <c r="F1503" s="21"/>
      <c r="G1503" s="147" t="s">
        <v>100</v>
      </c>
      <c r="H1503" s="23" t="s">
        <v>3467</v>
      </c>
      <c r="I1503" s="23"/>
      <c r="J1503" s="21" t="s">
        <v>1866</v>
      </c>
      <c r="K1503" s="120"/>
      <c r="L1503" s="165" t="s">
        <v>6447</v>
      </c>
      <c r="M1503" s="26">
        <v>44601</v>
      </c>
      <c r="N1503" s="44">
        <f>P1503</f>
        <v>2125</v>
      </c>
      <c r="O1503" s="22" t="s">
        <v>15</v>
      </c>
      <c r="P1503" s="44">
        <v>2125</v>
      </c>
      <c r="Q1503" s="24">
        <f t="shared" si="160"/>
        <v>0</v>
      </c>
      <c r="R1503" s="24">
        <f t="shared" si="158"/>
        <v>2125</v>
      </c>
    </row>
    <row r="1504" spans="2:19" hidden="1" x14ac:dyDescent="0.25">
      <c r="B1504" s="21" t="s">
        <v>395</v>
      </c>
      <c r="C1504" s="22" t="s">
        <v>2461</v>
      </c>
      <c r="D1504" s="165"/>
      <c r="E1504" s="21" t="s">
        <v>75</v>
      </c>
      <c r="F1504" s="21"/>
      <c r="G1504" s="147" t="s">
        <v>100</v>
      </c>
      <c r="H1504" s="23" t="s">
        <v>3467</v>
      </c>
      <c r="I1504" s="23"/>
      <c r="J1504" s="21" t="s">
        <v>1861</v>
      </c>
      <c r="K1504" s="120"/>
      <c r="L1504" s="21" t="s">
        <v>3349</v>
      </c>
      <c r="M1504" s="26" t="s">
        <v>3350</v>
      </c>
      <c r="N1504" s="44">
        <f>P1504</f>
        <v>6565.88</v>
      </c>
      <c r="O1504" s="22" t="s">
        <v>15</v>
      </c>
      <c r="P1504" s="22">
        <f>(500+5700)+(24.24+42.34+299.3)</f>
        <v>6565.88</v>
      </c>
      <c r="Q1504" s="22">
        <f t="shared" si="160"/>
        <v>0</v>
      </c>
      <c r="R1504" s="24">
        <f t="shared" si="158"/>
        <v>6565.88</v>
      </c>
    </row>
    <row r="1505" spans="2:18" hidden="1" x14ac:dyDescent="0.25">
      <c r="B1505" s="21" t="s">
        <v>395</v>
      </c>
      <c r="C1505" s="22" t="s">
        <v>2461</v>
      </c>
      <c r="D1505" s="165"/>
      <c r="E1505" s="21" t="s">
        <v>75</v>
      </c>
      <c r="F1505" s="21"/>
      <c r="G1505" s="147" t="s">
        <v>100</v>
      </c>
      <c r="H1505" s="23" t="s">
        <v>4252</v>
      </c>
      <c r="I1505" s="23"/>
      <c r="J1505" s="245" t="s">
        <v>5675</v>
      </c>
      <c r="K1505" s="120"/>
      <c r="L1505" s="164" t="s">
        <v>4882</v>
      </c>
      <c r="M1505" s="26">
        <v>44315</v>
      </c>
      <c r="N1505" s="247">
        <v>125830</v>
      </c>
      <c r="O1505" s="22" t="s">
        <v>15</v>
      </c>
      <c r="P1505" s="44">
        <v>125830</v>
      </c>
      <c r="Q1505" s="24">
        <f t="shared" si="160"/>
        <v>0</v>
      </c>
      <c r="R1505" s="24">
        <f t="shared" si="158"/>
        <v>125830</v>
      </c>
    </row>
    <row r="1506" spans="2:18" hidden="1" x14ac:dyDescent="0.25">
      <c r="B1506" s="21" t="s">
        <v>395</v>
      </c>
      <c r="C1506" s="22" t="s">
        <v>2461</v>
      </c>
      <c r="D1506" s="165"/>
      <c r="E1506" s="21" t="s">
        <v>75</v>
      </c>
      <c r="F1506" s="21"/>
      <c r="G1506" s="147" t="s">
        <v>100</v>
      </c>
      <c r="H1506" s="23" t="s">
        <v>4292</v>
      </c>
      <c r="I1506" s="23"/>
      <c r="J1506" s="21" t="s">
        <v>1864</v>
      </c>
      <c r="K1506" s="120"/>
      <c r="L1506" s="164" t="s">
        <v>4303</v>
      </c>
      <c r="M1506" s="26" t="s">
        <v>4304</v>
      </c>
      <c r="N1506" s="247">
        <f>11200</f>
        <v>11200</v>
      </c>
      <c r="O1506" s="22" t="s">
        <v>15</v>
      </c>
      <c r="P1506" s="44">
        <f>15292.54-3927.54</f>
        <v>11365</v>
      </c>
      <c r="Q1506" s="24">
        <f t="shared" si="160"/>
        <v>0</v>
      </c>
      <c r="R1506" s="24">
        <f t="shared" si="158"/>
        <v>11365</v>
      </c>
    </row>
    <row r="1507" spans="2:18" hidden="1" x14ac:dyDescent="0.25">
      <c r="B1507" s="21" t="s">
        <v>395</v>
      </c>
      <c r="C1507" s="22" t="s">
        <v>2461</v>
      </c>
      <c r="D1507" s="165"/>
      <c r="E1507" s="21" t="s">
        <v>75</v>
      </c>
      <c r="F1507" s="21"/>
      <c r="G1507" s="147" t="s">
        <v>100</v>
      </c>
      <c r="H1507" s="23" t="s">
        <v>4291</v>
      </c>
      <c r="I1507" s="23"/>
      <c r="J1507" s="21" t="s">
        <v>1864</v>
      </c>
      <c r="K1507" s="120"/>
      <c r="L1507" s="164" t="s">
        <v>4290</v>
      </c>
      <c r="M1507" s="26">
        <v>44202</v>
      </c>
      <c r="N1507" s="247">
        <f>11200</f>
        <v>11200</v>
      </c>
      <c r="O1507" s="22" t="s">
        <v>15</v>
      </c>
      <c r="P1507" s="44">
        <v>11365</v>
      </c>
      <c r="Q1507" s="24">
        <f t="shared" si="160"/>
        <v>0</v>
      </c>
      <c r="R1507" s="24">
        <f t="shared" si="158"/>
        <v>11365</v>
      </c>
    </row>
    <row r="1508" spans="2:18" hidden="1" x14ac:dyDescent="0.25">
      <c r="B1508" s="21" t="s">
        <v>395</v>
      </c>
      <c r="C1508" s="22" t="s">
        <v>2461</v>
      </c>
      <c r="D1508" s="165"/>
      <c r="E1508" s="21" t="s">
        <v>75</v>
      </c>
      <c r="F1508" s="21"/>
      <c r="G1508" s="147" t="s">
        <v>100</v>
      </c>
      <c r="H1508" s="23" t="s">
        <v>4291</v>
      </c>
      <c r="I1508" s="23"/>
      <c r="J1508" s="21" t="s">
        <v>1864</v>
      </c>
      <c r="K1508" s="120"/>
      <c r="L1508" s="164" t="s">
        <v>4520</v>
      </c>
      <c r="M1508" s="26">
        <v>44257</v>
      </c>
      <c r="N1508" s="247">
        <f>11200</f>
        <v>11200</v>
      </c>
      <c r="O1508" s="22" t="s">
        <v>15</v>
      </c>
      <c r="P1508" s="44">
        <v>11615.92</v>
      </c>
      <c r="Q1508" s="24">
        <f t="shared" si="160"/>
        <v>0</v>
      </c>
      <c r="R1508" s="24">
        <f t="shared" si="158"/>
        <v>11615.92</v>
      </c>
    </row>
    <row r="1509" spans="2:18" hidden="1" x14ac:dyDescent="0.25">
      <c r="B1509" s="21" t="s">
        <v>395</v>
      </c>
      <c r="C1509" s="22" t="s">
        <v>2461</v>
      </c>
      <c r="D1509" s="165"/>
      <c r="E1509" s="21" t="s">
        <v>75</v>
      </c>
      <c r="F1509" s="21"/>
      <c r="G1509" s="147" t="s">
        <v>100</v>
      </c>
      <c r="H1509" s="23" t="s">
        <v>4291</v>
      </c>
      <c r="I1509" s="23"/>
      <c r="J1509" s="21" t="s">
        <v>1864</v>
      </c>
      <c r="K1509" s="120"/>
      <c r="L1509" s="164" t="s">
        <v>4685</v>
      </c>
      <c r="M1509" s="26">
        <v>44287</v>
      </c>
      <c r="N1509" s="247">
        <f>11200</f>
        <v>11200</v>
      </c>
      <c r="O1509" s="22" t="s">
        <v>15</v>
      </c>
      <c r="P1509" s="44">
        <v>11448.64</v>
      </c>
      <c r="Q1509" s="24">
        <f t="shared" si="160"/>
        <v>0</v>
      </c>
      <c r="R1509" s="24">
        <f t="shared" si="158"/>
        <v>11448.64</v>
      </c>
    </row>
    <row r="1510" spans="2:18" hidden="1" x14ac:dyDescent="0.25">
      <c r="B1510" s="21" t="s">
        <v>395</v>
      </c>
      <c r="C1510" s="22" t="s">
        <v>2461</v>
      </c>
      <c r="D1510" s="165"/>
      <c r="E1510" s="21" t="s">
        <v>75</v>
      </c>
      <c r="F1510" s="21"/>
      <c r="G1510" s="147" t="s">
        <v>100</v>
      </c>
      <c r="H1510" s="23" t="s">
        <v>4291</v>
      </c>
      <c r="I1510" s="23"/>
      <c r="J1510" s="21" t="s">
        <v>1864</v>
      </c>
      <c r="K1510" s="120"/>
      <c r="L1510" s="164" t="s">
        <v>4951</v>
      </c>
      <c r="M1510" s="26">
        <v>44321</v>
      </c>
      <c r="N1510" s="247">
        <f>11200</f>
        <v>11200</v>
      </c>
      <c r="O1510" s="22" t="s">
        <v>15</v>
      </c>
      <c r="P1510" s="44">
        <v>11448.64</v>
      </c>
      <c r="Q1510" s="24">
        <f t="shared" si="160"/>
        <v>0</v>
      </c>
      <c r="R1510" s="24">
        <f t="shared" si="158"/>
        <v>11448.64</v>
      </c>
    </row>
    <row r="1511" spans="2:18" hidden="1" x14ac:dyDescent="0.25">
      <c r="B1511" s="21" t="s">
        <v>395</v>
      </c>
      <c r="C1511" s="22" t="s">
        <v>2461</v>
      </c>
      <c r="D1511" s="165"/>
      <c r="E1511" s="21" t="s">
        <v>75</v>
      </c>
      <c r="F1511" s="21"/>
      <c r="G1511" s="147" t="s">
        <v>100</v>
      </c>
      <c r="H1511" s="23" t="s">
        <v>4291</v>
      </c>
      <c r="I1511" s="23"/>
      <c r="J1511" s="21" t="s">
        <v>1864</v>
      </c>
      <c r="K1511" s="120"/>
      <c r="L1511" s="164" t="s">
        <v>5106</v>
      </c>
      <c r="M1511" s="26">
        <v>44349</v>
      </c>
      <c r="N1511" s="247">
        <f>11200</f>
        <v>11200</v>
      </c>
      <c r="O1511" s="22" t="s">
        <v>15</v>
      </c>
      <c r="P1511" s="44">
        <v>11448.64</v>
      </c>
      <c r="Q1511" s="24">
        <f t="shared" si="160"/>
        <v>0</v>
      </c>
      <c r="R1511" s="24">
        <f t="shared" si="158"/>
        <v>11448.64</v>
      </c>
    </row>
    <row r="1512" spans="2:18" hidden="1" x14ac:dyDescent="0.25">
      <c r="B1512" s="21" t="s">
        <v>395</v>
      </c>
      <c r="C1512" s="22" t="s">
        <v>2461</v>
      </c>
      <c r="D1512" s="165"/>
      <c r="E1512" s="21" t="s">
        <v>75</v>
      </c>
      <c r="F1512" s="21"/>
      <c r="G1512" s="147" t="s">
        <v>100</v>
      </c>
      <c r="H1512" s="23" t="s">
        <v>4291</v>
      </c>
      <c r="I1512" s="23"/>
      <c r="J1512" s="21" t="s">
        <v>1864</v>
      </c>
      <c r="K1512" s="120"/>
      <c r="L1512" s="164" t="s">
        <v>5313</v>
      </c>
      <c r="M1512" s="26">
        <v>44379</v>
      </c>
      <c r="N1512" s="247">
        <f>11200</f>
        <v>11200</v>
      </c>
      <c r="O1512" s="22" t="s">
        <v>15</v>
      </c>
      <c r="P1512" s="44">
        <v>11448.64</v>
      </c>
      <c r="Q1512" s="24">
        <f t="shared" si="160"/>
        <v>0</v>
      </c>
      <c r="R1512" s="24">
        <f t="shared" si="158"/>
        <v>11448.64</v>
      </c>
    </row>
    <row r="1513" spans="2:18" hidden="1" x14ac:dyDescent="0.25">
      <c r="B1513" s="21" t="s">
        <v>395</v>
      </c>
      <c r="C1513" s="22" t="s">
        <v>2461</v>
      </c>
      <c r="D1513" s="165"/>
      <c r="E1513" s="21" t="s">
        <v>75</v>
      </c>
      <c r="F1513" s="21"/>
      <c r="G1513" s="147" t="s">
        <v>100</v>
      </c>
      <c r="H1513" s="23" t="s">
        <v>4291</v>
      </c>
      <c r="I1513" s="23"/>
      <c r="J1513" s="21" t="s">
        <v>1864</v>
      </c>
      <c r="K1513" s="120"/>
      <c r="L1513" s="164" t="s">
        <v>5534</v>
      </c>
      <c r="M1513" s="26">
        <v>44411</v>
      </c>
      <c r="N1513" s="247">
        <f>11200</f>
        <v>11200</v>
      </c>
      <c r="O1513" s="22" t="s">
        <v>15</v>
      </c>
      <c r="P1513" s="44">
        <v>11448.64</v>
      </c>
      <c r="Q1513" s="24">
        <f t="shared" si="160"/>
        <v>0</v>
      </c>
      <c r="R1513" s="24">
        <f t="shared" si="158"/>
        <v>11448.64</v>
      </c>
    </row>
    <row r="1514" spans="2:18" hidden="1" x14ac:dyDescent="0.25">
      <c r="B1514" s="21" t="s">
        <v>395</v>
      </c>
      <c r="C1514" s="22" t="s">
        <v>2461</v>
      </c>
      <c r="D1514" s="165"/>
      <c r="E1514" s="21" t="s">
        <v>75</v>
      </c>
      <c r="F1514" s="21"/>
      <c r="G1514" s="147" t="s">
        <v>100</v>
      </c>
      <c r="H1514" s="23" t="s">
        <v>4291</v>
      </c>
      <c r="I1514" s="23"/>
      <c r="J1514" s="21" t="s">
        <v>1876</v>
      </c>
      <c r="K1514" s="120"/>
      <c r="L1514" s="164" t="s">
        <v>4324</v>
      </c>
      <c r="M1514" s="26">
        <v>44230</v>
      </c>
      <c r="N1514" s="247">
        <f>11200</f>
        <v>11200</v>
      </c>
      <c r="O1514" s="22" t="s">
        <v>15</v>
      </c>
      <c r="P1514" s="44">
        <v>11365</v>
      </c>
      <c r="Q1514" s="24">
        <f t="shared" si="160"/>
        <v>0</v>
      </c>
      <c r="R1514" s="24">
        <f t="shared" si="158"/>
        <v>11365</v>
      </c>
    </row>
    <row r="1515" spans="2:18" hidden="1" x14ac:dyDescent="0.25">
      <c r="B1515" s="21" t="s">
        <v>395</v>
      </c>
      <c r="C1515" s="22" t="s">
        <v>2461</v>
      </c>
      <c r="D1515" s="165"/>
      <c r="E1515" s="21" t="s">
        <v>75</v>
      </c>
      <c r="F1515" s="21"/>
      <c r="G1515" s="147" t="s">
        <v>100</v>
      </c>
      <c r="H1515" s="23" t="s">
        <v>5683</v>
      </c>
      <c r="I1515" s="23"/>
      <c r="J1515" s="196" t="s">
        <v>5676</v>
      </c>
      <c r="K1515" s="327"/>
      <c r="L1515" s="164" t="s">
        <v>5840</v>
      </c>
      <c r="M1515" s="26">
        <v>44468</v>
      </c>
      <c r="N1515" s="209">
        <v>118244</v>
      </c>
      <c r="O1515" s="22" t="s">
        <v>15</v>
      </c>
      <c r="P1515" s="44">
        <v>118244</v>
      </c>
      <c r="Q1515" s="24">
        <f t="shared" si="160"/>
        <v>0</v>
      </c>
      <c r="R1515" s="24">
        <f t="shared" si="158"/>
        <v>118244</v>
      </c>
    </row>
    <row r="1516" spans="2:18" hidden="1" x14ac:dyDescent="0.25">
      <c r="B1516" s="21" t="s">
        <v>395</v>
      </c>
      <c r="C1516" s="22" t="s">
        <v>2461</v>
      </c>
      <c r="D1516" s="165"/>
      <c r="E1516" s="21" t="s">
        <v>75</v>
      </c>
      <c r="F1516" s="21"/>
      <c r="G1516" s="147" t="s">
        <v>100</v>
      </c>
      <c r="H1516" s="23" t="s">
        <v>5668</v>
      </c>
      <c r="I1516" s="23"/>
      <c r="J1516" s="21" t="s">
        <v>1877</v>
      </c>
      <c r="K1516" s="120"/>
      <c r="L1516" s="164" t="s">
        <v>5688</v>
      </c>
      <c r="M1516" s="26">
        <v>44442</v>
      </c>
      <c r="N1516" s="209">
        <v>9990</v>
      </c>
      <c r="O1516" s="22" t="s">
        <v>15</v>
      </c>
      <c r="P1516" s="44">
        <v>9990</v>
      </c>
      <c r="Q1516" s="24">
        <f t="shared" ref="Q1516:Q1545" si="161">IF(P1516="en cours",N1516,IF(P1516="OK",0,IF(N1516-P1516&lt;0,0,N1516-P1516)))</f>
        <v>0</v>
      </c>
      <c r="R1516" s="24">
        <f t="shared" si="158"/>
        <v>9990</v>
      </c>
    </row>
    <row r="1517" spans="2:18" hidden="1" x14ac:dyDescent="0.25">
      <c r="B1517" s="21" t="s">
        <v>395</v>
      </c>
      <c r="C1517" s="22" t="s">
        <v>2461</v>
      </c>
      <c r="D1517" s="165"/>
      <c r="E1517" s="21" t="s">
        <v>75</v>
      </c>
      <c r="F1517" s="21"/>
      <c r="G1517" s="147" t="s">
        <v>100</v>
      </c>
      <c r="H1517" s="23" t="s">
        <v>5668</v>
      </c>
      <c r="I1517" s="23"/>
      <c r="J1517" s="21" t="s">
        <v>1864</v>
      </c>
      <c r="K1517" s="120"/>
      <c r="L1517" s="164" t="s">
        <v>5892</v>
      </c>
      <c r="M1517" s="26">
        <v>44473</v>
      </c>
      <c r="N1517" s="209">
        <v>9990</v>
      </c>
      <c r="O1517" s="22" t="s">
        <v>15</v>
      </c>
      <c r="P1517" s="44">
        <v>9990</v>
      </c>
      <c r="Q1517" s="24">
        <f t="shared" si="161"/>
        <v>0</v>
      </c>
      <c r="R1517" s="24">
        <f t="shared" si="158"/>
        <v>9990</v>
      </c>
    </row>
    <row r="1518" spans="2:18" hidden="1" x14ac:dyDescent="0.25">
      <c r="B1518" s="21" t="s">
        <v>395</v>
      </c>
      <c r="C1518" s="22" t="s">
        <v>2461</v>
      </c>
      <c r="D1518" s="165"/>
      <c r="E1518" s="21" t="s">
        <v>75</v>
      </c>
      <c r="F1518" s="21"/>
      <c r="G1518" s="147" t="s">
        <v>100</v>
      </c>
      <c r="H1518" s="23" t="s">
        <v>5668</v>
      </c>
      <c r="I1518" s="23"/>
      <c r="J1518" s="21" t="s">
        <v>1864</v>
      </c>
      <c r="K1518" s="120"/>
      <c r="L1518" s="164" t="s">
        <v>6009</v>
      </c>
      <c r="M1518" s="26">
        <v>44502</v>
      </c>
      <c r="N1518" s="209">
        <v>9990</v>
      </c>
      <c r="O1518" s="22" t="s">
        <v>15</v>
      </c>
      <c r="P1518" s="44">
        <v>9990</v>
      </c>
      <c r="Q1518" s="24">
        <f t="shared" si="161"/>
        <v>0</v>
      </c>
      <c r="R1518" s="24">
        <f t="shared" si="158"/>
        <v>9990</v>
      </c>
    </row>
    <row r="1519" spans="2:18" hidden="1" x14ac:dyDescent="0.25">
      <c r="B1519" s="21" t="s">
        <v>395</v>
      </c>
      <c r="C1519" s="22" t="s">
        <v>2461</v>
      </c>
      <c r="D1519" s="165"/>
      <c r="E1519" s="21" t="s">
        <v>75</v>
      </c>
      <c r="F1519" s="21"/>
      <c r="G1519" s="147" t="s">
        <v>100</v>
      </c>
      <c r="H1519" s="23" t="s">
        <v>5668</v>
      </c>
      <c r="I1519" s="23"/>
      <c r="J1519" s="21" t="s">
        <v>1864</v>
      </c>
      <c r="K1519" s="120"/>
      <c r="L1519" s="164" t="s">
        <v>6222</v>
      </c>
      <c r="M1519" s="26">
        <v>44532</v>
      </c>
      <c r="N1519" s="209">
        <v>9990</v>
      </c>
      <c r="O1519" s="22" t="s">
        <v>15</v>
      </c>
      <c r="P1519" s="44">
        <v>9990</v>
      </c>
      <c r="Q1519" s="24">
        <f t="shared" si="161"/>
        <v>0</v>
      </c>
      <c r="R1519" s="24">
        <f t="shared" si="158"/>
        <v>9990</v>
      </c>
    </row>
    <row r="1520" spans="2:18" hidden="1" x14ac:dyDescent="0.25">
      <c r="B1520" s="21" t="s">
        <v>395</v>
      </c>
      <c r="C1520" s="22" t="s">
        <v>2461</v>
      </c>
      <c r="D1520" s="165"/>
      <c r="E1520" s="21" t="s">
        <v>75</v>
      </c>
      <c r="F1520" s="21"/>
      <c r="G1520" s="147" t="s">
        <v>100</v>
      </c>
      <c r="H1520" s="23" t="s">
        <v>5668</v>
      </c>
      <c r="I1520" s="23"/>
      <c r="J1520" s="21" t="s">
        <v>1864</v>
      </c>
      <c r="K1520" s="120"/>
      <c r="L1520" s="164" t="s">
        <v>6344</v>
      </c>
      <c r="M1520" s="26">
        <v>44566</v>
      </c>
      <c r="N1520" s="209">
        <v>9990</v>
      </c>
      <c r="O1520" s="22" t="s">
        <v>15</v>
      </c>
      <c r="P1520" s="44">
        <v>9990</v>
      </c>
      <c r="Q1520" s="24">
        <f t="shared" si="161"/>
        <v>0</v>
      </c>
      <c r="R1520" s="24">
        <f t="shared" si="158"/>
        <v>9990</v>
      </c>
    </row>
    <row r="1521" spans="2:18" hidden="1" x14ac:dyDescent="0.25">
      <c r="C1521" s="4" t="s">
        <v>2461</v>
      </c>
      <c r="D1521"/>
      <c r="E1521" s="5" t="s">
        <v>75</v>
      </c>
      <c r="G1521" s="146" t="s">
        <v>100</v>
      </c>
      <c r="H1521" s="7" t="s">
        <v>5684</v>
      </c>
      <c r="J1521" s="5" t="s">
        <v>1862</v>
      </c>
      <c r="K1521" s="13"/>
      <c r="L1521" t="s">
        <v>8791</v>
      </c>
      <c r="M1521" s="12" t="s">
        <v>8792</v>
      </c>
      <c r="N1521" s="45">
        <f>49300-(6766.66666666667+31900)+15100</f>
        <v>25733.333333333328</v>
      </c>
      <c r="O1521" s="4" t="s">
        <v>15</v>
      </c>
      <c r="P1521" s="122">
        <f>1600-972.93+1600+1600+1600+1600+1600+1600+8000+1600+1600+1600+1600</f>
        <v>24627.07</v>
      </c>
      <c r="Q1521" s="45">
        <f t="shared" si="161"/>
        <v>1106.2633333333288</v>
      </c>
      <c r="R1521" s="3">
        <f t="shared" si="158"/>
        <v>24627.07</v>
      </c>
    </row>
    <row r="1522" spans="2:18" hidden="1" x14ac:dyDescent="0.25">
      <c r="C1522" s="4" t="s">
        <v>2461</v>
      </c>
      <c r="D1522"/>
      <c r="E1522" s="5" t="s">
        <v>75</v>
      </c>
      <c r="G1522" s="146" t="s">
        <v>100</v>
      </c>
      <c r="H1522" s="7" t="s">
        <v>5687</v>
      </c>
      <c r="J1522" s="70" t="s">
        <v>3617</v>
      </c>
      <c r="K1522" s="13"/>
      <c r="L1522" t="s">
        <v>8705</v>
      </c>
      <c r="M1522" s="12" t="s">
        <v>8706</v>
      </c>
      <c r="N1522" s="349">
        <f>33300-2700-3300</f>
        <v>27300</v>
      </c>
      <c r="O1522" s="4" t="s">
        <v>15</v>
      </c>
      <c r="P1522" s="45">
        <f>107.3+759.08+(20.64+17.52+50.3+101.7)+(446.08+38.1+14.8+34)+962.24+(37.6+2.9+27.14+561.78-421.08)+1310.44+748.8+(24.94+541.19+249.14+56)+877.97+1384.91+37.56+353.53+722.23+948.04+280.18+170.81+(15.6+13.2)+311.58+36.96+39.39+24.22+17.14+218.98+310.74+(1662.43-835.2)+(188.35+139.62+51.09+42.21+38.8+44.82)+(296.73+298.37)+442.48+1127.47</f>
        <v>14950.819999999996</v>
      </c>
      <c r="Q1522" s="3">
        <f t="shared" si="161"/>
        <v>12349.180000000004</v>
      </c>
      <c r="R1522" s="3">
        <f t="shared" si="158"/>
        <v>14950.819999999996</v>
      </c>
    </row>
    <row r="1523" spans="2:18" hidden="1" x14ac:dyDescent="0.25">
      <c r="C1523" s="4" t="s">
        <v>2461</v>
      </c>
      <c r="D1523"/>
      <c r="E1523" s="5" t="s">
        <v>75</v>
      </c>
      <c r="G1523" s="146" t="s">
        <v>100</v>
      </c>
      <c r="H1523" s="7" t="s">
        <v>5686</v>
      </c>
      <c r="J1523" s="5" t="s">
        <v>1861</v>
      </c>
      <c r="K1523" s="13"/>
      <c r="L1523"/>
      <c r="M1523" s="12"/>
      <c r="N1523" s="45">
        <f>30000+5934.12-5000</f>
        <v>30934.120000000003</v>
      </c>
      <c r="O1523" s="4" t="s">
        <v>15</v>
      </c>
      <c r="Q1523" s="3">
        <f t="shared" si="161"/>
        <v>30934.120000000003</v>
      </c>
      <c r="R1523" s="3">
        <f t="shared" si="158"/>
        <v>0</v>
      </c>
    </row>
    <row r="1524" spans="2:18" hidden="1" x14ac:dyDescent="0.25">
      <c r="B1524" s="21" t="s">
        <v>395</v>
      </c>
      <c r="C1524" s="22" t="s">
        <v>2461</v>
      </c>
      <c r="D1524" s="165"/>
      <c r="E1524" s="21" t="s">
        <v>75</v>
      </c>
      <c r="F1524" s="21"/>
      <c r="G1524" s="147" t="s">
        <v>100</v>
      </c>
      <c r="H1524" s="23" t="s">
        <v>6411</v>
      </c>
      <c r="I1524" s="23"/>
      <c r="J1524" s="274" t="s">
        <v>5677</v>
      </c>
      <c r="K1524" s="327"/>
      <c r="L1524" s="164" t="s">
        <v>6607</v>
      </c>
      <c r="M1524" s="26">
        <v>44641</v>
      </c>
      <c r="N1524" s="279">
        <v>84092</v>
      </c>
      <c r="O1524" s="22" t="s">
        <v>15</v>
      </c>
      <c r="P1524" s="44">
        <v>84092</v>
      </c>
      <c r="Q1524" s="24">
        <f t="shared" si="161"/>
        <v>0</v>
      </c>
      <c r="R1524" s="24">
        <f t="shared" si="158"/>
        <v>84092</v>
      </c>
    </row>
    <row r="1525" spans="2:18" hidden="1" x14ac:dyDescent="0.25">
      <c r="B1525" s="21" t="s">
        <v>395</v>
      </c>
      <c r="C1525" s="22" t="s">
        <v>2461</v>
      </c>
      <c r="D1525" s="165"/>
      <c r="E1525" s="21" t="s">
        <v>75</v>
      </c>
      <c r="F1525" s="21"/>
      <c r="G1525" s="147" t="s">
        <v>100</v>
      </c>
      <c r="H1525" s="23" t="s">
        <v>6411</v>
      </c>
      <c r="I1525" s="23"/>
      <c r="J1525" s="191" t="s">
        <v>5678</v>
      </c>
      <c r="K1525" s="327"/>
      <c r="L1525" s="164" t="s">
        <v>7226</v>
      </c>
      <c r="M1525" s="26">
        <v>44865</v>
      </c>
      <c r="N1525" s="192">
        <v>84092</v>
      </c>
      <c r="O1525" s="22" t="s">
        <v>15</v>
      </c>
      <c r="P1525" s="44">
        <v>84092</v>
      </c>
      <c r="Q1525" s="24">
        <f t="shared" si="161"/>
        <v>0</v>
      </c>
      <c r="R1525" s="24">
        <f t="shared" si="158"/>
        <v>84092</v>
      </c>
    </row>
    <row r="1526" spans="2:18" hidden="1" x14ac:dyDescent="0.25">
      <c r="B1526" s="21" t="s">
        <v>395</v>
      </c>
      <c r="C1526" s="22" t="s">
        <v>2461</v>
      </c>
      <c r="D1526" s="165"/>
      <c r="E1526" s="21" t="s">
        <v>75</v>
      </c>
      <c r="F1526" s="21"/>
      <c r="G1526" s="147" t="s">
        <v>100</v>
      </c>
      <c r="H1526" s="23" t="s">
        <v>6411</v>
      </c>
      <c r="I1526" s="23"/>
      <c r="J1526" s="191" t="s">
        <v>5679</v>
      </c>
      <c r="K1526" s="327"/>
      <c r="L1526" s="164" t="s">
        <v>7519</v>
      </c>
      <c r="M1526" s="26">
        <v>44951</v>
      </c>
      <c r="N1526" s="192">
        <v>52788</v>
      </c>
      <c r="O1526" s="22" t="s">
        <v>15</v>
      </c>
      <c r="P1526" s="44">
        <v>52788</v>
      </c>
      <c r="Q1526" s="24">
        <f t="shared" si="161"/>
        <v>0</v>
      </c>
      <c r="R1526" s="24">
        <f t="shared" si="158"/>
        <v>52788</v>
      </c>
    </row>
    <row r="1527" spans="2:18" hidden="1" x14ac:dyDescent="0.25">
      <c r="B1527" s="21" t="s">
        <v>395</v>
      </c>
      <c r="C1527" s="22" t="s">
        <v>2461</v>
      </c>
      <c r="D1527" s="165"/>
      <c r="E1527" s="21" t="s">
        <v>75</v>
      </c>
      <c r="F1527" s="21"/>
      <c r="G1527" s="147" t="s">
        <v>100</v>
      </c>
      <c r="H1527" s="23" t="s">
        <v>6411</v>
      </c>
      <c r="I1527" s="23"/>
      <c r="J1527" s="191" t="s">
        <v>5680</v>
      </c>
      <c r="K1527" s="327"/>
      <c r="L1527" s="164" t="s">
        <v>7772</v>
      </c>
      <c r="M1527" s="26">
        <v>45020</v>
      </c>
      <c r="N1527" s="192">
        <v>52788</v>
      </c>
      <c r="O1527" s="22" t="s">
        <v>15</v>
      </c>
      <c r="P1527" s="44">
        <f>52788</f>
        <v>52788</v>
      </c>
      <c r="Q1527" s="24">
        <f t="shared" si="161"/>
        <v>0</v>
      </c>
      <c r="R1527" s="24">
        <f t="shared" si="158"/>
        <v>52788</v>
      </c>
    </row>
    <row r="1528" spans="2:18" hidden="1" x14ac:dyDescent="0.25">
      <c r="B1528" s="21" t="s">
        <v>395</v>
      </c>
      <c r="C1528" s="22" t="s">
        <v>2461</v>
      </c>
      <c r="D1528" s="165"/>
      <c r="E1528" s="21" t="s">
        <v>75</v>
      </c>
      <c r="F1528" s="21"/>
      <c r="G1528" s="147" t="s">
        <v>100</v>
      </c>
      <c r="H1528" s="23" t="s">
        <v>6411</v>
      </c>
      <c r="I1528" s="23"/>
      <c r="J1528" s="191" t="s">
        <v>5681</v>
      </c>
      <c r="K1528" s="327"/>
      <c r="L1528" s="164" t="s">
        <v>8345</v>
      </c>
      <c r="M1528" s="26">
        <v>45061</v>
      </c>
      <c r="N1528" s="192">
        <v>52788</v>
      </c>
      <c r="O1528" s="22" t="s">
        <v>15</v>
      </c>
      <c r="P1528" s="44">
        <f>52788</f>
        <v>52788</v>
      </c>
      <c r="Q1528" s="24">
        <f t="shared" si="161"/>
        <v>0</v>
      </c>
      <c r="R1528" s="24">
        <f t="shared" si="158"/>
        <v>52788</v>
      </c>
    </row>
    <row r="1529" spans="2:18" hidden="1" x14ac:dyDescent="0.25">
      <c r="B1529" s="21" t="s">
        <v>395</v>
      </c>
      <c r="C1529" s="22" t="s">
        <v>2461</v>
      </c>
      <c r="D1529" s="165"/>
      <c r="E1529" s="21" t="s">
        <v>75</v>
      </c>
      <c r="F1529" s="21"/>
      <c r="G1529" s="147" t="s">
        <v>100</v>
      </c>
      <c r="H1529" s="23" t="s">
        <v>6411</v>
      </c>
      <c r="I1529" s="23"/>
      <c r="J1529" s="21" t="s">
        <v>3470</v>
      </c>
      <c r="K1529" s="120"/>
      <c r="L1529" s="164" t="s">
        <v>6448</v>
      </c>
      <c r="M1529" s="26">
        <v>44601</v>
      </c>
      <c r="N1529" s="279">
        <v>11360</v>
      </c>
      <c r="O1529" s="22" t="s">
        <v>15</v>
      </c>
      <c r="P1529" s="44">
        <v>11360</v>
      </c>
      <c r="Q1529" s="24">
        <f t="shared" si="161"/>
        <v>0</v>
      </c>
      <c r="R1529" s="24">
        <f t="shared" si="158"/>
        <v>11360</v>
      </c>
    </row>
    <row r="1530" spans="2:18" hidden="1" x14ac:dyDescent="0.25">
      <c r="B1530" s="21" t="s">
        <v>395</v>
      </c>
      <c r="C1530" s="22" t="s">
        <v>2461</v>
      </c>
      <c r="D1530" s="165"/>
      <c r="E1530" s="21" t="s">
        <v>75</v>
      </c>
      <c r="F1530" s="21"/>
      <c r="G1530" s="147" t="s">
        <v>100</v>
      </c>
      <c r="H1530" s="23" t="s">
        <v>6411</v>
      </c>
      <c r="I1530" s="23"/>
      <c r="J1530" s="21" t="s">
        <v>1864</v>
      </c>
      <c r="K1530" s="120"/>
      <c r="L1530" s="164" t="s">
        <v>6563</v>
      </c>
      <c r="M1530" s="26">
        <v>44622</v>
      </c>
      <c r="N1530" s="279">
        <v>11360</v>
      </c>
      <c r="O1530" s="22" t="s">
        <v>15</v>
      </c>
      <c r="P1530" s="44">
        <v>11360</v>
      </c>
      <c r="Q1530" s="24">
        <f t="shared" si="161"/>
        <v>0</v>
      </c>
      <c r="R1530" s="24">
        <f t="shared" si="158"/>
        <v>11360</v>
      </c>
    </row>
    <row r="1531" spans="2:18" hidden="1" x14ac:dyDescent="0.25">
      <c r="B1531" s="21" t="s">
        <v>395</v>
      </c>
      <c r="C1531" s="22" t="s">
        <v>2461</v>
      </c>
      <c r="D1531" s="165"/>
      <c r="E1531" s="21" t="s">
        <v>75</v>
      </c>
      <c r="F1531" s="21"/>
      <c r="G1531" s="147" t="s">
        <v>100</v>
      </c>
      <c r="H1531" s="23" t="s">
        <v>6411</v>
      </c>
      <c r="I1531" s="23"/>
      <c r="J1531" s="21" t="s">
        <v>1864</v>
      </c>
      <c r="K1531" s="120"/>
      <c r="L1531" s="164" t="s">
        <v>6654</v>
      </c>
      <c r="M1531" s="26">
        <v>44656</v>
      </c>
      <c r="N1531" s="279">
        <v>11360</v>
      </c>
      <c r="O1531" s="22" t="s">
        <v>15</v>
      </c>
      <c r="P1531" s="44">
        <v>11360</v>
      </c>
      <c r="Q1531" s="24">
        <f t="shared" si="161"/>
        <v>0</v>
      </c>
      <c r="R1531" s="24">
        <f t="shared" si="158"/>
        <v>11360</v>
      </c>
    </row>
    <row r="1532" spans="2:18" hidden="1" x14ac:dyDescent="0.25">
      <c r="B1532" s="21" t="s">
        <v>395</v>
      </c>
      <c r="C1532" s="22" t="s">
        <v>2461</v>
      </c>
      <c r="D1532" s="165"/>
      <c r="E1532" s="21" t="s">
        <v>75</v>
      </c>
      <c r="F1532" s="21"/>
      <c r="G1532" s="147" t="s">
        <v>100</v>
      </c>
      <c r="H1532" s="23" t="s">
        <v>6411</v>
      </c>
      <c r="I1532" s="23"/>
      <c r="J1532" s="21" t="s">
        <v>1864</v>
      </c>
      <c r="K1532" s="120"/>
      <c r="L1532" s="164" t="s">
        <v>6724</v>
      </c>
      <c r="M1532" s="26">
        <v>44686</v>
      </c>
      <c r="N1532" s="279">
        <v>11360</v>
      </c>
      <c r="O1532" s="22" t="s">
        <v>15</v>
      </c>
      <c r="P1532" s="44">
        <v>11360</v>
      </c>
      <c r="Q1532" s="24">
        <f t="shared" si="161"/>
        <v>0</v>
      </c>
      <c r="R1532" s="24">
        <f t="shared" si="158"/>
        <v>11360</v>
      </c>
    </row>
    <row r="1533" spans="2:18" hidden="1" x14ac:dyDescent="0.25">
      <c r="B1533" s="21" t="s">
        <v>395</v>
      </c>
      <c r="C1533" s="22" t="s">
        <v>2461</v>
      </c>
      <c r="D1533" s="165"/>
      <c r="E1533" s="21" t="s">
        <v>75</v>
      </c>
      <c r="F1533" s="21"/>
      <c r="G1533" s="147" t="s">
        <v>100</v>
      </c>
      <c r="H1533" s="23" t="s">
        <v>6411</v>
      </c>
      <c r="I1533" s="23"/>
      <c r="J1533" s="21" t="s">
        <v>1864</v>
      </c>
      <c r="K1533" s="120"/>
      <c r="L1533" s="164" t="s">
        <v>6776</v>
      </c>
      <c r="M1533" s="26">
        <v>44713</v>
      </c>
      <c r="N1533" s="279">
        <v>11360</v>
      </c>
      <c r="O1533" s="22" t="s">
        <v>15</v>
      </c>
      <c r="P1533" s="44">
        <v>11360</v>
      </c>
      <c r="Q1533" s="24">
        <f t="shared" si="161"/>
        <v>0</v>
      </c>
      <c r="R1533" s="24">
        <f t="shared" si="158"/>
        <v>11360</v>
      </c>
    </row>
    <row r="1534" spans="2:18" hidden="1" x14ac:dyDescent="0.25">
      <c r="B1534" s="21" t="s">
        <v>395</v>
      </c>
      <c r="C1534" s="22" t="s">
        <v>2461</v>
      </c>
      <c r="D1534" s="165"/>
      <c r="E1534" s="21" t="s">
        <v>75</v>
      </c>
      <c r="F1534" s="21"/>
      <c r="G1534" s="147" t="s">
        <v>100</v>
      </c>
      <c r="H1534" s="23" t="s">
        <v>6411</v>
      </c>
      <c r="I1534" s="23"/>
      <c r="J1534" s="21" t="s">
        <v>1864</v>
      </c>
      <c r="K1534" s="120"/>
      <c r="L1534" s="164" t="s">
        <v>6899</v>
      </c>
      <c r="M1534" s="26">
        <v>44743</v>
      </c>
      <c r="N1534" s="279">
        <v>11360</v>
      </c>
      <c r="O1534" s="22" t="s">
        <v>15</v>
      </c>
      <c r="P1534" s="44">
        <v>11360</v>
      </c>
      <c r="Q1534" s="24">
        <f t="shared" si="161"/>
        <v>0</v>
      </c>
      <c r="R1534" s="24">
        <f t="shared" si="158"/>
        <v>11360</v>
      </c>
    </row>
    <row r="1535" spans="2:18" hidden="1" x14ac:dyDescent="0.25">
      <c r="B1535" s="21" t="s">
        <v>395</v>
      </c>
      <c r="C1535" s="22" t="s">
        <v>2461</v>
      </c>
      <c r="D1535" s="165"/>
      <c r="E1535" s="21" t="s">
        <v>75</v>
      </c>
      <c r="F1535" s="21"/>
      <c r="G1535" s="147" t="s">
        <v>100</v>
      </c>
      <c r="H1535" s="23" t="s">
        <v>6411</v>
      </c>
      <c r="I1535" s="23"/>
      <c r="J1535" s="21" t="s">
        <v>1864</v>
      </c>
      <c r="K1535" s="120"/>
      <c r="L1535" s="164" t="s">
        <v>6954</v>
      </c>
      <c r="M1535" s="26">
        <v>44775</v>
      </c>
      <c r="N1535" s="279">
        <v>11360</v>
      </c>
      <c r="O1535" s="22" t="s">
        <v>15</v>
      </c>
      <c r="P1535" s="44">
        <v>11360</v>
      </c>
      <c r="Q1535" s="24">
        <f t="shared" si="161"/>
        <v>0</v>
      </c>
      <c r="R1535" s="24">
        <f t="shared" si="158"/>
        <v>11360</v>
      </c>
    </row>
    <row r="1536" spans="2:18" hidden="1" x14ac:dyDescent="0.25">
      <c r="B1536" s="21" t="s">
        <v>395</v>
      </c>
      <c r="C1536" s="22" t="s">
        <v>2461</v>
      </c>
      <c r="D1536" s="165"/>
      <c r="E1536" s="21" t="s">
        <v>75</v>
      </c>
      <c r="F1536" s="21"/>
      <c r="G1536" s="147" t="s">
        <v>100</v>
      </c>
      <c r="H1536" s="23" t="s">
        <v>6411</v>
      </c>
      <c r="I1536" s="23"/>
      <c r="J1536" s="21" t="s">
        <v>4253</v>
      </c>
      <c r="K1536" s="120"/>
      <c r="L1536" s="164" t="s">
        <v>7062</v>
      </c>
      <c r="M1536" s="26">
        <v>44809</v>
      </c>
      <c r="N1536" s="279">
        <v>11360</v>
      </c>
      <c r="O1536" s="22" t="s">
        <v>15</v>
      </c>
      <c r="P1536" s="44">
        <v>11360</v>
      </c>
      <c r="Q1536" s="24">
        <f t="shared" si="161"/>
        <v>0</v>
      </c>
      <c r="R1536" s="24">
        <f t="shared" si="158"/>
        <v>11360</v>
      </c>
    </row>
    <row r="1537" spans="2:19" hidden="1" x14ac:dyDescent="0.25">
      <c r="B1537" s="21" t="s">
        <v>395</v>
      </c>
      <c r="C1537" s="22" t="s">
        <v>2461</v>
      </c>
      <c r="D1537" s="165"/>
      <c r="E1537" s="21" t="s">
        <v>75</v>
      </c>
      <c r="F1537" s="21"/>
      <c r="G1537" s="147" t="s">
        <v>100</v>
      </c>
      <c r="H1537" s="23" t="s">
        <v>6411</v>
      </c>
      <c r="I1537" s="23"/>
      <c r="J1537" s="21" t="s">
        <v>1864</v>
      </c>
      <c r="K1537" s="120"/>
      <c r="L1537" s="164" t="s">
        <v>7181</v>
      </c>
      <c r="M1537" s="26">
        <v>44838</v>
      </c>
      <c r="N1537" s="279">
        <v>11360</v>
      </c>
      <c r="O1537" s="22" t="s">
        <v>15</v>
      </c>
      <c r="P1537" s="44">
        <v>11360</v>
      </c>
      <c r="Q1537" s="24">
        <f t="shared" si="161"/>
        <v>0</v>
      </c>
      <c r="R1537" s="24">
        <f t="shared" si="158"/>
        <v>11360</v>
      </c>
    </row>
    <row r="1538" spans="2:19" hidden="1" x14ac:dyDescent="0.25">
      <c r="B1538" s="21" t="s">
        <v>395</v>
      </c>
      <c r="C1538" s="22" t="s">
        <v>2461</v>
      </c>
      <c r="D1538" s="165"/>
      <c r="E1538" s="21" t="s">
        <v>75</v>
      </c>
      <c r="F1538" s="21"/>
      <c r="G1538" s="147" t="s">
        <v>100</v>
      </c>
      <c r="H1538" s="23" t="s">
        <v>6411</v>
      </c>
      <c r="I1538" s="23"/>
      <c r="J1538" s="21" t="s">
        <v>1864</v>
      </c>
      <c r="K1538" s="120"/>
      <c r="L1538" s="164" t="s">
        <v>7247</v>
      </c>
      <c r="M1538" s="26">
        <v>44868</v>
      </c>
      <c r="N1538" s="279">
        <v>11360</v>
      </c>
      <c r="O1538" s="22" t="s">
        <v>15</v>
      </c>
      <c r="P1538" s="44">
        <v>11360</v>
      </c>
      <c r="Q1538" s="24">
        <f t="shared" si="161"/>
        <v>0</v>
      </c>
      <c r="R1538" s="24">
        <f t="shared" si="158"/>
        <v>11360</v>
      </c>
    </row>
    <row r="1539" spans="2:19" hidden="1" x14ac:dyDescent="0.25">
      <c r="B1539" s="21" t="s">
        <v>395</v>
      </c>
      <c r="C1539" s="22" t="s">
        <v>2461</v>
      </c>
      <c r="D1539" s="165"/>
      <c r="E1539" s="21" t="s">
        <v>75</v>
      </c>
      <c r="F1539" s="21"/>
      <c r="G1539" s="147" t="s">
        <v>100</v>
      </c>
      <c r="H1539" s="23" t="s">
        <v>6411</v>
      </c>
      <c r="I1539" s="23"/>
      <c r="J1539" s="21" t="s">
        <v>1864</v>
      </c>
      <c r="K1539" s="120"/>
      <c r="L1539" s="164" t="s">
        <v>7360</v>
      </c>
      <c r="M1539" s="26">
        <v>44902</v>
      </c>
      <c r="N1539" s="279">
        <v>11360</v>
      </c>
      <c r="O1539" s="22" t="s">
        <v>15</v>
      </c>
      <c r="P1539" s="44">
        <v>11360</v>
      </c>
      <c r="Q1539" s="24">
        <f t="shared" si="161"/>
        <v>0</v>
      </c>
      <c r="R1539" s="24">
        <f t="shared" si="158"/>
        <v>11360</v>
      </c>
    </row>
    <row r="1540" spans="2:19" hidden="1" x14ac:dyDescent="0.25">
      <c r="B1540" s="21" t="s">
        <v>395</v>
      </c>
      <c r="C1540" s="22" t="s">
        <v>2461</v>
      </c>
      <c r="D1540" s="165"/>
      <c r="E1540" s="21" t="s">
        <v>75</v>
      </c>
      <c r="F1540" s="21"/>
      <c r="G1540" s="147" t="s">
        <v>100</v>
      </c>
      <c r="H1540" s="23" t="s">
        <v>6411</v>
      </c>
      <c r="I1540" s="23"/>
      <c r="J1540" s="21" t="s">
        <v>1864</v>
      </c>
      <c r="K1540" s="120"/>
      <c r="L1540" s="164" t="s">
        <v>7476</v>
      </c>
      <c r="M1540" s="26">
        <v>44931</v>
      </c>
      <c r="N1540" s="279">
        <v>11360</v>
      </c>
      <c r="O1540" s="22" t="s">
        <v>15</v>
      </c>
      <c r="P1540" s="44">
        <v>11360</v>
      </c>
      <c r="Q1540" s="24">
        <f t="shared" si="161"/>
        <v>0</v>
      </c>
      <c r="R1540" s="24">
        <f t="shared" ref="R1540:R1588" si="162">IF(P1540="OK",N1540-Q1540,IF(P1540="en cours",N1540-Q1540,P1540))</f>
        <v>11360</v>
      </c>
    </row>
    <row r="1541" spans="2:19" hidden="1" x14ac:dyDescent="0.25">
      <c r="B1541" s="21" t="s">
        <v>395</v>
      </c>
      <c r="C1541" s="22" t="s">
        <v>2461</v>
      </c>
      <c r="D1541" s="165"/>
      <c r="E1541" s="21" t="s">
        <v>75</v>
      </c>
      <c r="F1541" s="21"/>
      <c r="G1541" s="147" t="s">
        <v>100</v>
      </c>
      <c r="H1541" s="23" t="s">
        <v>6411</v>
      </c>
      <c r="I1541" s="23"/>
      <c r="J1541" s="21" t="s">
        <v>4254</v>
      </c>
      <c r="K1541" s="120"/>
      <c r="L1541" s="164" t="s">
        <v>7545</v>
      </c>
      <c r="M1541" s="26">
        <v>44963</v>
      </c>
      <c r="N1541" s="279">
        <v>11360</v>
      </c>
      <c r="O1541" s="22" t="s">
        <v>15</v>
      </c>
      <c r="P1541" s="44">
        <v>11360</v>
      </c>
      <c r="Q1541" s="24">
        <f t="shared" si="161"/>
        <v>0</v>
      </c>
      <c r="R1541" s="24">
        <f t="shared" si="162"/>
        <v>11360</v>
      </c>
    </row>
    <row r="1542" spans="2:19" hidden="1" x14ac:dyDescent="0.25">
      <c r="B1542" s="21" t="s">
        <v>395</v>
      </c>
      <c r="C1542" s="22" t="s">
        <v>2461</v>
      </c>
      <c r="D1542" s="165"/>
      <c r="E1542" s="21" t="s">
        <v>75</v>
      </c>
      <c r="F1542" s="21"/>
      <c r="G1542" s="147" t="s">
        <v>100</v>
      </c>
      <c r="H1542" s="23" t="s">
        <v>6411</v>
      </c>
      <c r="I1542" s="23"/>
      <c r="J1542" s="21" t="s">
        <v>1864</v>
      </c>
      <c r="K1542" s="120"/>
      <c r="L1542" s="164" t="s">
        <v>7649</v>
      </c>
      <c r="M1542" s="26">
        <v>44991</v>
      </c>
      <c r="N1542" s="279">
        <v>11360</v>
      </c>
      <c r="O1542" s="22" t="s">
        <v>15</v>
      </c>
      <c r="P1542" s="44">
        <v>11360</v>
      </c>
      <c r="Q1542" s="24">
        <f t="shared" si="161"/>
        <v>0</v>
      </c>
      <c r="R1542" s="24">
        <f t="shared" si="162"/>
        <v>11360</v>
      </c>
    </row>
    <row r="1543" spans="2:19" hidden="1" x14ac:dyDescent="0.25">
      <c r="B1543" s="21" t="s">
        <v>395</v>
      </c>
      <c r="C1543" s="22" t="s">
        <v>2461</v>
      </c>
      <c r="D1543" s="165"/>
      <c r="E1543" s="21" t="s">
        <v>75</v>
      </c>
      <c r="F1543" s="21"/>
      <c r="G1543" s="147" t="s">
        <v>100</v>
      </c>
      <c r="H1543" s="23" t="s">
        <v>6411</v>
      </c>
      <c r="I1543" s="23"/>
      <c r="J1543" s="21" t="s">
        <v>1864</v>
      </c>
      <c r="K1543" s="120"/>
      <c r="L1543" s="164" t="s">
        <v>7774</v>
      </c>
      <c r="M1543" s="26">
        <v>45022</v>
      </c>
      <c r="N1543" s="279">
        <v>11360</v>
      </c>
      <c r="O1543" s="22" t="s">
        <v>15</v>
      </c>
      <c r="P1543" s="44">
        <f>11360</f>
        <v>11360</v>
      </c>
      <c r="Q1543" s="24">
        <f t="shared" si="161"/>
        <v>0</v>
      </c>
      <c r="R1543" s="24">
        <f t="shared" si="162"/>
        <v>11360</v>
      </c>
    </row>
    <row r="1544" spans="2:19" hidden="1" x14ac:dyDescent="0.25">
      <c r="B1544" s="21" t="s">
        <v>395</v>
      </c>
      <c r="C1544" s="22" t="s">
        <v>2461</v>
      </c>
      <c r="D1544" s="165"/>
      <c r="E1544" s="21" t="s">
        <v>75</v>
      </c>
      <c r="F1544" s="21"/>
      <c r="G1544" s="147" t="s">
        <v>100</v>
      </c>
      <c r="H1544" s="23" t="s">
        <v>6411</v>
      </c>
      <c r="I1544" s="23"/>
      <c r="J1544" s="21" t="s">
        <v>1864</v>
      </c>
      <c r="K1544" s="120"/>
      <c r="L1544" s="164" t="s">
        <v>8340</v>
      </c>
      <c r="M1544" s="26">
        <v>45050</v>
      </c>
      <c r="N1544" s="279">
        <v>11360</v>
      </c>
      <c r="O1544" s="22" t="s">
        <v>15</v>
      </c>
      <c r="P1544" s="44">
        <f>11360</f>
        <v>11360</v>
      </c>
      <c r="Q1544" s="24">
        <f t="shared" si="161"/>
        <v>0</v>
      </c>
      <c r="R1544" s="24">
        <f t="shared" si="162"/>
        <v>11360</v>
      </c>
    </row>
    <row r="1545" spans="2:19" hidden="1" x14ac:dyDescent="0.25">
      <c r="B1545" s="21" t="s">
        <v>395</v>
      </c>
      <c r="C1545" s="22" t="s">
        <v>2461</v>
      </c>
      <c r="D1545" s="165"/>
      <c r="E1545" s="21" t="s">
        <v>75</v>
      </c>
      <c r="F1545" s="21"/>
      <c r="G1545" s="147" t="s">
        <v>100</v>
      </c>
      <c r="H1545" s="23" t="s">
        <v>8787</v>
      </c>
      <c r="I1545" s="23"/>
      <c r="J1545" s="191" t="s">
        <v>5682</v>
      </c>
      <c r="K1545" s="327"/>
      <c r="L1545" s="164" t="s">
        <v>8828</v>
      </c>
      <c r="M1545" s="26" t="s">
        <v>8829</v>
      </c>
      <c r="N1545" s="438">
        <v>-46364</v>
      </c>
      <c r="O1545" s="22" t="s">
        <v>15</v>
      </c>
      <c r="P1545" s="22">
        <f>-43364-3000</f>
        <v>-46364</v>
      </c>
      <c r="Q1545" s="24">
        <f t="shared" si="161"/>
        <v>0</v>
      </c>
      <c r="R1545" s="24">
        <f t="shared" si="162"/>
        <v>-46364</v>
      </c>
    </row>
    <row r="1546" spans="2:19" hidden="1" x14ac:dyDescent="0.25">
      <c r="B1546" s="21" t="s">
        <v>395</v>
      </c>
      <c r="C1546" s="22" t="s">
        <v>2461</v>
      </c>
      <c r="D1546" s="165"/>
      <c r="E1546" s="21" t="s">
        <v>75</v>
      </c>
      <c r="F1546" s="21"/>
      <c r="G1546" s="147" t="s">
        <v>100</v>
      </c>
      <c r="H1546" s="23" t="s">
        <v>8788</v>
      </c>
      <c r="I1546" s="23"/>
      <c r="J1546" s="21" t="s">
        <v>6346</v>
      </c>
      <c r="K1546" s="120"/>
      <c r="L1546" s="165" t="s">
        <v>8707</v>
      </c>
      <c r="M1546" s="26" t="s">
        <v>8708</v>
      </c>
      <c r="N1546" s="44">
        <f>51055.76+47750+47875-18803</f>
        <v>127877.76000000001</v>
      </c>
      <c r="O1546" s="22" t="s">
        <v>15</v>
      </c>
      <c r="P1546" s="44">
        <f>50000+20000+1025.4</f>
        <v>71025.399999999994</v>
      </c>
      <c r="Q1546" s="24">
        <v>0</v>
      </c>
      <c r="R1546" s="24">
        <f t="shared" si="162"/>
        <v>71025.399999999994</v>
      </c>
      <c r="S1546" s="5" t="s">
        <v>8709</v>
      </c>
    </row>
    <row r="1547" spans="2:19" hidden="1" x14ac:dyDescent="0.25">
      <c r="C1547" s="4" t="s">
        <v>2461</v>
      </c>
      <c r="D1547"/>
      <c r="E1547" s="5" t="s">
        <v>75</v>
      </c>
      <c r="G1547" s="146" t="s">
        <v>100</v>
      </c>
      <c r="H1547" s="242" t="s">
        <v>6412</v>
      </c>
      <c r="I1547" s="242"/>
      <c r="J1547" s="43" t="s">
        <v>4259</v>
      </c>
      <c r="K1547" s="13"/>
      <c r="L1547" t="s">
        <v>6413</v>
      </c>
      <c r="M1547" s="12" t="s">
        <v>6414</v>
      </c>
      <c r="N1547" s="337">
        <v>15000</v>
      </c>
      <c r="O1547" s="4" t="s">
        <v>15</v>
      </c>
      <c r="P1547" s="45">
        <v>11752.599999999999</v>
      </c>
      <c r="Q1547" s="3">
        <f>IF(P1547="en cours",N1547,IF(P1547="OK",0,IF(N1547-P1547&lt;0,0,N1547-P1547)))</f>
        <v>3247.4000000000015</v>
      </c>
      <c r="R1547" s="3">
        <f t="shared" si="162"/>
        <v>11752.599999999999</v>
      </c>
    </row>
    <row r="1548" spans="2:19" hidden="1" x14ac:dyDescent="0.25">
      <c r="B1548" s="21" t="s">
        <v>395</v>
      </c>
      <c r="C1548" s="22" t="s">
        <v>2461</v>
      </c>
      <c r="D1548" s="165"/>
      <c r="E1548" s="21" t="s">
        <v>75</v>
      </c>
      <c r="F1548" s="21"/>
      <c r="G1548" s="147" t="s">
        <v>100</v>
      </c>
      <c r="H1548" s="244" t="s">
        <v>6412</v>
      </c>
      <c r="I1548" s="244"/>
      <c r="J1548" s="274" t="s">
        <v>3101</v>
      </c>
      <c r="K1548" s="120"/>
      <c r="L1548" s="21" t="s">
        <v>6514</v>
      </c>
      <c r="M1548" s="26" t="s">
        <v>6515</v>
      </c>
      <c r="N1548" s="279">
        <f>4550-644.62</f>
        <v>3905.38</v>
      </c>
      <c r="O1548" s="22" t="s">
        <v>15</v>
      </c>
      <c r="P1548" s="22">
        <f>531.66+112.84+316.08+(237.28+103.55+111.75+122.62)+740.87+1831.25+398.93+383.96+(21.64+31.03)</f>
        <v>4943.46</v>
      </c>
      <c r="Q1548" s="24">
        <f>IF(P1548="en cours",N1548,IF(P1548="OK",0,IF(N1548-P1548&lt;0,0,N1548-P1548)))</f>
        <v>0</v>
      </c>
      <c r="R1548" s="24">
        <f t="shared" si="162"/>
        <v>4943.46</v>
      </c>
    </row>
    <row r="1549" spans="2:19" hidden="1" x14ac:dyDescent="0.25">
      <c r="C1549" s="4" t="s">
        <v>2461</v>
      </c>
      <c r="D1549"/>
      <c r="E1549" s="5" t="s">
        <v>75</v>
      </c>
      <c r="G1549" s="146" t="s">
        <v>100</v>
      </c>
      <c r="H1549" s="242" t="s">
        <v>8789</v>
      </c>
      <c r="I1549" s="242"/>
      <c r="J1549" s="5" t="s">
        <v>6516</v>
      </c>
      <c r="K1549" s="13"/>
      <c r="L1549" s="5" t="s">
        <v>9182</v>
      </c>
      <c r="M1549" s="12" t="s">
        <v>9183</v>
      </c>
      <c r="N1549" s="246">
        <f>30000-3816.09-2227</f>
        <v>23956.91</v>
      </c>
      <c r="O1549" s="4" t="s">
        <v>15</v>
      </c>
      <c r="P1549" s="45">
        <f>1798+3947.03+(1746+582)+1337+290.35+302.62+336.82+401+(404.21+305.62)+1933.32+104.76+2012.84+567.78+967.27+133.29+222.88+(69.64+147.07+189.76)+195+(115.58+4.83)+(101.12+135.01+101.52+101.52+101.91+132.88+6.2)+127.88+217.25+117.33+562.11+1366</f>
        <v>21185.400000000009</v>
      </c>
      <c r="Q1549" s="3">
        <f>IF(P1549="en cours",N1549,IF(P1549="OK",0,IF(N1549-P1549&lt;0,0,N1549-P1549)))</f>
        <v>2771.5099999999911</v>
      </c>
      <c r="R1549" s="3">
        <f t="shared" si="162"/>
        <v>21185.400000000009</v>
      </c>
    </row>
    <row r="1550" spans="2:19" hidden="1" x14ac:dyDescent="0.25">
      <c r="C1550" s="4" t="s">
        <v>2461</v>
      </c>
      <c r="D1550"/>
      <c r="E1550" s="5" t="s">
        <v>75</v>
      </c>
      <c r="G1550" s="146" t="s">
        <v>100</v>
      </c>
      <c r="H1550" s="242" t="s">
        <v>4258</v>
      </c>
      <c r="I1550" s="242"/>
      <c r="J1550" s="70" t="s">
        <v>8616</v>
      </c>
      <c r="K1550" s="13"/>
      <c r="L1550" t="s">
        <v>8617</v>
      </c>
      <c r="M1550" s="12">
        <v>45124</v>
      </c>
      <c r="N1550" s="348">
        <v>3300</v>
      </c>
      <c r="O1550" s="4" t="s">
        <v>15</v>
      </c>
      <c r="P1550" s="4">
        <f>898.82</f>
        <v>898.82</v>
      </c>
      <c r="Q1550" s="3">
        <f>IF(P1550="en cours",N1550,IF(P1550="OK",0,IF(N1550-P1550&lt;0,0,N1550-P1550)))</f>
        <v>2401.1799999999998</v>
      </c>
      <c r="R1550" s="3">
        <f t="shared" si="162"/>
        <v>898.82</v>
      </c>
    </row>
    <row r="1551" spans="2:19" hidden="1" x14ac:dyDescent="0.25">
      <c r="C1551" s="4" t="s">
        <v>2461</v>
      </c>
      <c r="D1551"/>
      <c r="E1551" s="5" t="s">
        <v>75</v>
      </c>
      <c r="G1551" s="146" t="s">
        <v>100</v>
      </c>
      <c r="H1551" s="242" t="s">
        <v>4258</v>
      </c>
      <c r="I1551" s="242"/>
      <c r="J1551" s="70" t="s">
        <v>1860</v>
      </c>
      <c r="K1551" s="13" t="s">
        <v>1867</v>
      </c>
      <c r="L1551" s="5" t="s">
        <v>4373</v>
      </c>
      <c r="M1551" s="12" t="s">
        <v>4374</v>
      </c>
      <c r="N1551" s="348">
        <v>2700</v>
      </c>
      <c r="O1551" s="4" t="s">
        <v>15</v>
      </c>
      <c r="P1551" s="45">
        <f>1918.62+44.81+104+124.27+56</f>
        <v>2247.6999999999998</v>
      </c>
      <c r="Q1551" s="3">
        <f>IF(P1551="en cours",N1551,IF(P1551="OK",0,IF(N1551-P1551&lt;0,0,N1551-P1551)))</f>
        <v>452.30000000000018</v>
      </c>
      <c r="R1551" s="3">
        <f t="shared" si="162"/>
        <v>2247.6999999999998</v>
      </c>
    </row>
    <row r="1552" spans="2:19" hidden="1" x14ac:dyDescent="0.25">
      <c r="B1552" s="21" t="s">
        <v>395</v>
      </c>
      <c r="C1552" s="22" t="s">
        <v>2461</v>
      </c>
      <c r="D1552" s="22"/>
      <c r="E1552" s="21" t="s">
        <v>75</v>
      </c>
      <c r="F1552" s="21"/>
      <c r="G1552" s="147" t="s">
        <v>100</v>
      </c>
      <c r="H1552" s="23" t="s">
        <v>5685</v>
      </c>
      <c r="I1552" s="23"/>
      <c r="J1552" s="21" t="s">
        <v>2579</v>
      </c>
      <c r="K1552" s="120"/>
      <c r="L1552" s="21" t="s">
        <v>6604</v>
      </c>
      <c r="M1552" s="26">
        <v>44638</v>
      </c>
      <c r="N1552" s="99">
        <f>9079.14+3475</f>
        <v>12554.14</v>
      </c>
      <c r="O1552" s="22" t="s">
        <v>15</v>
      </c>
      <c r="P1552" s="114">
        <f>9079.14+2505.6</f>
        <v>11584.74</v>
      </c>
      <c r="Q1552" s="24">
        <v>0</v>
      </c>
      <c r="R1552" s="24">
        <f t="shared" si="162"/>
        <v>11584.74</v>
      </c>
      <c r="S1552" t="s">
        <v>2581</v>
      </c>
    </row>
    <row r="1553" spans="2:19" hidden="1" x14ac:dyDescent="0.25">
      <c r="C1553" s="4" t="s">
        <v>2461</v>
      </c>
      <c r="E1553" s="5" t="s">
        <v>75</v>
      </c>
      <c r="G1553" s="146" t="s">
        <v>100</v>
      </c>
      <c r="H1553" s="7" t="s">
        <v>6827</v>
      </c>
      <c r="I1553" s="7" t="s">
        <v>7887</v>
      </c>
      <c r="J1553" s="217" t="s">
        <v>1859</v>
      </c>
      <c r="K1553" s="13"/>
      <c r="L1553" s="5" t="s">
        <v>7180</v>
      </c>
      <c r="M1553" s="12">
        <v>44837</v>
      </c>
      <c r="N1553" s="163">
        <v>2700</v>
      </c>
      <c r="O1553" s="4" t="s">
        <v>15</v>
      </c>
      <c r="P1553" s="4">
        <f>(349.59+349.59+314.83+614.83)</f>
        <v>1628.8400000000001</v>
      </c>
      <c r="Q1553" s="45">
        <f t="shared" ref="Q1553:Q1585" si="163">IF(P1553="en cours",N1553,IF(P1553="OK",0,IF(N1553-P1553&lt;0,0,N1553-P1553)))</f>
        <v>1071.1599999999999</v>
      </c>
      <c r="R1553" s="3">
        <f t="shared" si="162"/>
        <v>1628.8400000000001</v>
      </c>
    </row>
    <row r="1554" spans="2:19" hidden="1" x14ac:dyDescent="0.25">
      <c r="B1554" s="21" t="s">
        <v>395</v>
      </c>
      <c r="C1554" s="22" t="s">
        <v>2461</v>
      </c>
      <c r="D1554" s="165"/>
      <c r="E1554" s="21" t="s">
        <v>75</v>
      </c>
      <c r="F1554" s="21"/>
      <c r="G1554" s="147" t="s">
        <v>100</v>
      </c>
      <c r="H1554" s="244" t="s">
        <v>4255</v>
      </c>
      <c r="I1554" s="244"/>
      <c r="J1554" s="245" t="s">
        <v>5674</v>
      </c>
      <c r="K1554" s="120"/>
      <c r="L1554" s="164" t="s">
        <v>4260</v>
      </c>
      <c r="M1554" s="26">
        <v>44186</v>
      </c>
      <c r="N1554" s="247">
        <v>41493</v>
      </c>
      <c r="O1554" s="22" t="s">
        <v>15</v>
      </c>
      <c r="P1554" s="44" t="s">
        <v>19</v>
      </c>
      <c r="Q1554" s="24">
        <f t="shared" si="163"/>
        <v>0</v>
      </c>
      <c r="R1554" s="24">
        <f t="shared" si="162"/>
        <v>41493</v>
      </c>
    </row>
    <row r="1555" spans="2:19" hidden="1" x14ac:dyDescent="0.25">
      <c r="B1555" s="21" t="s">
        <v>395</v>
      </c>
      <c r="C1555" s="22" t="s">
        <v>2461</v>
      </c>
      <c r="D1555" s="165"/>
      <c r="E1555" s="21" t="s">
        <v>75</v>
      </c>
      <c r="F1555" s="21"/>
      <c r="G1555" s="147" t="s">
        <v>100</v>
      </c>
      <c r="H1555" s="23" t="s">
        <v>5669</v>
      </c>
      <c r="I1555" s="23"/>
      <c r="J1555" s="21" t="s">
        <v>1864</v>
      </c>
      <c r="K1555" s="120"/>
      <c r="L1555" s="164" t="s">
        <v>8460</v>
      </c>
      <c r="M1555" s="26">
        <v>45084</v>
      </c>
      <c r="N1555" s="279">
        <v>11360</v>
      </c>
      <c r="O1555" s="22" t="s">
        <v>15</v>
      </c>
      <c r="P1555" s="44">
        <v>11360</v>
      </c>
      <c r="Q1555" s="24">
        <f t="shared" si="163"/>
        <v>0</v>
      </c>
      <c r="R1555" s="24">
        <f t="shared" si="162"/>
        <v>11360</v>
      </c>
    </row>
    <row r="1556" spans="2:19" hidden="1" x14ac:dyDescent="0.25">
      <c r="B1556" s="21" t="s">
        <v>395</v>
      </c>
      <c r="C1556" s="22" t="s">
        <v>2461</v>
      </c>
      <c r="D1556" s="165"/>
      <c r="E1556" s="21" t="s">
        <v>75</v>
      </c>
      <c r="F1556" s="21"/>
      <c r="G1556" s="147" t="s">
        <v>100</v>
      </c>
      <c r="H1556" s="23" t="s">
        <v>6826</v>
      </c>
      <c r="I1556" s="23" t="s">
        <v>7887</v>
      </c>
      <c r="J1556" s="176" t="s">
        <v>6825</v>
      </c>
      <c r="K1556" s="327"/>
      <c r="L1556" s="164" t="s">
        <v>6836</v>
      </c>
      <c r="M1556" s="26">
        <v>44727</v>
      </c>
      <c r="N1556" s="204">
        <v>25505</v>
      </c>
      <c r="O1556" s="22" t="s">
        <v>15</v>
      </c>
      <c r="P1556" s="44">
        <v>25505</v>
      </c>
      <c r="Q1556" s="24">
        <f t="shared" si="163"/>
        <v>0</v>
      </c>
      <c r="R1556" s="24">
        <f t="shared" si="162"/>
        <v>25505</v>
      </c>
    </row>
    <row r="1557" spans="2:19" hidden="1" x14ac:dyDescent="0.25">
      <c r="B1557" s="21" t="s">
        <v>395</v>
      </c>
      <c r="C1557" s="22" t="s">
        <v>2461</v>
      </c>
      <c r="D1557" s="165"/>
      <c r="E1557" s="21" t="s">
        <v>75</v>
      </c>
      <c r="F1557" s="21"/>
      <c r="G1557" s="147" t="s">
        <v>100</v>
      </c>
      <c r="H1557" s="23" t="s">
        <v>6409</v>
      </c>
      <c r="I1557" s="23"/>
      <c r="J1557" s="274" t="s">
        <v>6410</v>
      </c>
      <c r="K1557" s="327"/>
      <c r="L1557" s="164" t="s">
        <v>6446</v>
      </c>
      <c r="M1557" s="26">
        <v>44599</v>
      </c>
      <c r="N1557" s="279">
        <v>59272</v>
      </c>
      <c r="O1557" s="22" t="s">
        <v>15</v>
      </c>
      <c r="P1557" s="44">
        <v>59272</v>
      </c>
      <c r="Q1557" s="24">
        <f t="shared" si="163"/>
        <v>0</v>
      </c>
      <c r="R1557" s="24">
        <f t="shared" si="162"/>
        <v>59272</v>
      </c>
    </row>
    <row r="1558" spans="2:19" hidden="1" x14ac:dyDescent="0.25">
      <c r="B1558" s="21" t="s">
        <v>395</v>
      </c>
      <c r="C1558" s="22" t="s">
        <v>1940</v>
      </c>
      <c r="D1558" s="22"/>
      <c r="E1558" s="21" t="s">
        <v>75</v>
      </c>
      <c r="F1558" s="21"/>
      <c r="G1558" s="147" t="s">
        <v>100</v>
      </c>
      <c r="H1558" s="23" t="s">
        <v>1631</v>
      </c>
      <c r="I1558" s="23" t="s">
        <v>7838</v>
      </c>
      <c r="J1558" s="21" t="s">
        <v>1270</v>
      </c>
      <c r="K1558" s="21"/>
      <c r="L1558" s="21"/>
      <c r="M1558" s="26" t="s">
        <v>1269</v>
      </c>
      <c r="N1558" s="44">
        <v>0</v>
      </c>
      <c r="O1558" s="22" t="s">
        <v>15</v>
      </c>
      <c r="P1558" s="22" t="s">
        <v>19</v>
      </c>
      <c r="Q1558" s="44">
        <f t="shared" si="163"/>
        <v>0</v>
      </c>
      <c r="R1558" s="24">
        <f t="shared" si="162"/>
        <v>0</v>
      </c>
      <c r="S1558"/>
    </row>
    <row r="1559" spans="2:19" hidden="1" x14ac:dyDescent="0.25">
      <c r="B1559" s="21" t="s">
        <v>395</v>
      </c>
      <c r="C1559" s="22" t="s">
        <v>1940</v>
      </c>
      <c r="D1559" s="22"/>
      <c r="E1559" s="21" t="s">
        <v>75</v>
      </c>
      <c r="F1559" s="21"/>
      <c r="G1559" s="147" t="s">
        <v>100</v>
      </c>
      <c r="H1559" s="23" t="s">
        <v>1631</v>
      </c>
      <c r="I1559" s="23" t="s">
        <v>7838</v>
      </c>
      <c r="J1559" s="21" t="s">
        <v>1237</v>
      </c>
      <c r="K1559" s="21"/>
      <c r="L1559" s="21"/>
      <c r="M1559" s="26" t="s">
        <v>1574</v>
      </c>
      <c r="N1559" s="44">
        <v>0</v>
      </c>
      <c r="O1559" s="22" t="s">
        <v>15</v>
      </c>
      <c r="P1559" s="22" t="s">
        <v>19</v>
      </c>
      <c r="Q1559" s="44">
        <f t="shared" si="163"/>
        <v>0</v>
      </c>
      <c r="R1559" s="24">
        <f t="shared" si="162"/>
        <v>0</v>
      </c>
    </row>
    <row r="1560" spans="2:19" hidden="1" x14ac:dyDescent="0.25">
      <c r="B1560" s="21" t="s">
        <v>395</v>
      </c>
      <c r="C1560" s="22" t="s">
        <v>1940</v>
      </c>
      <c r="D1560" s="22"/>
      <c r="E1560" s="21" t="s">
        <v>75</v>
      </c>
      <c r="F1560" s="21"/>
      <c r="G1560" s="147" t="s">
        <v>100</v>
      </c>
      <c r="H1560" s="23" t="s">
        <v>1631</v>
      </c>
      <c r="I1560" s="23" t="s">
        <v>7838</v>
      </c>
      <c r="J1560" s="21" t="s">
        <v>235</v>
      </c>
      <c r="K1560" s="21"/>
      <c r="L1560" s="21"/>
      <c r="M1560" s="26" t="s">
        <v>1574</v>
      </c>
      <c r="N1560" s="44">
        <v>0</v>
      </c>
      <c r="O1560" s="22" t="s">
        <v>15</v>
      </c>
      <c r="P1560" s="22" t="s">
        <v>19</v>
      </c>
      <c r="Q1560" s="44">
        <f t="shared" si="163"/>
        <v>0</v>
      </c>
      <c r="R1560" s="24">
        <f t="shared" si="162"/>
        <v>0</v>
      </c>
    </row>
    <row r="1561" spans="2:19" hidden="1" x14ac:dyDescent="0.25">
      <c r="B1561" s="21" t="s">
        <v>395</v>
      </c>
      <c r="C1561" s="22" t="s">
        <v>1940</v>
      </c>
      <c r="D1561" s="22"/>
      <c r="E1561" s="21" t="s">
        <v>75</v>
      </c>
      <c r="F1561" s="21"/>
      <c r="G1561" s="147" t="s">
        <v>100</v>
      </c>
      <c r="H1561" s="23" t="s">
        <v>1631</v>
      </c>
      <c r="I1561" s="23" t="s">
        <v>7838</v>
      </c>
      <c r="J1561" s="21" t="s">
        <v>1528</v>
      </c>
      <c r="K1561" s="21"/>
      <c r="L1561" s="21"/>
      <c r="M1561" s="26" t="s">
        <v>1529</v>
      </c>
      <c r="N1561" s="44">
        <v>0</v>
      </c>
      <c r="O1561" s="22" t="s">
        <v>15</v>
      </c>
      <c r="P1561" s="22" t="s">
        <v>19</v>
      </c>
      <c r="Q1561" s="44">
        <f t="shared" si="163"/>
        <v>0</v>
      </c>
      <c r="R1561" s="24">
        <f t="shared" si="162"/>
        <v>0</v>
      </c>
    </row>
    <row r="1562" spans="2:19" hidden="1" x14ac:dyDescent="0.25">
      <c r="B1562" s="21" t="s">
        <v>395</v>
      </c>
      <c r="C1562" s="22" t="s">
        <v>1940</v>
      </c>
      <c r="D1562" s="22"/>
      <c r="E1562" s="21" t="s">
        <v>75</v>
      </c>
      <c r="F1562" s="21"/>
      <c r="G1562" s="147" t="s">
        <v>100</v>
      </c>
      <c r="H1562" s="23" t="s">
        <v>1633</v>
      </c>
      <c r="I1562" s="23"/>
      <c r="J1562" s="21" t="s">
        <v>1236</v>
      </c>
      <c r="K1562" s="21"/>
      <c r="L1562" s="21"/>
      <c r="M1562" s="26" t="s">
        <v>1574</v>
      </c>
      <c r="N1562" s="44">
        <v>0</v>
      </c>
      <c r="O1562" s="22" t="s">
        <v>15</v>
      </c>
      <c r="P1562" s="22" t="s">
        <v>19</v>
      </c>
      <c r="Q1562" s="44">
        <f t="shared" si="163"/>
        <v>0</v>
      </c>
      <c r="R1562" s="24">
        <f t="shared" si="162"/>
        <v>0</v>
      </c>
    </row>
    <row r="1563" spans="2:19" hidden="1" x14ac:dyDescent="0.25">
      <c r="B1563" s="21" t="s">
        <v>395</v>
      </c>
      <c r="C1563" s="22" t="s">
        <v>1940</v>
      </c>
      <c r="D1563" s="22"/>
      <c r="E1563" s="21" t="s">
        <v>75</v>
      </c>
      <c r="F1563" s="21"/>
      <c r="G1563" s="147" t="s">
        <v>100</v>
      </c>
      <c r="H1563" s="23" t="s">
        <v>1632</v>
      </c>
      <c r="I1563" s="23"/>
      <c r="J1563" s="21" t="s">
        <v>1225</v>
      </c>
      <c r="K1563" s="21"/>
      <c r="L1563" s="21"/>
      <c r="M1563" s="26" t="s">
        <v>1574</v>
      </c>
      <c r="N1563" s="44">
        <v>0</v>
      </c>
      <c r="O1563" s="22" t="s">
        <v>15</v>
      </c>
      <c r="P1563" s="22" t="s">
        <v>19</v>
      </c>
      <c r="Q1563" s="44">
        <f t="shared" si="163"/>
        <v>0</v>
      </c>
      <c r="R1563" s="24">
        <f t="shared" si="162"/>
        <v>0</v>
      </c>
      <c r="S1563"/>
    </row>
    <row r="1564" spans="2:19" hidden="1" x14ac:dyDescent="0.25">
      <c r="B1564" s="21" t="s">
        <v>395</v>
      </c>
      <c r="C1564" s="22" t="s">
        <v>1940</v>
      </c>
      <c r="D1564" s="22"/>
      <c r="E1564" s="21" t="s">
        <v>75</v>
      </c>
      <c r="F1564" s="21"/>
      <c r="G1564" s="147" t="s">
        <v>100</v>
      </c>
      <c r="H1564" s="23" t="s">
        <v>1632</v>
      </c>
      <c r="I1564" s="23"/>
      <c r="J1564" s="21" t="s">
        <v>1226</v>
      </c>
      <c r="K1564" s="21"/>
      <c r="L1564" s="21"/>
      <c r="M1564" s="26" t="s">
        <v>1574</v>
      </c>
      <c r="N1564" s="44">
        <v>0</v>
      </c>
      <c r="O1564" s="22" t="s">
        <v>15</v>
      </c>
      <c r="P1564" s="22" t="s">
        <v>19</v>
      </c>
      <c r="Q1564" s="44">
        <f t="shared" si="163"/>
        <v>0</v>
      </c>
      <c r="R1564" s="24">
        <f t="shared" si="162"/>
        <v>0</v>
      </c>
      <c r="S1564"/>
    </row>
    <row r="1565" spans="2:19" hidden="1" x14ac:dyDescent="0.25">
      <c r="B1565" s="21" t="s">
        <v>395</v>
      </c>
      <c r="C1565" s="22" t="s">
        <v>1940</v>
      </c>
      <c r="D1565" s="22"/>
      <c r="E1565" s="21" t="s">
        <v>75</v>
      </c>
      <c r="F1565" s="21"/>
      <c r="G1565" s="147" t="s">
        <v>100</v>
      </c>
      <c r="H1565" s="23" t="s">
        <v>1632</v>
      </c>
      <c r="I1565" s="23"/>
      <c r="J1565" s="21" t="s">
        <v>1227</v>
      </c>
      <c r="K1565" s="21"/>
      <c r="L1565" s="21"/>
      <c r="M1565" s="26" t="s">
        <v>1574</v>
      </c>
      <c r="N1565" s="44">
        <v>0</v>
      </c>
      <c r="O1565" s="22" t="s">
        <v>15</v>
      </c>
      <c r="P1565" s="22" t="s">
        <v>19</v>
      </c>
      <c r="Q1565" s="44">
        <f t="shared" si="163"/>
        <v>0</v>
      </c>
      <c r="R1565" s="24">
        <f t="shared" si="162"/>
        <v>0</v>
      </c>
      <c r="S1565"/>
    </row>
    <row r="1566" spans="2:19" hidden="1" x14ac:dyDescent="0.25">
      <c r="B1566" s="21" t="s">
        <v>395</v>
      </c>
      <c r="C1566" s="22" t="s">
        <v>1940</v>
      </c>
      <c r="D1566" s="22"/>
      <c r="E1566" s="21" t="s">
        <v>75</v>
      </c>
      <c r="F1566" s="21"/>
      <c r="G1566" s="147" t="s">
        <v>100</v>
      </c>
      <c r="H1566" s="23" t="s">
        <v>1632</v>
      </c>
      <c r="I1566" s="23"/>
      <c r="J1566" s="21" t="s">
        <v>1228</v>
      </c>
      <c r="K1566" s="21"/>
      <c r="L1566" s="21"/>
      <c r="M1566" s="26" t="s">
        <v>1574</v>
      </c>
      <c r="N1566" s="44">
        <v>0</v>
      </c>
      <c r="O1566" s="22" t="s">
        <v>15</v>
      </c>
      <c r="P1566" s="22" t="s">
        <v>19</v>
      </c>
      <c r="Q1566" s="44">
        <f t="shared" si="163"/>
        <v>0</v>
      </c>
      <c r="R1566" s="24">
        <f t="shared" si="162"/>
        <v>0</v>
      </c>
      <c r="S1566"/>
    </row>
    <row r="1567" spans="2:19" hidden="1" x14ac:dyDescent="0.25">
      <c r="B1567" s="21" t="s">
        <v>395</v>
      </c>
      <c r="C1567" s="22" t="s">
        <v>1940</v>
      </c>
      <c r="D1567" s="22"/>
      <c r="E1567" s="21" t="s">
        <v>75</v>
      </c>
      <c r="F1567" s="21"/>
      <c r="G1567" s="147" t="s">
        <v>100</v>
      </c>
      <c r="H1567" s="23" t="s">
        <v>1632</v>
      </c>
      <c r="I1567" s="23"/>
      <c r="J1567" s="21" t="s">
        <v>1229</v>
      </c>
      <c r="K1567" s="21"/>
      <c r="L1567" s="21"/>
      <c r="M1567" s="26" t="s">
        <v>1574</v>
      </c>
      <c r="N1567" s="44">
        <v>0</v>
      </c>
      <c r="O1567" s="22" t="s">
        <v>15</v>
      </c>
      <c r="P1567" s="22" t="s">
        <v>19</v>
      </c>
      <c r="Q1567" s="44">
        <f t="shared" si="163"/>
        <v>0</v>
      </c>
      <c r="R1567" s="24">
        <f t="shared" si="162"/>
        <v>0</v>
      </c>
      <c r="S1567"/>
    </row>
    <row r="1568" spans="2:19" hidden="1" x14ac:dyDescent="0.25">
      <c r="B1568" s="21" t="s">
        <v>395</v>
      </c>
      <c r="C1568" s="22" t="s">
        <v>1940</v>
      </c>
      <c r="D1568" s="22"/>
      <c r="E1568" s="21" t="s">
        <v>75</v>
      </c>
      <c r="F1568" s="21"/>
      <c r="G1568" s="147" t="s">
        <v>100</v>
      </c>
      <c r="H1568" s="23" t="s">
        <v>1632</v>
      </c>
      <c r="I1568" s="23"/>
      <c r="J1568" s="21" t="s">
        <v>1230</v>
      </c>
      <c r="K1568" s="21"/>
      <c r="L1568" s="21"/>
      <c r="M1568" s="26" t="s">
        <v>1574</v>
      </c>
      <c r="N1568" s="44">
        <v>0</v>
      </c>
      <c r="O1568" s="22" t="s">
        <v>15</v>
      </c>
      <c r="P1568" s="22" t="s">
        <v>19</v>
      </c>
      <c r="Q1568" s="44">
        <f t="shared" si="163"/>
        <v>0</v>
      </c>
      <c r="R1568" s="24">
        <f t="shared" si="162"/>
        <v>0</v>
      </c>
      <c r="S1568"/>
    </row>
    <row r="1569" spans="2:19" hidden="1" x14ac:dyDescent="0.25">
      <c r="B1569" s="21" t="s">
        <v>395</v>
      </c>
      <c r="C1569" s="22" t="s">
        <v>1940</v>
      </c>
      <c r="D1569" s="22"/>
      <c r="E1569" s="21" t="s">
        <v>75</v>
      </c>
      <c r="F1569" s="21"/>
      <c r="G1569" s="147" t="s">
        <v>100</v>
      </c>
      <c r="H1569" s="23" t="s">
        <v>1632</v>
      </c>
      <c r="I1569" s="23"/>
      <c r="J1569" s="21" t="s">
        <v>1231</v>
      </c>
      <c r="K1569" s="21"/>
      <c r="L1569" s="21"/>
      <c r="M1569" s="26" t="s">
        <v>1574</v>
      </c>
      <c r="N1569" s="44">
        <v>0</v>
      </c>
      <c r="O1569" s="22" t="s">
        <v>15</v>
      </c>
      <c r="P1569" s="22" t="s">
        <v>19</v>
      </c>
      <c r="Q1569" s="44">
        <f t="shared" si="163"/>
        <v>0</v>
      </c>
      <c r="R1569" s="24">
        <f t="shared" si="162"/>
        <v>0</v>
      </c>
      <c r="S1569"/>
    </row>
    <row r="1570" spans="2:19" hidden="1" x14ac:dyDescent="0.25">
      <c r="B1570" s="21" t="s">
        <v>395</v>
      </c>
      <c r="C1570" s="22" t="s">
        <v>1940</v>
      </c>
      <c r="D1570" s="22"/>
      <c r="E1570" s="21" t="s">
        <v>75</v>
      </c>
      <c r="F1570" s="21"/>
      <c r="G1570" s="147" t="s">
        <v>100</v>
      </c>
      <c r="H1570" s="23" t="s">
        <v>1632</v>
      </c>
      <c r="I1570" s="23"/>
      <c r="J1570" s="21" t="s">
        <v>1232</v>
      </c>
      <c r="K1570" s="21"/>
      <c r="L1570" s="21"/>
      <c r="M1570" s="26" t="s">
        <v>1574</v>
      </c>
      <c r="N1570" s="44">
        <v>0</v>
      </c>
      <c r="O1570" s="22" t="s">
        <v>15</v>
      </c>
      <c r="P1570" s="22" t="s">
        <v>19</v>
      </c>
      <c r="Q1570" s="44">
        <f t="shared" si="163"/>
        <v>0</v>
      </c>
      <c r="R1570" s="24">
        <f t="shared" si="162"/>
        <v>0</v>
      </c>
      <c r="S1570"/>
    </row>
    <row r="1571" spans="2:19" hidden="1" x14ac:dyDescent="0.25">
      <c r="B1571" s="21" t="s">
        <v>395</v>
      </c>
      <c r="C1571" s="22" t="s">
        <v>1940</v>
      </c>
      <c r="D1571" s="22"/>
      <c r="E1571" s="21" t="s">
        <v>75</v>
      </c>
      <c r="F1571" s="21"/>
      <c r="G1571" s="147" t="s">
        <v>100</v>
      </c>
      <c r="H1571" s="23" t="s">
        <v>1632</v>
      </c>
      <c r="I1571" s="23"/>
      <c r="J1571" s="21" t="s">
        <v>1233</v>
      </c>
      <c r="K1571" s="21"/>
      <c r="L1571" s="21"/>
      <c r="M1571" s="26" t="s">
        <v>1574</v>
      </c>
      <c r="N1571" s="44">
        <v>0</v>
      </c>
      <c r="O1571" s="22" t="s">
        <v>15</v>
      </c>
      <c r="P1571" s="22" t="s">
        <v>19</v>
      </c>
      <c r="Q1571" s="44">
        <f t="shared" si="163"/>
        <v>0</v>
      </c>
      <c r="R1571" s="24">
        <f t="shared" si="162"/>
        <v>0</v>
      </c>
    </row>
    <row r="1572" spans="2:19" hidden="1" x14ac:dyDescent="0.25">
      <c r="B1572" s="21" t="s">
        <v>395</v>
      </c>
      <c r="C1572" s="22" t="s">
        <v>1940</v>
      </c>
      <c r="D1572" s="22"/>
      <c r="E1572" s="21" t="s">
        <v>75</v>
      </c>
      <c r="F1572" s="21"/>
      <c r="G1572" s="147" t="s">
        <v>100</v>
      </c>
      <c r="H1572" s="23" t="s">
        <v>1632</v>
      </c>
      <c r="I1572" s="23"/>
      <c r="J1572" s="21" t="s">
        <v>1234</v>
      </c>
      <c r="K1572" s="21"/>
      <c r="L1572" s="21"/>
      <c r="M1572" s="26" t="s">
        <v>1574</v>
      </c>
      <c r="N1572" s="44">
        <v>0</v>
      </c>
      <c r="O1572" s="22" t="s">
        <v>15</v>
      </c>
      <c r="P1572" s="22" t="s">
        <v>19</v>
      </c>
      <c r="Q1572" s="44">
        <f t="shared" si="163"/>
        <v>0</v>
      </c>
      <c r="R1572" s="24">
        <f t="shared" si="162"/>
        <v>0</v>
      </c>
    </row>
    <row r="1573" spans="2:19" hidden="1" x14ac:dyDescent="0.25">
      <c r="B1573" s="21" t="s">
        <v>395</v>
      </c>
      <c r="C1573" s="22" t="s">
        <v>1940</v>
      </c>
      <c r="D1573" s="22"/>
      <c r="E1573" s="21" t="s">
        <v>75</v>
      </c>
      <c r="F1573" s="21"/>
      <c r="G1573" s="147" t="s">
        <v>100</v>
      </c>
      <c r="H1573" s="23" t="s">
        <v>1632</v>
      </c>
      <c r="I1573" s="23"/>
      <c r="J1573" s="21" t="s">
        <v>1235</v>
      </c>
      <c r="K1573" s="21"/>
      <c r="L1573" s="21"/>
      <c r="M1573" s="26" t="s">
        <v>1574</v>
      </c>
      <c r="N1573" s="44">
        <v>0</v>
      </c>
      <c r="O1573" s="22" t="s">
        <v>15</v>
      </c>
      <c r="P1573" s="22" t="s">
        <v>19</v>
      </c>
      <c r="Q1573" s="44">
        <f t="shared" si="163"/>
        <v>0</v>
      </c>
      <c r="R1573" s="24">
        <f t="shared" si="162"/>
        <v>0</v>
      </c>
    </row>
    <row r="1574" spans="2:19" hidden="1" x14ac:dyDescent="0.25">
      <c r="B1574" s="21" t="s">
        <v>395</v>
      </c>
      <c r="C1574" s="22" t="s">
        <v>1940</v>
      </c>
      <c r="D1574" s="22"/>
      <c r="E1574" s="21" t="s">
        <v>75</v>
      </c>
      <c r="F1574" s="21"/>
      <c r="G1574" s="147" t="s">
        <v>100</v>
      </c>
      <c r="H1574" s="23" t="s">
        <v>1632</v>
      </c>
      <c r="I1574" s="23"/>
      <c r="J1574" s="21" t="s">
        <v>180</v>
      </c>
      <c r="K1574" s="21"/>
      <c r="L1574" s="21"/>
      <c r="M1574" s="26" t="s">
        <v>1574</v>
      </c>
      <c r="N1574" s="44">
        <v>0</v>
      </c>
      <c r="O1574" s="22" t="s">
        <v>15</v>
      </c>
      <c r="P1574" s="22" t="s">
        <v>19</v>
      </c>
      <c r="Q1574" s="44">
        <f t="shared" si="163"/>
        <v>0</v>
      </c>
      <c r="R1574" s="24">
        <f t="shared" si="162"/>
        <v>0</v>
      </c>
      <c r="S1574" s="5" t="s">
        <v>5298</v>
      </c>
    </row>
    <row r="1575" spans="2:19" hidden="1" x14ac:dyDescent="0.25">
      <c r="B1575" s="21" t="s">
        <v>395</v>
      </c>
      <c r="C1575" s="22" t="s">
        <v>2456</v>
      </c>
      <c r="D1575" s="22"/>
      <c r="E1575" s="21" t="s">
        <v>75</v>
      </c>
      <c r="F1575" s="21"/>
      <c r="G1575" s="147" t="s">
        <v>100</v>
      </c>
      <c r="H1575" s="23" t="s">
        <v>206</v>
      </c>
      <c r="I1575" s="23"/>
      <c r="J1575" s="21" t="s">
        <v>616</v>
      </c>
      <c r="K1575" s="21"/>
      <c r="L1575" s="21"/>
      <c r="M1575" s="26">
        <v>42866</v>
      </c>
      <c r="N1575" s="44">
        <v>0</v>
      </c>
      <c r="O1575" s="22" t="s">
        <v>15</v>
      </c>
      <c r="P1575" s="22" t="s">
        <v>19</v>
      </c>
      <c r="Q1575" s="24">
        <f t="shared" si="163"/>
        <v>0</v>
      </c>
      <c r="R1575" s="24">
        <f t="shared" si="162"/>
        <v>0</v>
      </c>
    </row>
    <row r="1576" spans="2:19" hidden="1" x14ac:dyDescent="0.25">
      <c r="B1576" s="21" t="s">
        <v>395</v>
      </c>
      <c r="C1576" s="22" t="s">
        <v>2456</v>
      </c>
      <c r="D1576" s="22"/>
      <c r="E1576" s="21" t="s">
        <v>75</v>
      </c>
      <c r="F1576" s="21"/>
      <c r="G1576" s="147" t="s">
        <v>100</v>
      </c>
      <c r="H1576" s="23" t="s">
        <v>206</v>
      </c>
      <c r="I1576" s="23"/>
      <c r="J1576" s="21" t="s">
        <v>532</v>
      </c>
      <c r="K1576" s="21"/>
      <c r="L1576" s="21"/>
      <c r="M1576" s="26">
        <v>42979</v>
      </c>
      <c r="N1576" s="44">
        <v>31563</v>
      </c>
      <c r="O1576" s="22" t="s">
        <v>15</v>
      </c>
      <c r="P1576" s="22" t="s">
        <v>19</v>
      </c>
      <c r="Q1576" s="24">
        <f t="shared" si="163"/>
        <v>0</v>
      </c>
      <c r="R1576" s="24">
        <f t="shared" si="162"/>
        <v>31563</v>
      </c>
    </row>
    <row r="1577" spans="2:19" hidden="1" x14ac:dyDescent="0.25">
      <c r="B1577" s="21" t="s">
        <v>395</v>
      </c>
      <c r="C1577" s="22" t="s">
        <v>2456</v>
      </c>
      <c r="D1577" s="22"/>
      <c r="E1577" s="21" t="s">
        <v>75</v>
      </c>
      <c r="F1577" s="21"/>
      <c r="G1577" s="147" t="s">
        <v>100</v>
      </c>
      <c r="H1577" s="23" t="s">
        <v>206</v>
      </c>
      <c r="I1577" s="23"/>
      <c r="J1577" s="21" t="s">
        <v>533</v>
      </c>
      <c r="K1577" s="21"/>
      <c r="L1577" s="21"/>
      <c r="M1577" s="26">
        <v>43009</v>
      </c>
      <c r="N1577" s="44">
        <v>31563</v>
      </c>
      <c r="O1577" s="22" t="s">
        <v>15</v>
      </c>
      <c r="P1577" s="22" t="s">
        <v>19</v>
      </c>
      <c r="Q1577" s="24">
        <f t="shared" si="163"/>
        <v>0</v>
      </c>
      <c r="R1577" s="24">
        <f t="shared" si="162"/>
        <v>31563</v>
      </c>
    </row>
    <row r="1578" spans="2:19" hidden="1" x14ac:dyDescent="0.25">
      <c r="B1578" s="21" t="s">
        <v>395</v>
      </c>
      <c r="C1578" s="22" t="s">
        <v>2456</v>
      </c>
      <c r="D1578" s="22"/>
      <c r="E1578" s="21" t="s">
        <v>75</v>
      </c>
      <c r="F1578" s="21"/>
      <c r="G1578" s="147" t="s">
        <v>100</v>
      </c>
      <c r="H1578" s="23" t="s">
        <v>206</v>
      </c>
      <c r="I1578" s="23"/>
      <c r="J1578" s="21" t="s">
        <v>534</v>
      </c>
      <c r="K1578" s="21"/>
      <c r="L1578" s="21"/>
      <c r="M1578" s="26">
        <v>43040</v>
      </c>
      <c r="N1578" s="44">
        <v>52604</v>
      </c>
      <c r="O1578" s="22" t="s">
        <v>15</v>
      </c>
      <c r="P1578" s="22" t="s">
        <v>19</v>
      </c>
      <c r="Q1578" s="24">
        <f t="shared" si="163"/>
        <v>0</v>
      </c>
      <c r="R1578" s="24">
        <f t="shared" si="162"/>
        <v>52604</v>
      </c>
    </row>
    <row r="1579" spans="2:19" hidden="1" x14ac:dyDescent="0.25">
      <c r="B1579" s="21" t="s">
        <v>395</v>
      </c>
      <c r="C1579" s="22" t="s">
        <v>2456</v>
      </c>
      <c r="D1579" s="22"/>
      <c r="E1579" s="21" t="s">
        <v>75</v>
      </c>
      <c r="F1579" s="21"/>
      <c r="G1579" s="147" t="s">
        <v>100</v>
      </c>
      <c r="H1579" s="23" t="s">
        <v>206</v>
      </c>
      <c r="I1579" s="23"/>
      <c r="J1579" s="21" t="s">
        <v>535</v>
      </c>
      <c r="K1579" s="21"/>
      <c r="L1579" s="21"/>
      <c r="M1579" s="26">
        <v>43100</v>
      </c>
      <c r="N1579" s="44">
        <v>31563</v>
      </c>
      <c r="O1579" s="22" t="s">
        <v>15</v>
      </c>
      <c r="P1579" s="22" t="s">
        <v>19</v>
      </c>
      <c r="Q1579" s="24">
        <f t="shared" si="163"/>
        <v>0</v>
      </c>
      <c r="R1579" s="24">
        <f t="shared" si="162"/>
        <v>31563</v>
      </c>
    </row>
    <row r="1580" spans="2:19" hidden="1" x14ac:dyDescent="0.25">
      <c r="B1580" s="21" t="s">
        <v>395</v>
      </c>
      <c r="C1580" s="22" t="s">
        <v>2456</v>
      </c>
      <c r="D1580" s="22"/>
      <c r="E1580" s="21" t="s">
        <v>75</v>
      </c>
      <c r="F1580" s="21"/>
      <c r="G1580" s="147" t="s">
        <v>100</v>
      </c>
      <c r="H1580" s="23" t="s">
        <v>206</v>
      </c>
      <c r="I1580" s="23"/>
      <c r="J1580" s="191" t="s">
        <v>550</v>
      </c>
      <c r="K1580" s="191"/>
      <c r="L1580" s="191"/>
      <c r="M1580" s="449">
        <v>43008</v>
      </c>
      <c r="N1580" s="44">
        <f>315626/16</f>
        <v>19726.625</v>
      </c>
      <c r="O1580" s="22" t="s">
        <v>15</v>
      </c>
      <c r="P1580" s="22" t="s">
        <v>19</v>
      </c>
      <c r="Q1580" s="24">
        <f t="shared" si="163"/>
        <v>0</v>
      </c>
      <c r="R1580" s="24">
        <f t="shared" si="162"/>
        <v>19726.625</v>
      </c>
    </row>
    <row r="1581" spans="2:19" hidden="1" x14ac:dyDescent="0.25">
      <c r="B1581" s="21" t="s">
        <v>395</v>
      </c>
      <c r="C1581" s="22" t="s">
        <v>2456</v>
      </c>
      <c r="D1581" s="22"/>
      <c r="E1581" s="21" t="s">
        <v>75</v>
      </c>
      <c r="F1581" s="21"/>
      <c r="G1581" s="147" t="s">
        <v>100</v>
      </c>
      <c r="H1581" s="23" t="s">
        <v>206</v>
      </c>
      <c r="I1581" s="23"/>
      <c r="J1581" s="191" t="s">
        <v>551</v>
      </c>
      <c r="K1581" s="191"/>
      <c r="L1581" s="191"/>
      <c r="M1581" s="449">
        <v>43039</v>
      </c>
      <c r="N1581" s="44">
        <f>315626/16</f>
        <v>19726.625</v>
      </c>
      <c r="O1581" s="22" t="s">
        <v>15</v>
      </c>
      <c r="P1581" s="22" t="s">
        <v>19</v>
      </c>
      <c r="Q1581" s="24">
        <f t="shared" si="163"/>
        <v>0</v>
      </c>
      <c r="R1581" s="24">
        <f t="shared" si="162"/>
        <v>19726.625</v>
      </c>
    </row>
    <row r="1582" spans="2:19" hidden="1" x14ac:dyDescent="0.25">
      <c r="B1582" s="21" t="s">
        <v>395</v>
      </c>
      <c r="C1582" s="22" t="s">
        <v>2456</v>
      </c>
      <c r="D1582" s="22"/>
      <c r="E1582" s="21" t="s">
        <v>75</v>
      </c>
      <c r="F1582" s="21"/>
      <c r="G1582" s="147" t="s">
        <v>100</v>
      </c>
      <c r="H1582" s="23" t="s">
        <v>206</v>
      </c>
      <c r="I1582" s="23"/>
      <c r="J1582" s="191" t="s">
        <v>552</v>
      </c>
      <c r="K1582" s="191"/>
      <c r="L1582" s="191"/>
      <c r="M1582" s="449">
        <v>43069</v>
      </c>
      <c r="N1582" s="44">
        <f>315626/16</f>
        <v>19726.625</v>
      </c>
      <c r="O1582" s="22" t="s">
        <v>15</v>
      </c>
      <c r="P1582" s="22" t="s">
        <v>19</v>
      </c>
      <c r="Q1582" s="24">
        <f t="shared" si="163"/>
        <v>0</v>
      </c>
      <c r="R1582" s="24">
        <f t="shared" si="162"/>
        <v>19726.625</v>
      </c>
    </row>
    <row r="1583" spans="2:19" hidden="1" x14ac:dyDescent="0.25">
      <c r="B1583" s="21" t="s">
        <v>395</v>
      </c>
      <c r="C1583" s="22" t="s">
        <v>2456</v>
      </c>
      <c r="D1583" s="22"/>
      <c r="E1583" s="21" t="s">
        <v>75</v>
      </c>
      <c r="F1583" s="21"/>
      <c r="G1583" s="147" t="s">
        <v>100</v>
      </c>
      <c r="H1583" s="23" t="s">
        <v>206</v>
      </c>
      <c r="I1583" s="23"/>
      <c r="J1583" s="191" t="s">
        <v>598</v>
      </c>
      <c r="K1583" s="191"/>
      <c r="L1583" s="191"/>
      <c r="M1583" s="449">
        <v>43100</v>
      </c>
      <c r="N1583" s="44">
        <f>315626/16</f>
        <v>19726.625</v>
      </c>
      <c r="O1583" s="22" t="s">
        <v>15</v>
      </c>
      <c r="P1583" s="22" t="s">
        <v>19</v>
      </c>
      <c r="Q1583" s="24">
        <f t="shared" si="163"/>
        <v>0</v>
      </c>
      <c r="R1583" s="24">
        <f t="shared" si="162"/>
        <v>19726.625</v>
      </c>
    </row>
    <row r="1584" spans="2:19" hidden="1" x14ac:dyDescent="0.25">
      <c r="B1584" s="21" t="s">
        <v>395</v>
      </c>
      <c r="C1584" s="22" t="s">
        <v>2456</v>
      </c>
      <c r="D1584" s="22"/>
      <c r="E1584" s="21" t="s">
        <v>75</v>
      </c>
      <c r="F1584" s="21"/>
      <c r="G1584" s="147" t="s">
        <v>100</v>
      </c>
      <c r="H1584" s="23" t="s">
        <v>206</v>
      </c>
      <c r="I1584" s="23"/>
      <c r="J1584" s="21" t="s">
        <v>207</v>
      </c>
      <c r="K1584" s="21"/>
      <c r="L1584" s="21"/>
      <c r="M1584" s="26"/>
      <c r="N1584" s="44"/>
      <c r="O1584" s="22" t="s">
        <v>15</v>
      </c>
      <c r="P1584" s="22" t="s">
        <v>19</v>
      </c>
      <c r="Q1584" s="24">
        <f t="shared" si="163"/>
        <v>0</v>
      </c>
      <c r="R1584" s="24">
        <f t="shared" si="162"/>
        <v>0</v>
      </c>
    </row>
    <row r="1585" spans="2:19" hidden="1" x14ac:dyDescent="0.25">
      <c r="B1585" s="21" t="s">
        <v>395</v>
      </c>
      <c r="C1585" s="22" t="s">
        <v>2456</v>
      </c>
      <c r="D1585" s="22"/>
      <c r="E1585" s="21" t="s">
        <v>75</v>
      </c>
      <c r="F1585" s="21"/>
      <c r="G1585" s="147" t="s">
        <v>100</v>
      </c>
      <c r="H1585" s="23" t="s">
        <v>206</v>
      </c>
      <c r="I1585" s="23"/>
      <c r="J1585" s="21" t="s">
        <v>727</v>
      </c>
      <c r="K1585" s="21"/>
      <c r="L1585" s="21"/>
      <c r="M1585" s="23" t="s">
        <v>4519</v>
      </c>
      <c r="N1585" s="94">
        <v>232000</v>
      </c>
      <c r="O1585" s="22" t="s">
        <v>15</v>
      </c>
      <c r="P1585" s="253">
        <f>14150+1150+2035+34384.79+39664.3+115561.25+10665.7+6975+33767.97+4800+15656.62+40462.66+177.52+4500+1900+9316.34-21231.4+400+1397</f>
        <v>315732.75000000006</v>
      </c>
      <c r="Q1585" s="24">
        <f t="shared" si="163"/>
        <v>0</v>
      </c>
      <c r="R1585" s="24">
        <f t="shared" si="162"/>
        <v>315732.75000000006</v>
      </c>
      <c r="S1585" s="118">
        <f>N1585-P1585</f>
        <v>-83732.750000000058</v>
      </c>
    </row>
    <row r="1586" spans="2:19" hidden="1" x14ac:dyDescent="0.25">
      <c r="B1586" s="21" t="s">
        <v>395</v>
      </c>
      <c r="C1586" s="22" t="s">
        <v>2456</v>
      </c>
      <c r="D1586" s="22"/>
      <c r="E1586" s="21" t="s">
        <v>75</v>
      </c>
      <c r="F1586" s="21"/>
      <c r="G1586" s="147" t="s">
        <v>100</v>
      </c>
      <c r="H1586" s="23" t="s">
        <v>206</v>
      </c>
      <c r="I1586" s="23"/>
      <c r="J1586" s="21" t="s">
        <v>623</v>
      </c>
      <c r="K1586" s="21"/>
      <c r="L1586" s="21"/>
      <c r="M1586" s="23" t="s">
        <v>1089</v>
      </c>
      <c r="N1586" s="94">
        <v>63215</v>
      </c>
      <c r="O1586" s="22" t="s">
        <v>15</v>
      </c>
      <c r="P1586" s="253">
        <f>35271.9+8657.4+14798.22</f>
        <v>58727.520000000004</v>
      </c>
      <c r="Q1586" s="24">
        <v>0</v>
      </c>
      <c r="R1586" s="24">
        <f t="shared" si="162"/>
        <v>58727.520000000004</v>
      </c>
      <c r="S1586" s="118" t="s">
        <v>1804</v>
      </c>
    </row>
    <row r="1587" spans="2:19" hidden="1" x14ac:dyDescent="0.25">
      <c r="B1587" s="21" t="s">
        <v>395</v>
      </c>
      <c r="C1587" s="22" t="s">
        <v>2456</v>
      </c>
      <c r="D1587" s="22"/>
      <c r="E1587" s="21" t="s">
        <v>75</v>
      </c>
      <c r="F1587" s="21"/>
      <c r="G1587" s="147" t="s">
        <v>100</v>
      </c>
      <c r="H1587" s="23" t="s">
        <v>206</v>
      </c>
      <c r="I1587" s="23"/>
      <c r="J1587" s="21" t="s">
        <v>180</v>
      </c>
      <c r="K1587" s="21"/>
      <c r="L1587" s="21"/>
      <c r="M1587" s="23" t="s">
        <v>5743</v>
      </c>
      <c r="N1587" s="94">
        <f>137798+(3000*18)</f>
        <v>191798</v>
      </c>
      <c r="O1587" s="22" t="s">
        <v>15</v>
      </c>
      <c r="P1587" s="253">
        <f>16287.85+35271.9+29922.26+33943.81+3629.5+10308.66+774.99+1505.79+2952.6+5013+1526.6+2270.85+991.88+177.27+152+97.57+349.18+873.3+144.96+(143.03)+1932.72+431.6+(224.76-7986)+9778.63</f>
        <v>150718.71000000002</v>
      </c>
      <c r="Q1587" s="24">
        <f>5000-(143.03+1932.72+431.6)</f>
        <v>2492.65</v>
      </c>
      <c r="R1587" s="24">
        <f t="shared" si="162"/>
        <v>150718.71000000002</v>
      </c>
      <c r="S1587" s="118" t="s">
        <v>1673</v>
      </c>
    </row>
    <row r="1588" spans="2:19" hidden="1" x14ac:dyDescent="0.25">
      <c r="B1588" s="21" t="s">
        <v>395</v>
      </c>
      <c r="C1588" s="22" t="s">
        <v>2456</v>
      </c>
      <c r="D1588" s="22"/>
      <c r="E1588" s="21" t="s">
        <v>75</v>
      </c>
      <c r="F1588" s="21"/>
      <c r="G1588" s="147" t="s">
        <v>100</v>
      </c>
      <c r="H1588" s="23" t="s">
        <v>205</v>
      </c>
      <c r="I1588" s="23"/>
      <c r="J1588" s="21" t="s">
        <v>233</v>
      </c>
      <c r="K1588" s="21"/>
      <c r="L1588" s="21"/>
      <c r="M1588" s="26">
        <v>42866</v>
      </c>
      <c r="N1588" s="91">
        <v>135330</v>
      </c>
      <c r="O1588" s="22" t="s">
        <v>15</v>
      </c>
      <c r="P1588" s="22" t="s">
        <v>19</v>
      </c>
      <c r="Q1588" s="24">
        <f t="shared" ref="Q1588:Q1594" si="164">IF(P1588="en cours",N1588,IF(P1588="OK",0,IF(N1588-P1588&lt;0,0,N1588-P1588)))</f>
        <v>0</v>
      </c>
      <c r="R1588" s="24">
        <f t="shared" si="162"/>
        <v>135330</v>
      </c>
    </row>
    <row r="1589" spans="2:19" hidden="1" x14ac:dyDescent="0.25">
      <c r="B1589" s="21" t="s">
        <v>395</v>
      </c>
      <c r="C1589" s="22" t="s">
        <v>2456</v>
      </c>
      <c r="D1589" s="22"/>
      <c r="E1589" s="21" t="s">
        <v>75</v>
      </c>
      <c r="F1589" s="21"/>
      <c r="G1589" s="147" t="s">
        <v>100</v>
      </c>
      <c r="H1589" s="23" t="s">
        <v>205</v>
      </c>
      <c r="I1589" s="23"/>
      <c r="J1589" s="21" t="s">
        <v>234</v>
      </c>
      <c r="K1589" s="21"/>
      <c r="L1589" s="21"/>
      <c r="M1589" s="28">
        <v>90221</v>
      </c>
      <c r="N1589" s="44"/>
      <c r="O1589" s="22" t="s">
        <v>15</v>
      </c>
      <c r="P1589" s="22"/>
      <c r="Q1589" s="24">
        <f t="shared" si="164"/>
        <v>0</v>
      </c>
      <c r="R1589" s="24">
        <f>IF(P1589="OK",M1589-Q1589,IF(P1589="en cours",M1589-Q1589,P1589))</f>
        <v>0</v>
      </c>
    </row>
    <row r="1590" spans="2:19" hidden="1" x14ac:dyDescent="0.25">
      <c r="B1590" s="21" t="s">
        <v>395</v>
      </c>
      <c r="C1590" s="22" t="s">
        <v>2456</v>
      </c>
      <c r="D1590" s="22"/>
      <c r="E1590" s="21" t="s">
        <v>75</v>
      </c>
      <c r="F1590" s="21"/>
      <c r="G1590" s="147" t="s">
        <v>100</v>
      </c>
      <c r="H1590" s="23" t="s">
        <v>205</v>
      </c>
      <c r="I1590" s="23"/>
      <c r="J1590" s="21" t="s">
        <v>235</v>
      </c>
      <c r="K1590" s="21"/>
      <c r="L1590" s="21"/>
      <c r="M1590" s="28">
        <v>67665</v>
      </c>
      <c r="N1590" s="44"/>
      <c r="O1590" s="22" t="s">
        <v>15</v>
      </c>
      <c r="P1590" s="22"/>
      <c r="Q1590" s="24">
        <f t="shared" si="164"/>
        <v>0</v>
      </c>
      <c r="R1590" s="24">
        <f>IF(P1590="OK",M1590-Q1590,IF(P1590="en cours",M1590-Q1590,P1590))</f>
        <v>0</v>
      </c>
    </row>
    <row r="1591" spans="2:19" hidden="1" x14ac:dyDescent="0.25">
      <c r="B1591" s="21" t="s">
        <v>395</v>
      </c>
      <c r="C1591" s="22" t="s">
        <v>2456</v>
      </c>
      <c r="D1591" s="22"/>
      <c r="E1591" s="21" t="s">
        <v>75</v>
      </c>
      <c r="F1591" s="21"/>
      <c r="G1591" s="147" t="s">
        <v>100</v>
      </c>
      <c r="H1591" s="23" t="s">
        <v>205</v>
      </c>
      <c r="I1591" s="23"/>
      <c r="J1591" s="21" t="s">
        <v>236</v>
      </c>
      <c r="K1591" s="21"/>
      <c r="L1591" s="21"/>
      <c r="M1591" s="28">
        <v>67665</v>
      </c>
      <c r="N1591" s="44"/>
      <c r="O1591" s="22" t="s">
        <v>15</v>
      </c>
      <c r="P1591" s="22"/>
      <c r="Q1591" s="24">
        <f t="shared" si="164"/>
        <v>0</v>
      </c>
      <c r="R1591" s="24">
        <f>IF(P1591="OK",M1591-Q1591,IF(P1591="en cours",M1591-Q1591,P1591))</f>
        <v>0</v>
      </c>
    </row>
    <row r="1592" spans="2:19" hidden="1" x14ac:dyDescent="0.25">
      <c r="B1592" s="21" t="s">
        <v>395</v>
      </c>
      <c r="C1592" s="22" t="s">
        <v>2456</v>
      </c>
      <c r="D1592" s="22"/>
      <c r="E1592" s="21" t="s">
        <v>75</v>
      </c>
      <c r="F1592" s="21"/>
      <c r="G1592" s="147" t="s">
        <v>100</v>
      </c>
      <c r="H1592" s="23" t="s">
        <v>205</v>
      </c>
      <c r="I1592" s="23"/>
      <c r="J1592" s="21" t="s">
        <v>237</v>
      </c>
      <c r="K1592" s="21"/>
      <c r="L1592" s="21"/>
      <c r="M1592" s="26">
        <v>42916</v>
      </c>
      <c r="N1592" s="92">
        <v>30073</v>
      </c>
      <c r="O1592" s="22" t="s">
        <v>15</v>
      </c>
      <c r="P1592" s="22" t="s">
        <v>19</v>
      </c>
      <c r="Q1592" s="24">
        <f t="shared" si="164"/>
        <v>0</v>
      </c>
      <c r="R1592" s="24">
        <f t="shared" ref="R1592:R1627" si="165">IF(P1592="OK",N1592-Q1592,IF(P1592="en cours",N1592-Q1592,P1592))</f>
        <v>30073</v>
      </c>
    </row>
    <row r="1593" spans="2:19" hidden="1" x14ac:dyDescent="0.25">
      <c r="B1593" s="21" t="s">
        <v>395</v>
      </c>
      <c r="C1593" s="22" t="s">
        <v>2456</v>
      </c>
      <c r="D1593" s="22"/>
      <c r="E1593" s="21" t="s">
        <v>75</v>
      </c>
      <c r="F1593" s="21"/>
      <c r="G1593" s="147" t="s">
        <v>100</v>
      </c>
      <c r="H1593" s="23" t="s">
        <v>205</v>
      </c>
      <c r="I1593" s="23"/>
      <c r="J1593" s="21" t="s">
        <v>237</v>
      </c>
      <c r="K1593" s="21"/>
      <c r="L1593" s="21"/>
      <c r="M1593" s="26">
        <v>42947</v>
      </c>
      <c r="N1593" s="92">
        <v>30073</v>
      </c>
      <c r="O1593" s="22" t="s">
        <v>15</v>
      </c>
      <c r="P1593" s="22" t="s">
        <v>19</v>
      </c>
      <c r="Q1593" s="24">
        <f t="shared" si="164"/>
        <v>0</v>
      </c>
      <c r="R1593" s="24">
        <f t="shared" si="165"/>
        <v>30073</v>
      </c>
    </row>
    <row r="1594" spans="2:19" hidden="1" x14ac:dyDescent="0.25">
      <c r="B1594" s="21" t="s">
        <v>395</v>
      </c>
      <c r="C1594" s="22" t="s">
        <v>2456</v>
      </c>
      <c r="D1594" s="22"/>
      <c r="E1594" s="21" t="s">
        <v>75</v>
      </c>
      <c r="F1594" s="21"/>
      <c r="G1594" s="147" t="s">
        <v>100</v>
      </c>
      <c r="H1594" s="23" t="s">
        <v>205</v>
      </c>
      <c r="I1594" s="23"/>
      <c r="J1594" s="21" t="s">
        <v>237</v>
      </c>
      <c r="K1594" s="21"/>
      <c r="L1594" s="21"/>
      <c r="M1594" s="26">
        <v>42948</v>
      </c>
      <c r="N1594" s="92">
        <v>30073</v>
      </c>
      <c r="O1594" s="22" t="s">
        <v>15</v>
      </c>
      <c r="P1594" s="22" t="s">
        <v>19</v>
      </c>
      <c r="Q1594" s="24">
        <f t="shared" si="164"/>
        <v>0</v>
      </c>
      <c r="R1594" s="24">
        <f t="shared" si="165"/>
        <v>30073</v>
      </c>
    </row>
    <row r="1595" spans="2:19" hidden="1" x14ac:dyDescent="0.25">
      <c r="B1595" s="21" t="s">
        <v>395</v>
      </c>
      <c r="C1595" s="22" t="s">
        <v>2456</v>
      </c>
      <c r="D1595" s="22"/>
      <c r="E1595" s="21" t="s">
        <v>75</v>
      </c>
      <c r="F1595" s="21"/>
      <c r="G1595" s="147" t="s">
        <v>100</v>
      </c>
      <c r="H1595" s="23" t="s">
        <v>205</v>
      </c>
      <c r="I1595" s="23"/>
      <c r="J1595" s="21" t="s">
        <v>180</v>
      </c>
      <c r="K1595" s="21"/>
      <c r="L1595" s="21"/>
      <c r="M1595" s="26">
        <v>43009</v>
      </c>
      <c r="N1595" s="92"/>
      <c r="O1595" s="22" t="s">
        <v>15</v>
      </c>
      <c r="P1595" s="22"/>
      <c r="Q1595" s="24">
        <v>0</v>
      </c>
      <c r="R1595" s="24">
        <f t="shared" si="165"/>
        <v>0</v>
      </c>
    </row>
    <row r="1596" spans="2:19" hidden="1" x14ac:dyDescent="0.25">
      <c r="B1596" s="21" t="s">
        <v>395</v>
      </c>
      <c r="C1596" s="22" t="s">
        <v>2456</v>
      </c>
      <c r="D1596" s="22"/>
      <c r="E1596" s="21" t="s">
        <v>75</v>
      </c>
      <c r="F1596" s="21"/>
      <c r="G1596" s="147" t="s">
        <v>100</v>
      </c>
      <c r="H1596" s="23" t="s">
        <v>205</v>
      </c>
      <c r="I1596" s="23"/>
      <c r="J1596" s="21" t="s">
        <v>559</v>
      </c>
      <c r="K1596" s="21"/>
      <c r="L1596" s="21"/>
      <c r="M1596" s="26"/>
      <c r="N1596" s="44"/>
      <c r="O1596" s="22" t="s">
        <v>15</v>
      </c>
      <c r="P1596" s="22" t="s">
        <v>19</v>
      </c>
      <c r="Q1596" s="24">
        <f t="shared" ref="Q1596:Q1627" si="166">IF(P1596="en cours",N1596,IF(P1596="OK",0,IF(N1596-P1596&lt;0,0,N1596-P1596)))</f>
        <v>0</v>
      </c>
      <c r="R1596" s="24">
        <f t="shared" si="165"/>
        <v>0</v>
      </c>
    </row>
    <row r="1597" spans="2:19" hidden="1" x14ac:dyDescent="0.25">
      <c r="B1597" s="21" t="s">
        <v>395</v>
      </c>
      <c r="C1597" s="22" t="s">
        <v>2456</v>
      </c>
      <c r="D1597" s="22"/>
      <c r="E1597" s="21" t="s">
        <v>75</v>
      </c>
      <c r="F1597" s="21"/>
      <c r="G1597" s="147" t="s">
        <v>100</v>
      </c>
      <c r="H1597" s="23" t="s">
        <v>615</v>
      </c>
      <c r="I1597" s="23"/>
      <c r="J1597" s="21" t="s">
        <v>536</v>
      </c>
      <c r="K1597" s="21"/>
      <c r="L1597" s="21"/>
      <c r="M1597" s="26" t="s">
        <v>827</v>
      </c>
      <c r="N1597" s="44">
        <v>55486</v>
      </c>
      <c r="O1597" s="22" t="s">
        <v>15</v>
      </c>
      <c r="P1597" s="22">
        <f>55486+3577</f>
        <v>59063</v>
      </c>
      <c r="Q1597" s="24">
        <f t="shared" si="166"/>
        <v>0</v>
      </c>
      <c r="R1597" s="24">
        <f t="shared" si="165"/>
        <v>59063</v>
      </c>
      <c r="S1597" s="5" t="s">
        <v>831</v>
      </c>
    </row>
    <row r="1598" spans="2:19" hidden="1" x14ac:dyDescent="0.25">
      <c r="B1598" s="21" t="s">
        <v>395</v>
      </c>
      <c r="C1598" s="22" t="s">
        <v>2456</v>
      </c>
      <c r="D1598" s="22"/>
      <c r="E1598" s="21" t="s">
        <v>75</v>
      </c>
      <c r="F1598" s="21"/>
      <c r="G1598" s="147" t="s">
        <v>100</v>
      </c>
      <c r="H1598" s="23" t="s">
        <v>615</v>
      </c>
      <c r="I1598" s="23"/>
      <c r="J1598" s="310" t="s">
        <v>537</v>
      </c>
      <c r="K1598" s="310"/>
      <c r="L1598" s="310"/>
      <c r="M1598" s="311">
        <v>43086</v>
      </c>
      <c r="N1598" s="312"/>
      <c r="O1598" s="22" t="s">
        <v>15</v>
      </c>
      <c r="P1598" s="22" t="s">
        <v>19</v>
      </c>
      <c r="Q1598" s="24">
        <f t="shared" si="166"/>
        <v>0</v>
      </c>
      <c r="R1598" s="24">
        <f t="shared" si="165"/>
        <v>0</v>
      </c>
    </row>
    <row r="1599" spans="2:19" hidden="1" x14ac:dyDescent="0.25">
      <c r="B1599" s="21" t="s">
        <v>395</v>
      </c>
      <c r="C1599" s="22" t="s">
        <v>2456</v>
      </c>
      <c r="D1599" s="22"/>
      <c r="E1599" s="21" t="s">
        <v>75</v>
      </c>
      <c r="F1599" s="21"/>
      <c r="G1599" s="147" t="s">
        <v>100</v>
      </c>
      <c r="H1599" s="23" t="s">
        <v>615</v>
      </c>
      <c r="I1599" s="23"/>
      <c r="J1599" s="191" t="s">
        <v>538</v>
      </c>
      <c r="K1599" s="191"/>
      <c r="L1599" s="191"/>
      <c r="M1599" s="449" t="s">
        <v>828</v>
      </c>
      <c r="N1599" s="44">
        <v>77680</v>
      </c>
      <c r="O1599" s="22" t="s">
        <v>15</v>
      </c>
      <c r="P1599" s="22">
        <f>77680+5008</f>
        <v>82688</v>
      </c>
      <c r="Q1599" s="24">
        <f t="shared" si="166"/>
        <v>0</v>
      </c>
      <c r="R1599" s="24">
        <f t="shared" si="165"/>
        <v>82688</v>
      </c>
      <c r="S1599" s="5" t="s">
        <v>831</v>
      </c>
    </row>
    <row r="1600" spans="2:19" hidden="1" x14ac:dyDescent="0.25">
      <c r="B1600" s="21" t="s">
        <v>1617</v>
      </c>
      <c r="C1600" s="22" t="s">
        <v>2456</v>
      </c>
      <c r="D1600" s="22"/>
      <c r="E1600" s="21" t="s">
        <v>75</v>
      </c>
      <c r="F1600" s="21"/>
      <c r="G1600" s="147" t="s">
        <v>100</v>
      </c>
      <c r="H1600" s="23" t="s">
        <v>615</v>
      </c>
      <c r="I1600" s="23"/>
      <c r="J1600" s="191" t="s">
        <v>539</v>
      </c>
      <c r="K1600" s="191"/>
      <c r="L1600" s="191"/>
      <c r="M1600" s="449" t="s">
        <v>829</v>
      </c>
      <c r="N1600" s="44">
        <v>55486</v>
      </c>
      <c r="O1600" s="22" t="s">
        <v>15</v>
      </c>
      <c r="P1600" s="22">
        <f>55486+3577</f>
        <v>59063</v>
      </c>
      <c r="Q1600" s="24">
        <f t="shared" si="166"/>
        <v>0</v>
      </c>
      <c r="R1600" s="24">
        <f t="shared" si="165"/>
        <v>59063</v>
      </c>
      <c r="S1600" s="5" t="s">
        <v>831</v>
      </c>
    </row>
    <row r="1601" spans="2:19" hidden="1" x14ac:dyDescent="0.25">
      <c r="B1601" s="21" t="s">
        <v>1617</v>
      </c>
      <c r="C1601" s="22" t="s">
        <v>2456</v>
      </c>
      <c r="D1601" s="22"/>
      <c r="E1601" s="21" t="s">
        <v>75</v>
      </c>
      <c r="F1601" s="21"/>
      <c r="G1601" s="147" t="s">
        <v>100</v>
      </c>
      <c r="H1601" s="23" t="s">
        <v>615</v>
      </c>
      <c r="I1601" s="23"/>
      <c r="J1601" s="191" t="s">
        <v>540</v>
      </c>
      <c r="K1601" s="191"/>
      <c r="L1601" s="191"/>
      <c r="M1601" s="449" t="s">
        <v>829</v>
      </c>
      <c r="N1601" s="44">
        <v>22194</v>
      </c>
      <c r="O1601" s="22" t="s">
        <v>15</v>
      </c>
      <c r="P1601" s="22">
        <f>22194+1432</f>
        <v>23626</v>
      </c>
      <c r="Q1601" s="24">
        <f t="shared" si="166"/>
        <v>0</v>
      </c>
      <c r="R1601" s="24">
        <f t="shared" si="165"/>
        <v>23626</v>
      </c>
      <c r="S1601" s="5" t="s">
        <v>831</v>
      </c>
    </row>
    <row r="1602" spans="2:19" hidden="1" x14ac:dyDescent="0.25">
      <c r="B1602" s="21" t="s">
        <v>1617</v>
      </c>
      <c r="C1602" s="22" t="s">
        <v>2456</v>
      </c>
      <c r="D1602" s="22"/>
      <c r="E1602" s="21" t="s">
        <v>75</v>
      </c>
      <c r="F1602" s="21"/>
      <c r="G1602" s="147" t="s">
        <v>100</v>
      </c>
      <c r="H1602" s="23" t="s">
        <v>615</v>
      </c>
      <c r="I1602" s="23"/>
      <c r="J1602" s="310" t="s">
        <v>544</v>
      </c>
      <c r="K1602" s="310"/>
      <c r="L1602" s="310"/>
      <c r="M1602" s="311">
        <v>43466</v>
      </c>
      <c r="N1602" s="312"/>
      <c r="O1602" s="22" t="s">
        <v>15</v>
      </c>
      <c r="P1602" s="22" t="s">
        <v>19</v>
      </c>
      <c r="Q1602" s="24">
        <f t="shared" si="166"/>
        <v>0</v>
      </c>
      <c r="R1602" s="24">
        <f t="shared" si="165"/>
        <v>0</v>
      </c>
    </row>
    <row r="1603" spans="2:19" hidden="1" x14ac:dyDescent="0.25">
      <c r="B1603" s="21" t="s">
        <v>1617</v>
      </c>
      <c r="C1603" s="22" t="s">
        <v>2456</v>
      </c>
      <c r="D1603" s="22"/>
      <c r="E1603" s="21" t="s">
        <v>75</v>
      </c>
      <c r="F1603" s="21"/>
      <c r="G1603" s="147" t="s">
        <v>100</v>
      </c>
      <c r="H1603" s="23" t="s">
        <v>615</v>
      </c>
      <c r="I1603" s="23"/>
      <c r="J1603" s="310" t="s">
        <v>545</v>
      </c>
      <c r="K1603" s="310"/>
      <c r="L1603" s="310"/>
      <c r="M1603" s="311">
        <v>43264</v>
      </c>
      <c r="N1603" s="312"/>
      <c r="O1603" s="22" t="s">
        <v>15</v>
      </c>
      <c r="P1603" s="22" t="s">
        <v>19</v>
      </c>
      <c r="Q1603" s="24">
        <f t="shared" si="166"/>
        <v>0</v>
      </c>
      <c r="R1603" s="24">
        <f t="shared" si="165"/>
        <v>0</v>
      </c>
    </row>
    <row r="1604" spans="2:19" hidden="1" x14ac:dyDescent="0.25">
      <c r="B1604" s="21" t="s">
        <v>1617</v>
      </c>
      <c r="C1604" s="22" t="s">
        <v>2456</v>
      </c>
      <c r="D1604" s="22"/>
      <c r="E1604" s="21" t="s">
        <v>75</v>
      </c>
      <c r="F1604" s="21"/>
      <c r="G1604" s="147" t="s">
        <v>100</v>
      </c>
      <c r="H1604" s="23" t="s">
        <v>615</v>
      </c>
      <c r="I1604" s="23"/>
      <c r="J1604" s="310" t="s">
        <v>541</v>
      </c>
      <c r="K1604" s="310"/>
      <c r="L1604" s="310"/>
      <c r="M1604" s="311">
        <v>43309</v>
      </c>
      <c r="N1604" s="312"/>
      <c r="O1604" s="22" t="s">
        <v>15</v>
      </c>
      <c r="P1604" s="22" t="s">
        <v>19</v>
      </c>
      <c r="Q1604" s="24">
        <f t="shared" si="166"/>
        <v>0</v>
      </c>
      <c r="R1604" s="24">
        <f t="shared" si="165"/>
        <v>0</v>
      </c>
    </row>
    <row r="1605" spans="2:19" hidden="1" x14ac:dyDescent="0.25">
      <c r="B1605" s="21" t="s">
        <v>1617</v>
      </c>
      <c r="C1605" s="22" t="s">
        <v>2456</v>
      </c>
      <c r="D1605" s="22"/>
      <c r="E1605" s="21" t="s">
        <v>75</v>
      </c>
      <c r="F1605" s="21"/>
      <c r="G1605" s="147" t="s">
        <v>100</v>
      </c>
      <c r="H1605" s="23" t="s">
        <v>615</v>
      </c>
      <c r="I1605" s="23"/>
      <c r="J1605" s="310" t="s">
        <v>542</v>
      </c>
      <c r="K1605" s="310"/>
      <c r="L1605" s="310"/>
      <c r="M1605" s="311">
        <v>43370</v>
      </c>
      <c r="N1605" s="312"/>
      <c r="O1605" s="22" t="s">
        <v>15</v>
      </c>
      <c r="P1605" s="22" t="s">
        <v>19</v>
      </c>
      <c r="Q1605" s="24">
        <f t="shared" si="166"/>
        <v>0</v>
      </c>
      <c r="R1605" s="24">
        <f t="shared" si="165"/>
        <v>0</v>
      </c>
    </row>
    <row r="1606" spans="2:19" hidden="1" x14ac:dyDescent="0.25">
      <c r="B1606" s="21" t="s">
        <v>1617</v>
      </c>
      <c r="C1606" s="22" t="s">
        <v>2456</v>
      </c>
      <c r="D1606" s="22"/>
      <c r="E1606" s="21" t="s">
        <v>75</v>
      </c>
      <c r="F1606" s="21"/>
      <c r="G1606" s="147" t="s">
        <v>100</v>
      </c>
      <c r="H1606" s="23" t="s">
        <v>615</v>
      </c>
      <c r="I1606" s="23"/>
      <c r="J1606" s="310" t="s">
        <v>543</v>
      </c>
      <c r="K1606" s="310"/>
      <c r="L1606" s="310"/>
      <c r="M1606" s="311">
        <v>43401</v>
      </c>
      <c r="N1606" s="312"/>
      <c r="O1606" s="22" t="s">
        <v>15</v>
      </c>
      <c r="P1606" s="22" t="s">
        <v>19</v>
      </c>
      <c r="Q1606" s="24">
        <f t="shared" si="166"/>
        <v>0</v>
      </c>
      <c r="R1606" s="24">
        <f t="shared" si="165"/>
        <v>0</v>
      </c>
    </row>
    <row r="1607" spans="2:19" hidden="1" x14ac:dyDescent="0.25">
      <c r="B1607" s="21" t="s">
        <v>395</v>
      </c>
      <c r="C1607" s="22" t="s">
        <v>2456</v>
      </c>
      <c r="D1607" s="22"/>
      <c r="E1607" s="21" t="s">
        <v>75</v>
      </c>
      <c r="F1607" s="21"/>
      <c r="G1607" s="147" t="s">
        <v>100</v>
      </c>
      <c r="H1607" s="23" t="s">
        <v>615</v>
      </c>
      <c r="I1607" s="23"/>
      <c r="J1607" s="191" t="s">
        <v>606</v>
      </c>
      <c r="K1607" s="191"/>
      <c r="L1607" s="191"/>
      <c r="M1607" s="449">
        <v>43167</v>
      </c>
      <c r="N1607" s="44">
        <v>18199</v>
      </c>
      <c r="O1607" s="22" t="s">
        <v>15</v>
      </c>
      <c r="P1607" s="22" t="s">
        <v>19</v>
      </c>
      <c r="Q1607" s="24">
        <f t="shared" si="166"/>
        <v>0</v>
      </c>
      <c r="R1607" s="24">
        <f t="shared" si="165"/>
        <v>18199</v>
      </c>
    </row>
    <row r="1608" spans="2:19" hidden="1" x14ac:dyDescent="0.25">
      <c r="B1608" s="21" t="s">
        <v>395</v>
      </c>
      <c r="C1608" s="22" t="s">
        <v>2456</v>
      </c>
      <c r="D1608" s="22"/>
      <c r="E1608" s="21" t="s">
        <v>75</v>
      </c>
      <c r="F1608" s="21"/>
      <c r="G1608" s="147" t="s">
        <v>100</v>
      </c>
      <c r="H1608" s="23" t="s">
        <v>615</v>
      </c>
      <c r="I1608" s="23"/>
      <c r="J1608" s="191" t="s">
        <v>607</v>
      </c>
      <c r="K1608" s="191"/>
      <c r="L1608" s="191"/>
      <c r="M1608" s="449">
        <v>43208</v>
      </c>
      <c r="N1608" s="44">
        <v>18199</v>
      </c>
      <c r="O1608" s="22" t="s">
        <v>15</v>
      </c>
      <c r="P1608" s="22" t="s">
        <v>19</v>
      </c>
      <c r="Q1608" s="24">
        <f t="shared" si="166"/>
        <v>0</v>
      </c>
      <c r="R1608" s="24">
        <f t="shared" si="165"/>
        <v>18199</v>
      </c>
    </row>
    <row r="1609" spans="2:19" hidden="1" x14ac:dyDescent="0.25">
      <c r="B1609" s="21" t="s">
        <v>395</v>
      </c>
      <c r="C1609" s="22" t="s">
        <v>2456</v>
      </c>
      <c r="D1609" s="22"/>
      <c r="E1609" s="21" t="s">
        <v>75</v>
      </c>
      <c r="F1609" s="21"/>
      <c r="G1609" s="147" t="s">
        <v>100</v>
      </c>
      <c r="H1609" s="23" t="s">
        <v>615</v>
      </c>
      <c r="I1609" s="23"/>
      <c r="J1609" s="191" t="s">
        <v>608</v>
      </c>
      <c r="K1609" s="191"/>
      <c r="L1609" s="191"/>
      <c r="M1609" s="449">
        <v>43208</v>
      </c>
      <c r="N1609" s="44">
        <v>18199</v>
      </c>
      <c r="O1609" s="22" t="s">
        <v>15</v>
      </c>
      <c r="P1609" s="22" t="s">
        <v>19</v>
      </c>
      <c r="Q1609" s="24">
        <f t="shared" si="166"/>
        <v>0</v>
      </c>
      <c r="R1609" s="24">
        <f t="shared" si="165"/>
        <v>18199</v>
      </c>
    </row>
    <row r="1610" spans="2:19" hidden="1" x14ac:dyDescent="0.25">
      <c r="B1610" s="21" t="s">
        <v>395</v>
      </c>
      <c r="C1610" s="22" t="s">
        <v>2456</v>
      </c>
      <c r="D1610" s="22"/>
      <c r="E1610" s="21" t="s">
        <v>75</v>
      </c>
      <c r="F1610" s="21"/>
      <c r="G1610" s="147" t="s">
        <v>100</v>
      </c>
      <c r="H1610" s="23" t="s">
        <v>615</v>
      </c>
      <c r="I1610" s="23"/>
      <c r="J1610" s="191" t="s">
        <v>609</v>
      </c>
      <c r="K1610" s="191"/>
      <c r="L1610" s="191"/>
      <c r="M1610" s="449">
        <v>43234</v>
      </c>
      <c r="N1610" s="44">
        <v>18199</v>
      </c>
      <c r="O1610" s="22" t="s">
        <v>15</v>
      </c>
      <c r="P1610" s="22" t="s">
        <v>19</v>
      </c>
      <c r="Q1610" s="24">
        <f t="shared" si="166"/>
        <v>0</v>
      </c>
      <c r="R1610" s="24">
        <f t="shared" si="165"/>
        <v>18199</v>
      </c>
    </row>
    <row r="1611" spans="2:19" hidden="1" x14ac:dyDescent="0.25">
      <c r="B1611" s="21" t="s">
        <v>395</v>
      </c>
      <c r="C1611" s="22" t="s">
        <v>2456</v>
      </c>
      <c r="D1611" s="22"/>
      <c r="E1611" s="21" t="s">
        <v>75</v>
      </c>
      <c r="F1611" s="21"/>
      <c r="G1611" s="147" t="s">
        <v>100</v>
      </c>
      <c r="H1611" s="23" t="s">
        <v>615</v>
      </c>
      <c r="I1611" s="23"/>
      <c r="J1611" s="191" t="s">
        <v>610</v>
      </c>
      <c r="K1611" s="191"/>
      <c r="L1611" s="191"/>
      <c r="M1611" s="449">
        <v>43262</v>
      </c>
      <c r="N1611" s="44">
        <v>18199</v>
      </c>
      <c r="O1611" s="22" t="s">
        <v>15</v>
      </c>
      <c r="P1611" s="22" t="s">
        <v>19</v>
      </c>
      <c r="Q1611" s="24">
        <f t="shared" si="166"/>
        <v>0</v>
      </c>
      <c r="R1611" s="24">
        <f t="shared" si="165"/>
        <v>18199</v>
      </c>
    </row>
    <row r="1612" spans="2:19" hidden="1" x14ac:dyDescent="0.25">
      <c r="B1612" s="21" t="s">
        <v>1617</v>
      </c>
      <c r="C1612" s="22" t="s">
        <v>2456</v>
      </c>
      <c r="D1612" s="22"/>
      <c r="E1612" s="21" t="s">
        <v>75</v>
      </c>
      <c r="F1612" s="21"/>
      <c r="G1612" s="147" t="s">
        <v>100</v>
      </c>
      <c r="H1612" s="23" t="s">
        <v>615</v>
      </c>
      <c r="I1612" s="23"/>
      <c r="J1612" s="310" t="s">
        <v>611</v>
      </c>
      <c r="K1612" s="310"/>
      <c r="L1612" s="310"/>
      <c r="M1612" s="311">
        <v>43282</v>
      </c>
      <c r="N1612" s="44"/>
      <c r="O1612" s="22" t="s">
        <v>15</v>
      </c>
      <c r="P1612" s="22" t="s">
        <v>19</v>
      </c>
      <c r="Q1612" s="24">
        <f t="shared" si="166"/>
        <v>0</v>
      </c>
      <c r="R1612" s="24">
        <f t="shared" si="165"/>
        <v>0</v>
      </c>
    </row>
    <row r="1613" spans="2:19" hidden="1" x14ac:dyDescent="0.25">
      <c r="B1613" s="21" t="s">
        <v>1617</v>
      </c>
      <c r="C1613" s="22" t="s">
        <v>2456</v>
      </c>
      <c r="D1613" s="22"/>
      <c r="E1613" s="21" t="s">
        <v>75</v>
      </c>
      <c r="F1613" s="21"/>
      <c r="G1613" s="147" t="s">
        <v>100</v>
      </c>
      <c r="H1613" s="23" t="s">
        <v>615</v>
      </c>
      <c r="I1613" s="23"/>
      <c r="J1613" s="310" t="s">
        <v>612</v>
      </c>
      <c r="K1613" s="310"/>
      <c r="L1613" s="310"/>
      <c r="M1613" s="311">
        <v>43313</v>
      </c>
      <c r="N1613" s="44"/>
      <c r="O1613" s="22" t="s">
        <v>15</v>
      </c>
      <c r="P1613" s="22" t="s">
        <v>19</v>
      </c>
      <c r="Q1613" s="24">
        <f t="shared" si="166"/>
        <v>0</v>
      </c>
      <c r="R1613" s="24">
        <f t="shared" si="165"/>
        <v>0</v>
      </c>
    </row>
    <row r="1614" spans="2:19" hidden="1" x14ac:dyDescent="0.25">
      <c r="B1614" s="21" t="s">
        <v>1617</v>
      </c>
      <c r="C1614" s="22" t="s">
        <v>2456</v>
      </c>
      <c r="D1614" s="22"/>
      <c r="E1614" s="21" t="s">
        <v>75</v>
      </c>
      <c r="F1614" s="21"/>
      <c r="G1614" s="147" t="s">
        <v>100</v>
      </c>
      <c r="H1614" s="23" t="s">
        <v>615</v>
      </c>
      <c r="I1614" s="23"/>
      <c r="J1614" s="310" t="s">
        <v>613</v>
      </c>
      <c r="K1614" s="310"/>
      <c r="L1614" s="310"/>
      <c r="M1614" s="311">
        <v>43344</v>
      </c>
      <c r="N1614" s="44"/>
      <c r="O1614" s="22" t="s">
        <v>15</v>
      </c>
      <c r="P1614" s="22" t="s">
        <v>19</v>
      </c>
      <c r="Q1614" s="24">
        <f t="shared" si="166"/>
        <v>0</v>
      </c>
      <c r="R1614" s="24">
        <f t="shared" si="165"/>
        <v>0</v>
      </c>
    </row>
    <row r="1615" spans="2:19" hidden="1" x14ac:dyDescent="0.25">
      <c r="B1615" s="21" t="s">
        <v>1617</v>
      </c>
      <c r="C1615" s="22" t="s">
        <v>2456</v>
      </c>
      <c r="D1615" s="22"/>
      <c r="E1615" s="21" t="s">
        <v>75</v>
      </c>
      <c r="F1615" s="21"/>
      <c r="G1615" s="147" t="s">
        <v>100</v>
      </c>
      <c r="H1615" s="23" t="s">
        <v>615</v>
      </c>
      <c r="I1615" s="23"/>
      <c r="J1615" s="310" t="s">
        <v>614</v>
      </c>
      <c r="K1615" s="310"/>
      <c r="L1615" s="310"/>
      <c r="M1615" s="311">
        <v>43374</v>
      </c>
      <c r="N1615" s="44"/>
      <c r="O1615" s="22" t="s">
        <v>15</v>
      </c>
      <c r="P1615" s="22" t="s">
        <v>19</v>
      </c>
      <c r="Q1615" s="24">
        <f t="shared" si="166"/>
        <v>0</v>
      </c>
      <c r="R1615" s="24">
        <f t="shared" si="165"/>
        <v>0</v>
      </c>
    </row>
    <row r="1616" spans="2:19" hidden="1" x14ac:dyDescent="0.25">
      <c r="B1616" s="21" t="s">
        <v>395</v>
      </c>
      <c r="C1616" s="22" t="s">
        <v>2456</v>
      </c>
      <c r="D1616" s="22"/>
      <c r="E1616" s="21" t="s">
        <v>75</v>
      </c>
      <c r="F1616" s="21"/>
      <c r="G1616" s="147" t="s">
        <v>100</v>
      </c>
      <c r="H1616" s="23" t="s">
        <v>615</v>
      </c>
      <c r="I1616" s="23"/>
      <c r="J1616" s="21" t="s">
        <v>622</v>
      </c>
      <c r="K1616" s="21"/>
      <c r="L1616" s="21"/>
      <c r="M1616" s="26">
        <v>43140</v>
      </c>
      <c r="N1616" s="91">
        <v>33291</v>
      </c>
      <c r="O1616" s="22" t="s">
        <v>15</v>
      </c>
      <c r="P1616" s="22" t="s">
        <v>19</v>
      </c>
      <c r="Q1616" s="24">
        <f t="shared" si="166"/>
        <v>0</v>
      </c>
      <c r="R1616" s="24">
        <f t="shared" si="165"/>
        <v>33291</v>
      </c>
    </row>
    <row r="1617" spans="2:19" hidden="1" x14ac:dyDescent="0.25">
      <c r="B1617" s="21" t="s">
        <v>395</v>
      </c>
      <c r="C1617" s="22" t="s">
        <v>2456</v>
      </c>
      <c r="D1617" s="22"/>
      <c r="E1617" s="21" t="s">
        <v>75</v>
      </c>
      <c r="F1617" s="21"/>
      <c r="G1617" s="147" t="s">
        <v>100</v>
      </c>
      <c r="H1617" s="23" t="s">
        <v>724</v>
      </c>
      <c r="I1617" s="23"/>
      <c r="J1617" s="21" t="s">
        <v>723</v>
      </c>
      <c r="K1617" s="21"/>
      <c r="L1617" s="21"/>
      <c r="M1617" s="66" t="s">
        <v>870</v>
      </c>
      <c r="N1617" s="44">
        <v>13594</v>
      </c>
      <c r="O1617" s="22" t="s">
        <v>15</v>
      </c>
      <c r="P1617" s="22" t="s">
        <v>19</v>
      </c>
      <c r="Q1617" s="24">
        <f t="shared" si="166"/>
        <v>0</v>
      </c>
      <c r="R1617" s="24">
        <f t="shared" si="165"/>
        <v>13594</v>
      </c>
    </row>
    <row r="1618" spans="2:19" hidden="1" x14ac:dyDescent="0.25">
      <c r="B1618" s="21" t="s">
        <v>395</v>
      </c>
      <c r="C1618" s="22" t="s">
        <v>2456</v>
      </c>
      <c r="D1618" s="22"/>
      <c r="E1618" s="21" t="s">
        <v>75</v>
      </c>
      <c r="F1618" s="21"/>
      <c r="G1618" s="147" t="s">
        <v>100</v>
      </c>
      <c r="H1618" s="23" t="s">
        <v>724</v>
      </c>
      <c r="I1618" s="23"/>
      <c r="J1618" s="21" t="s">
        <v>544</v>
      </c>
      <c r="K1618" s="21"/>
      <c r="L1618" s="21"/>
      <c r="M1618" s="66" t="s">
        <v>825</v>
      </c>
      <c r="N1618" s="44">
        <v>47250</v>
      </c>
      <c r="O1618" s="22" t="s">
        <v>15</v>
      </c>
      <c r="P1618" s="22" t="s">
        <v>19</v>
      </c>
      <c r="Q1618" s="24">
        <f t="shared" si="166"/>
        <v>0</v>
      </c>
      <c r="R1618" s="24">
        <f t="shared" si="165"/>
        <v>47250</v>
      </c>
    </row>
    <row r="1619" spans="2:19" hidden="1" x14ac:dyDescent="0.25">
      <c r="B1619" s="21" t="s">
        <v>395</v>
      </c>
      <c r="C1619" s="22" t="s">
        <v>2456</v>
      </c>
      <c r="D1619" s="22"/>
      <c r="E1619" s="21" t="s">
        <v>75</v>
      </c>
      <c r="F1619" s="21"/>
      <c r="G1619" s="147" t="s">
        <v>100</v>
      </c>
      <c r="H1619" s="23" t="s">
        <v>724</v>
      </c>
      <c r="I1619" s="23"/>
      <c r="J1619" s="21" t="s">
        <v>545</v>
      </c>
      <c r="K1619" s="21"/>
      <c r="L1619" s="21"/>
      <c r="M1619" s="66" t="s">
        <v>835</v>
      </c>
      <c r="N1619" s="44">
        <v>47250</v>
      </c>
      <c r="O1619" s="22" t="s">
        <v>15</v>
      </c>
      <c r="P1619" s="22" t="s">
        <v>19</v>
      </c>
      <c r="Q1619" s="24">
        <f t="shared" si="166"/>
        <v>0</v>
      </c>
      <c r="R1619" s="24">
        <f t="shared" si="165"/>
        <v>47250</v>
      </c>
    </row>
    <row r="1620" spans="2:19" hidden="1" x14ac:dyDescent="0.25">
      <c r="B1620" s="21" t="s">
        <v>395</v>
      </c>
      <c r="C1620" s="22" t="s">
        <v>2456</v>
      </c>
      <c r="D1620" s="22"/>
      <c r="E1620" s="21" t="s">
        <v>75</v>
      </c>
      <c r="F1620" s="21"/>
      <c r="G1620" s="147" t="s">
        <v>100</v>
      </c>
      <c r="H1620" s="23" t="s">
        <v>724</v>
      </c>
      <c r="I1620" s="23"/>
      <c r="J1620" s="21" t="s">
        <v>541</v>
      </c>
      <c r="K1620" s="21"/>
      <c r="L1620" s="21"/>
      <c r="M1620" s="66" t="s">
        <v>853</v>
      </c>
      <c r="N1620" s="44">
        <v>41344</v>
      </c>
      <c r="O1620" s="22" t="s">
        <v>15</v>
      </c>
      <c r="P1620" s="22" t="s">
        <v>19</v>
      </c>
      <c r="Q1620" s="24">
        <f t="shared" si="166"/>
        <v>0</v>
      </c>
      <c r="R1620" s="24">
        <f t="shared" si="165"/>
        <v>41344</v>
      </c>
    </row>
    <row r="1621" spans="2:19" hidden="1" x14ac:dyDescent="0.25">
      <c r="B1621" s="21" t="s">
        <v>395</v>
      </c>
      <c r="C1621" s="22" t="s">
        <v>2456</v>
      </c>
      <c r="D1621" s="22"/>
      <c r="E1621" s="21" t="s">
        <v>75</v>
      </c>
      <c r="F1621" s="21"/>
      <c r="G1621" s="147" t="s">
        <v>100</v>
      </c>
      <c r="H1621" s="23" t="s">
        <v>724</v>
      </c>
      <c r="I1621" s="23"/>
      <c r="J1621" s="21" t="s">
        <v>542</v>
      </c>
      <c r="K1621" s="21"/>
      <c r="L1621" s="21" t="s">
        <v>3544</v>
      </c>
      <c r="M1621" s="167" t="s">
        <v>3545</v>
      </c>
      <c r="N1621" s="44">
        <v>29531</v>
      </c>
      <c r="O1621" s="22" t="s">
        <v>15</v>
      </c>
      <c r="P1621" s="253">
        <f>22194+7337</f>
        <v>29531</v>
      </c>
      <c r="Q1621" s="44">
        <f t="shared" si="166"/>
        <v>0</v>
      </c>
      <c r="R1621" s="24">
        <f t="shared" si="165"/>
        <v>29531</v>
      </c>
      <c r="S1621" s="5" t="s">
        <v>3386</v>
      </c>
    </row>
    <row r="1622" spans="2:19" hidden="1" x14ac:dyDescent="0.25">
      <c r="C1622" s="4" t="s">
        <v>2456</v>
      </c>
      <c r="E1622" s="5" t="s">
        <v>75</v>
      </c>
      <c r="G1622" s="146" t="s">
        <v>100</v>
      </c>
      <c r="H1622" s="7" t="s">
        <v>724</v>
      </c>
      <c r="J1622" s="43" t="s">
        <v>543</v>
      </c>
      <c r="K1622" s="43" t="s">
        <v>1682</v>
      </c>
      <c r="L1622" s="43"/>
      <c r="M1622" s="66"/>
      <c r="N1622" s="45">
        <v>38465</v>
      </c>
      <c r="O1622" s="4" t="s">
        <v>15</v>
      </c>
      <c r="P1622" s="4"/>
      <c r="Q1622" s="3">
        <f t="shared" si="166"/>
        <v>38465</v>
      </c>
      <c r="R1622" s="3">
        <f t="shared" si="165"/>
        <v>0</v>
      </c>
    </row>
    <row r="1623" spans="2:19" hidden="1" x14ac:dyDescent="0.25">
      <c r="B1623" s="21" t="s">
        <v>395</v>
      </c>
      <c r="C1623" s="22" t="s">
        <v>2456</v>
      </c>
      <c r="D1623" s="22"/>
      <c r="E1623" s="21" t="s">
        <v>75</v>
      </c>
      <c r="F1623" s="21"/>
      <c r="G1623" s="147" t="s">
        <v>100</v>
      </c>
      <c r="H1623" s="23" t="s">
        <v>724</v>
      </c>
      <c r="I1623" s="23"/>
      <c r="J1623" s="21" t="s">
        <v>826</v>
      </c>
      <c r="K1623" s="21"/>
      <c r="L1623" s="21"/>
      <c r="M1623" s="66" t="s">
        <v>830</v>
      </c>
      <c r="N1623" s="94">
        <v>82688</v>
      </c>
      <c r="O1623" s="22" t="s">
        <v>15</v>
      </c>
      <c r="P1623" s="22" t="s">
        <v>19</v>
      </c>
      <c r="Q1623" s="24">
        <f t="shared" si="166"/>
        <v>0</v>
      </c>
      <c r="R1623" s="24">
        <f t="shared" si="165"/>
        <v>82688</v>
      </c>
    </row>
    <row r="1624" spans="2:19" hidden="1" x14ac:dyDescent="0.25">
      <c r="B1624" s="21" t="s">
        <v>395</v>
      </c>
      <c r="C1624" s="22" t="s">
        <v>2456</v>
      </c>
      <c r="D1624" s="22"/>
      <c r="E1624" s="21" t="s">
        <v>75</v>
      </c>
      <c r="F1624" s="21"/>
      <c r="G1624" s="147" t="s">
        <v>100</v>
      </c>
      <c r="H1624" s="23" t="s">
        <v>724</v>
      </c>
      <c r="I1624" s="23"/>
      <c r="J1624" s="21" t="s">
        <v>611</v>
      </c>
      <c r="K1624" s="21"/>
      <c r="L1624" s="21"/>
      <c r="M1624" s="66" t="s">
        <v>758</v>
      </c>
      <c r="N1624" s="94">
        <v>23564</v>
      </c>
      <c r="O1624" s="22" t="s">
        <v>15</v>
      </c>
      <c r="P1624" s="22" t="s">
        <v>19</v>
      </c>
      <c r="Q1624" s="24">
        <f t="shared" si="166"/>
        <v>0</v>
      </c>
      <c r="R1624" s="24">
        <f t="shared" si="165"/>
        <v>23564</v>
      </c>
    </row>
    <row r="1625" spans="2:19" hidden="1" x14ac:dyDescent="0.25">
      <c r="B1625" s="21" t="s">
        <v>395</v>
      </c>
      <c r="C1625" s="22" t="s">
        <v>2456</v>
      </c>
      <c r="D1625" s="22"/>
      <c r="E1625" s="21" t="s">
        <v>75</v>
      </c>
      <c r="F1625" s="21"/>
      <c r="G1625" s="147" t="s">
        <v>100</v>
      </c>
      <c r="H1625" s="23" t="s">
        <v>724</v>
      </c>
      <c r="I1625" s="23"/>
      <c r="J1625" s="21" t="s">
        <v>612</v>
      </c>
      <c r="K1625" s="21"/>
      <c r="L1625" s="21"/>
      <c r="M1625" s="66" t="s">
        <v>818</v>
      </c>
      <c r="N1625" s="94">
        <v>23564</v>
      </c>
      <c r="O1625" s="22" t="s">
        <v>15</v>
      </c>
      <c r="P1625" s="22" t="s">
        <v>19</v>
      </c>
      <c r="Q1625" s="24">
        <f t="shared" si="166"/>
        <v>0</v>
      </c>
      <c r="R1625" s="24">
        <f t="shared" si="165"/>
        <v>23564</v>
      </c>
    </row>
    <row r="1626" spans="2:19" hidden="1" x14ac:dyDescent="0.25">
      <c r="B1626" s="21" t="s">
        <v>395</v>
      </c>
      <c r="C1626" s="22" t="s">
        <v>2456</v>
      </c>
      <c r="D1626" s="22"/>
      <c r="E1626" s="21" t="s">
        <v>75</v>
      </c>
      <c r="F1626" s="21"/>
      <c r="G1626" s="147" t="s">
        <v>100</v>
      </c>
      <c r="H1626" s="23" t="s">
        <v>724</v>
      </c>
      <c r="I1626" s="23"/>
      <c r="J1626" s="21" t="s">
        <v>613</v>
      </c>
      <c r="K1626" s="21"/>
      <c r="L1626" s="21"/>
      <c r="M1626" s="66" t="s">
        <v>852</v>
      </c>
      <c r="N1626" s="94">
        <v>23564</v>
      </c>
      <c r="O1626" s="22" t="s">
        <v>15</v>
      </c>
      <c r="P1626" s="22" t="s">
        <v>19</v>
      </c>
      <c r="Q1626" s="24">
        <f t="shared" si="166"/>
        <v>0</v>
      </c>
      <c r="R1626" s="24">
        <f t="shared" si="165"/>
        <v>23564</v>
      </c>
    </row>
    <row r="1627" spans="2:19" hidden="1" x14ac:dyDescent="0.25">
      <c r="B1627" s="21" t="s">
        <v>395</v>
      </c>
      <c r="C1627" s="22" t="s">
        <v>2456</v>
      </c>
      <c r="D1627" s="22"/>
      <c r="E1627" s="21" t="s">
        <v>75</v>
      </c>
      <c r="F1627" s="21"/>
      <c r="G1627" s="147" t="s">
        <v>100</v>
      </c>
      <c r="H1627" s="23" t="s">
        <v>724</v>
      </c>
      <c r="I1627" s="23"/>
      <c r="J1627" s="21" t="s">
        <v>614</v>
      </c>
      <c r="K1627" s="21"/>
      <c r="L1627" s="21"/>
      <c r="M1627" s="66" t="s">
        <v>900</v>
      </c>
      <c r="N1627" s="94">
        <v>23564</v>
      </c>
      <c r="O1627" s="22" t="s">
        <v>15</v>
      </c>
      <c r="P1627" s="22" t="s">
        <v>19</v>
      </c>
      <c r="Q1627" s="24">
        <f t="shared" si="166"/>
        <v>0</v>
      </c>
      <c r="R1627" s="24">
        <f t="shared" si="165"/>
        <v>23564</v>
      </c>
    </row>
    <row r="1628" spans="2:19" hidden="1" x14ac:dyDescent="0.25">
      <c r="B1628" s="21" t="s">
        <v>395</v>
      </c>
      <c r="C1628" s="22" t="s">
        <v>1940</v>
      </c>
      <c r="D1628" s="22"/>
      <c r="E1628" s="21" t="s">
        <v>75</v>
      </c>
      <c r="F1628" s="21"/>
      <c r="G1628" s="147" t="s">
        <v>100</v>
      </c>
      <c r="H1628" s="23" t="s">
        <v>1578</v>
      </c>
      <c r="I1628" s="23" t="s">
        <v>7834</v>
      </c>
      <c r="J1628" s="21" t="s">
        <v>1552</v>
      </c>
      <c r="K1628" s="120"/>
      <c r="L1628" s="21"/>
      <c r="M1628" s="26" t="s">
        <v>1573</v>
      </c>
      <c r="N1628" s="44">
        <v>305666</v>
      </c>
      <c r="O1628" s="22" t="s">
        <v>15</v>
      </c>
      <c r="P1628" s="22">
        <f>218333+(29111*3)</f>
        <v>305666</v>
      </c>
      <c r="Q1628" s="44">
        <f t="shared" ref="Q1628:Q1659" si="167">IF(P1628="en cours",N1628,IF(P1628="OK",0,IF(N1628-P1628&lt;0,0,N1628-P1628)))</f>
        <v>0</v>
      </c>
      <c r="R1628" s="24">
        <f t="shared" ref="R1628:R1650" si="168">IF(P1628="OK",N1628-Q1628,IF(P1628="en cours",N1628-Q1628,P1628))</f>
        <v>305666</v>
      </c>
    </row>
    <row r="1629" spans="2:19" hidden="1" x14ac:dyDescent="0.25">
      <c r="B1629" s="21" t="s">
        <v>395</v>
      </c>
      <c r="C1629" s="22" t="s">
        <v>1940</v>
      </c>
      <c r="D1629" s="22"/>
      <c r="E1629" s="21" t="s">
        <v>75</v>
      </c>
      <c r="F1629" s="21"/>
      <c r="G1629" s="147" t="s">
        <v>100</v>
      </c>
      <c r="H1629" s="23" t="s">
        <v>1578</v>
      </c>
      <c r="I1629" s="23" t="s">
        <v>7834</v>
      </c>
      <c r="J1629" s="21" t="s">
        <v>1442</v>
      </c>
      <c r="K1629" s="120"/>
      <c r="L1629" s="21"/>
      <c r="M1629" s="26" t="s">
        <v>1760</v>
      </c>
      <c r="N1629" s="44">
        <v>120576</v>
      </c>
      <c r="O1629" s="22" t="s">
        <v>15</v>
      </c>
      <c r="P1629" s="22" t="s">
        <v>19</v>
      </c>
      <c r="Q1629" s="44">
        <f t="shared" si="167"/>
        <v>0</v>
      </c>
      <c r="R1629" s="24">
        <f t="shared" si="168"/>
        <v>120576</v>
      </c>
    </row>
    <row r="1630" spans="2:19" hidden="1" x14ac:dyDescent="0.25">
      <c r="B1630" s="21" t="s">
        <v>395</v>
      </c>
      <c r="C1630" s="22" t="s">
        <v>1940</v>
      </c>
      <c r="D1630" s="22"/>
      <c r="E1630" s="21" t="s">
        <v>75</v>
      </c>
      <c r="F1630" s="21"/>
      <c r="G1630" s="147" t="s">
        <v>100</v>
      </c>
      <c r="H1630" s="23" t="s">
        <v>1578</v>
      </c>
      <c r="I1630" s="23" t="s">
        <v>7834</v>
      </c>
      <c r="J1630" s="21" t="s">
        <v>1553</v>
      </c>
      <c r="K1630" s="120"/>
      <c r="L1630" s="21"/>
      <c r="M1630" s="26" t="s">
        <v>1668</v>
      </c>
      <c r="N1630" s="44">
        <v>120576</v>
      </c>
      <c r="O1630" s="22" t="s">
        <v>15</v>
      </c>
      <c r="P1630" s="22" t="s">
        <v>19</v>
      </c>
      <c r="Q1630" s="44">
        <f t="shared" si="167"/>
        <v>0</v>
      </c>
      <c r="R1630" s="24">
        <f t="shared" si="168"/>
        <v>120576</v>
      </c>
    </row>
    <row r="1631" spans="2:19" hidden="1" x14ac:dyDescent="0.25">
      <c r="B1631" s="21" t="s">
        <v>395</v>
      </c>
      <c r="C1631" s="22" t="s">
        <v>1940</v>
      </c>
      <c r="D1631" s="22"/>
      <c r="E1631" s="21" t="s">
        <v>75</v>
      </c>
      <c r="F1631" s="21"/>
      <c r="G1631" s="147" t="s">
        <v>100</v>
      </c>
      <c r="H1631" s="23" t="s">
        <v>1578</v>
      </c>
      <c r="I1631" s="23" t="s">
        <v>7834</v>
      </c>
      <c r="J1631" s="21" t="s">
        <v>1554</v>
      </c>
      <c r="K1631" s="120"/>
      <c r="L1631" s="21"/>
      <c r="M1631" s="26" t="s">
        <v>1821</v>
      </c>
      <c r="N1631" s="44">
        <v>200961</v>
      </c>
      <c r="O1631" s="22" t="s">
        <v>15</v>
      </c>
      <c r="P1631" s="22" t="s">
        <v>19</v>
      </c>
      <c r="Q1631" s="44">
        <f t="shared" si="167"/>
        <v>0</v>
      </c>
      <c r="R1631" s="24">
        <f t="shared" si="168"/>
        <v>200961</v>
      </c>
      <c r="S1631" s="5" t="s">
        <v>1787</v>
      </c>
    </row>
    <row r="1632" spans="2:19" hidden="1" x14ac:dyDescent="0.25">
      <c r="B1632" s="21" t="s">
        <v>395</v>
      </c>
      <c r="C1632" s="22" t="s">
        <v>1940</v>
      </c>
      <c r="D1632" s="22"/>
      <c r="E1632" s="21" t="s">
        <v>75</v>
      </c>
      <c r="F1632" s="21"/>
      <c r="G1632" s="147" t="s">
        <v>100</v>
      </c>
      <c r="H1632" s="23" t="s">
        <v>1578</v>
      </c>
      <c r="I1632" s="23" t="s">
        <v>7834</v>
      </c>
      <c r="J1632" s="21" t="s">
        <v>1555</v>
      </c>
      <c r="K1632" s="120"/>
      <c r="L1632" s="21" t="s">
        <v>2389</v>
      </c>
      <c r="M1632" s="26">
        <v>43774</v>
      </c>
      <c r="N1632" s="44">
        <v>200961</v>
      </c>
      <c r="O1632" s="22" t="s">
        <v>15</v>
      </c>
      <c r="P1632" s="22" t="s">
        <v>19</v>
      </c>
      <c r="Q1632" s="44">
        <f t="shared" si="167"/>
        <v>0</v>
      </c>
      <c r="R1632" s="24">
        <f t="shared" si="168"/>
        <v>200961</v>
      </c>
    </row>
    <row r="1633" spans="2:18" hidden="1" x14ac:dyDescent="0.25">
      <c r="B1633" s="21" t="s">
        <v>395</v>
      </c>
      <c r="C1633" s="22" t="s">
        <v>1940</v>
      </c>
      <c r="D1633" s="22"/>
      <c r="E1633" s="21" t="s">
        <v>75</v>
      </c>
      <c r="F1633" s="21"/>
      <c r="G1633" s="147" t="s">
        <v>100</v>
      </c>
      <c r="H1633" s="188" t="s">
        <v>3112</v>
      </c>
      <c r="I1633" s="188" t="s">
        <v>7834</v>
      </c>
      <c r="J1633" s="176" t="s">
        <v>3107</v>
      </c>
      <c r="K1633" s="120"/>
      <c r="L1633" s="21"/>
      <c r="M1633" s="120"/>
      <c r="N1633" s="44">
        <v>0</v>
      </c>
      <c r="O1633" s="22" t="s">
        <v>15</v>
      </c>
      <c r="P1633" s="44" t="s">
        <v>19</v>
      </c>
      <c r="Q1633" s="44">
        <f t="shared" si="167"/>
        <v>0</v>
      </c>
      <c r="R1633" s="24">
        <f t="shared" si="168"/>
        <v>0</v>
      </c>
    </row>
    <row r="1634" spans="2:18" hidden="1" x14ac:dyDescent="0.25">
      <c r="B1634" s="21" t="s">
        <v>395</v>
      </c>
      <c r="C1634" s="22" t="s">
        <v>1940</v>
      </c>
      <c r="D1634" s="22"/>
      <c r="E1634" s="21" t="s">
        <v>75</v>
      </c>
      <c r="F1634" s="21"/>
      <c r="G1634" s="147" t="s">
        <v>100</v>
      </c>
      <c r="H1634" s="188" t="s">
        <v>3112</v>
      </c>
      <c r="I1634" s="188" t="s">
        <v>7834</v>
      </c>
      <c r="J1634" s="176" t="s">
        <v>3108</v>
      </c>
      <c r="K1634" s="120"/>
      <c r="L1634" s="21"/>
      <c r="M1634" s="120"/>
      <c r="N1634" s="44">
        <v>0</v>
      </c>
      <c r="O1634" s="22" t="s">
        <v>15</v>
      </c>
      <c r="P1634" s="44" t="s">
        <v>19</v>
      </c>
      <c r="Q1634" s="44">
        <f t="shared" si="167"/>
        <v>0</v>
      </c>
      <c r="R1634" s="24">
        <f t="shared" si="168"/>
        <v>0</v>
      </c>
    </row>
    <row r="1635" spans="2:18" ht="15.75" hidden="1" customHeight="1" x14ac:dyDescent="0.25">
      <c r="B1635" s="21" t="s">
        <v>395</v>
      </c>
      <c r="C1635" s="22" t="s">
        <v>1940</v>
      </c>
      <c r="D1635" s="22"/>
      <c r="E1635" s="21" t="s">
        <v>75</v>
      </c>
      <c r="F1635" s="21"/>
      <c r="G1635" s="147" t="s">
        <v>100</v>
      </c>
      <c r="H1635" s="188" t="s">
        <v>3112</v>
      </c>
      <c r="I1635" s="188" t="s">
        <v>7834</v>
      </c>
      <c r="J1635" s="176" t="s">
        <v>3109</v>
      </c>
      <c r="K1635" s="120"/>
      <c r="L1635" s="21"/>
      <c r="M1635" s="120"/>
      <c r="N1635" s="44">
        <v>0</v>
      </c>
      <c r="O1635" s="22" t="s">
        <v>15</v>
      </c>
      <c r="P1635" s="44" t="s">
        <v>19</v>
      </c>
      <c r="Q1635" s="44">
        <f t="shared" si="167"/>
        <v>0</v>
      </c>
      <c r="R1635" s="24">
        <f t="shared" si="168"/>
        <v>0</v>
      </c>
    </row>
    <row r="1636" spans="2:18" hidden="1" x14ac:dyDescent="0.25">
      <c r="B1636" s="21" t="s">
        <v>395</v>
      </c>
      <c r="C1636" s="22" t="s">
        <v>1940</v>
      </c>
      <c r="D1636" s="22"/>
      <c r="E1636" s="21" t="s">
        <v>75</v>
      </c>
      <c r="F1636" s="21"/>
      <c r="G1636" s="147" t="s">
        <v>100</v>
      </c>
      <c r="H1636" s="188" t="s">
        <v>3112</v>
      </c>
      <c r="I1636" s="188" t="s">
        <v>7834</v>
      </c>
      <c r="J1636" s="176" t="s">
        <v>3110</v>
      </c>
      <c r="K1636" s="120"/>
      <c r="L1636" s="21"/>
      <c r="M1636" s="120"/>
      <c r="N1636" s="44">
        <v>0</v>
      </c>
      <c r="O1636" s="22" t="s">
        <v>15</v>
      </c>
      <c r="P1636" s="44" t="s">
        <v>19</v>
      </c>
      <c r="Q1636" s="44">
        <f t="shared" si="167"/>
        <v>0</v>
      </c>
      <c r="R1636" s="24">
        <f t="shared" si="168"/>
        <v>0</v>
      </c>
    </row>
    <row r="1637" spans="2:18" ht="15.75" hidden="1" customHeight="1" x14ac:dyDescent="0.25">
      <c r="B1637" s="21" t="s">
        <v>395</v>
      </c>
      <c r="C1637" s="22" t="s">
        <v>1940</v>
      </c>
      <c r="D1637" s="22"/>
      <c r="E1637" s="21" t="s">
        <v>75</v>
      </c>
      <c r="F1637" s="21"/>
      <c r="G1637" s="147" t="s">
        <v>100</v>
      </c>
      <c r="H1637" s="188" t="s">
        <v>3112</v>
      </c>
      <c r="I1637" s="188" t="s">
        <v>7834</v>
      </c>
      <c r="J1637" s="176" t="s">
        <v>3111</v>
      </c>
      <c r="K1637" s="120"/>
      <c r="L1637" s="21"/>
      <c r="M1637" s="120"/>
      <c r="N1637" s="44">
        <v>0</v>
      </c>
      <c r="O1637" s="22" t="s">
        <v>15</v>
      </c>
      <c r="P1637" s="44" t="s">
        <v>19</v>
      </c>
      <c r="Q1637" s="44">
        <f t="shared" si="167"/>
        <v>0</v>
      </c>
      <c r="R1637" s="24">
        <f t="shared" si="168"/>
        <v>0</v>
      </c>
    </row>
    <row r="1638" spans="2:18" ht="15.75" hidden="1" customHeight="1" x14ac:dyDescent="0.25">
      <c r="B1638" s="21" t="s">
        <v>395</v>
      </c>
      <c r="C1638" s="22" t="s">
        <v>1940</v>
      </c>
      <c r="D1638" s="22"/>
      <c r="E1638" s="21" t="s">
        <v>75</v>
      </c>
      <c r="F1638" s="21"/>
      <c r="G1638" s="147" t="s">
        <v>100</v>
      </c>
      <c r="H1638" s="23" t="s">
        <v>1578</v>
      </c>
      <c r="I1638" s="23" t="s">
        <v>7834</v>
      </c>
      <c r="J1638" s="21" t="s">
        <v>3113</v>
      </c>
      <c r="K1638" s="120"/>
      <c r="L1638" s="21" t="s">
        <v>1880</v>
      </c>
      <c r="M1638" s="47" t="s">
        <v>1884</v>
      </c>
      <c r="N1638" s="44">
        <v>26212</v>
      </c>
      <c r="O1638" s="22" t="s">
        <v>15</v>
      </c>
      <c r="P1638" s="22" t="s">
        <v>19</v>
      </c>
      <c r="Q1638" s="44">
        <f t="shared" si="167"/>
        <v>0</v>
      </c>
      <c r="R1638" s="24">
        <f t="shared" si="168"/>
        <v>26212</v>
      </c>
    </row>
    <row r="1639" spans="2:18" ht="15.75" hidden="1" customHeight="1" x14ac:dyDescent="0.25">
      <c r="B1639" s="21" t="s">
        <v>395</v>
      </c>
      <c r="C1639" s="22" t="s">
        <v>1940</v>
      </c>
      <c r="D1639" s="22"/>
      <c r="E1639" s="21" t="s">
        <v>75</v>
      </c>
      <c r="F1639" s="21"/>
      <c r="G1639" s="147" t="s">
        <v>100</v>
      </c>
      <c r="H1639" s="23" t="s">
        <v>1578</v>
      </c>
      <c r="I1639" s="23" t="s">
        <v>7834</v>
      </c>
      <c r="J1639" s="21" t="s">
        <v>3113</v>
      </c>
      <c r="K1639" s="120"/>
      <c r="L1639" s="21" t="s">
        <v>1880</v>
      </c>
      <c r="M1639" s="47" t="s">
        <v>1884</v>
      </c>
      <c r="N1639" s="44">
        <v>26212</v>
      </c>
      <c r="O1639" s="22" t="s">
        <v>15</v>
      </c>
      <c r="P1639" s="22" t="s">
        <v>19</v>
      </c>
      <c r="Q1639" s="44">
        <f t="shared" si="167"/>
        <v>0</v>
      </c>
      <c r="R1639" s="24">
        <f t="shared" si="168"/>
        <v>26212</v>
      </c>
    </row>
    <row r="1640" spans="2:18" ht="15.75" hidden="1" customHeight="1" x14ac:dyDescent="0.25">
      <c r="B1640" s="21" t="s">
        <v>395</v>
      </c>
      <c r="C1640" s="22" t="s">
        <v>1940</v>
      </c>
      <c r="D1640" s="22"/>
      <c r="E1640" s="21" t="s">
        <v>75</v>
      </c>
      <c r="F1640" s="21"/>
      <c r="G1640" s="147" t="s">
        <v>100</v>
      </c>
      <c r="H1640" s="23" t="s">
        <v>1578</v>
      </c>
      <c r="I1640" s="23" t="s">
        <v>7834</v>
      </c>
      <c r="J1640" s="21" t="s">
        <v>3113</v>
      </c>
      <c r="K1640" s="120"/>
      <c r="L1640" s="21" t="s">
        <v>1880</v>
      </c>
      <c r="M1640" s="47" t="s">
        <v>1884</v>
      </c>
      <c r="N1640" s="44">
        <v>26212</v>
      </c>
      <c r="O1640" s="22" t="s">
        <v>15</v>
      </c>
      <c r="P1640" s="22" t="s">
        <v>19</v>
      </c>
      <c r="Q1640" s="44">
        <f t="shared" si="167"/>
        <v>0</v>
      </c>
      <c r="R1640" s="24">
        <f t="shared" si="168"/>
        <v>26212</v>
      </c>
    </row>
    <row r="1641" spans="2:18" ht="15.75" hidden="1" customHeight="1" x14ac:dyDescent="0.25">
      <c r="B1641" s="21" t="s">
        <v>395</v>
      </c>
      <c r="C1641" s="22" t="s">
        <v>1940</v>
      </c>
      <c r="D1641" s="22"/>
      <c r="E1641" s="21" t="s">
        <v>75</v>
      </c>
      <c r="F1641" s="21"/>
      <c r="G1641" s="147" t="s">
        <v>100</v>
      </c>
      <c r="H1641" s="23" t="s">
        <v>1578</v>
      </c>
      <c r="I1641" s="23" t="s">
        <v>7834</v>
      </c>
      <c r="J1641" s="21" t="s">
        <v>3113</v>
      </c>
      <c r="K1641" s="120"/>
      <c r="L1641" s="21" t="s">
        <v>1880</v>
      </c>
      <c r="M1641" s="47" t="s">
        <v>1884</v>
      </c>
      <c r="N1641" s="44">
        <v>26212</v>
      </c>
      <c r="O1641" s="22" t="s">
        <v>15</v>
      </c>
      <c r="P1641" s="22" t="s">
        <v>19</v>
      </c>
      <c r="Q1641" s="44">
        <f t="shared" si="167"/>
        <v>0</v>
      </c>
      <c r="R1641" s="24">
        <f t="shared" si="168"/>
        <v>26212</v>
      </c>
    </row>
    <row r="1642" spans="2:18" ht="15.75" hidden="1" customHeight="1" x14ac:dyDescent="0.25">
      <c r="B1642" s="21" t="s">
        <v>395</v>
      </c>
      <c r="C1642" s="22" t="s">
        <v>1940</v>
      </c>
      <c r="D1642" s="22"/>
      <c r="E1642" s="21" t="s">
        <v>75</v>
      </c>
      <c r="F1642" s="21"/>
      <c r="G1642" s="147" t="s">
        <v>100</v>
      </c>
      <c r="H1642" s="23" t="s">
        <v>1578</v>
      </c>
      <c r="I1642" s="23" t="s">
        <v>7834</v>
      </c>
      <c r="J1642" s="21" t="s">
        <v>3113</v>
      </c>
      <c r="K1642" s="120"/>
      <c r="L1642" s="21" t="s">
        <v>1881</v>
      </c>
      <c r="M1642" s="47" t="s">
        <v>1885</v>
      </c>
      <c r="N1642" s="44">
        <v>26212</v>
      </c>
      <c r="O1642" s="22" t="s">
        <v>15</v>
      </c>
      <c r="P1642" s="22" t="s">
        <v>19</v>
      </c>
      <c r="Q1642" s="44">
        <f t="shared" si="167"/>
        <v>0</v>
      </c>
      <c r="R1642" s="24">
        <f t="shared" si="168"/>
        <v>26212</v>
      </c>
    </row>
    <row r="1643" spans="2:18" ht="15.75" hidden="1" customHeight="1" x14ac:dyDescent="0.25">
      <c r="B1643" s="21" t="s">
        <v>395</v>
      </c>
      <c r="C1643" s="22" t="s">
        <v>1940</v>
      </c>
      <c r="D1643" s="22"/>
      <c r="E1643" s="21" t="s">
        <v>75</v>
      </c>
      <c r="F1643" s="21"/>
      <c r="G1643" s="147" t="s">
        <v>100</v>
      </c>
      <c r="H1643" s="23" t="s">
        <v>1578</v>
      </c>
      <c r="I1643" s="23" t="s">
        <v>7834</v>
      </c>
      <c r="J1643" s="21" t="s">
        <v>3113</v>
      </c>
      <c r="K1643" s="120"/>
      <c r="L1643" s="21" t="s">
        <v>1882</v>
      </c>
      <c r="M1643" s="47" t="s">
        <v>1886</v>
      </c>
      <c r="N1643" s="44">
        <v>26212</v>
      </c>
      <c r="O1643" s="22" t="s">
        <v>15</v>
      </c>
      <c r="P1643" s="22" t="s">
        <v>19</v>
      </c>
      <c r="Q1643" s="44">
        <f t="shared" si="167"/>
        <v>0</v>
      </c>
      <c r="R1643" s="24">
        <f t="shared" si="168"/>
        <v>26212</v>
      </c>
    </row>
    <row r="1644" spans="2:18" ht="15.75" hidden="1" customHeight="1" x14ac:dyDescent="0.25">
      <c r="B1644" s="21" t="s">
        <v>395</v>
      </c>
      <c r="C1644" s="22" t="s">
        <v>1940</v>
      </c>
      <c r="D1644" s="22"/>
      <c r="E1644" s="21" t="s">
        <v>75</v>
      </c>
      <c r="F1644" s="21"/>
      <c r="G1644" s="147" t="s">
        <v>100</v>
      </c>
      <c r="H1644" s="23" t="s">
        <v>1578</v>
      </c>
      <c r="I1644" s="23" t="s">
        <v>7834</v>
      </c>
      <c r="J1644" s="21" t="s">
        <v>3113</v>
      </c>
      <c r="K1644" s="120"/>
      <c r="L1644" s="21" t="s">
        <v>1883</v>
      </c>
      <c r="M1644" s="47" t="s">
        <v>1887</v>
      </c>
      <c r="N1644" s="44">
        <v>26212</v>
      </c>
      <c r="O1644" s="22" t="s">
        <v>15</v>
      </c>
      <c r="P1644" s="22" t="s">
        <v>19</v>
      </c>
      <c r="Q1644" s="44">
        <f t="shared" si="167"/>
        <v>0</v>
      </c>
      <c r="R1644" s="24">
        <f t="shared" si="168"/>
        <v>26212</v>
      </c>
    </row>
    <row r="1645" spans="2:18" ht="15.75" hidden="1" customHeight="1" x14ac:dyDescent="0.25">
      <c r="B1645" s="21" t="s">
        <v>395</v>
      </c>
      <c r="C1645" s="22" t="s">
        <v>1940</v>
      </c>
      <c r="D1645" s="22"/>
      <c r="E1645" s="21" t="s">
        <v>75</v>
      </c>
      <c r="F1645" s="21"/>
      <c r="G1645" s="147" t="s">
        <v>100</v>
      </c>
      <c r="H1645" s="23" t="s">
        <v>1578</v>
      </c>
      <c r="I1645" s="23" t="s">
        <v>7834</v>
      </c>
      <c r="J1645" s="21" t="s">
        <v>3113</v>
      </c>
      <c r="K1645" s="120"/>
      <c r="L1645" s="21" t="s">
        <v>1888</v>
      </c>
      <c r="M1645" s="26">
        <v>43710</v>
      </c>
      <c r="N1645" s="44">
        <v>26212</v>
      </c>
      <c r="O1645" s="22" t="s">
        <v>15</v>
      </c>
      <c r="P1645" s="22" t="s">
        <v>19</v>
      </c>
      <c r="Q1645" s="44">
        <f t="shared" si="167"/>
        <v>0</v>
      </c>
      <c r="R1645" s="24">
        <f t="shared" si="168"/>
        <v>26212</v>
      </c>
    </row>
    <row r="1646" spans="2:18" hidden="1" x14ac:dyDescent="0.25">
      <c r="B1646" s="21" t="s">
        <v>395</v>
      </c>
      <c r="C1646" s="22" t="s">
        <v>1940</v>
      </c>
      <c r="D1646" s="22"/>
      <c r="E1646" s="21" t="s">
        <v>75</v>
      </c>
      <c r="F1646" s="21"/>
      <c r="G1646" s="147" t="s">
        <v>100</v>
      </c>
      <c r="H1646" s="23" t="s">
        <v>1578</v>
      </c>
      <c r="I1646" s="23" t="s">
        <v>7834</v>
      </c>
      <c r="J1646" s="21" t="s">
        <v>3113</v>
      </c>
      <c r="K1646" s="120"/>
      <c r="L1646" s="21" t="s">
        <v>2084</v>
      </c>
      <c r="M1646" s="26">
        <v>43739</v>
      </c>
      <c r="N1646" s="44">
        <v>26212</v>
      </c>
      <c r="O1646" s="22" t="s">
        <v>15</v>
      </c>
      <c r="P1646" s="22" t="s">
        <v>19</v>
      </c>
      <c r="Q1646" s="44">
        <f t="shared" si="167"/>
        <v>0</v>
      </c>
      <c r="R1646" s="24">
        <f t="shared" si="168"/>
        <v>26212</v>
      </c>
    </row>
    <row r="1647" spans="2:18" hidden="1" x14ac:dyDescent="0.25">
      <c r="B1647" s="21" t="s">
        <v>395</v>
      </c>
      <c r="C1647" s="22" t="s">
        <v>1940</v>
      </c>
      <c r="D1647" s="22"/>
      <c r="E1647" s="21" t="s">
        <v>75</v>
      </c>
      <c r="F1647" s="21"/>
      <c r="G1647" s="147" t="s">
        <v>100</v>
      </c>
      <c r="H1647" s="23" t="s">
        <v>1578</v>
      </c>
      <c r="I1647" s="23" t="s">
        <v>7834</v>
      </c>
      <c r="J1647" s="21" t="s">
        <v>3113</v>
      </c>
      <c r="K1647" s="120"/>
      <c r="L1647" s="21" t="s">
        <v>2362</v>
      </c>
      <c r="M1647" s="26">
        <v>43773</v>
      </c>
      <c r="N1647" s="44">
        <v>26212</v>
      </c>
      <c r="O1647" s="22" t="s">
        <v>15</v>
      </c>
      <c r="P1647" s="22" t="s">
        <v>19</v>
      </c>
      <c r="Q1647" s="44">
        <f t="shared" si="167"/>
        <v>0</v>
      </c>
      <c r="R1647" s="24">
        <f t="shared" si="168"/>
        <v>26212</v>
      </c>
    </row>
    <row r="1648" spans="2:18" hidden="1" x14ac:dyDescent="0.25">
      <c r="B1648" s="21" t="s">
        <v>395</v>
      </c>
      <c r="C1648" s="22" t="s">
        <v>1940</v>
      </c>
      <c r="D1648" s="22"/>
      <c r="E1648" s="21" t="s">
        <v>75</v>
      </c>
      <c r="F1648" s="21"/>
      <c r="G1648" s="147" t="s">
        <v>100</v>
      </c>
      <c r="H1648" s="23" t="s">
        <v>1578</v>
      </c>
      <c r="I1648" s="23" t="s">
        <v>7834</v>
      </c>
      <c r="J1648" s="21" t="s">
        <v>3113</v>
      </c>
      <c r="K1648" s="120"/>
      <c r="L1648" s="21" t="s">
        <v>2582</v>
      </c>
      <c r="M1648" s="26">
        <v>43801</v>
      </c>
      <c r="N1648" s="44">
        <v>26212</v>
      </c>
      <c r="O1648" s="22" t="s">
        <v>15</v>
      </c>
      <c r="P1648" s="22" t="s">
        <v>19</v>
      </c>
      <c r="Q1648" s="44">
        <f t="shared" si="167"/>
        <v>0</v>
      </c>
      <c r="R1648" s="24">
        <f t="shared" si="168"/>
        <v>26212</v>
      </c>
    </row>
    <row r="1649" spans="2:19" hidden="1" x14ac:dyDescent="0.25">
      <c r="B1649" s="21" t="s">
        <v>395</v>
      </c>
      <c r="C1649" s="22" t="s">
        <v>1940</v>
      </c>
      <c r="D1649" s="22"/>
      <c r="E1649" s="21" t="s">
        <v>75</v>
      </c>
      <c r="F1649" s="21"/>
      <c r="G1649" s="147" t="s">
        <v>100</v>
      </c>
      <c r="H1649" s="23" t="s">
        <v>1578</v>
      </c>
      <c r="I1649" s="23" t="s">
        <v>7834</v>
      </c>
      <c r="J1649" s="21" t="s">
        <v>3113</v>
      </c>
      <c r="K1649" s="120"/>
      <c r="L1649" s="21" t="s">
        <v>3015</v>
      </c>
      <c r="M1649" s="26">
        <v>43832</v>
      </c>
      <c r="N1649" s="44">
        <v>26212</v>
      </c>
      <c r="O1649" s="22" t="s">
        <v>15</v>
      </c>
      <c r="P1649" s="22" t="s">
        <v>19</v>
      </c>
      <c r="Q1649" s="44">
        <f t="shared" si="167"/>
        <v>0</v>
      </c>
      <c r="R1649" s="24">
        <f t="shared" si="168"/>
        <v>26212</v>
      </c>
      <c r="S1649" s="5" t="s">
        <v>2976</v>
      </c>
    </row>
    <row r="1650" spans="2:19" hidden="1" x14ac:dyDescent="0.25">
      <c r="B1650" s="21" t="s">
        <v>395</v>
      </c>
      <c r="C1650" s="22" t="s">
        <v>1940</v>
      </c>
      <c r="D1650" s="22"/>
      <c r="E1650" s="21" t="s">
        <v>75</v>
      </c>
      <c r="F1650" s="21"/>
      <c r="G1650" s="147" t="s">
        <v>100</v>
      </c>
      <c r="H1650" s="23" t="s">
        <v>1578</v>
      </c>
      <c r="I1650" s="23" t="s">
        <v>7834</v>
      </c>
      <c r="J1650" s="21" t="s">
        <v>3113</v>
      </c>
      <c r="K1650" s="120"/>
      <c r="L1650" s="21" t="s">
        <v>2810</v>
      </c>
      <c r="M1650" s="26">
        <v>43864</v>
      </c>
      <c r="N1650" s="44">
        <v>26212</v>
      </c>
      <c r="O1650" s="22" t="s">
        <v>15</v>
      </c>
      <c r="P1650" s="22" t="s">
        <v>19</v>
      </c>
      <c r="Q1650" s="44">
        <f t="shared" si="167"/>
        <v>0</v>
      </c>
      <c r="R1650" s="24">
        <f t="shared" si="168"/>
        <v>26212</v>
      </c>
    </row>
    <row r="1651" spans="2:19" hidden="1" x14ac:dyDescent="0.25">
      <c r="B1651" s="21" t="s">
        <v>395</v>
      </c>
      <c r="C1651" s="22" t="s">
        <v>1940</v>
      </c>
      <c r="D1651" s="22"/>
      <c r="E1651" s="21" t="s">
        <v>75</v>
      </c>
      <c r="F1651" s="21"/>
      <c r="G1651" s="147" t="s">
        <v>100</v>
      </c>
      <c r="H1651" s="23" t="s">
        <v>1578</v>
      </c>
      <c r="I1651" s="23" t="s">
        <v>7834</v>
      </c>
      <c r="J1651" s="21" t="s">
        <v>3113</v>
      </c>
      <c r="K1651" s="120"/>
      <c r="L1651" s="21" t="s">
        <v>2977</v>
      </c>
      <c r="M1651" s="26">
        <v>43892</v>
      </c>
      <c r="N1651" s="44">
        <v>26212</v>
      </c>
      <c r="O1651" s="22" t="s">
        <v>15</v>
      </c>
      <c r="P1651" s="22" t="s">
        <v>19</v>
      </c>
      <c r="Q1651" s="44">
        <f t="shared" si="167"/>
        <v>0</v>
      </c>
      <c r="R1651" s="24">
        <f t="shared" ref="R1651:R1714" si="169">IF(P1651="OK",N1651-Q1651,IF(P1651="en cours",N1651-Q1651,P1651))</f>
        <v>26212</v>
      </c>
    </row>
    <row r="1652" spans="2:19" hidden="1" x14ac:dyDescent="0.25">
      <c r="B1652" s="21" t="s">
        <v>395</v>
      </c>
      <c r="C1652" s="22" t="s">
        <v>1940</v>
      </c>
      <c r="D1652" s="22"/>
      <c r="E1652" s="21" t="s">
        <v>75</v>
      </c>
      <c r="F1652" s="21"/>
      <c r="G1652" s="147" t="s">
        <v>100</v>
      </c>
      <c r="H1652" s="23" t="s">
        <v>1578</v>
      </c>
      <c r="I1652" s="23" t="s">
        <v>7834</v>
      </c>
      <c r="J1652" s="21" t="s">
        <v>1560</v>
      </c>
      <c r="K1652" s="120"/>
      <c r="L1652" s="21" t="s">
        <v>2943</v>
      </c>
      <c r="M1652" s="26" t="s">
        <v>2942</v>
      </c>
      <c r="N1652" s="44">
        <v>0</v>
      </c>
      <c r="O1652" s="22" t="s">
        <v>15</v>
      </c>
      <c r="P1652" s="22">
        <v>0</v>
      </c>
      <c r="Q1652" s="44">
        <f t="shared" si="167"/>
        <v>0</v>
      </c>
      <c r="R1652" s="24">
        <f t="shared" si="169"/>
        <v>0</v>
      </c>
      <c r="S1652" s="5" t="s">
        <v>5474</v>
      </c>
    </row>
    <row r="1653" spans="2:19" hidden="1" x14ac:dyDescent="0.25">
      <c r="B1653" s="21" t="s">
        <v>395</v>
      </c>
      <c r="C1653" s="22" t="s">
        <v>1940</v>
      </c>
      <c r="D1653" s="22"/>
      <c r="E1653" s="21" t="s">
        <v>75</v>
      </c>
      <c r="F1653" s="21"/>
      <c r="G1653" s="147" t="s">
        <v>100</v>
      </c>
      <c r="H1653" s="23" t="s">
        <v>1578</v>
      </c>
      <c r="I1653" s="23" t="s">
        <v>7834</v>
      </c>
      <c r="J1653" s="21" t="s">
        <v>1560</v>
      </c>
      <c r="K1653" s="120"/>
      <c r="L1653" s="21" t="s">
        <v>2945</v>
      </c>
      <c r="M1653" s="26" t="s">
        <v>2944</v>
      </c>
      <c r="N1653" s="44">
        <v>0</v>
      </c>
      <c r="O1653" s="22" t="s">
        <v>15</v>
      </c>
      <c r="P1653" s="22">
        <v>0</v>
      </c>
      <c r="Q1653" s="44">
        <f t="shared" si="167"/>
        <v>0</v>
      </c>
      <c r="R1653" s="24">
        <f t="shared" si="169"/>
        <v>0</v>
      </c>
      <c r="S1653" s="5" t="s">
        <v>5474</v>
      </c>
    </row>
    <row r="1654" spans="2:19" hidden="1" x14ac:dyDescent="0.25">
      <c r="B1654" s="21" t="s">
        <v>395</v>
      </c>
      <c r="C1654" s="22" t="s">
        <v>1940</v>
      </c>
      <c r="D1654" s="22"/>
      <c r="E1654" s="21" t="s">
        <v>75</v>
      </c>
      <c r="F1654" s="21"/>
      <c r="G1654" s="147" t="s">
        <v>100</v>
      </c>
      <c r="H1654" s="23" t="s">
        <v>1578</v>
      </c>
      <c r="I1654" s="23" t="s">
        <v>7834</v>
      </c>
      <c r="J1654" s="21" t="s">
        <v>1560</v>
      </c>
      <c r="K1654" s="120"/>
      <c r="L1654" s="21" t="s">
        <v>2946</v>
      </c>
      <c r="M1654" s="26" t="s">
        <v>2947</v>
      </c>
      <c r="N1654" s="44">
        <v>0</v>
      </c>
      <c r="O1654" s="22" t="s">
        <v>15</v>
      </c>
      <c r="P1654" s="22">
        <v>0</v>
      </c>
      <c r="Q1654" s="44">
        <f t="shared" si="167"/>
        <v>0</v>
      </c>
      <c r="R1654" s="24">
        <f t="shared" si="169"/>
        <v>0</v>
      </c>
      <c r="S1654" s="5" t="s">
        <v>5474</v>
      </c>
    </row>
    <row r="1655" spans="2:19" hidden="1" x14ac:dyDescent="0.25">
      <c r="B1655" s="21" t="s">
        <v>395</v>
      </c>
      <c r="C1655" s="22" t="s">
        <v>1940</v>
      </c>
      <c r="D1655" s="22"/>
      <c r="E1655" s="21" t="s">
        <v>75</v>
      </c>
      <c r="F1655" s="21"/>
      <c r="G1655" s="147" t="s">
        <v>100</v>
      </c>
      <c r="H1655" s="23" t="s">
        <v>1578</v>
      </c>
      <c r="I1655" s="23" t="s">
        <v>7834</v>
      </c>
      <c r="J1655" s="21" t="s">
        <v>1563</v>
      </c>
      <c r="K1655" s="120"/>
      <c r="L1655" s="47" t="s">
        <v>4884</v>
      </c>
      <c r="M1655" s="26" t="s">
        <v>4885</v>
      </c>
      <c r="N1655" s="44">
        <v>0</v>
      </c>
      <c r="O1655" s="22" t="s">
        <v>15</v>
      </c>
      <c r="P1655" s="22">
        <v>0</v>
      </c>
      <c r="Q1655" s="44">
        <f t="shared" si="167"/>
        <v>0</v>
      </c>
      <c r="R1655" s="24">
        <f t="shared" si="169"/>
        <v>0</v>
      </c>
      <c r="S1655" s="5" t="s">
        <v>5474</v>
      </c>
    </row>
    <row r="1656" spans="2:19" hidden="1" x14ac:dyDescent="0.25">
      <c r="B1656" s="21" t="s">
        <v>395</v>
      </c>
      <c r="C1656" s="22" t="s">
        <v>1940</v>
      </c>
      <c r="D1656" s="22"/>
      <c r="E1656" s="21" t="s">
        <v>75</v>
      </c>
      <c r="F1656" s="21"/>
      <c r="G1656" s="147" t="s">
        <v>100</v>
      </c>
      <c r="H1656" s="23" t="s">
        <v>1578</v>
      </c>
      <c r="I1656" s="23" t="s">
        <v>7834</v>
      </c>
      <c r="J1656" s="21" t="s">
        <v>1563</v>
      </c>
      <c r="K1656" s="120"/>
      <c r="L1656" s="47" t="s">
        <v>3116</v>
      </c>
      <c r="M1656" s="26">
        <v>43637</v>
      </c>
      <c r="N1656" s="44">
        <v>0</v>
      </c>
      <c r="O1656" s="22" t="s">
        <v>15</v>
      </c>
      <c r="P1656" s="22">
        <v>0</v>
      </c>
      <c r="Q1656" s="44">
        <f t="shared" si="167"/>
        <v>0</v>
      </c>
      <c r="R1656" s="24">
        <f t="shared" si="169"/>
        <v>0</v>
      </c>
      <c r="S1656" s="5" t="s">
        <v>5474</v>
      </c>
    </row>
    <row r="1657" spans="2:19" hidden="1" x14ac:dyDescent="0.25">
      <c r="B1657" s="21" t="s">
        <v>395</v>
      </c>
      <c r="C1657" s="22" t="s">
        <v>1940</v>
      </c>
      <c r="D1657" s="22"/>
      <c r="E1657" s="21" t="s">
        <v>75</v>
      </c>
      <c r="F1657" s="21"/>
      <c r="G1657" s="147" t="s">
        <v>100</v>
      </c>
      <c r="H1657" s="23" t="s">
        <v>1578</v>
      </c>
      <c r="I1657" s="23" t="s">
        <v>7834</v>
      </c>
      <c r="J1657" s="21" t="s">
        <v>1563</v>
      </c>
      <c r="K1657" s="120"/>
      <c r="L1657" s="47" t="s">
        <v>4768</v>
      </c>
      <c r="M1657" s="26" t="s">
        <v>4769</v>
      </c>
      <c r="N1657" s="44">
        <v>0</v>
      </c>
      <c r="O1657" s="22" t="s">
        <v>15</v>
      </c>
      <c r="P1657" s="22">
        <v>0</v>
      </c>
      <c r="Q1657" s="44">
        <f t="shared" si="167"/>
        <v>0</v>
      </c>
      <c r="R1657" s="24">
        <f t="shared" si="169"/>
        <v>0</v>
      </c>
      <c r="S1657" s="5" t="s">
        <v>5474</v>
      </c>
    </row>
    <row r="1658" spans="2:19" hidden="1" x14ac:dyDescent="0.25">
      <c r="B1658" s="21" t="s">
        <v>395</v>
      </c>
      <c r="C1658" s="22" t="s">
        <v>1940</v>
      </c>
      <c r="D1658" s="22"/>
      <c r="E1658" s="21" t="s">
        <v>75</v>
      </c>
      <c r="F1658" s="21"/>
      <c r="G1658" s="147" t="s">
        <v>100</v>
      </c>
      <c r="H1658" s="23" t="s">
        <v>1578</v>
      </c>
      <c r="I1658" s="23" t="s">
        <v>7834</v>
      </c>
      <c r="J1658" s="21" t="s">
        <v>1564</v>
      </c>
      <c r="K1658" s="120"/>
      <c r="L1658" s="21"/>
      <c r="M1658" s="26" t="s">
        <v>1764</v>
      </c>
      <c r="N1658" s="44">
        <v>0</v>
      </c>
      <c r="O1658" s="22" t="s">
        <v>15</v>
      </c>
      <c r="P1658" s="22">
        <v>0</v>
      </c>
      <c r="Q1658" s="44">
        <f t="shared" si="167"/>
        <v>0</v>
      </c>
      <c r="R1658" s="24">
        <f t="shared" si="169"/>
        <v>0</v>
      </c>
      <c r="S1658" s="5" t="s">
        <v>5474</v>
      </c>
    </row>
    <row r="1659" spans="2:19" hidden="1" x14ac:dyDescent="0.25">
      <c r="B1659" s="21" t="s">
        <v>395</v>
      </c>
      <c r="C1659" s="22" t="s">
        <v>1940</v>
      </c>
      <c r="D1659" s="22"/>
      <c r="E1659" s="21" t="s">
        <v>75</v>
      </c>
      <c r="F1659" s="21"/>
      <c r="G1659" s="147" t="s">
        <v>100</v>
      </c>
      <c r="H1659" s="23" t="s">
        <v>1578</v>
      </c>
      <c r="I1659" s="23" t="s">
        <v>7834</v>
      </c>
      <c r="J1659" s="21" t="s">
        <v>1564</v>
      </c>
      <c r="K1659" s="120"/>
      <c r="L1659" s="21" t="s">
        <v>4962</v>
      </c>
      <c r="M1659" s="26" t="s">
        <v>4963</v>
      </c>
      <c r="N1659" s="44">
        <v>0</v>
      </c>
      <c r="O1659" s="22" t="s">
        <v>15</v>
      </c>
      <c r="P1659" s="22">
        <v>0</v>
      </c>
      <c r="Q1659" s="44">
        <f t="shared" si="167"/>
        <v>0</v>
      </c>
      <c r="R1659" s="24">
        <f t="shared" si="169"/>
        <v>0</v>
      </c>
      <c r="S1659" s="5" t="s">
        <v>5474</v>
      </c>
    </row>
    <row r="1660" spans="2:19" hidden="1" x14ac:dyDescent="0.25">
      <c r="B1660" s="21" t="s">
        <v>395</v>
      </c>
      <c r="C1660" s="22" t="s">
        <v>1940</v>
      </c>
      <c r="D1660" s="22"/>
      <c r="E1660" s="21" t="s">
        <v>75</v>
      </c>
      <c r="F1660" s="21"/>
      <c r="G1660" s="147" t="s">
        <v>100</v>
      </c>
      <c r="H1660" s="23" t="s">
        <v>1578</v>
      </c>
      <c r="I1660" s="23" t="s">
        <v>7834</v>
      </c>
      <c r="J1660" s="21" t="s">
        <v>1565</v>
      </c>
      <c r="K1660" s="120"/>
      <c r="L1660" s="21"/>
      <c r="M1660" s="26" t="s">
        <v>1763</v>
      </c>
      <c r="N1660" s="44">
        <v>0</v>
      </c>
      <c r="O1660" s="22" t="s">
        <v>15</v>
      </c>
      <c r="P1660" s="22">
        <v>0</v>
      </c>
      <c r="Q1660" s="44">
        <f t="shared" ref="Q1660:Q1685" si="170">IF(P1660="en cours",N1660,IF(P1660="OK",0,IF(N1660-P1660&lt;0,0,N1660-P1660)))</f>
        <v>0</v>
      </c>
      <c r="R1660" s="24">
        <f t="shared" si="169"/>
        <v>0</v>
      </c>
      <c r="S1660" s="5" t="s">
        <v>5474</v>
      </c>
    </row>
    <row r="1661" spans="2:19" hidden="1" x14ac:dyDescent="0.25">
      <c r="B1661" s="21" t="s">
        <v>395</v>
      </c>
      <c r="C1661" s="22" t="s">
        <v>1940</v>
      </c>
      <c r="D1661" s="22"/>
      <c r="E1661" s="21" t="s">
        <v>75</v>
      </c>
      <c r="F1661" s="21"/>
      <c r="G1661" s="147" t="s">
        <v>100</v>
      </c>
      <c r="H1661" s="23" t="s">
        <v>1578</v>
      </c>
      <c r="I1661" s="23" t="s">
        <v>7834</v>
      </c>
      <c r="J1661" s="21" t="s">
        <v>1565</v>
      </c>
      <c r="K1661" s="120"/>
      <c r="L1661" s="21" t="s">
        <v>2086</v>
      </c>
      <c r="M1661" s="26" t="s">
        <v>2085</v>
      </c>
      <c r="N1661" s="44">
        <v>0</v>
      </c>
      <c r="O1661" s="22" t="s">
        <v>15</v>
      </c>
      <c r="P1661" s="22">
        <v>0</v>
      </c>
      <c r="Q1661" s="44">
        <f t="shared" si="170"/>
        <v>0</v>
      </c>
      <c r="R1661" s="24">
        <f t="shared" si="169"/>
        <v>0</v>
      </c>
      <c r="S1661" s="5" t="s">
        <v>5474</v>
      </c>
    </row>
    <row r="1662" spans="2:19" hidden="1" x14ac:dyDescent="0.25">
      <c r="B1662" s="21" t="s">
        <v>395</v>
      </c>
      <c r="C1662" s="22" t="s">
        <v>1940</v>
      </c>
      <c r="D1662" s="22"/>
      <c r="E1662" s="21" t="s">
        <v>75</v>
      </c>
      <c r="F1662" s="21"/>
      <c r="G1662" s="147" t="s">
        <v>100</v>
      </c>
      <c r="H1662" s="23" t="s">
        <v>1578</v>
      </c>
      <c r="I1662" s="23" t="s">
        <v>7834</v>
      </c>
      <c r="J1662" s="21" t="s">
        <v>1565</v>
      </c>
      <c r="K1662" s="120"/>
      <c r="L1662" s="21" t="s">
        <v>4001</v>
      </c>
      <c r="M1662" s="26" t="s">
        <v>4002</v>
      </c>
      <c r="N1662" s="44">
        <v>0</v>
      </c>
      <c r="O1662" s="22" t="s">
        <v>15</v>
      </c>
      <c r="P1662" s="22">
        <v>0</v>
      </c>
      <c r="Q1662" s="44">
        <f t="shared" si="170"/>
        <v>0</v>
      </c>
      <c r="R1662" s="24">
        <f t="shared" si="169"/>
        <v>0</v>
      </c>
      <c r="S1662" s="5" t="s">
        <v>5474</v>
      </c>
    </row>
    <row r="1663" spans="2:19" hidden="1" x14ac:dyDescent="0.25">
      <c r="B1663" s="21" t="s">
        <v>395</v>
      </c>
      <c r="C1663" s="22" t="s">
        <v>1940</v>
      </c>
      <c r="D1663" s="22"/>
      <c r="E1663" s="21" t="s">
        <v>75</v>
      </c>
      <c r="F1663" s="21"/>
      <c r="G1663" s="147" t="s">
        <v>100</v>
      </c>
      <c r="H1663" s="23" t="s">
        <v>1578</v>
      </c>
      <c r="I1663" s="23" t="s">
        <v>7834</v>
      </c>
      <c r="J1663" s="21" t="s">
        <v>4572</v>
      </c>
      <c r="K1663" s="120"/>
      <c r="L1663" s="21" t="s">
        <v>2948</v>
      </c>
      <c r="M1663" s="26" t="s">
        <v>2949</v>
      </c>
      <c r="N1663" s="44">
        <v>0</v>
      </c>
      <c r="O1663" s="22" t="s">
        <v>15</v>
      </c>
      <c r="P1663" s="22">
        <v>0</v>
      </c>
      <c r="Q1663" s="44">
        <f t="shared" si="170"/>
        <v>0</v>
      </c>
      <c r="R1663" s="24">
        <f t="shared" si="169"/>
        <v>0</v>
      </c>
      <c r="S1663" s="5" t="s">
        <v>5474</v>
      </c>
    </row>
    <row r="1664" spans="2:19" hidden="1" x14ac:dyDescent="0.25">
      <c r="B1664" s="21" t="s">
        <v>395</v>
      </c>
      <c r="C1664" s="22" t="s">
        <v>1940</v>
      </c>
      <c r="D1664" s="22"/>
      <c r="E1664" s="21" t="s">
        <v>75</v>
      </c>
      <c r="F1664" s="21"/>
      <c r="G1664" s="147" t="s">
        <v>100</v>
      </c>
      <c r="H1664" s="23" t="s">
        <v>1578</v>
      </c>
      <c r="I1664" s="23" t="s">
        <v>7834</v>
      </c>
      <c r="J1664" s="21" t="s">
        <v>4572</v>
      </c>
      <c r="K1664" s="120"/>
      <c r="L1664" s="21" t="s">
        <v>3010</v>
      </c>
      <c r="M1664" s="26" t="s">
        <v>3011</v>
      </c>
      <c r="N1664" s="44">
        <v>0</v>
      </c>
      <c r="O1664" s="22" t="s">
        <v>15</v>
      </c>
      <c r="P1664" s="22">
        <v>0</v>
      </c>
      <c r="Q1664" s="44">
        <f t="shared" si="170"/>
        <v>0</v>
      </c>
      <c r="R1664" s="24">
        <f t="shared" si="169"/>
        <v>0</v>
      </c>
      <c r="S1664" s="5" t="s">
        <v>5474</v>
      </c>
    </row>
    <row r="1665" spans="2:20" hidden="1" x14ac:dyDescent="0.25">
      <c r="B1665" s="21" t="s">
        <v>395</v>
      </c>
      <c r="C1665" s="22" t="s">
        <v>1940</v>
      </c>
      <c r="D1665" s="22"/>
      <c r="E1665" s="21" t="s">
        <v>75</v>
      </c>
      <c r="F1665" s="21"/>
      <c r="G1665" s="147" t="s">
        <v>100</v>
      </c>
      <c r="H1665" s="23" t="s">
        <v>1578</v>
      </c>
      <c r="I1665" s="23" t="s">
        <v>7834</v>
      </c>
      <c r="J1665" s="21" t="s">
        <v>4572</v>
      </c>
      <c r="K1665" s="120"/>
      <c r="L1665" s="21" t="s">
        <v>3051</v>
      </c>
      <c r="M1665" s="26" t="s">
        <v>3052</v>
      </c>
      <c r="N1665" s="44">
        <v>0</v>
      </c>
      <c r="O1665" s="22" t="s">
        <v>15</v>
      </c>
      <c r="P1665" s="22">
        <v>0</v>
      </c>
      <c r="Q1665" s="44">
        <f t="shared" si="170"/>
        <v>0</v>
      </c>
      <c r="R1665" s="24">
        <f t="shared" si="169"/>
        <v>0</v>
      </c>
      <c r="S1665" s="5" t="s">
        <v>5474</v>
      </c>
    </row>
    <row r="1666" spans="2:20" hidden="1" x14ac:dyDescent="0.25">
      <c r="B1666" s="21" t="s">
        <v>395</v>
      </c>
      <c r="C1666" s="22" t="s">
        <v>1940</v>
      </c>
      <c r="D1666" s="22"/>
      <c r="E1666" s="21" t="s">
        <v>75</v>
      </c>
      <c r="F1666" s="21"/>
      <c r="G1666" s="147" t="s">
        <v>100</v>
      </c>
      <c r="H1666" s="23" t="s">
        <v>1578</v>
      </c>
      <c r="I1666" s="23" t="s">
        <v>7834</v>
      </c>
      <c r="J1666" s="21" t="s">
        <v>4572</v>
      </c>
      <c r="K1666" s="120"/>
      <c r="L1666" s="21" t="s">
        <v>3149</v>
      </c>
      <c r="M1666" s="26" t="s">
        <v>3150</v>
      </c>
      <c r="N1666" s="44">
        <v>0</v>
      </c>
      <c r="O1666" s="22" t="s">
        <v>15</v>
      </c>
      <c r="P1666" s="22">
        <v>0</v>
      </c>
      <c r="Q1666" s="44">
        <f t="shared" si="170"/>
        <v>0</v>
      </c>
      <c r="R1666" s="24">
        <f t="shared" si="169"/>
        <v>0</v>
      </c>
      <c r="S1666" s="5" t="s">
        <v>5474</v>
      </c>
    </row>
    <row r="1667" spans="2:20" hidden="1" x14ac:dyDescent="0.25">
      <c r="B1667" s="21" t="s">
        <v>395</v>
      </c>
      <c r="C1667" s="22" t="s">
        <v>1940</v>
      </c>
      <c r="D1667" s="22"/>
      <c r="E1667" s="21" t="s">
        <v>75</v>
      </c>
      <c r="F1667" s="21"/>
      <c r="G1667" s="147" t="s">
        <v>100</v>
      </c>
      <c r="H1667" s="23" t="s">
        <v>1578</v>
      </c>
      <c r="I1667" s="23" t="s">
        <v>7834</v>
      </c>
      <c r="J1667" s="21" t="s">
        <v>4572</v>
      </c>
      <c r="K1667" s="120"/>
      <c r="L1667" s="21" t="s">
        <v>3225</v>
      </c>
      <c r="M1667" s="26" t="s">
        <v>3226</v>
      </c>
      <c r="N1667" s="44">
        <v>0</v>
      </c>
      <c r="O1667" s="22" t="s">
        <v>15</v>
      </c>
      <c r="P1667" s="22">
        <v>0</v>
      </c>
      <c r="Q1667" s="44">
        <f t="shared" si="170"/>
        <v>0</v>
      </c>
      <c r="R1667" s="24">
        <f t="shared" si="169"/>
        <v>0</v>
      </c>
      <c r="S1667" s="5" t="s">
        <v>5474</v>
      </c>
    </row>
    <row r="1668" spans="2:20" hidden="1" x14ac:dyDescent="0.25">
      <c r="B1668" s="21" t="s">
        <v>395</v>
      </c>
      <c r="C1668" s="22" t="s">
        <v>1940</v>
      </c>
      <c r="D1668" s="22"/>
      <c r="E1668" s="21" t="s">
        <v>75</v>
      </c>
      <c r="F1668" s="21"/>
      <c r="G1668" s="147" t="s">
        <v>100</v>
      </c>
      <c r="H1668" s="23" t="s">
        <v>1578</v>
      </c>
      <c r="I1668" s="23" t="s">
        <v>7834</v>
      </c>
      <c r="J1668" s="21" t="s">
        <v>4572</v>
      </c>
      <c r="K1668" s="120"/>
      <c r="L1668" s="21" t="s">
        <v>3227</v>
      </c>
      <c r="M1668" s="26">
        <v>43980</v>
      </c>
      <c r="N1668" s="44">
        <v>0</v>
      </c>
      <c r="O1668" s="22" t="s">
        <v>15</v>
      </c>
      <c r="P1668" s="22">
        <v>0</v>
      </c>
      <c r="Q1668" s="44">
        <f t="shared" si="170"/>
        <v>0</v>
      </c>
      <c r="R1668" s="24">
        <f t="shared" si="169"/>
        <v>0</v>
      </c>
      <c r="S1668" s="5" t="s">
        <v>5474</v>
      </c>
      <c r="T1668"/>
    </row>
    <row r="1669" spans="2:20" hidden="1" x14ac:dyDescent="0.25">
      <c r="B1669" s="21" t="s">
        <v>395</v>
      </c>
      <c r="C1669" s="22" t="s">
        <v>1940</v>
      </c>
      <c r="D1669" s="22"/>
      <c r="E1669" s="21" t="s">
        <v>75</v>
      </c>
      <c r="F1669" s="21"/>
      <c r="G1669" s="147" t="s">
        <v>100</v>
      </c>
      <c r="H1669" s="23" t="s">
        <v>1578</v>
      </c>
      <c r="I1669" s="23" t="s">
        <v>7834</v>
      </c>
      <c r="J1669" s="21" t="s">
        <v>4572</v>
      </c>
      <c r="K1669" s="120"/>
      <c r="L1669" s="21" t="s">
        <v>4187</v>
      </c>
      <c r="M1669" s="26" t="s">
        <v>4188</v>
      </c>
      <c r="N1669" s="44">
        <v>0</v>
      </c>
      <c r="O1669" s="22" t="s">
        <v>15</v>
      </c>
      <c r="P1669" s="22">
        <v>0</v>
      </c>
      <c r="Q1669" s="44">
        <f t="shared" si="170"/>
        <v>0</v>
      </c>
      <c r="R1669" s="24">
        <f t="shared" si="169"/>
        <v>0</v>
      </c>
      <c r="S1669" s="5" t="s">
        <v>5474</v>
      </c>
      <c r="T1669"/>
    </row>
    <row r="1670" spans="2:20" hidden="1" x14ac:dyDescent="0.25">
      <c r="B1670" s="21" t="s">
        <v>395</v>
      </c>
      <c r="C1670" s="22" t="s">
        <v>1940</v>
      </c>
      <c r="D1670" s="22"/>
      <c r="E1670" s="21" t="s">
        <v>75</v>
      </c>
      <c r="F1670" s="21"/>
      <c r="G1670" s="147" t="s">
        <v>100</v>
      </c>
      <c r="H1670" s="23" t="s">
        <v>1578</v>
      </c>
      <c r="I1670" s="23" t="s">
        <v>7834</v>
      </c>
      <c r="J1670" s="21" t="s">
        <v>4572</v>
      </c>
      <c r="K1670" s="120"/>
      <c r="L1670" s="21" t="s">
        <v>4574</v>
      </c>
      <c r="M1670" s="26">
        <v>44180</v>
      </c>
      <c r="N1670" s="44">
        <v>0</v>
      </c>
      <c r="O1670" s="22" t="s">
        <v>15</v>
      </c>
      <c r="P1670" s="22">
        <v>0</v>
      </c>
      <c r="Q1670" s="44">
        <f t="shared" si="170"/>
        <v>0</v>
      </c>
      <c r="R1670" s="24">
        <f t="shared" si="169"/>
        <v>0</v>
      </c>
      <c r="S1670" s="5" t="s">
        <v>5474</v>
      </c>
      <c r="T1670"/>
    </row>
    <row r="1671" spans="2:20" hidden="1" x14ac:dyDescent="0.25">
      <c r="B1671" s="21" t="s">
        <v>395</v>
      </c>
      <c r="C1671" s="22" t="s">
        <v>1940</v>
      </c>
      <c r="D1671" s="22"/>
      <c r="E1671" s="21" t="s">
        <v>75</v>
      </c>
      <c r="F1671" s="21"/>
      <c r="G1671" s="147" t="s">
        <v>100</v>
      </c>
      <c r="H1671" s="23" t="s">
        <v>1578</v>
      </c>
      <c r="I1671" s="23" t="s">
        <v>7834</v>
      </c>
      <c r="J1671" s="21" t="s">
        <v>4573</v>
      </c>
      <c r="K1671" s="120"/>
      <c r="L1671" s="21" t="s">
        <v>4825</v>
      </c>
      <c r="M1671" s="120" t="s">
        <v>4826</v>
      </c>
      <c r="N1671" s="44">
        <v>0</v>
      </c>
      <c r="O1671" s="22" t="s">
        <v>15</v>
      </c>
      <c r="P1671" s="22">
        <v>0</v>
      </c>
      <c r="Q1671" s="44">
        <f t="shared" si="170"/>
        <v>0</v>
      </c>
      <c r="R1671" s="24">
        <f t="shared" si="169"/>
        <v>0</v>
      </c>
      <c r="S1671" s="5" t="s">
        <v>5474</v>
      </c>
    </row>
    <row r="1672" spans="2:20" hidden="1" x14ac:dyDescent="0.25">
      <c r="B1672" s="21" t="s">
        <v>395</v>
      </c>
      <c r="C1672" s="22" t="s">
        <v>1940</v>
      </c>
      <c r="D1672" s="22"/>
      <c r="E1672" s="21" t="s">
        <v>75</v>
      </c>
      <c r="F1672" s="21"/>
      <c r="G1672" s="147" t="s">
        <v>100</v>
      </c>
      <c r="H1672" s="23" t="s">
        <v>1578</v>
      </c>
      <c r="I1672" s="23" t="s">
        <v>7834</v>
      </c>
      <c r="J1672" s="21" t="s">
        <v>4573</v>
      </c>
      <c r="K1672" s="120"/>
      <c r="L1672" s="21" t="s">
        <v>5192</v>
      </c>
      <c r="M1672" s="120" t="s">
        <v>5193</v>
      </c>
      <c r="N1672" s="44">
        <v>0</v>
      </c>
      <c r="O1672" s="22" t="s">
        <v>15</v>
      </c>
      <c r="P1672" s="22">
        <v>0</v>
      </c>
      <c r="Q1672" s="44">
        <f t="shared" si="170"/>
        <v>0</v>
      </c>
      <c r="R1672" s="24">
        <f t="shared" si="169"/>
        <v>0</v>
      </c>
      <c r="S1672" s="5" t="s">
        <v>5474</v>
      </c>
    </row>
    <row r="1673" spans="2:20" hidden="1" x14ac:dyDescent="0.25">
      <c r="B1673" s="21" t="s">
        <v>395</v>
      </c>
      <c r="C1673" s="22" t="s">
        <v>1940</v>
      </c>
      <c r="D1673" s="22"/>
      <c r="E1673" s="21" t="s">
        <v>75</v>
      </c>
      <c r="F1673" s="21"/>
      <c r="G1673" s="147" t="s">
        <v>100</v>
      </c>
      <c r="H1673" s="23" t="s">
        <v>1578</v>
      </c>
      <c r="I1673" s="23" t="s">
        <v>7834</v>
      </c>
      <c r="J1673" s="21" t="s">
        <v>4573</v>
      </c>
      <c r="K1673" s="120"/>
      <c r="L1673" s="21" t="s">
        <v>5194</v>
      </c>
      <c r="M1673" s="26">
        <v>44363</v>
      </c>
      <c r="N1673" s="44">
        <v>0</v>
      </c>
      <c r="O1673" s="22" t="s">
        <v>15</v>
      </c>
      <c r="P1673" s="22">
        <v>0</v>
      </c>
      <c r="Q1673" s="44">
        <f t="shared" si="170"/>
        <v>0</v>
      </c>
      <c r="R1673" s="24">
        <f t="shared" si="169"/>
        <v>0</v>
      </c>
      <c r="S1673" s="5" t="s">
        <v>5474</v>
      </c>
    </row>
    <row r="1674" spans="2:20" hidden="1" x14ac:dyDescent="0.25">
      <c r="B1674" s="21" t="s">
        <v>395</v>
      </c>
      <c r="C1674" s="22" t="s">
        <v>1940</v>
      </c>
      <c r="D1674" s="22"/>
      <c r="E1674" s="21" t="s">
        <v>75</v>
      </c>
      <c r="F1674" s="21"/>
      <c r="G1674" s="147" t="s">
        <v>100</v>
      </c>
      <c r="H1674" s="23" t="s">
        <v>1578</v>
      </c>
      <c r="I1674" s="23" t="s">
        <v>7834</v>
      </c>
      <c r="J1674" s="21" t="s">
        <v>2327</v>
      </c>
      <c r="K1674" s="120"/>
      <c r="L1674" s="21" t="s">
        <v>1944</v>
      </c>
      <c r="M1674" s="26">
        <v>43683</v>
      </c>
      <c r="N1674" s="44">
        <v>0</v>
      </c>
      <c r="O1674" s="22" t="s">
        <v>15</v>
      </c>
      <c r="P1674" s="22">
        <v>0</v>
      </c>
      <c r="Q1674" s="44">
        <f t="shared" si="170"/>
        <v>0</v>
      </c>
      <c r="R1674" s="24">
        <f t="shared" si="169"/>
        <v>0</v>
      </c>
      <c r="S1674" s="5" t="s">
        <v>5474</v>
      </c>
    </row>
    <row r="1675" spans="2:20" hidden="1" x14ac:dyDescent="0.25">
      <c r="B1675" s="21" t="s">
        <v>395</v>
      </c>
      <c r="C1675" s="22" t="s">
        <v>1940</v>
      </c>
      <c r="D1675" s="22"/>
      <c r="E1675" s="21" t="s">
        <v>75</v>
      </c>
      <c r="F1675" s="21"/>
      <c r="G1675" s="147" t="s">
        <v>100</v>
      </c>
      <c r="H1675" s="23" t="s">
        <v>1578</v>
      </c>
      <c r="I1675" s="23" t="s">
        <v>7834</v>
      </c>
      <c r="J1675" s="21" t="s">
        <v>2328</v>
      </c>
      <c r="K1675" s="120"/>
      <c r="L1675" s="21" t="s">
        <v>1944</v>
      </c>
      <c r="M1675" s="26">
        <v>43683</v>
      </c>
      <c r="N1675" s="44">
        <v>0</v>
      </c>
      <c r="O1675" s="22" t="s">
        <v>15</v>
      </c>
      <c r="P1675" s="22">
        <v>0</v>
      </c>
      <c r="Q1675" s="44">
        <f t="shared" si="170"/>
        <v>0</v>
      </c>
      <c r="R1675" s="24">
        <f t="shared" si="169"/>
        <v>0</v>
      </c>
      <c r="S1675" s="5" t="s">
        <v>5474</v>
      </c>
    </row>
    <row r="1676" spans="2:20" hidden="1" x14ac:dyDescent="0.25">
      <c r="B1676" s="21" t="s">
        <v>395</v>
      </c>
      <c r="C1676" s="22" t="s">
        <v>1940</v>
      </c>
      <c r="D1676" s="22"/>
      <c r="E1676" s="21" t="s">
        <v>75</v>
      </c>
      <c r="F1676" s="21"/>
      <c r="G1676" s="147" t="s">
        <v>100</v>
      </c>
      <c r="H1676" s="23" t="s">
        <v>1578</v>
      </c>
      <c r="I1676" s="23" t="s">
        <v>7834</v>
      </c>
      <c r="J1676" s="21" t="s">
        <v>2329</v>
      </c>
      <c r="K1676" s="120"/>
      <c r="L1676" s="21" t="s">
        <v>2335</v>
      </c>
      <c r="M1676" s="26">
        <v>43762</v>
      </c>
      <c r="N1676" s="44">
        <v>0</v>
      </c>
      <c r="O1676" s="22" t="s">
        <v>15</v>
      </c>
      <c r="P1676" s="22">
        <v>0</v>
      </c>
      <c r="Q1676" s="44">
        <f t="shared" si="170"/>
        <v>0</v>
      </c>
      <c r="R1676" s="24">
        <f t="shared" si="169"/>
        <v>0</v>
      </c>
      <c r="S1676" s="5" t="s">
        <v>5474</v>
      </c>
    </row>
    <row r="1677" spans="2:20" hidden="1" x14ac:dyDescent="0.25">
      <c r="B1677" s="21" t="s">
        <v>395</v>
      </c>
      <c r="C1677" s="22" t="s">
        <v>1940</v>
      </c>
      <c r="D1677" s="22"/>
      <c r="E1677" s="21" t="s">
        <v>75</v>
      </c>
      <c r="F1677" s="21"/>
      <c r="G1677" s="147" t="s">
        <v>100</v>
      </c>
      <c r="H1677" s="23" t="s">
        <v>1578</v>
      </c>
      <c r="I1677" s="23" t="s">
        <v>7834</v>
      </c>
      <c r="J1677" s="21" t="s">
        <v>2330</v>
      </c>
      <c r="K1677" s="120"/>
      <c r="L1677" s="21" t="s">
        <v>3098</v>
      </c>
      <c r="M1677" s="26">
        <v>43948</v>
      </c>
      <c r="N1677" s="44">
        <v>0</v>
      </c>
      <c r="O1677" s="22" t="s">
        <v>15</v>
      </c>
      <c r="P1677" s="22">
        <v>0</v>
      </c>
      <c r="Q1677" s="44">
        <f t="shared" si="170"/>
        <v>0</v>
      </c>
      <c r="R1677" s="24">
        <f t="shared" si="169"/>
        <v>0</v>
      </c>
      <c r="S1677" s="5" t="s">
        <v>5474</v>
      </c>
    </row>
    <row r="1678" spans="2:20" hidden="1" x14ac:dyDescent="0.25">
      <c r="B1678" s="21" t="s">
        <v>395</v>
      </c>
      <c r="C1678" s="22" t="s">
        <v>1940</v>
      </c>
      <c r="D1678" s="22"/>
      <c r="E1678" s="21" t="s">
        <v>75</v>
      </c>
      <c r="F1678" s="21"/>
      <c r="G1678" s="147" t="s">
        <v>100</v>
      </c>
      <c r="H1678" s="23" t="s">
        <v>1578</v>
      </c>
      <c r="I1678" s="23" t="s">
        <v>7834</v>
      </c>
      <c r="J1678" s="21" t="s">
        <v>2331</v>
      </c>
      <c r="K1678" s="120"/>
      <c r="L1678" s="21" t="s">
        <v>3252</v>
      </c>
      <c r="M1678" s="26">
        <v>43986</v>
      </c>
      <c r="N1678" s="44">
        <v>0</v>
      </c>
      <c r="O1678" s="22" t="s">
        <v>15</v>
      </c>
      <c r="P1678" s="22">
        <v>0</v>
      </c>
      <c r="Q1678" s="44">
        <f t="shared" si="170"/>
        <v>0</v>
      </c>
      <c r="R1678" s="24">
        <f t="shared" si="169"/>
        <v>0</v>
      </c>
      <c r="S1678" s="5" t="s">
        <v>5474</v>
      </c>
    </row>
    <row r="1679" spans="2:20" hidden="1" x14ac:dyDescent="0.25">
      <c r="B1679" s="21" t="s">
        <v>395</v>
      </c>
      <c r="C1679" s="22" t="s">
        <v>1940</v>
      </c>
      <c r="D1679" s="22"/>
      <c r="E1679" s="21" t="s">
        <v>75</v>
      </c>
      <c r="F1679" s="21"/>
      <c r="G1679" s="147" t="s">
        <v>100</v>
      </c>
      <c r="H1679" s="23" t="s">
        <v>1578</v>
      </c>
      <c r="I1679" s="23" t="s">
        <v>7834</v>
      </c>
      <c r="J1679" s="21" t="s">
        <v>2332</v>
      </c>
      <c r="K1679" s="120"/>
      <c r="L1679" s="21" t="s">
        <v>3451</v>
      </c>
      <c r="M1679" s="26">
        <v>44019</v>
      </c>
      <c r="N1679" s="44">
        <v>0</v>
      </c>
      <c r="O1679" s="22" t="s">
        <v>15</v>
      </c>
      <c r="P1679" s="22">
        <v>0</v>
      </c>
      <c r="Q1679" s="44">
        <f t="shared" si="170"/>
        <v>0</v>
      </c>
      <c r="R1679" s="24">
        <f t="shared" si="169"/>
        <v>0</v>
      </c>
      <c r="S1679" s="5" t="s">
        <v>5474</v>
      </c>
    </row>
    <row r="1680" spans="2:20" hidden="1" x14ac:dyDescent="0.25">
      <c r="B1680" s="21" t="s">
        <v>395</v>
      </c>
      <c r="C1680" s="22" t="s">
        <v>1940</v>
      </c>
      <c r="D1680" s="22"/>
      <c r="E1680" s="21" t="s">
        <v>75</v>
      </c>
      <c r="F1680" s="21"/>
      <c r="G1680" s="147" t="s">
        <v>100</v>
      </c>
      <c r="H1680" s="23" t="s">
        <v>1578</v>
      </c>
      <c r="I1680" s="23" t="s">
        <v>7834</v>
      </c>
      <c r="J1680" s="21" t="s">
        <v>2333</v>
      </c>
      <c r="K1680" s="120"/>
      <c r="L1680" s="21" t="s">
        <v>3840</v>
      </c>
      <c r="M1680" s="26">
        <v>44117</v>
      </c>
      <c r="N1680" s="44">
        <v>0</v>
      </c>
      <c r="O1680" s="22" t="s">
        <v>15</v>
      </c>
      <c r="P1680" s="22">
        <v>0</v>
      </c>
      <c r="Q1680" s="44">
        <f t="shared" si="170"/>
        <v>0</v>
      </c>
      <c r="R1680" s="24">
        <f t="shared" si="169"/>
        <v>0</v>
      </c>
      <c r="S1680" s="5" t="s">
        <v>5474</v>
      </c>
    </row>
    <row r="1681" spans="2:19" hidden="1" x14ac:dyDescent="0.25">
      <c r="B1681" s="21" t="s">
        <v>395</v>
      </c>
      <c r="C1681" s="22" t="s">
        <v>1940</v>
      </c>
      <c r="D1681" s="22"/>
      <c r="E1681" s="21" t="s">
        <v>75</v>
      </c>
      <c r="F1681" s="21"/>
      <c r="G1681" s="147" t="s">
        <v>100</v>
      </c>
      <c r="H1681" s="23" t="s">
        <v>1578</v>
      </c>
      <c r="I1681" s="23" t="s">
        <v>7834</v>
      </c>
      <c r="J1681" s="21" t="s">
        <v>2334</v>
      </c>
      <c r="K1681" s="120"/>
      <c r="L1681" s="21" t="s">
        <v>4286</v>
      </c>
      <c r="M1681" s="26">
        <v>44210</v>
      </c>
      <c r="N1681" s="44">
        <v>0</v>
      </c>
      <c r="O1681" s="22" t="s">
        <v>15</v>
      </c>
      <c r="P1681" s="22">
        <v>0</v>
      </c>
      <c r="Q1681" s="44">
        <f t="shared" si="170"/>
        <v>0</v>
      </c>
      <c r="R1681" s="24">
        <f t="shared" si="169"/>
        <v>0</v>
      </c>
      <c r="S1681" s="5" t="s">
        <v>5474</v>
      </c>
    </row>
    <row r="1682" spans="2:19" hidden="1" x14ac:dyDescent="0.25">
      <c r="B1682" s="21" t="s">
        <v>395</v>
      </c>
      <c r="C1682" s="22" t="s">
        <v>1940</v>
      </c>
      <c r="D1682" s="22"/>
      <c r="E1682" s="21" t="s">
        <v>75</v>
      </c>
      <c r="F1682" s="21"/>
      <c r="G1682" s="147" t="s">
        <v>100</v>
      </c>
      <c r="H1682" s="23" t="s">
        <v>1578</v>
      </c>
      <c r="I1682" s="23" t="s">
        <v>7834</v>
      </c>
      <c r="J1682" s="21" t="s">
        <v>1567</v>
      </c>
      <c r="K1682" s="120"/>
      <c r="L1682" s="21" t="s">
        <v>1984</v>
      </c>
      <c r="M1682" s="26">
        <v>43615</v>
      </c>
      <c r="N1682" s="44">
        <v>0</v>
      </c>
      <c r="O1682" s="22" t="s">
        <v>15</v>
      </c>
      <c r="P1682" s="22">
        <v>0</v>
      </c>
      <c r="Q1682" s="44">
        <f t="shared" si="170"/>
        <v>0</v>
      </c>
      <c r="R1682" s="24">
        <f t="shared" si="169"/>
        <v>0</v>
      </c>
      <c r="S1682" s="5" t="s">
        <v>5474</v>
      </c>
    </row>
    <row r="1683" spans="2:19" hidden="1" x14ac:dyDescent="0.25">
      <c r="B1683" s="21" t="s">
        <v>395</v>
      </c>
      <c r="C1683" s="22" t="s">
        <v>1940</v>
      </c>
      <c r="D1683" s="22"/>
      <c r="E1683" s="21" t="s">
        <v>75</v>
      </c>
      <c r="F1683" s="21"/>
      <c r="G1683" s="147" t="s">
        <v>100</v>
      </c>
      <c r="H1683" s="23" t="s">
        <v>1578</v>
      </c>
      <c r="I1683" s="23" t="s">
        <v>7834</v>
      </c>
      <c r="J1683" s="21" t="s">
        <v>1567</v>
      </c>
      <c r="K1683" s="120"/>
      <c r="L1683" s="21" t="s">
        <v>1985</v>
      </c>
      <c r="M1683" s="26">
        <v>43615</v>
      </c>
      <c r="N1683" s="44">
        <v>0</v>
      </c>
      <c r="O1683" s="22" t="s">
        <v>15</v>
      </c>
      <c r="P1683" s="22">
        <v>0</v>
      </c>
      <c r="Q1683" s="44">
        <f t="shared" si="170"/>
        <v>0</v>
      </c>
      <c r="R1683" s="24">
        <f t="shared" si="169"/>
        <v>0</v>
      </c>
      <c r="S1683" s="5" t="s">
        <v>5474</v>
      </c>
    </row>
    <row r="1684" spans="2:19" hidden="1" x14ac:dyDescent="0.25">
      <c r="B1684" s="21" t="s">
        <v>395</v>
      </c>
      <c r="C1684" s="22" t="s">
        <v>1940</v>
      </c>
      <c r="D1684" s="22"/>
      <c r="E1684" s="21" t="s">
        <v>75</v>
      </c>
      <c r="F1684" s="21"/>
      <c r="G1684" s="147" t="s">
        <v>100</v>
      </c>
      <c r="H1684" s="23" t="s">
        <v>3114</v>
      </c>
      <c r="I1684" s="23" t="s">
        <v>7834</v>
      </c>
      <c r="J1684" s="21" t="s">
        <v>2537</v>
      </c>
      <c r="K1684" s="120"/>
      <c r="L1684" s="21" t="s">
        <v>3347</v>
      </c>
      <c r="M1684" s="26" t="s">
        <v>3348</v>
      </c>
      <c r="N1684" s="44">
        <v>0</v>
      </c>
      <c r="O1684" s="22" t="s">
        <v>15</v>
      </c>
      <c r="P1684" s="22">
        <v>0</v>
      </c>
      <c r="Q1684" s="44">
        <f t="shared" si="170"/>
        <v>0</v>
      </c>
      <c r="R1684" s="24">
        <f t="shared" si="169"/>
        <v>0</v>
      </c>
      <c r="S1684" s="5" t="s">
        <v>5474</v>
      </c>
    </row>
    <row r="1685" spans="2:19" hidden="1" x14ac:dyDescent="0.25">
      <c r="B1685" s="21" t="s">
        <v>395</v>
      </c>
      <c r="C1685" s="22" t="s">
        <v>1940</v>
      </c>
      <c r="D1685" s="22"/>
      <c r="E1685" s="21" t="s">
        <v>75</v>
      </c>
      <c r="F1685" s="21"/>
      <c r="G1685" s="147" t="s">
        <v>100</v>
      </c>
      <c r="H1685" s="23" t="s">
        <v>3114</v>
      </c>
      <c r="I1685" s="23" t="s">
        <v>7834</v>
      </c>
      <c r="J1685" s="21" t="s">
        <v>1561</v>
      </c>
      <c r="K1685" s="120"/>
      <c r="L1685" s="21" t="s">
        <v>3176</v>
      </c>
      <c r="M1685" s="26" t="s">
        <v>3177</v>
      </c>
      <c r="N1685" s="44">
        <v>0</v>
      </c>
      <c r="O1685" s="22" t="s">
        <v>15</v>
      </c>
      <c r="P1685" s="22">
        <v>0</v>
      </c>
      <c r="Q1685" s="44">
        <f t="shared" si="170"/>
        <v>0</v>
      </c>
      <c r="R1685" s="24">
        <f t="shared" si="169"/>
        <v>0</v>
      </c>
      <c r="S1685" s="5" t="s">
        <v>5474</v>
      </c>
    </row>
    <row r="1686" spans="2:19" hidden="1" x14ac:dyDescent="0.25">
      <c r="B1686" s="21" t="s">
        <v>395</v>
      </c>
      <c r="C1686" s="22" t="s">
        <v>1940</v>
      </c>
      <c r="D1686" s="22"/>
      <c r="E1686" s="21" t="s">
        <v>75</v>
      </c>
      <c r="F1686" s="21"/>
      <c r="G1686" s="147" t="s">
        <v>100</v>
      </c>
      <c r="H1686" s="23" t="s">
        <v>3114</v>
      </c>
      <c r="I1686" s="23" t="s">
        <v>7834</v>
      </c>
      <c r="J1686" s="21" t="s">
        <v>1561</v>
      </c>
      <c r="K1686" s="120"/>
      <c r="L1686" s="21" t="s">
        <v>3345</v>
      </c>
      <c r="M1686" s="26" t="s">
        <v>3346</v>
      </c>
      <c r="N1686" s="44">
        <v>0</v>
      </c>
      <c r="O1686" s="22" t="s">
        <v>15</v>
      </c>
      <c r="P1686" s="22">
        <v>0</v>
      </c>
      <c r="Q1686" s="44">
        <v>0</v>
      </c>
      <c r="R1686" s="24">
        <f t="shared" si="169"/>
        <v>0</v>
      </c>
      <c r="S1686" s="5" t="s">
        <v>5474</v>
      </c>
    </row>
    <row r="1687" spans="2:19" hidden="1" x14ac:dyDescent="0.25">
      <c r="B1687" s="21" t="s">
        <v>395</v>
      </c>
      <c r="C1687" s="22" t="s">
        <v>1940</v>
      </c>
      <c r="D1687" s="22"/>
      <c r="E1687" s="21" t="s">
        <v>75</v>
      </c>
      <c r="F1687" s="21"/>
      <c r="G1687" s="147" t="s">
        <v>100</v>
      </c>
      <c r="H1687" s="23" t="s">
        <v>3114</v>
      </c>
      <c r="I1687" s="23" t="s">
        <v>7834</v>
      </c>
      <c r="J1687" s="21" t="s">
        <v>1561</v>
      </c>
      <c r="K1687" s="120"/>
      <c r="L1687" s="21" t="s">
        <v>3702</v>
      </c>
      <c r="M1687" s="26" t="s">
        <v>3703</v>
      </c>
      <c r="N1687" s="44">
        <v>0</v>
      </c>
      <c r="O1687" s="22" t="s">
        <v>15</v>
      </c>
      <c r="P1687" s="22">
        <v>0</v>
      </c>
      <c r="Q1687" s="44">
        <f>IF(P1687="en cours",N1687,IF(P1687="OK",0,IF(N1687-P1687&lt;0,0,N1687-P1687)))</f>
        <v>0</v>
      </c>
      <c r="R1687" s="24">
        <f t="shared" si="169"/>
        <v>0</v>
      </c>
      <c r="S1687" s="5" t="s">
        <v>5474</v>
      </c>
    </row>
    <row r="1688" spans="2:19" hidden="1" x14ac:dyDescent="0.25">
      <c r="B1688" s="21" t="s">
        <v>395</v>
      </c>
      <c r="C1688" s="22" t="s">
        <v>1940</v>
      </c>
      <c r="D1688" s="22"/>
      <c r="E1688" s="21" t="s">
        <v>75</v>
      </c>
      <c r="F1688" s="21"/>
      <c r="G1688" s="147" t="s">
        <v>100</v>
      </c>
      <c r="H1688" s="23" t="s">
        <v>3114</v>
      </c>
      <c r="I1688" s="23" t="s">
        <v>7834</v>
      </c>
      <c r="J1688" s="21" t="s">
        <v>1561</v>
      </c>
      <c r="K1688" s="120"/>
      <c r="L1688" s="21" t="s">
        <v>4003</v>
      </c>
      <c r="M1688" s="120" t="s">
        <v>4004</v>
      </c>
      <c r="N1688" s="44">
        <v>0</v>
      </c>
      <c r="O1688" s="22" t="s">
        <v>15</v>
      </c>
      <c r="P1688" s="22">
        <v>0</v>
      </c>
      <c r="Q1688" s="44">
        <f>IF(P1688="en cours",N1688,IF(P1688="OK",0,IF(N1688-P1688&lt;0,0,N1688-P1688)))</f>
        <v>0</v>
      </c>
      <c r="R1688" s="24">
        <f t="shared" si="169"/>
        <v>0</v>
      </c>
      <c r="S1688" s="5" t="s">
        <v>5474</v>
      </c>
    </row>
    <row r="1689" spans="2:19" hidden="1" x14ac:dyDescent="0.25">
      <c r="B1689" s="21" t="s">
        <v>395</v>
      </c>
      <c r="C1689" s="22" t="s">
        <v>1940</v>
      </c>
      <c r="D1689" s="22"/>
      <c r="E1689" s="21" t="s">
        <v>75</v>
      </c>
      <c r="F1689" s="21"/>
      <c r="G1689" s="147" t="s">
        <v>100</v>
      </c>
      <c r="H1689" s="23" t="s">
        <v>3114</v>
      </c>
      <c r="I1689" s="23" t="s">
        <v>7834</v>
      </c>
      <c r="J1689" s="21" t="s">
        <v>1561</v>
      </c>
      <c r="K1689" s="120"/>
      <c r="L1689" s="21" t="s">
        <v>4159</v>
      </c>
      <c r="M1689" s="120" t="s">
        <v>4160</v>
      </c>
      <c r="N1689" s="44">
        <v>0</v>
      </c>
      <c r="O1689" s="22" t="s">
        <v>15</v>
      </c>
      <c r="P1689" s="22">
        <v>0</v>
      </c>
      <c r="Q1689" s="44">
        <f>IF(P1689="en cours",N1689,IF(P1689="OK",0,IF(N1689-P1689&lt;0,0,N1689-P1689)))</f>
        <v>0</v>
      </c>
      <c r="R1689" s="24">
        <f t="shared" si="169"/>
        <v>0</v>
      </c>
      <c r="S1689" s="5" t="s">
        <v>5474</v>
      </c>
    </row>
    <row r="1690" spans="2:19" hidden="1" x14ac:dyDescent="0.25">
      <c r="B1690" s="21" t="s">
        <v>395</v>
      </c>
      <c r="C1690" s="22" t="s">
        <v>1940</v>
      </c>
      <c r="D1690" s="22"/>
      <c r="E1690" s="21" t="s">
        <v>75</v>
      </c>
      <c r="F1690" s="21"/>
      <c r="G1690" s="147" t="s">
        <v>100</v>
      </c>
      <c r="H1690" s="23" t="s">
        <v>3114</v>
      </c>
      <c r="I1690" s="23" t="s">
        <v>7834</v>
      </c>
      <c r="J1690" s="21" t="s">
        <v>1561</v>
      </c>
      <c r="K1690" s="120"/>
      <c r="L1690" s="21" t="s">
        <v>4287</v>
      </c>
      <c r="M1690" s="120" t="s">
        <v>4288</v>
      </c>
      <c r="N1690" s="44">
        <v>0</v>
      </c>
      <c r="O1690" s="22" t="s">
        <v>15</v>
      </c>
      <c r="P1690" s="22">
        <v>0</v>
      </c>
      <c r="Q1690" s="44">
        <v>0</v>
      </c>
      <c r="R1690" s="24">
        <f t="shared" si="169"/>
        <v>0</v>
      </c>
      <c r="S1690" s="5" t="s">
        <v>5474</v>
      </c>
    </row>
    <row r="1691" spans="2:19" hidden="1" x14ac:dyDescent="0.25">
      <c r="B1691" s="21" t="s">
        <v>395</v>
      </c>
      <c r="C1691" s="22" t="s">
        <v>1940</v>
      </c>
      <c r="D1691" s="22"/>
      <c r="E1691" s="21" t="s">
        <v>75</v>
      </c>
      <c r="F1691" s="21"/>
      <c r="G1691" s="147" t="s">
        <v>100</v>
      </c>
      <c r="H1691" s="23" t="s">
        <v>3114</v>
      </c>
      <c r="I1691" s="23" t="s">
        <v>7834</v>
      </c>
      <c r="J1691" s="21" t="s">
        <v>1561</v>
      </c>
      <c r="K1691" s="120"/>
      <c r="L1691" s="21" t="s">
        <v>4770</v>
      </c>
      <c r="M1691" s="120" t="s">
        <v>4771</v>
      </c>
      <c r="N1691" s="44">
        <v>0</v>
      </c>
      <c r="O1691" s="22" t="s">
        <v>15</v>
      </c>
      <c r="P1691" s="22">
        <v>0</v>
      </c>
      <c r="Q1691" s="44">
        <f t="shared" ref="Q1691:Q1703" si="171">IF(P1691="en cours",N1691,IF(P1691="OK",0,IF(N1691-P1691&lt;0,0,N1691-P1691)))</f>
        <v>0</v>
      </c>
      <c r="R1691" s="24">
        <f t="shared" si="169"/>
        <v>0</v>
      </c>
      <c r="S1691" s="5" t="s">
        <v>5474</v>
      </c>
    </row>
    <row r="1692" spans="2:19" hidden="1" x14ac:dyDescent="0.25">
      <c r="B1692" s="21" t="s">
        <v>395</v>
      </c>
      <c r="C1692" s="22" t="s">
        <v>1940</v>
      </c>
      <c r="D1692" s="22"/>
      <c r="E1692" s="21" t="s">
        <v>75</v>
      </c>
      <c r="F1692" s="21"/>
      <c r="G1692" s="147" t="s">
        <v>100</v>
      </c>
      <c r="H1692" s="23" t="s">
        <v>3114</v>
      </c>
      <c r="I1692" s="23" t="s">
        <v>7834</v>
      </c>
      <c r="J1692" s="21" t="s">
        <v>1561</v>
      </c>
      <c r="K1692" s="120"/>
      <c r="L1692" s="21" t="s">
        <v>5202</v>
      </c>
      <c r="M1692" s="26" t="s">
        <v>5203</v>
      </c>
      <c r="N1692" s="44">
        <v>0</v>
      </c>
      <c r="O1692" s="22" t="s">
        <v>15</v>
      </c>
      <c r="P1692" s="22">
        <v>0</v>
      </c>
      <c r="Q1692" s="44">
        <f t="shared" si="171"/>
        <v>0</v>
      </c>
      <c r="R1692" s="24">
        <f t="shared" si="169"/>
        <v>0</v>
      </c>
      <c r="S1692" s="5" t="s">
        <v>5474</v>
      </c>
    </row>
    <row r="1693" spans="2:19" hidden="1" x14ac:dyDescent="0.25">
      <c r="B1693" s="21" t="s">
        <v>395</v>
      </c>
      <c r="C1693" s="22" t="s">
        <v>1940</v>
      </c>
      <c r="D1693" s="22"/>
      <c r="E1693" s="21" t="s">
        <v>75</v>
      </c>
      <c r="F1693" s="21"/>
      <c r="G1693" s="147" t="s">
        <v>100</v>
      </c>
      <c r="H1693" s="23" t="s">
        <v>3114</v>
      </c>
      <c r="I1693" s="23" t="s">
        <v>7834</v>
      </c>
      <c r="J1693" s="21" t="s">
        <v>1561</v>
      </c>
      <c r="K1693" s="120"/>
      <c r="L1693" s="21"/>
      <c r="M1693" s="26"/>
      <c r="N1693" s="44">
        <v>0</v>
      </c>
      <c r="O1693" s="22" t="s">
        <v>15</v>
      </c>
      <c r="P1693" s="22">
        <v>0</v>
      </c>
      <c r="Q1693" s="44">
        <f t="shared" si="171"/>
        <v>0</v>
      </c>
      <c r="R1693" s="24">
        <f t="shared" si="169"/>
        <v>0</v>
      </c>
      <c r="S1693" s="5" t="s">
        <v>5474</v>
      </c>
    </row>
    <row r="1694" spans="2:19" hidden="1" x14ac:dyDescent="0.25">
      <c r="B1694" s="21" t="s">
        <v>395</v>
      </c>
      <c r="C1694" s="22" t="s">
        <v>1940</v>
      </c>
      <c r="D1694" s="22"/>
      <c r="E1694" s="21" t="s">
        <v>75</v>
      </c>
      <c r="F1694" s="21"/>
      <c r="G1694" s="147" t="s">
        <v>100</v>
      </c>
      <c r="H1694" s="23" t="s">
        <v>3114</v>
      </c>
      <c r="I1694" s="23" t="s">
        <v>7834</v>
      </c>
      <c r="J1694" s="21" t="s">
        <v>1562</v>
      </c>
      <c r="K1694" s="120"/>
      <c r="L1694" s="21" t="s">
        <v>4961</v>
      </c>
      <c r="M1694" s="26">
        <v>44327</v>
      </c>
      <c r="N1694" s="44">
        <v>0</v>
      </c>
      <c r="O1694" s="22" t="s">
        <v>15</v>
      </c>
      <c r="P1694" s="22">
        <v>0</v>
      </c>
      <c r="Q1694" s="44">
        <f t="shared" si="171"/>
        <v>0</v>
      </c>
      <c r="R1694" s="24">
        <f t="shared" si="169"/>
        <v>0</v>
      </c>
      <c r="S1694" s="5" t="s">
        <v>5474</v>
      </c>
    </row>
    <row r="1695" spans="2:19" hidden="1" x14ac:dyDescent="0.25">
      <c r="B1695" s="21" t="s">
        <v>395</v>
      </c>
      <c r="C1695" s="22" t="s">
        <v>1940</v>
      </c>
      <c r="D1695" s="22"/>
      <c r="E1695" s="21" t="s">
        <v>75</v>
      </c>
      <c r="F1695" s="21"/>
      <c r="G1695" s="147" t="s">
        <v>100</v>
      </c>
      <c r="H1695" s="23" t="s">
        <v>3114</v>
      </c>
      <c r="I1695" s="23" t="s">
        <v>7834</v>
      </c>
      <c r="J1695" s="21" t="s">
        <v>1562</v>
      </c>
      <c r="K1695" s="120"/>
      <c r="L1695" s="21"/>
      <c r="M1695" s="26"/>
      <c r="N1695" s="44">
        <v>0</v>
      </c>
      <c r="O1695" s="22" t="s">
        <v>15</v>
      </c>
      <c r="P1695" s="22">
        <v>0</v>
      </c>
      <c r="Q1695" s="44">
        <f t="shared" si="171"/>
        <v>0</v>
      </c>
      <c r="R1695" s="24">
        <f t="shared" si="169"/>
        <v>0</v>
      </c>
      <c r="S1695" s="5" t="s">
        <v>5474</v>
      </c>
    </row>
    <row r="1696" spans="2:19" hidden="1" x14ac:dyDescent="0.25">
      <c r="B1696" s="21" t="s">
        <v>395</v>
      </c>
      <c r="C1696" s="22" t="s">
        <v>1940</v>
      </c>
      <c r="D1696" s="22"/>
      <c r="E1696" s="21" t="s">
        <v>75</v>
      </c>
      <c r="F1696" s="21"/>
      <c r="G1696" s="147" t="s">
        <v>100</v>
      </c>
      <c r="H1696" s="23" t="s">
        <v>3114</v>
      </c>
      <c r="I1696" s="23" t="s">
        <v>7834</v>
      </c>
      <c r="J1696" s="21" t="s">
        <v>2536</v>
      </c>
      <c r="K1696" s="120"/>
      <c r="L1696" s="21" t="s">
        <v>2535</v>
      </c>
      <c r="M1696" s="26">
        <v>43780</v>
      </c>
      <c r="N1696" s="44">
        <v>0</v>
      </c>
      <c r="O1696" s="22" t="s">
        <v>15</v>
      </c>
      <c r="P1696" s="22">
        <v>0</v>
      </c>
      <c r="Q1696" s="44">
        <f t="shared" si="171"/>
        <v>0</v>
      </c>
      <c r="R1696" s="24">
        <f t="shared" si="169"/>
        <v>0</v>
      </c>
      <c r="S1696" s="5" t="s">
        <v>5474</v>
      </c>
    </row>
    <row r="1697" spans="2:20" hidden="1" x14ac:dyDescent="0.25">
      <c r="B1697" s="21" t="s">
        <v>395</v>
      </c>
      <c r="C1697" s="22" t="s">
        <v>1940</v>
      </c>
      <c r="D1697" s="22"/>
      <c r="E1697" s="21" t="s">
        <v>75</v>
      </c>
      <c r="F1697" s="21"/>
      <c r="G1697" s="147" t="s">
        <v>100</v>
      </c>
      <c r="H1697" s="23" t="s">
        <v>3114</v>
      </c>
      <c r="I1697" s="23" t="s">
        <v>7834</v>
      </c>
      <c r="J1697" s="21" t="s">
        <v>1566</v>
      </c>
      <c r="K1697" s="120"/>
      <c r="L1697" s="21" t="s">
        <v>5204</v>
      </c>
      <c r="M1697" s="26" t="s">
        <v>5205</v>
      </c>
      <c r="N1697" s="44">
        <v>0</v>
      </c>
      <c r="O1697" s="22" t="s">
        <v>15</v>
      </c>
      <c r="P1697" s="22">
        <v>0</v>
      </c>
      <c r="Q1697" s="44">
        <f t="shared" si="171"/>
        <v>0</v>
      </c>
      <c r="R1697" s="24">
        <f t="shared" si="169"/>
        <v>0</v>
      </c>
      <c r="S1697" s="5" t="s">
        <v>5474</v>
      </c>
    </row>
    <row r="1698" spans="2:20" hidden="1" x14ac:dyDescent="0.25">
      <c r="B1698" s="21" t="s">
        <v>395</v>
      </c>
      <c r="C1698" s="22" t="s">
        <v>1940</v>
      </c>
      <c r="D1698" s="22"/>
      <c r="E1698" s="21" t="s">
        <v>75</v>
      </c>
      <c r="F1698" s="21"/>
      <c r="G1698" s="147" t="s">
        <v>100</v>
      </c>
      <c r="H1698" s="23" t="s">
        <v>3114</v>
      </c>
      <c r="I1698" s="23" t="s">
        <v>7834</v>
      </c>
      <c r="J1698" s="21" t="s">
        <v>1566</v>
      </c>
      <c r="K1698" s="120"/>
      <c r="L1698" s="21"/>
      <c r="M1698" s="26"/>
      <c r="N1698" s="44">
        <v>0</v>
      </c>
      <c r="O1698" s="22" t="s">
        <v>15</v>
      </c>
      <c r="P1698" s="22">
        <v>0</v>
      </c>
      <c r="Q1698" s="44">
        <f t="shared" si="171"/>
        <v>0</v>
      </c>
      <c r="R1698" s="24">
        <f t="shared" si="169"/>
        <v>0</v>
      </c>
      <c r="S1698" s="5" t="s">
        <v>5474</v>
      </c>
    </row>
    <row r="1699" spans="2:20" hidden="1" x14ac:dyDescent="0.25">
      <c r="B1699" s="21" t="s">
        <v>395</v>
      </c>
      <c r="C1699" s="22" t="s">
        <v>1940</v>
      </c>
      <c r="D1699" s="22"/>
      <c r="E1699" s="21" t="s">
        <v>75</v>
      </c>
      <c r="F1699" s="21"/>
      <c r="G1699" s="147" t="s">
        <v>100</v>
      </c>
      <c r="H1699" s="23" t="s">
        <v>3114</v>
      </c>
      <c r="I1699" s="23" t="s">
        <v>7834</v>
      </c>
      <c r="J1699" s="21" t="s">
        <v>1566</v>
      </c>
      <c r="K1699" s="120"/>
      <c r="L1699" s="21"/>
      <c r="M1699" s="26"/>
      <c r="N1699" s="44">
        <v>0</v>
      </c>
      <c r="O1699" s="22" t="s">
        <v>15</v>
      </c>
      <c r="P1699" s="22">
        <v>0</v>
      </c>
      <c r="Q1699" s="44">
        <f t="shared" si="171"/>
        <v>0</v>
      </c>
      <c r="R1699" s="24">
        <f t="shared" si="169"/>
        <v>0</v>
      </c>
      <c r="S1699" s="5" t="s">
        <v>5474</v>
      </c>
    </row>
    <row r="1700" spans="2:20" hidden="1" x14ac:dyDescent="0.25">
      <c r="B1700" s="21" t="s">
        <v>395</v>
      </c>
      <c r="C1700" s="22" t="s">
        <v>1940</v>
      </c>
      <c r="D1700" s="22"/>
      <c r="E1700" s="21" t="s">
        <v>75</v>
      </c>
      <c r="F1700" s="21"/>
      <c r="G1700" s="147" t="s">
        <v>100</v>
      </c>
      <c r="H1700" s="23" t="s">
        <v>4184</v>
      </c>
      <c r="I1700" s="23" t="s">
        <v>7834</v>
      </c>
      <c r="J1700" s="21" t="s">
        <v>4572</v>
      </c>
      <c r="K1700" s="120"/>
      <c r="L1700" s="21" t="s">
        <v>4185</v>
      </c>
      <c r="M1700" s="26" t="s">
        <v>4186</v>
      </c>
      <c r="N1700" s="44">
        <v>0</v>
      </c>
      <c r="O1700" s="22" t="s">
        <v>15</v>
      </c>
      <c r="P1700" s="22">
        <v>0</v>
      </c>
      <c r="Q1700" s="44">
        <f t="shared" si="171"/>
        <v>0</v>
      </c>
      <c r="R1700" s="24">
        <f t="shared" si="169"/>
        <v>0</v>
      </c>
      <c r="S1700" s="5" t="s">
        <v>5474</v>
      </c>
      <c r="T1700"/>
    </row>
    <row r="1701" spans="2:20" hidden="1" x14ac:dyDescent="0.25">
      <c r="B1701" s="21" t="s">
        <v>395</v>
      </c>
      <c r="C1701" s="22" t="s">
        <v>1940</v>
      </c>
      <c r="D1701" s="22"/>
      <c r="E1701" s="21" t="s">
        <v>75</v>
      </c>
      <c r="F1701" s="21"/>
      <c r="G1701" s="147" t="s">
        <v>100</v>
      </c>
      <c r="H1701" s="23" t="s">
        <v>4184</v>
      </c>
      <c r="I1701" s="23" t="s">
        <v>7834</v>
      </c>
      <c r="J1701" s="21" t="s">
        <v>4572</v>
      </c>
      <c r="K1701" s="120"/>
      <c r="L1701" s="21" t="s">
        <v>3446</v>
      </c>
      <c r="M1701" s="26">
        <v>44014</v>
      </c>
      <c r="N1701" s="44">
        <v>0</v>
      </c>
      <c r="O1701" s="22" t="s">
        <v>15</v>
      </c>
      <c r="P1701" s="22">
        <v>0</v>
      </c>
      <c r="Q1701" s="44">
        <f t="shared" si="171"/>
        <v>0</v>
      </c>
      <c r="R1701" s="24">
        <f t="shared" si="169"/>
        <v>0</v>
      </c>
      <c r="S1701" s="5" t="s">
        <v>5474</v>
      </c>
      <c r="T1701"/>
    </row>
    <row r="1702" spans="2:20" hidden="1" x14ac:dyDescent="0.25">
      <c r="B1702" s="21" t="s">
        <v>395</v>
      </c>
      <c r="C1702" s="22" t="s">
        <v>1940</v>
      </c>
      <c r="D1702" s="22"/>
      <c r="E1702" s="21" t="s">
        <v>75</v>
      </c>
      <c r="F1702" s="21"/>
      <c r="G1702" s="147" t="s">
        <v>100</v>
      </c>
      <c r="H1702" s="23" t="s">
        <v>4184</v>
      </c>
      <c r="I1702" s="23" t="s">
        <v>7834</v>
      </c>
      <c r="J1702" s="21" t="s">
        <v>4572</v>
      </c>
      <c r="K1702" s="120"/>
      <c r="L1702" s="21" t="s">
        <v>3446</v>
      </c>
      <c r="M1702" s="26">
        <v>44014</v>
      </c>
      <c r="N1702" s="44">
        <v>0</v>
      </c>
      <c r="O1702" s="22" t="s">
        <v>15</v>
      </c>
      <c r="P1702" s="22">
        <v>0</v>
      </c>
      <c r="Q1702" s="44">
        <f t="shared" si="171"/>
        <v>0</v>
      </c>
      <c r="R1702" s="24">
        <f t="shared" si="169"/>
        <v>0</v>
      </c>
      <c r="S1702" s="5" t="s">
        <v>5474</v>
      </c>
      <c r="T1702"/>
    </row>
    <row r="1703" spans="2:20" hidden="1" x14ac:dyDescent="0.25">
      <c r="B1703" s="21" t="s">
        <v>395</v>
      </c>
      <c r="C1703" s="22" t="s">
        <v>1940</v>
      </c>
      <c r="D1703" s="22"/>
      <c r="E1703" s="21" t="s">
        <v>75</v>
      </c>
      <c r="F1703" s="21"/>
      <c r="G1703" s="147" t="s">
        <v>100</v>
      </c>
      <c r="H1703" s="23" t="s">
        <v>4184</v>
      </c>
      <c r="I1703" s="23" t="s">
        <v>7834</v>
      </c>
      <c r="J1703" s="21" t="s">
        <v>4572</v>
      </c>
      <c r="K1703" s="120"/>
      <c r="L1703" s="21" t="s">
        <v>3446</v>
      </c>
      <c r="M1703" s="26">
        <v>44014</v>
      </c>
      <c r="N1703" s="44">
        <v>0</v>
      </c>
      <c r="O1703" s="22" t="s">
        <v>15</v>
      </c>
      <c r="P1703" s="22">
        <v>0</v>
      </c>
      <c r="Q1703" s="44">
        <f t="shared" si="171"/>
        <v>0</v>
      </c>
      <c r="R1703" s="24">
        <f t="shared" si="169"/>
        <v>0</v>
      </c>
      <c r="S1703" s="5" t="s">
        <v>5474</v>
      </c>
      <c r="T1703"/>
    </row>
    <row r="1704" spans="2:20" hidden="1" x14ac:dyDescent="0.25">
      <c r="B1704" s="21" t="s">
        <v>395</v>
      </c>
      <c r="C1704" s="22" t="s">
        <v>1940</v>
      </c>
      <c r="D1704" s="22"/>
      <c r="E1704" s="21" t="s">
        <v>75</v>
      </c>
      <c r="F1704" s="21"/>
      <c r="G1704" s="147" t="s">
        <v>100</v>
      </c>
      <c r="H1704" s="23" t="s">
        <v>4567</v>
      </c>
      <c r="I1704" s="23" t="s">
        <v>7834</v>
      </c>
      <c r="J1704" s="21" t="s">
        <v>4568</v>
      </c>
      <c r="K1704" s="120"/>
      <c r="L1704" s="21" t="s">
        <v>4766</v>
      </c>
      <c r="M1704" s="26" t="s">
        <v>4767</v>
      </c>
      <c r="N1704" s="44">
        <v>0</v>
      </c>
      <c r="O1704" s="22" t="s">
        <v>15</v>
      </c>
      <c r="P1704" s="22">
        <v>0</v>
      </c>
      <c r="Q1704" s="44">
        <v>0</v>
      </c>
      <c r="R1704" s="24">
        <f t="shared" si="169"/>
        <v>0</v>
      </c>
      <c r="S1704" s="5" t="s">
        <v>5474</v>
      </c>
    </row>
    <row r="1705" spans="2:20" hidden="1" x14ac:dyDescent="0.25">
      <c r="B1705" s="21" t="s">
        <v>395</v>
      </c>
      <c r="C1705" s="22" t="s">
        <v>1940</v>
      </c>
      <c r="D1705" s="22"/>
      <c r="E1705" s="21" t="s">
        <v>75</v>
      </c>
      <c r="F1705" s="21"/>
      <c r="G1705" s="147" t="s">
        <v>100</v>
      </c>
      <c r="H1705" s="23" t="s">
        <v>4567</v>
      </c>
      <c r="I1705" s="23" t="s">
        <v>7834</v>
      </c>
      <c r="J1705" s="21" t="s">
        <v>4568</v>
      </c>
      <c r="K1705" s="120"/>
      <c r="L1705" s="21" t="s">
        <v>4814</v>
      </c>
      <c r="M1705" s="26" t="s">
        <v>4815</v>
      </c>
      <c r="N1705" s="44">
        <v>0</v>
      </c>
      <c r="O1705" s="22" t="s">
        <v>15</v>
      </c>
      <c r="P1705" s="22">
        <v>0</v>
      </c>
      <c r="Q1705" s="44">
        <f t="shared" ref="Q1705:Q1736" si="172">IF(P1705="en cours",N1705,IF(P1705="OK",0,IF(N1705-P1705&lt;0,0,N1705-P1705)))</f>
        <v>0</v>
      </c>
      <c r="R1705" s="24">
        <f t="shared" si="169"/>
        <v>0</v>
      </c>
      <c r="S1705" s="5" t="s">
        <v>5474</v>
      </c>
    </row>
    <row r="1706" spans="2:20" hidden="1" x14ac:dyDescent="0.25">
      <c r="B1706" s="21" t="s">
        <v>395</v>
      </c>
      <c r="C1706" s="22" t="s">
        <v>1940</v>
      </c>
      <c r="D1706" s="22"/>
      <c r="E1706" s="21" t="s">
        <v>75</v>
      </c>
      <c r="F1706" s="21"/>
      <c r="G1706" s="147" t="s">
        <v>100</v>
      </c>
      <c r="H1706" s="23" t="s">
        <v>4567</v>
      </c>
      <c r="I1706" s="23" t="s">
        <v>7834</v>
      </c>
      <c r="J1706" s="21" t="s">
        <v>4568</v>
      </c>
      <c r="K1706" s="120"/>
      <c r="L1706" s="21" t="s">
        <v>4816</v>
      </c>
      <c r="M1706" s="26">
        <v>44305</v>
      </c>
      <c r="N1706" s="44">
        <v>0</v>
      </c>
      <c r="O1706" s="22" t="s">
        <v>15</v>
      </c>
      <c r="P1706" s="22">
        <v>0</v>
      </c>
      <c r="Q1706" s="44">
        <f t="shared" si="172"/>
        <v>0</v>
      </c>
      <c r="R1706" s="24">
        <f t="shared" si="169"/>
        <v>0</v>
      </c>
      <c r="S1706" s="5" t="s">
        <v>5474</v>
      </c>
    </row>
    <row r="1707" spans="2:20" hidden="1" x14ac:dyDescent="0.25">
      <c r="B1707" s="21" t="s">
        <v>395</v>
      </c>
      <c r="C1707" s="22" t="s">
        <v>1940</v>
      </c>
      <c r="D1707" s="22"/>
      <c r="E1707" s="21" t="s">
        <v>75</v>
      </c>
      <c r="F1707" s="21"/>
      <c r="G1707" s="147" t="s">
        <v>100</v>
      </c>
      <c r="H1707" s="23" t="s">
        <v>4567</v>
      </c>
      <c r="I1707" s="23" t="s">
        <v>7834</v>
      </c>
      <c r="J1707" s="21" t="s">
        <v>4568</v>
      </c>
      <c r="K1707" s="120"/>
      <c r="L1707" s="21" t="s">
        <v>4816</v>
      </c>
      <c r="M1707" s="26">
        <v>44305</v>
      </c>
      <c r="N1707" s="44">
        <v>0</v>
      </c>
      <c r="O1707" s="22" t="s">
        <v>15</v>
      </c>
      <c r="P1707" s="22">
        <v>0</v>
      </c>
      <c r="Q1707" s="44">
        <f t="shared" si="172"/>
        <v>0</v>
      </c>
      <c r="R1707" s="24">
        <f t="shared" si="169"/>
        <v>0</v>
      </c>
      <c r="S1707" s="5" t="s">
        <v>5474</v>
      </c>
    </row>
    <row r="1708" spans="2:20" hidden="1" x14ac:dyDescent="0.25">
      <c r="B1708" s="21" t="s">
        <v>395</v>
      </c>
      <c r="C1708" s="22" t="s">
        <v>1940</v>
      </c>
      <c r="D1708" s="22"/>
      <c r="E1708" s="21" t="s">
        <v>75</v>
      </c>
      <c r="F1708" s="21"/>
      <c r="G1708" s="147" t="s">
        <v>100</v>
      </c>
      <c r="H1708" s="23" t="s">
        <v>4567</v>
      </c>
      <c r="I1708" s="23" t="s">
        <v>7834</v>
      </c>
      <c r="J1708" s="21" t="s">
        <v>4568</v>
      </c>
      <c r="K1708" s="120"/>
      <c r="L1708" s="21" t="s">
        <v>4816</v>
      </c>
      <c r="M1708" s="26">
        <v>44305</v>
      </c>
      <c r="N1708" s="44">
        <v>0</v>
      </c>
      <c r="O1708" s="22" t="s">
        <v>15</v>
      </c>
      <c r="P1708" s="22">
        <v>0</v>
      </c>
      <c r="Q1708" s="44">
        <f t="shared" si="172"/>
        <v>0</v>
      </c>
      <c r="R1708" s="24">
        <f t="shared" si="169"/>
        <v>0</v>
      </c>
      <c r="S1708" s="5" t="s">
        <v>5474</v>
      </c>
    </row>
    <row r="1709" spans="2:20" hidden="1" x14ac:dyDescent="0.25">
      <c r="B1709" s="21" t="s">
        <v>395</v>
      </c>
      <c r="C1709" s="22" t="s">
        <v>1940</v>
      </c>
      <c r="D1709" s="22"/>
      <c r="E1709" s="21" t="s">
        <v>75</v>
      </c>
      <c r="F1709" s="21"/>
      <c r="G1709" s="147" t="s">
        <v>100</v>
      </c>
      <c r="H1709" s="23" t="s">
        <v>4567</v>
      </c>
      <c r="I1709" s="23" t="s">
        <v>7834</v>
      </c>
      <c r="J1709" s="21" t="s">
        <v>4568</v>
      </c>
      <c r="K1709" s="120"/>
      <c r="L1709" s="21" t="s">
        <v>4816</v>
      </c>
      <c r="M1709" s="26">
        <v>44305</v>
      </c>
      <c r="N1709" s="44">
        <v>0</v>
      </c>
      <c r="O1709" s="22" t="s">
        <v>15</v>
      </c>
      <c r="P1709" s="22">
        <v>0</v>
      </c>
      <c r="Q1709" s="44">
        <f t="shared" si="172"/>
        <v>0</v>
      </c>
      <c r="R1709" s="24">
        <f t="shared" si="169"/>
        <v>0</v>
      </c>
      <c r="S1709" s="5" t="s">
        <v>5474</v>
      </c>
    </row>
    <row r="1710" spans="2:20" hidden="1" x14ac:dyDescent="0.25">
      <c r="B1710" s="21" t="s">
        <v>395</v>
      </c>
      <c r="C1710" s="22" t="s">
        <v>1940</v>
      </c>
      <c r="D1710" s="22"/>
      <c r="E1710" s="21" t="s">
        <v>75</v>
      </c>
      <c r="F1710" s="21"/>
      <c r="G1710" s="147" t="s">
        <v>100</v>
      </c>
      <c r="H1710" s="23" t="s">
        <v>4567</v>
      </c>
      <c r="I1710" s="23" t="s">
        <v>7834</v>
      </c>
      <c r="J1710" s="21" t="s">
        <v>4568</v>
      </c>
      <c r="K1710" s="120"/>
      <c r="L1710" s="21" t="s">
        <v>4816</v>
      </c>
      <c r="M1710" s="26">
        <v>44305</v>
      </c>
      <c r="N1710" s="44">
        <v>0</v>
      </c>
      <c r="O1710" s="22" t="s">
        <v>15</v>
      </c>
      <c r="P1710" s="22">
        <v>0</v>
      </c>
      <c r="Q1710" s="44">
        <f t="shared" si="172"/>
        <v>0</v>
      </c>
      <c r="R1710" s="24">
        <f t="shared" si="169"/>
        <v>0</v>
      </c>
      <c r="S1710" s="5" t="s">
        <v>5474</v>
      </c>
    </row>
    <row r="1711" spans="2:20" hidden="1" x14ac:dyDescent="0.25">
      <c r="B1711" s="21" t="s">
        <v>395</v>
      </c>
      <c r="C1711" s="22" t="s">
        <v>1940</v>
      </c>
      <c r="D1711" s="22"/>
      <c r="E1711" s="21" t="s">
        <v>75</v>
      </c>
      <c r="F1711" s="21"/>
      <c r="G1711" s="147" t="s">
        <v>100</v>
      </c>
      <c r="H1711" s="23" t="s">
        <v>4567</v>
      </c>
      <c r="I1711" s="23" t="s">
        <v>7834</v>
      </c>
      <c r="J1711" s="21" t="s">
        <v>4568</v>
      </c>
      <c r="K1711" s="120"/>
      <c r="L1711" s="21" t="s">
        <v>4816</v>
      </c>
      <c r="M1711" s="26">
        <v>44305</v>
      </c>
      <c r="N1711" s="44">
        <v>0</v>
      </c>
      <c r="O1711" s="22" t="s">
        <v>15</v>
      </c>
      <c r="P1711" s="22">
        <v>0</v>
      </c>
      <c r="Q1711" s="44">
        <f t="shared" si="172"/>
        <v>0</v>
      </c>
      <c r="R1711" s="24">
        <f t="shared" si="169"/>
        <v>0</v>
      </c>
      <c r="S1711" s="5" t="s">
        <v>5474</v>
      </c>
    </row>
    <row r="1712" spans="2:20" hidden="1" x14ac:dyDescent="0.25">
      <c r="B1712" s="21" t="s">
        <v>395</v>
      </c>
      <c r="C1712" s="22" t="s">
        <v>1940</v>
      </c>
      <c r="D1712" s="22"/>
      <c r="E1712" s="21" t="s">
        <v>75</v>
      </c>
      <c r="F1712" s="21"/>
      <c r="G1712" s="147" t="s">
        <v>100</v>
      </c>
      <c r="H1712" s="23" t="s">
        <v>4567</v>
      </c>
      <c r="I1712" s="23" t="s">
        <v>7834</v>
      </c>
      <c r="J1712" s="21" t="s">
        <v>4568</v>
      </c>
      <c r="K1712" s="120"/>
      <c r="L1712" s="21" t="s">
        <v>4816</v>
      </c>
      <c r="M1712" s="26">
        <v>44305</v>
      </c>
      <c r="N1712" s="44">
        <v>0</v>
      </c>
      <c r="O1712" s="22" t="s">
        <v>15</v>
      </c>
      <c r="P1712" s="22">
        <v>0</v>
      </c>
      <c r="Q1712" s="44">
        <f t="shared" si="172"/>
        <v>0</v>
      </c>
      <c r="R1712" s="24">
        <f t="shared" si="169"/>
        <v>0</v>
      </c>
      <c r="S1712" s="5" t="s">
        <v>5474</v>
      </c>
    </row>
    <row r="1713" spans="2:19" hidden="1" x14ac:dyDescent="0.25">
      <c r="B1713" s="21" t="s">
        <v>395</v>
      </c>
      <c r="C1713" s="22" t="s">
        <v>1940</v>
      </c>
      <c r="D1713" s="22"/>
      <c r="E1713" s="21" t="s">
        <v>75</v>
      </c>
      <c r="F1713" s="21"/>
      <c r="G1713" s="147" t="s">
        <v>100</v>
      </c>
      <c r="H1713" s="23" t="s">
        <v>4571</v>
      </c>
      <c r="I1713" s="23" t="s">
        <v>7834</v>
      </c>
      <c r="J1713" s="21" t="s">
        <v>3117</v>
      </c>
      <c r="K1713" s="120"/>
      <c r="L1713" s="21" t="s">
        <v>5200</v>
      </c>
      <c r="M1713" s="26" t="s">
        <v>5201</v>
      </c>
      <c r="N1713" s="44">
        <v>0</v>
      </c>
      <c r="O1713" s="22" t="s">
        <v>15</v>
      </c>
      <c r="P1713" s="22">
        <v>0</v>
      </c>
      <c r="Q1713" s="44">
        <f t="shared" si="172"/>
        <v>0</v>
      </c>
      <c r="R1713" s="24">
        <f t="shared" si="169"/>
        <v>0</v>
      </c>
      <c r="S1713" s="5" t="s">
        <v>5474</v>
      </c>
    </row>
    <row r="1714" spans="2:19" ht="15.75" hidden="1" customHeight="1" x14ac:dyDescent="0.35">
      <c r="B1714" s="21" t="s">
        <v>395</v>
      </c>
      <c r="C1714" s="22" t="s">
        <v>1940</v>
      </c>
      <c r="D1714" s="22"/>
      <c r="E1714" s="21" t="s">
        <v>75</v>
      </c>
      <c r="F1714" s="21"/>
      <c r="G1714" s="147" t="s">
        <v>100</v>
      </c>
      <c r="H1714" s="23" t="s">
        <v>5297</v>
      </c>
      <c r="I1714" s="23"/>
      <c r="J1714" s="21" t="s">
        <v>5302</v>
      </c>
      <c r="K1714" s="21"/>
      <c r="L1714" s="21" t="s">
        <v>5640</v>
      </c>
      <c r="M1714" s="26">
        <v>44426</v>
      </c>
      <c r="N1714" s="44">
        <v>410000</v>
      </c>
      <c r="O1714" s="22" t="s">
        <v>15</v>
      </c>
      <c r="P1714" s="44">
        <f>415013.69+30000</f>
        <v>445013.69</v>
      </c>
      <c r="Q1714" s="44">
        <f t="shared" si="172"/>
        <v>0</v>
      </c>
      <c r="R1714" s="24">
        <f t="shared" si="169"/>
        <v>445013.69</v>
      </c>
    </row>
    <row r="1715" spans="2:19" ht="15.75" hidden="1" customHeight="1" x14ac:dyDescent="0.35">
      <c r="B1715" s="21" t="s">
        <v>395</v>
      </c>
      <c r="C1715" s="22" t="s">
        <v>1940</v>
      </c>
      <c r="D1715" s="22"/>
      <c r="E1715" s="21" t="s">
        <v>75</v>
      </c>
      <c r="F1715" s="21"/>
      <c r="G1715" s="147" t="s">
        <v>100</v>
      </c>
      <c r="H1715" s="23" t="s">
        <v>5297</v>
      </c>
      <c r="I1715" s="23"/>
      <c r="J1715" s="21" t="s">
        <v>5303</v>
      </c>
      <c r="K1715" s="21"/>
      <c r="L1715" s="21" t="s">
        <v>6842</v>
      </c>
      <c r="M1715" s="26" t="s">
        <v>6843</v>
      </c>
      <c r="N1715" s="44">
        <v>96199</v>
      </c>
      <c r="O1715" s="22" t="s">
        <v>15</v>
      </c>
      <c r="P1715" s="44">
        <f>91217.7+2841.45+2841.45+130.54</f>
        <v>97031.139999999985</v>
      </c>
      <c r="Q1715" s="44">
        <f t="shared" si="172"/>
        <v>0</v>
      </c>
      <c r="R1715" s="24">
        <f t="shared" ref="R1715:R1717" si="173">IF(P1715="OK",N1715-Q1715,IF(P1715="en cours",N1715-Q1715,P1715))</f>
        <v>97031.139999999985</v>
      </c>
    </row>
    <row r="1716" spans="2:19" ht="15.75" hidden="1" customHeight="1" x14ac:dyDescent="0.35">
      <c r="C1716" s="300" t="s">
        <v>1940</v>
      </c>
      <c r="E1716" s="299" t="s">
        <v>75</v>
      </c>
      <c r="F1716" s="299"/>
      <c r="G1716" s="299" t="s">
        <v>100</v>
      </c>
      <c r="H1716" s="301" t="s">
        <v>6295</v>
      </c>
      <c r="I1716" s="301"/>
      <c r="J1716" s="302" t="s">
        <v>180</v>
      </c>
      <c r="K1716" s="303"/>
      <c r="L1716" s="321" t="s">
        <v>6696</v>
      </c>
      <c r="M1716" s="322" t="s">
        <v>6697</v>
      </c>
      <c r="N1716" s="304">
        <f>923246-410000-96199-29394</f>
        <v>387653</v>
      </c>
      <c r="O1716" s="305" t="s">
        <v>15</v>
      </c>
      <c r="P1716" s="304">
        <f>298199.56+(3738.32)+2162+476.07+812.76+1295.08+1263.87+270.34</f>
        <v>308218.00000000006</v>
      </c>
      <c r="Q1716" s="304">
        <f t="shared" si="172"/>
        <v>79434.999999999942</v>
      </c>
      <c r="R1716" s="304">
        <f t="shared" si="173"/>
        <v>308218.00000000006</v>
      </c>
    </row>
    <row r="1717" spans="2:19" hidden="1" x14ac:dyDescent="0.25">
      <c r="C1717" s="4" t="s">
        <v>1940</v>
      </c>
      <c r="E1717" s="5" t="s">
        <v>75</v>
      </c>
      <c r="G1717" s="146" t="s">
        <v>100</v>
      </c>
      <c r="H1717" s="7" t="s">
        <v>5777</v>
      </c>
      <c r="J1717" s="5" t="s">
        <v>5778</v>
      </c>
      <c r="N1717" s="45">
        <v>39014.07</v>
      </c>
      <c r="O1717" s="4" t="s">
        <v>15</v>
      </c>
      <c r="Q1717" s="45">
        <f t="shared" si="172"/>
        <v>39014.07</v>
      </c>
      <c r="R1717" s="45">
        <f t="shared" si="173"/>
        <v>0</v>
      </c>
    </row>
    <row r="1718" spans="2:19" hidden="1" x14ac:dyDescent="0.25">
      <c r="B1718" s="21" t="s">
        <v>395</v>
      </c>
      <c r="C1718" s="22" t="s">
        <v>9747</v>
      </c>
      <c r="D1718" s="22"/>
      <c r="E1718" s="21" t="s">
        <v>75</v>
      </c>
      <c r="F1718" s="21" t="s">
        <v>9790</v>
      </c>
      <c r="G1718" s="147" t="s">
        <v>100</v>
      </c>
      <c r="H1718" s="23" t="s">
        <v>9791</v>
      </c>
      <c r="I1718" s="23"/>
      <c r="J1718" s="21" t="s">
        <v>9792</v>
      </c>
      <c r="K1718" s="21"/>
      <c r="L1718" s="21" t="s">
        <v>9794</v>
      </c>
      <c r="M1718" s="26" t="s">
        <v>9795</v>
      </c>
      <c r="N1718" s="44">
        <v>53021</v>
      </c>
      <c r="O1718" s="22" t="s">
        <v>15</v>
      </c>
      <c r="P1718" s="44">
        <f>53021-53021+53021</f>
        <v>53021</v>
      </c>
      <c r="Q1718" s="24">
        <f t="shared" si="172"/>
        <v>0</v>
      </c>
      <c r="R1718" s="24">
        <f t="shared" ref="R1718:R1732" si="174">IF(P1718="OK",N1718-Q1718,IF(P1718="en cours",M1718-Q1718,P1718))</f>
        <v>53021</v>
      </c>
    </row>
    <row r="1719" spans="2:19" hidden="1" x14ac:dyDescent="0.25">
      <c r="B1719" s="21" t="s">
        <v>395</v>
      </c>
      <c r="C1719" s="22" t="s">
        <v>9747</v>
      </c>
      <c r="D1719" s="22"/>
      <c r="E1719" s="21" t="s">
        <v>75</v>
      </c>
      <c r="F1719" s="21" t="s">
        <v>9790</v>
      </c>
      <c r="G1719" s="147" t="s">
        <v>100</v>
      </c>
      <c r="H1719" s="23" t="s">
        <v>9791</v>
      </c>
      <c r="I1719" s="23"/>
      <c r="J1719" s="21" t="s">
        <v>9793</v>
      </c>
      <c r="K1719" s="21"/>
      <c r="L1719" s="21" t="s">
        <v>9796</v>
      </c>
      <c r="M1719" s="26">
        <v>45401</v>
      </c>
      <c r="N1719" s="44">
        <v>6200</v>
      </c>
      <c r="O1719" s="22" t="s">
        <v>15</v>
      </c>
      <c r="P1719" s="44">
        <v>6200</v>
      </c>
      <c r="Q1719" s="24">
        <f t="shared" si="172"/>
        <v>0</v>
      </c>
      <c r="R1719" s="24">
        <f t="shared" si="174"/>
        <v>6200</v>
      </c>
    </row>
    <row r="1720" spans="2:19" hidden="1" x14ac:dyDescent="0.25">
      <c r="B1720" s="21" t="s">
        <v>395</v>
      </c>
      <c r="C1720" s="22" t="s">
        <v>9747</v>
      </c>
      <c r="D1720" s="22"/>
      <c r="E1720" s="21" t="s">
        <v>75</v>
      </c>
      <c r="F1720" s="21" t="s">
        <v>10002</v>
      </c>
      <c r="G1720" s="147" t="s">
        <v>100</v>
      </c>
      <c r="H1720" s="23" t="s">
        <v>10094</v>
      </c>
      <c r="I1720" s="23"/>
      <c r="J1720" s="21" t="s">
        <v>10095</v>
      </c>
      <c r="K1720" s="21"/>
      <c r="L1720" s="21" t="s">
        <v>10105</v>
      </c>
      <c r="M1720" s="26">
        <v>45462</v>
      </c>
      <c r="N1720" s="44">
        <f>247522-53021</f>
        <v>194501</v>
      </c>
      <c r="O1720" s="22" t="s">
        <v>15</v>
      </c>
      <c r="P1720" s="44">
        <f>194501</f>
        <v>194501</v>
      </c>
      <c r="Q1720" s="24">
        <f t="shared" si="172"/>
        <v>0</v>
      </c>
      <c r="R1720" s="24">
        <f t="shared" si="174"/>
        <v>194501</v>
      </c>
    </row>
    <row r="1721" spans="2:19" hidden="1" x14ac:dyDescent="0.25">
      <c r="B1721" s="21" t="s">
        <v>395</v>
      </c>
      <c r="C1721" s="22" t="s">
        <v>9747</v>
      </c>
      <c r="D1721" s="22"/>
      <c r="E1721" s="21" t="s">
        <v>75</v>
      </c>
      <c r="F1721" s="21" t="s">
        <v>9790</v>
      </c>
      <c r="G1721" s="147" t="s">
        <v>100</v>
      </c>
      <c r="H1721" s="23" t="s">
        <v>10094</v>
      </c>
      <c r="I1721" s="23"/>
      <c r="J1721" s="21" t="s">
        <v>10099</v>
      </c>
      <c r="K1721" s="21"/>
      <c r="L1721" s="21" t="s">
        <v>10384</v>
      </c>
      <c r="M1721" s="26">
        <v>45519</v>
      </c>
      <c r="N1721" s="44">
        <v>82507</v>
      </c>
      <c r="O1721" s="22" t="s">
        <v>15</v>
      </c>
      <c r="P1721" s="44">
        <v>82507.289999999994</v>
      </c>
      <c r="Q1721" s="24">
        <f t="shared" si="172"/>
        <v>0</v>
      </c>
      <c r="R1721" s="24">
        <f t="shared" si="174"/>
        <v>82507.289999999994</v>
      </c>
    </row>
    <row r="1722" spans="2:19" hidden="1" x14ac:dyDescent="0.25">
      <c r="B1722" s="21" t="s">
        <v>395</v>
      </c>
      <c r="C1722" s="22" t="s">
        <v>9747</v>
      </c>
      <c r="D1722" s="22"/>
      <c r="E1722" s="21" t="s">
        <v>75</v>
      </c>
      <c r="F1722" s="21" t="s">
        <v>9790</v>
      </c>
      <c r="G1722" s="147" t="s">
        <v>100</v>
      </c>
      <c r="H1722" s="23" t="s">
        <v>10094</v>
      </c>
      <c r="I1722" s="23"/>
      <c r="J1722" s="21" t="s">
        <v>10100</v>
      </c>
      <c r="K1722" s="21"/>
      <c r="L1722" s="21" t="s">
        <v>10480</v>
      </c>
      <c r="M1722" s="26">
        <v>45544</v>
      </c>
      <c r="N1722" s="44">
        <v>82507</v>
      </c>
      <c r="O1722" s="22" t="s">
        <v>15</v>
      </c>
      <c r="P1722" s="44">
        <v>82507</v>
      </c>
      <c r="Q1722" s="24">
        <f t="shared" si="172"/>
        <v>0</v>
      </c>
      <c r="R1722" s="24">
        <f t="shared" si="174"/>
        <v>82507</v>
      </c>
    </row>
    <row r="1723" spans="2:19" hidden="1" x14ac:dyDescent="0.25">
      <c r="B1723" s="21" t="s">
        <v>395</v>
      </c>
      <c r="C1723" s="22" t="s">
        <v>9747</v>
      </c>
      <c r="D1723" s="22"/>
      <c r="E1723" s="21" t="s">
        <v>75</v>
      </c>
      <c r="F1723" s="21" t="s">
        <v>9790</v>
      </c>
      <c r="G1723" s="147" t="s">
        <v>100</v>
      </c>
      <c r="H1723" s="23" t="s">
        <v>10094</v>
      </c>
      <c r="I1723" s="23"/>
      <c r="J1723" s="21" t="s">
        <v>10101</v>
      </c>
      <c r="K1723" s="21"/>
      <c r="L1723" s="21" t="s">
        <v>10511</v>
      </c>
      <c r="M1723" s="26">
        <v>45558</v>
      </c>
      <c r="N1723" s="44">
        <v>49504</v>
      </c>
      <c r="O1723" s="22" t="s">
        <v>15</v>
      </c>
      <c r="P1723" s="44">
        <v>49504</v>
      </c>
      <c r="Q1723" s="24">
        <f t="shared" si="172"/>
        <v>0</v>
      </c>
      <c r="R1723" s="24">
        <f t="shared" si="174"/>
        <v>49504</v>
      </c>
    </row>
    <row r="1724" spans="2:19" hidden="1" x14ac:dyDescent="0.25">
      <c r="B1724" s="21" t="s">
        <v>395</v>
      </c>
      <c r="C1724" s="22" t="s">
        <v>9747</v>
      </c>
      <c r="D1724" s="22"/>
      <c r="E1724" s="21" t="s">
        <v>75</v>
      </c>
      <c r="F1724" s="21" t="s">
        <v>9790</v>
      </c>
      <c r="G1724" s="147" t="s">
        <v>100</v>
      </c>
      <c r="H1724" s="23" t="s">
        <v>10094</v>
      </c>
      <c r="I1724" s="23"/>
      <c r="J1724" s="21" t="s">
        <v>10102</v>
      </c>
      <c r="K1724" s="21"/>
      <c r="L1724" s="21" t="s">
        <v>10859</v>
      </c>
      <c r="M1724" s="26">
        <v>45635</v>
      </c>
      <c r="N1724" s="44">
        <v>49504</v>
      </c>
      <c r="O1724" s="22" t="s">
        <v>15</v>
      </c>
      <c r="P1724" s="44">
        <v>49504.38</v>
      </c>
      <c r="Q1724" s="24">
        <f t="shared" si="172"/>
        <v>0</v>
      </c>
      <c r="R1724" s="24">
        <f t="shared" si="174"/>
        <v>49504.38</v>
      </c>
    </row>
    <row r="1725" spans="2:19" hidden="1" x14ac:dyDescent="0.25">
      <c r="B1725" s="21" t="s">
        <v>395</v>
      </c>
      <c r="C1725" s="22" t="s">
        <v>9747</v>
      </c>
      <c r="D1725" s="22"/>
      <c r="E1725" s="21" t="s">
        <v>75</v>
      </c>
      <c r="F1725" s="21" t="s">
        <v>9790</v>
      </c>
      <c r="G1725" s="147" t="s">
        <v>100</v>
      </c>
      <c r="H1725" s="23" t="s">
        <v>12249</v>
      </c>
      <c r="I1725" s="23"/>
      <c r="J1725" s="21" t="s">
        <v>12253</v>
      </c>
      <c r="K1725" s="47"/>
      <c r="L1725" s="21" t="s">
        <v>12256</v>
      </c>
      <c r="M1725" s="26">
        <v>45862</v>
      </c>
      <c r="N1725" s="44">
        <v>143320</v>
      </c>
      <c r="O1725" s="22" t="s">
        <v>15</v>
      </c>
      <c r="P1725" s="44">
        <v>143319.75</v>
      </c>
      <c r="Q1725" s="24">
        <f t="shared" si="172"/>
        <v>0.25</v>
      </c>
      <c r="R1725" s="24">
        <f t="shared" si="174"/>
        <v>143319.75</v>
      </c>
    </row>
    <row r="1726" spans="2:19" hidden="1" x14ac:dyDescent="0.25">
      <c r="B1726" s="21" t="s">
        <v>395</v>
      </c>
      <c r="C1726" s="22" t="s">
        <v>9747</v>
      </c>
      <c r="D1726" s="22"/>
      <c r="E1726" s="21" t="s">
        <v>75</v>
      </c>
      <c r="F1726" s="21" t="s">
        <v>9790</v>
      </c>
      <c r="G1726" s="147" t="s">
        <v>100</v>
      </c>
      <c r="H1726" s="23" t="s">
        <v>12249</v>
      </c>
      <c r="I1726" s="23"/>
      <c r="J1726" s="21" t="s">
        <v>12254</v>
      </c>
      <c r="K1726" s="47"/>
      <c r="L1726" s="21" t="s">
        <v>12906</v>
      </c>
      <c r="M1726" s="26">
        <v>45953</v>
      </c>
      <c r="N1726" s="44">
        <v>69185</v>
      </c>
      <c r="O1726" s="22" t="s">
        <v>15</v>
      </c>
      <c r="P1726" s="44">
        <v>69185.55</v>
      </c>
      <c r="Q1726" s="24">
        <f t="shared" ref="Q1726" si="175">IF(P1726="en cours",N1726,IF(P1726="OK",0,IF(N1726-P1726&lt;0,0,N1726-P1726)))</f>
        <v>0</v>
      </c>
      <c r="R1726" s="24">
        <f t="shared" ref="R1726" si="176">IF(P1726="OK",N1726-Q1726,IF(P1726="en cours",M1726-Q1726,P1726))</f>
        <v>69185.55</v>
      </c>
    </row>
    <row r="1727" spans="2:19" hidden="1" x14ac:dyDescent="0.25">
      <c r="B1727" s="21" t="s">
        <v>395</v>
      </c>
      <c r="C1727" s="22" t="s">
        <v>9747</v>
      </c>
      <c r="D1727" s="22"/>
      <c r="E1727" s="21" t="s">
        <v>75</v>
      </c>
      <c r="F1727" s="21" t="s">
        <v>9790</v>
      </c>
      <c r="G1727" s="147" t="s">
        <v>100</v>
      </c>
      <c r="H1727" s="23" t="s">
        <v>12249</v>
      </c>
      <c r="I1727" s="23"/>
      <c r="J1727" s="21" t="s">
        <v>12255</v>
      </c>
      <c r="K1727" s="47"/>
      <c r="L1727" s="21" t="s">
        <v>12905</v>
      </c>
      <c r="M1727" s="26">
        <v>45953</v>
      </c>
      <c r="N1727" s="44">
        <v>69185</v>
      </c>
      <c r="O1727" s="22" t="s">
        <v>15</v>
      </c>
      <c r="P1727" s="44">
        <v>69185.55</v>
      </c>
      <c r="Q1727" s="24">
        <f t="shared" si="172"/>
        <v>0</v>
      </c>
      <c r="R1727" s="24">
        <f t="shared" si="174"/>
        <v>69185.55</v>
      </c>
    </row>
    <row r="1728" spans="2:19" hidden="1" x14ac:dyDescent="0.25">
      <c r="B1728" s="21" t="s">
        <v>395</v>
      </c>
      <c r="C1728" s="22" t="s">
        <v>9747</v>
      </c>
      <c r="D1728" s="22"/>
      <c r="E1728" s="21" t="s">
        <v>75</v>
      </c>
      <c r="F1728" s="21" t="s">
        <v>9790</v>
      </c>
      <c r="G1728" s="147" t="s">
        <v>100</v>
      </c>
      <c r="H1728" s="23" t="s">
        <v>12249</v>
      </c>
      <c r="I1728" s="23"/>
      <c r="J1728" s="21" t="s">
        <v>10103</v>
      </c>
      <c r="K1728" s="21"/>
      <c r="L1728" s="21" t="s">
        <v>13357</v>
      </c>
      <c r="M1728" s="26">
        <v>45985</v>
      </c>
      <c r="N1728" s="44">
        <v>46124</v>
      </c>
      <c r="O1728" s="22" t="s">
        <v>15</v>
      </c>
      <c r="P1728" s="44">
        <v>46123.35</v>
      </c>
      <c r="Q1728" s="24">
        <v>0</v>
      </c>
      <c r="R1728" s="24">
        <f t="shared" si="174"/>
        <v>46123.35</v>
      </c>
    </row>
    <row r="1729" spans="2:18" hidden="1" x14ac:dyDescent="0.25">
      <c r="B1729" s="21" t="s">
        <v>395</v>
      </c>
      <c r="C1729" s="22" t="s">
        <v>9747</v>
      </c>
      <c r="D1729" s="22"/>
      <c r="E1729" s="21" t="s">
        <v>75</v>
      </c>
      <c r="F1729" s="21" t="s">
        <v>9790</v>
      </c>
      <c r="G1729" s="147" t="s">
        <v>100</v>
      </c>
      <c r="H1729" s="23" t="s">
        <v>12249</v>
      </c>
      <c r="I1729" s="23"/>
      <c r="J1729" s="21" t="s">
        <v>10104</v>
      </c>
      <c r="K1729" s="21"/>
      <c r="L1729" s="21" t="s">
        <v>14137</v>
      </c>
      <c r="M1729" s="26">
        <v>46071</v>
      </c>
      <c r="N1729" s="44">
        <v>18161</v>
      </c>
      <c r="O1729" s="22" t="s">
        <v>15</v>
      </c>
      <c r="P1729" s="44">
        <v>18161.48</v>
      </c>
      <c r="Q1729" s="24">
        <f t="shared" si="172"/>
        <v>0</v>
      </c>
      <c r="R1729" s="24">
        <f t="shared" si="174"/>
        <v>18161.48</v>
      </c>
    </row>
    <row r="1730" spans="2:18" hidden="1" x14ac:dyDescent="0.25">
      <c r="B1730" s="21" t="s">
        <v>395</v>
      </c>
      <c r="C1730" s="22" t="s">
        <v>9747</v>
      </c>
      <c r="D1730" s="22"/>
      <c r="E1730" s="21" t="s">
        <v>75</v>
      </c>
      <c r="F1730" s="21" t="s">
        <v>9790</v>
      </c>
      <c r="G1730" s="147" t="s">
        <v>100</v>
      </c>
      <c r="H1730" s="23" t="s">
        <v>10094</v>
      </c>
      <c r="I1730" s="23"/>
      <c r="J1730" s="21" t="s">
        <v>10096</v>
      </c>
      <c r="K1730" s="47"/>
      <c r="L1730" s="21" t="s">
        <v>10152</v>
      </c>
      <c r="M1730" s="26" t="s">
        <v>10153</v>
      </c>
      <c r="N1730" s="44">
        <v>18335</v>
      </c>
      <c r="O1730" s="22" t="s">
        <v>15</v>
      </c>
      <c r="P1730" s="44">
        <f>18335-18335+18335</f>
        <v>18335</v>
      </c>
      <c r="Q1730" s="24">
        <f t="shared" si="172"/>
        <v>0</v>
      </c>
      <c r="R1730" s="24">
        <f t="shared" si="174"/>
        <v>18335</v>
      </c>
    </row>
    <row r="1731" spans="2:18" hidden="1" x14ac:dyDescent="0.25">
      <c r="B1731" s="21" t="s">
        <v>395</v>
      </c>
      <c r="C1731" s="22" t="s">
        <v>9747</v>
      </c>
      <c r="D1731" s="22"/>
      <c r="E1731" s="21" t="s">
        <v>75</v>
      </c>
      <c r="F1731" s="21" t="s">
        <v>9790</v>
      </c>
      <c r="G1731" s="147" t="s">
        <v>100</v>
      </c>
      <c r="H1731" s="23" t="s">
        <v>10094</v>
      </c>
      <c r="I1731" s="23"/>
      <c r="J1731" s="21" t="s">
        <v>10096</v>
      </c>
      <c r="K1731" s="47"/>
      <c r="L1731" s="21" t="s">
        <v>10294</v>
      </c>
      <c r="M1731" s="26">
        <v>45510</v>
      </c>
      <c r="N1731" s="44">
        <v>18335</v>
      </c>
      <c r="O1731" s="22" t="s">
        <v>15</v>
      </c>
      <c r="P1731" s="44">
        <v>18335</v>
      </c>
      <c r="Q1731" s="24">
        <f t="shared" si="172"/>
        <v>0</v>
      </c>
      <c r="R1731" s="24">
        <f t="shared" si="174"/>
        <v>18335</v>
      </c>
    </row>
    <row r="1732" spans="2:18" hidden="1" x14ac:dyDescent="0.25">
      <c r="B1732" s="21" t="s">
        <v>395</v>
      </c>
      <c r="C1732" s="22" t="s">
        <v>9747</v>
      </c>
      <c r="D1732" s="22"/>
      <c r="E1732" s="21" t="s">
        <v>75</v>
      </c>
      <c r="F1732" s="21" t="s">
        <v>9790</v>
      </c>
      <c r="G1732" s="147" t="s">
        <v>100</v>
      </c>
      <c r="H1732" s="23" t="s">
        <v>10094</v>
      </c>
      <c r="I1732" s="23"/>
      <c r="J1732" s="21" t="s">
        <v>10096</v>
      </c>
      <c r="K1732" s="47"/>
      <c r="L1732" s="21" t="s">
        <v>10479</v>
      </c>
      <c r="M1732" s="26">
        <v>45538</v>
      </c>
      <c r="N1732" s="44">
        <v>18335</v>
      </c>
      <c r="O1732" s="22" t="s">
        <v>15</v>
      </c>
      <c r="P1732" s="44">
        <v>18335</v>
      </c>
      <c r="Q1732" s="24">
        <f t="shared" si="172"/>
        <v>0</v>
      </c>
      <c r="R1732" s="24">
        <f t="shared" si="174"/>
        <v>18335</v>
      </c>
    </row>
    <row r="1733" spans="2:18" hidden="1" x14ac:dyDescent="0.25">
      <c r="B1733" s="21" t="s">
        <v>395</v>
      </c>
      <c r="C1733" s="22" t="s">
        <v>9747</v>
      </c>
      <c r="D1733" s="22"/>
      <c r="E1733" s="21" t="s">
        <v>75</v>
      </c>
      <c r="F1733" s="21" t="s">
        <v>9790</v>
      </c>
      <c r="G1733" s="147" t="s">
        <v>100</v>
      </c>
      <c r="H1733" s="23" t="s">
        <v>10094</v>
      </c>
      <c r="I1733" s="23"/>
      <c r="J1733" s="21" t="s">
        <v>10096</v>
      </c>
      <c r="K1733" s="47"/>
      <c r="L1733" s="21" t="s">
        <v>10693</v>
      </c>
      <c r="M1733" s="26">
        <v>45567</v>
      </c>
      <c r="N1733" s="44">
        <v>18335</v>
      </c>
      <c r="O1733" s="22" t="s">
        <v>15</v>
      </c>
      <c r="P1733" s="44">
        <v>18335</v>
      </c>
      <c r="Q1733" s="24">
        <f t="shared" si="172"/>
        <v>0</v>
      </c>
      <c r="R1733" s="24">
        <f>IF(P1733="OK",N1733-Q1733,IF(P1733="en cours",M1734-Q1733,P1733))</f>
        <v>18335</v>
      </c>
    </row>
    <row r="1734" spans="2:18" hidden="1" x14ac:dyDescent="0.25">
      <c r="B1734" s="21" t="s">
        <v>395</v>
      </c>
      <c r="C1734" s="22" t="s">
        <v>9747</v>
      </c>
      <c r="D1734" s="22"/>
      <c r="E1734" s="21" t="s">
        <v>75</v>
      </c>
      <c r="F1734" s="21" t="s">
        <v>9790</v>
      </c>
      <c r="G1734" s="147" t="s">
        <v>100</v>
      </c>
      <c r="H1734" s="23" t="s">
        <v>10094</v>
      </c>
      <c r="I1734" s="23"/>
      <c r="J1734" s="21" t="s">
        <v>10096</v>
      </c>
      <c r="K1734" s="47"/>
      <c r="L1734" s="21" t="s">
        <v>10692</v>
      </c>
      <c r="M1734" s="26">
        <v>45601</v>
      </c>
      <c r="N1734" s="44">
        <v>18335</v>
      </c>
      <c r="O1734" s="22" t="s">
        <v>15</v>
      </c>
      <c r="P1734" s="44">
        <v>18335</v>
      </c>
      <c r="Q1734" s="24">
        <f t="shared" si="172"/>
        <v>0</v>
      </c>
      <c r="R1734" s="24">
        <f>IF(P1734="OK",N1734-Q1734,IF(P1734="en cours",#REF!-Q1734,P1734))</f>
        <v>18335</v>
      </c>
    </row>
    <row r="1735" spans="2:18" hidden="1" x14ac:dyDescent="0.25">
      <c r="B1735" s="21" t="s">
        <v>395</v>
      </c>
      <c r="C1735" s="22" t="s">
        <v>9747</v>
      </c>
      <c r="D1735" s="22"/>
      <c r="E1735" s="21" t="s">
        <v>75</v>
      </c>
      <c r="F1735" s="21" t="s">
        <v>9790</v>
      </c>
      <c r="G1735" s="147" t="s">
        <v>100</v>
      </c>
      <c r="H1735" s="23" t="s">
        <v>10094</v>
      </c>
      <c r="I1735" s="23"/>
      <c r="J1735" s="21" t="s">
        <v>10096</v>
      </c>
      <c r="K1735" s="47"/>
      <c r="L1735" s="21" t="s">
        <v>10860</v>
      </c>
      <c r="M1735" s="26">
        <v>45635</v>
      </c>
      <c r="N1735" s="44">
        <v>18335</v>
      </c>
      <c r="O1735" s="22" t="s">
        <v>15</v>
      </c>
      <c r="P1735" s="44">
        <v>18335</v>
      </c>
      <c r="Q1735" s="24">
        <f t="shared" si="172"/>
        <v>0</v>
      </c>
      <c r="R1735" s="24">
        <f t="shared" ref="R1735:R1752" si="177">IF(P1735="OK",N1735-Q1735,IF(P1735="en cours",M1735-Q1735,P1735))</f>
        <v>18335</v>
      </c>
    </row>
    <row r="1736" spans="2:18" hidden="1" x14ac:dyDescent="0.25">
      <c r="B1736" s="21" t="s">
        <v>395</v>
      </c>
      <c r="C1736" s="22" t="s">
        <v>9747</v>
      </c>
      <c r="D1736" s="22"/>
      <c r="E1736" s="21" t="s">
        <v>75</v>
      </c>
      <c r="F1736" s="21" t="s">
        <v>9790</v>
      </c>
      <c r="G1736" s="147" t="s">
        <v>100</v>
      </c>
      <c r="H1736" s="23" t="s">
        <v>10094</v>
      </c>
      <c r="I1736" s="23"/>
      <c r="J1736" s="21" t="s">
        <v>12252</v>
      </c>
      <c r="K1736" s="47"/>
      <c r="L1736" s="21" t="s">
        <v>11091</v>
      </c>
      <c r="M1736" s="26">
        <v>45664</v>
      </c>
      <c r="N1736" s="44">
        <v>19252</v>
      </c>
      <c r="O1736" s="22" t="s">
        <v>15</v>
      </c>
      <c r="P1736" s="44">
        <v>19252</v>
      </c>
      <c r="Q1736" s="24">
        <f t="shared" si="172"/>
        <v>0</v>
      </c>
      <c r="R1736" s="24">
        <f t="shared" si="177"/>
        <v>19252</v>
      </c>
    </row>
    <row r="1737" spans="2:18" hidden="1" x14ac:dyDescent="0.25">
      <c r="B1737" s="21" t="s">
        <v>395</v>
      </c>
      <c r="C1737" s="22" t="s">
        <v>9747</v>
      </c>
      <c r="D1737" s="22"/>
      <c r="E1737" s="21" t="s">
        <v>75</v>
      </c>
      <c r="F1737" s="21" t="s">
        <v>9790</v>
      </c>
      <c r="G1737" s="147" t="s">
        <v>100</v>
      </c>
      <c r="H1737" s="23" t="s">
        <v>10094</v>
      </c>
      <c r="I1737" s="23"/>
      <c r="J1737" s="21" t="s">
        <v>12252</v>
      </c>
      <c r="K1737" s="47"/>
      <c r="L1737" s="21" t="s">
        <v>11202</v>
      </c>
      <c r="M1737" s="26">
        <v>45692</v>
      </c>
      <c r="N1737" s="44">
        <v>19252</v>
      </c>
      <c r="O1737" s="22" t="s">
        <v>15</v>
      </c>
      <c r="P1737" s="44">
        <v>19252</v>
      </c>
      <c r="Q1737" s="24">
        <f t="shared" ref="Q1737:Q1770" si="178">IF(P1737="en cours",N1737,IF(P1737="OK",0,IF(N1737-P1737&lt;0,0,N1737-P1737)))</f>
        <v>0</v>
      </c>
      <c r="R1737" s="24">
        <f t="shared" si="177"/>
        <v>19252</v>
      </c>
    </row>
    <row r="1738" spans="2:18" hidden="1" x14ac:dyDescent="0.25">
      <c r="B1738" s="21" t="s">
        <v>395</v>
      </c>
      <c r="C1738" s="22" t="s">
        <v>9747</v>
      </c>
      <c r="D1738" s="22"/>
      <c r="E1738" s="21" t="s">
        <v>75</v>
      </c>
      <c r="F1738" s="21" t="s">
        <v>9790</v>
      </c>
      <c r="G1738" s="147" t="s">
        <v>100</v>
      </c>
      <c r="H1738" s="23" t="s">
        <v>10094</v>
      </c>
      <c r="I1738" s="23"/>
      <c r="J1738" s="21" t="s">
        <v>12252</v>
      </c>
      <c r="K1738" s="47"/>
      <c r="L1738" s="21" t="s">
        <v>11345</v>
      </c>
      <c r="M1738" s="26">
        <v>45721</v>
      </c>
      <c r="N1738" s="44">
        <v>19252</v>
      </c>
      <c r="O1738" s="22" t="s">
        <v>15</v>
      </c>
      <c r="P1738" s="44">
        <v>19252</v>
      </c>
      <c r="Q1738" s="24">
        <f t="shared" si="178"/>
        <v>0</v>
      </c>
      <c r="R1738" s="24">
        <f t="shared" si="177"/>
        <v>19252</v>
      </c>
    </row>
    <row r="1739" spans="2:18" hidden="1" x14ac:dyDescent="0.25">
      <c r="B1739" s="21" t="s">
        <v>395</v>
      </c>
      <c r="C1739" s="22" t="s">
        <v>9747</v>
      </c>
      <c r="D1739" s="22"/>
      <c r="E1739" s="21" t="s">
        <v>75</v>
      </c>
      <c r="F1739" s="21" t="s">
        <v>9790</v>
      </c>
      <c r="G1739" s="147" t="s">
        <v>100</v>
      </c>
      <c r="H1739" s="23" t="s">
        <v>10094</v>
      </c>
      <c r="I1739" s="23"/>
      <c r="J1739" s="21" t="s">
        <v>10097</v>
      </c>
      <c r="K1739" s="47"/>
      <c r="L1739" s="21" t="s">
        <v>11593</v>
      </c>
      <c r="M1739" s="26">
        <v>45750</v>
      </c>
      <c r="N1739" s="44">
        <v>6188</v>
      </c>
      <c r="O1739" s="22" t="s">
        <v>15</v>
      </c>
      <c r="P1739" s="44">
        <v>6188.05</v>
      </c>
      <c r="Q1739" s="24">
        <f t="shared" si="178"/>
        <v>0</v>
      </c>
      <c r="R1739" s="24">
        <f t="shared" si="177"/>
        <v>6188.05</v>
      </c>
    </row>
    <row r="1740" spans="2:18" hidden="1" x14ac:dyDescent="0.25">
      <c r="B1740" s="21" t="s">
        <v>395</v>
      </c>
      <c r="C1740" s="22" t="s">
        <v>9747</v>
      </c>
      <c r="D1740" s="22"/>
      <c r="E1740" s="21" t="s">
        <v>75</v>
      </c>
      <c r="F1740" s="21" t="s">
        <v>9790</v>
      </c>
      <c r="G1740" s="147" t="s">
        <v>100</v>
      </c>
      <c r="H1740" s="23" t="s">
        <v>10094</v>
      </c>
      <c r="I1740" s="23"/>
      <c r="J1740" s="21" t="s">
        <v>10097</v>
      </c>
      <c r="K1740" s="47"/>
      <c r="L1740" s="21" t="s">
        <v>11958</v>
      </c>
      <c r="M1740" s="26">
        <v>45783</v>
      </c>
      <c r="N1740" s="44">
        <v>6188</v>
      </c>
      <c r="O1740" s="22" t="s">
        <v>15</v>
      </c>
      <c r="P1740" s="44">
        <v>6188.05</v>
      </c>
      <c r="Q1740" s="24">
        <f t="shared" si="178"/>
        <v>0</v>
      </c>
      <c r="R1740" s="24">
        <f t="shared" si="177"/>
        <v>6188.05</v>
      </c>
    </row>
    <row r="1741" spans="2:18" hidden="1" x14ac:dyDescent="0.25">
      <c r="B1741" s="21" t="s">
        <v>395</v>
      </c>
      <c r="C1741" s="22" t="s">
        <v>9747</v>
      </c>
      <c r="D1741" s="22"/>
      <c r="E1741" s="21" t="s">
        <v>75</v>
      </c>
      <c r="F1741" s="21" t="s">
        <v>9790</v>
      </c>
      <c r="G1741" s="147" t="s">
        <v>100</v>
      </c>
      <c r="H1741" s="23" t="s">
        <v>10094</v>
      </c>
      <c r="I1741" s="23"/>
      <c r="J1741" s="21" t="s">
        <v>10097</v>
      </c>
      <c r="K1741" s="47"/>
      <c r="L1741" s="21" t="s">
        <v>11959</v>
      </c>
      <c r="M1741" s="26">
        <v>45812</v>
      </c>
      <c r="N1741" s="44">
        <v>6188</v>
      </c>
      <c r="O1741" s="22" t="s">
        <v>15</v>
      </c>
      <c r="P1741" s="44">
        <v>6188.05</v>
      </c>
      <c r="Q1741" s="24">
        <f t="shared" si="178"/>
        <v>0</v>
      </c>
      <c r="R1741" s="24">
        <f t="shared" si="177"/>
        <v>6188.05</v>
      </c>
    </row>
    <row r="1742" spans="2:18" hidden="1" x14ac:dyDescent="0.25">
      <c r="B1742" s="21" t="s">
        <v>395</v>
      </c>
      <c r="C1742" s="22" t="s">
        <v>9747</v>
      </c>
      <c r="D1742" s="22"/>
      <c r="E1742" s="21" t="s">
        <v>75</v>
      </c>
      <c r="F1742" s="21" t="s">
        <v>9790</v>
      </c>
      <c r="G1742" s="147" t="s">
        <v>100</v>
      </c>
      <c r="H1742" s="23" t="s">
        <v>10094</v>
      </c>
      <c r="I1742" s="23"/>
      <c r="J1742" s="21" t="s">
        <v>10097</v>
      </c>
      <c r="K1742" s="47"/>
      <c r="L1742" s="21" t="s">
        <v>12244</v>
      </c>
      <c r="M1742" s="26" t="s">
        <v>12243</v>
      </c>
      <c r="N1742" s="44">
        <v>6188</v>
      </c>
      <c r="O1742" s="22" t="s">
        <v>15</v>
      </c>
      <c r="P1742" s="44">
        <f>6188.05-6188.05+6188.05</f>
        <v>6188.05</v>
      </c>
      <c r="Q1742" s="24">
        <f t="shared" si="178"/>
        <v>0</v>
      </c>
      <c r="R1742" s="24">
        <f t="shared" si="177"/>
        <v>6188.05</v>
      </c>
    </row>
    <row r="1743" spans="2:18" hidden="1" x14ac:dyDescent="0.25">
      <c r="B1743" s="21" t="s">
        <v>395</v>
      </c>
      <c r="C1743" s="22" t="s">
        <v>9747</v>
      </c>
      <c r="D1743" s="22"/>
      <c r="E1743" s="21" t="s">
        <v>75</v>
      </c>
      <c r="F1743" s="21" t="s">
        <v>9790</v>
      </c>
      <c r="G1743" s="147" t="s">
        <v>100</v>
      </c>
      <c r="H1743" s="23" t="s">
        <v>12249</v>
      </c>
      <c r="I1743" s="23"/>
      <c r="J1743" s="21" t="s">
        <v>12250</v>
      </c>
      <c r="K1743" s="47"/>
      <c r="L1743" s="21" t="s">
        <v>12318</v>
      </c>
      <c r="M1743" s="26">
        <v>45872</v>
      </c>
      <c r="N1743" s="44">
        <v>12262</v>
      </c>
      <c r="O1743" s="22" t="s">
        <v>15</v>
      </c>
      <c r="P1743" s="44">
        <v>12261.48</v>
      </c>
      <c r="Q1743" s="24">
        <v>0</v>
      </c>
      <c r="R1743" s="24">
        <f t="shared" si="177"/>
        <v>12261.48</v>
      </c>
    </row>
    <row r="1744" spans="2:18" hidden="1" x14ac:dyDescent="0.25">
      <c r="B1744" s="21" t="s">
        <v>395</v>
      </c>
      <c r="C1744" s="22" t="s">
        <v>9747</v>
      </c>
      <c r="D1744" s="22"/>
      <c r="E1744" s="21" t="s">
        <v>75</v>
      </c>
      <c r="F1744" s="21" t="s">
        <v>9790</v>
      </c>
      <c r="G1744" s="147" t="s">
        <v>100</v>
      </c>
      <c r="H1744" s="23" t="s">
        <v>12249</v>
      </c>
      <c r="I1744" s="23"/>
      <c r="J1744" s="21" t="s">
        <v>12250</v>
      </c>
      <c r="K1744" s="47"/>
      <c r="L1744" s="21" t="s">
        <v>12529</v>
      </c>
      <c r="M1744" s="26">
        <v>45922</v>
      </c>
      <c r="N1744" s="44">
        <v>12262</v>
      </c>
      <c r="O1744" s="22" t="s">
        <v>15</v>
      </c>
      <c r="P1744" s="44">
        <v>12261.48</v>
      </c>
      <c r="Q1744" s="24">
        <v>0</v>
      </c>
      <c r="R1744" s="24">
        <f t="shared" si="177"/>
        <v>12261.48</v>
      </c>
    </row>
    <row r="1745" spans="2:19" hidden="1" x14ac:dyDescent="0.25">
      <c r="B1745" s="21" t="s">
        <v>395</v>
      </c>
      <c r="C1745" s="22" t="s">
        <v>9747</v>
      </c>
      <c r="D1745" s="22"/>
      <c r="E1745" s="21" t="s">
        <v>75</v>
      </c>
      <c r="F1745" s="21" t="s">
        <v>9790</v>
      </c>
      <c r="G1745" s="147" t="s">
        <v>100</v>
      </c>
      <c r="H1745" s="23" t="s">
        <v>12249</v>
      </c>
      <c r="I1745" s="23"/>
      <c r="J1745" s="21" t="s">
        <v>12250</v>
      </c>
      <c r="K1745" s="47"/>
      <c r="L1745" s="21" t="s">
        <v>12904</v>
      </c>
      <c r="M1745" s="26">
        <v>45953</v>
      </c>
      <c r="N1745" s="44">
        <v>12262</v>
      </c>
      <c r="O1745" s="22" t="s">
        <v>15</v>
      </c>
      <c r="P1745" s="44">
        <v>12261.48</v>
      </c>
      <c r="Q1745" s="24">
        <v>0</v>
      </c>
      <c r="R1745" s="24">
        <f t="shared" si="177"/>
        <v>12261.48</v>
      </c>
    </row>
    <row r="1746" spans="2:19" hidden="1" x14ac:dyDescent="0.25">
      <c r="B1746" s="21" t="s">
        <v>395</v>
      </c>
      <c r="C1746" s="22" t="s">
        <v>9747</v>
      </c>
      <c r="D1746" s="22"/>
      <c r="E1746" s="21" t="s">
        <v>75</v>
      </c>
      <c r="F1746" s="21" t="s">
        <v>9790</v>
      </c>
      <c r="G1746" s="147" t="s">
        <v>100</v>
      </c>
      <c r="H1746" s="23" t="s">
        <v>12249</v>
      </c>
      <c r="I1746" s="23"/>
      <c r="J1746" s="21" t="s">
        <v>12250</v>
      </c>
      <c r="K1746" s="47"/>
      <c r="L1746" s="21" t="s">
        <v>13435</v>
      </c>
      <c r="M1746" s="26" t="s">
        <v>13436</v>
      </c>
      <c r="N1746" s="44">
        <v>12262</v>
      </c>
      <c r="O1746" s="22" t="s">
        <v>15</v>
      </c>
      <c r="P1746" s="44">
        <f>11677.6+583.88</f>
        <v>12261.48</v>
      </c>
      <c r="Q1746" s="24">
        <v>0</v>
      </c>
      <c r="R1746" s="24">
        <f t="shared" ref="R1746:R1747" si="179">IF(P1746="OK",N1746-Q1746,IF(P1746="en cours",M1746-Q1746,P1746))</f>
        <v>12261.48</v>
      </c>
    </row>
    <row r="1747" spans="2:19" hidden="1" x14ac:dyDescent="0.25">
      <c r="B1747" s="21" t="s">
        <v>395</v>
      </c>
      <c r="C1747" s="22" t="s">
        <v>9747</v>
      </c>
      <c r="D1747" s="22"/>
      <c r="E1747" s="21" t="s">
        <v>75</v>
      </c>
      <c r="F1747" s="21" t="s">
        <v>9790</v>
      </c>
      <c r="G1747" s="147" t="s">
        <v>100</v>
      </c>
      <c r="H1747" s="23" t="s">
        <v>12249</v>
      </c>
      <c r="I1747" s="23"/>
      <c r="J1747" s="21" t="s">
        <v>12250</v>
      </c>
      <c r="K1747" s="47"/>
      <c r="L1747" s="21" t="s">
        <v>13464</v>
      </c>
      <c r="M1747" s="26">
        <v>45995</v>
      </c>
      <c r="N1747" s="44">
        <v>12262</v>
      </c>
      <c r="O1747" s="22" t="s">
        <v>15</v>
      </c>
      <c r="P1747" s="44">
        <v>12260.93</v>
      </c>
      <c r="Q1747" s="24">
        <v>0</v>
      </c>
      <c r="R1747" s="24">
        <f t="shared" si="179"/>
        <v>12260.93</v>
      </c>
    </row>
    <row r="1748" spans="2:19" hidden="1" x14ac:dyDescent="0.25">
      <c r="B1748" s="21" t="s">
        <v>395</v>
      </c>
      <c r="C1748" s="22" t="s">
        <v>9747</v>
      </c>
      <c r="D1748" s="22"/>
      <c r="E1748" s="21" t="s">
        <v>75</v>
      </c>
      <c r="F1748" s="21" t="s">
        <v>9790</v>
      </c>
      <c r="G1748" s="147" t="s">
        <v>100</v>
      </c>
      <c r="H1748" s="23" t="s">
        <v>12249</v>
      </c>
      <c r="I1748" s="23"/>
      <c r="J1748" s="21" t="s">
        <v>12251</v>
      </c>
      <c r="K1748" s="47"/>
      <c r="L1748" s="21" t="s">
        <v>13877</v>
      </c>
      <c r="M1748" s="26">
        <v>46037</v>
      </c>
      <c r="N1748" s="44">
        <v>6054</v>
      </c>
      <c r="O1748" s="22" t="s">
        <v>15</v>
      </c>
      <c r="P1748" s="44">
        <f>6053.83</f>
        <v>6053.83</v>
      </c>
      <c r="Q1748" s="24">
        <f t="shared" ref="Q1748" si="180">IF(P1748="en cours",N1748,IF(P1748="OK",0,IF(N1748-P1748&lt;0,0,N1748-P1748)))</f>
        <v>0.17000000000007276</v>
      </c>
      <c r="R1748" s="24">
        <f t="shared" ref="R1748" si="181">IF(P1748="OK",N1748-Q1748,IF(P1748="en cours",M1748-Q1748,P1748))</f>
        <v>6053.83</v>
      </c>
    </row>
    <row r="1749" spans="2:19" hidden="1" x14ac:dyDescent="0.25">
      <c r="B1749" s="21" t="s">
        <v>395</v>
      </c>
      <c r="C1749" s="22" t="s">
        <v>9747</v>
      </c>
      <c r="D1749" s="22"/>
      <c r="E1749" s="21" t="s">
        <v>75</v>
      </c>
      <c r="F1749" s="21" t="s">
        <v>9790</v>
      </c>
      <c r="G1749" s="147" t="s">
        <v>100</v>
      </c>
      <c r="H1749" s="23" t="s">
        <v>12249</v>
      </c>
      <c r="I1749" s="23"/>
      <c r="J1749" s="21" t="s">
        <v>12251</v>
      </c>
      <c r="K1749" s="47"/>
      <c r="L1749" s="21" t="s">
        <v>13994</v>
      </c>
      <c r="M1749" s="26">
        <v>46057</v>
      </c>
      <c r="N1749" s="44">
        <v>6054</v>
      </c>
      <c r="O1749" s="22" t="s">
        <v>15</v>
      </c>
      <c r="P1749" s="44">
        <v>6053.81</v>
      </c>
      <c r="Q1749" s="24">
        <f t="shared" ref="Q1749" si="182">IF(P1749="en cours",N1749,IF(P1749="OK",0,IF(N1749-P1749&lt;0,0,N1749-P1749)))</f>
        <v>0.18999999999959982</v>
      </c>
      <c r="R1749" s="24">
        <f t="shared" ref="R1749" si="183">IF(P1749="OK",N1749-Q1749,IF(P1749="en cours",M1749-Q1749,P1749))</f>
        <v>6053.81</v>
      </c>
    </row>
    <row r="1750" spans="2:19" hidden="1" x14ac:dyDescent="0.25">
      <c r="C1750" s="4" t="s">
        <v>9747</v>
      </c>
      <c r="E1750" s="5" t="s">
        <v>75</v>
      </c>
      <c r="F1750" s="5" t="s">
        <v>9790</v>
      </c>
      <c r="G1750" s="146" t="s">
        <v>100</v>
      </c>
      <c r="H1750" s="7" t="s">
        <v>14135</v>
      </c>
      <c r="I1750" s="7" t="s">
        <v>14134</v>
      </c>
      <c r="J1750" s="5" t="s">
        <v>10092</v>
      </c>
      <c r="L1750" s="5" t="s">
        <v>13639</v>
      </c>
      <c r="M1750" s="12" t="s">
        <v>13640</v>
      </c>
      <c r="N1750" s="45">
        <f>50147-41553+10530</f>
        <v>19124</v>
      </c>
      <c r="O1750" s="4" t="s">
        <v>15</v>
      </c>
      <c r="P1750" s="45">
        <f>105.45+597.3+22.4+22.4+5644.28-5207.28+470.76+191.1+(1344.37-918.72)+(232.65+73)+663.74</f>
        <v>3241.45</v>
      </c>
      <c r="Q1750" s="3">
        <f t="shared" si="178"/>
        <v>15882.55</v>
      </c>
      <c r="R1750" s="3">
        <f t="shared" si="177"/>
        <v>3241.45</v>
      </c>
    </row>
    <row r="1751" spans="2:19" hidden="1" x14ac:dyDescent="0.25">
      <c r="C1751" s="4" t="s">
        <v>9747</v>
      </c>
      <c r="E1751" s="5" t="s">
        <v>75</v>
      </c>
      <c r="F1751" s="5" t="s">
        <v>9790</v>
      </c>
      <c r="G1751" s="146" t="s">
        <v>100</v>
      </c>
      <c r="H1751" s="7" t="s">
        <v>12249</v>
      </c>
      <c r="J1751" s="5" t="s">
        <v>10098</v>
      </c>
      <c r="L1751" s="5" t="s">
        <v>14317</v>
      </c>
      <c r="M1751" s="12" t="s">
        <v>14318</v>
      </c>
      <c r="N1751" s="45">
        <v>41553</v>
      </c>
      <c r="O1751" s="4" t="s">
        <v>15</v>
      </c>
      <c r="P1751" s="45">
        <f>10529.49+1735.76+5207.28+(-143.79+229.68)+1607.76+5207.28+1735.76+918.72+5207.28+1735.76</f>
        <v>33970.979999999996</v>
      </c>
      <c r="Q1751" s="3">
        <f t="shared" ref="Q1751" si="184">IF(P1751="en cours",N1751,IF(P1751="OK",0,IF(N1751-P1751&lt;0,0,N1751-P1751)))</f>
        <v>7582.0200000000041</v>
      </c>
      <c r="R1751" s="3">
        <f t="shared" ref="R1751" si="185">IF(P1751="OK",N1751-Q1751,IF(P1751="en cours",M1751-Q1751,P1751))</f>
        <v>33970.979999999996</v>
      </c>
    </row>
    <row r="1752" spans="2:19" hidden="1" x14ac:dyDescent="0.25">
      <c r="B1752" s="21" t="s">
        <v>395</v>
      </c>
      <c r="C1752" s="22" t="s">
        <v>9747</v>
      </c>
      <c r="D1752" s="22"/>
      <c r="E1752" s="21" t="s">
        <v>75</v>
      </c>
      <c r="F1752" s="21" t="s">
        <v>9790</v>
      </c>
      <c r="G1752" s="147" t="s">
        <v>100</v>
      </c>
      <c r="H1752" s="23" t="s">
        <v>14315</v>
      </c>
      <c r="I1752" s="23" t="s">
        <v>14134</v>
      </c>
      <c r="J1752" s="21" t="s">
        <v>14136</v>
      </c>
      <c r="K1752" s="21"/>
      <c r="L1752" s="21" t="s">
        <v>14316</v>
      </c>
      <c r="M1752" s="26">
        <v>46079</v>
      </c>
      <c r="N1752" s="44">
        <v>11470</v>
      </c>
      <c r="O1752" s="22" t="s">
        <v>15</v>
      </c>
      <c r="P1752" s="44">
        <v>11470</v>
      </c>
      <c r="Q1752" s="24">
        <f t="shared" si="178"/>
        <v>0</v>
      </c>
      <c r="R1752" s="24">
        <f t="shared" si="177"/>
        <v>11470</v>
      </c>
    </row>
    <row r="1753" spans="2:19" hidden="1" x14ac:dyDescent="0.25">
      <c r="C1753" s="4" t="s">
        <v>158</v>
      </c>
      <c r="E1753" s="5" t="s">
        <v>10</v>
      </c>
      <c r="F1753" s="5" t="s">
        <v>9830</v>
      </c>
      <c r="G1753" s="146" t="s">
        <v>9831</v>
      </c>
      <c r="H1753" s="7" t="s">
        <v>9832</v>
      </c>
      <c r="I1753" s="7" t="s">
        <v>9833</v>
      </c>
      <c r="J1753" s="5" t="s">
        <v>9834</v>
      </c>
      <c r="N1753" s="45">
        <v>300</v>
      </c>
      <c r="O1753" s="4" t="s">
        <v>15</v>
      </c>
      <c r="Q1753" s="3">
        <f t="shared" si="178"/>
        <v>300</v>
      </c>
      <c r="R1753" s="3">
        <f t="shared" ref="R1753" si="186">IF(P1753="OK",N1753-Q1753,IF(P1753="en cours",N1753-Q1753,P1753))</f>
        <v>0</v>
      </c>
    </row>
    <row r="1754" spans="2:19" hidden="1" x14ac:dyDescent="0.25">
      <c r="B1754" s="21" t="s">
        <v>395</v>
      </c>
      <c r="C1754" s="22" t="s">
        <v>2450</v>
      </c>
      <c r="D1754" s="22"/>
      <c r="E1754" s="21" t="s">
        <v>3234</v>
      </c>
      <c r="F1754" s="21"/>
      <c r="G1754" s="147" t="s">
        <v>10752</v>
      </c>
      <c r="H1754" s="23" t="s">
        <v>10753</v>
      </c>
      <c r="I1754" s="23" t="s">
        <v>10754</v>
      </c>
      <c r="J1754" s="21" t="s">
        <v>10755</v>
      </c>
      <c r="K1754" s="21"/>
      <c r="L1754" s="21" t="s">
        <v>13390</v>
      </c>
      <c r="M1754" s="26">
        <v>45583</v>
      </c>
      <c r="N1754" s="44">
        <v>2902</v>
      </c>
      <c r="O1754" s="22" t="s">
        <v>15</v>
      </c>
      <c r="P1754" s="44">
        <v>2902</v>
      </c>
      <c r="Q1754" s="24">
        <f t="shared" si="178"/>
        <v>0</v>
      </c>
      <c r="R1754" s="24">
        <f>IF(P1754="OK",N1754-Q1754,IF(P1754="en cours",M1754-Q1754,P1754))</f>
        <v>2902</v>
      </c>
    </row>
    <row r="1755" spans="2:19" hidden="1" x14ac:dyDescent="0.25">
      <c r="B1755" s="21" t="s">
        <v>395</v>
      </c>
      <c r="C1755" s="22" t="s">
        <v>158</v>
      </c>
      <c r="D1755" s="22"/>
      <c r="E1755" s="21" t="s">
        <v>10</v>
      </c>
      <c r="F1755" s="21" t="s">
        <v>9721</v>
      </c>
      <c r="G1755" s="147" t="s">
        <v>2366</v>
      </c>
      <c r="H1755" s="23" t="s">
        <v>10463</v>
      </c>
      <c r="I1755" s="23" t="s">
        <v>10464</v>
      </c>
      <c r="J1755" s="21" t="s">
        <v>10473</v>
      </c>
      <c r="K1755" s="21"/>
      <c r="L1755" s="21" t="s">
        <v>10560</v>
      </c>
      <c r="M1755" s="26">
        <v>45547</v>
      </c>
      <c r="N1755" s="44">
        <f>2299.44/3</f>
        <v>766.48</v>
      </c>
      <c r="O1755" s="22" t="s">
        <v>15</v>
      </c>
      <c r="P1755" s="44">
        <v>766.48</v>
      </c>
      <c r="Q1755" s="44">
        <f t="shared" si="178"/>
        <v>0</v>
      </c>
      <c r="R1755" s="24">
        <f>IF(P1755="OK",N1755-Q1755,IF(P1755="en cours",N1755-Q1755,P1755))</f>
        <v>766.48</v>
      </c>
    </row>
    <row r="1756" spans="2:19" hidden="1" x14ac:dyDescent="0.25">
      <c r="B1756" s="21" t="s">
        <v>395</v>
      </c>
      <c r="C1756" s="22" t="s">
        <v>158</v>
      </c>
      <c r="D1756" s="22"/>
      <c r="E1756" s="21" t="s">
        <v>10</v>
      </c>
      <c r="F1756" s="21" t="s">
        <v>9721</v>
      </c>
      <c r="G1756" s="147" t="s">
        <v>2366</v>
      </c>
      <c r="H1756" s="23" t="s">
        <v>10463</v>
      </c>
      <c r="I1756" s="23" t="s">
        <v>10464</v>
      </c>
      <c r="J1756" s="21" t="s">
        <v>10474</v>
      </c>
      <c r="K1756" s="21"/>
      <c r="L1756" s="21" t="s">
        <v>10560</v>
      </c>
      <c r="M1756" s="26">
        <v>45547</v>
      </c>
      <c r="N1756" s="44">
        <f>2299.44/3</f>
        <v>766.48</v>
      </c>
      <c r="O1756" s="22" t="s">
        <v>15</v>
      </c>
      <c r="P1756" s="44">
        <v>766.48</v>
      </c>
      <c r="Q1756" s="44">
        <f t="shared" si="178"/>
        <v>0</v>
      </c>
      <c r="R1756" s="24">
        <f>IF(P1756="OK",N1756-Q1756,IF(P1756="en cours",N1756-Q1756,P1756))</f>
        <v>766.48</v>
      </c>
    </row>
    <row r="1757" spans="2:19" hidden="1" x14ac:dyDescent="0.25">
      <c r="B1757" s="21" t="s">
        <v>395</v>
      </c>
      <c r="C1757" s="22" t="s">
        <v>158</v>
      </c>
      <c r="D1757" s="22"/>
      <c r="E1757" s="21" t="s">
        <v>10</v>
      </c>
      <c r="F1757" s="21" t="s">
        <v>9721</v>
      </c>
      <c r="G1757" s="147" t="s">
        <v>2366</v>
      </c>
      <c r="H1757" s="23" t="s">
        <v>10463</v>
      </c>
      <c r="I1757" s="23" t="s">
        <v>10464</v>
      </c>
      <c r="J1757" s="21" t="s">
        <v>10475</v>
      </c>
      <c r="K1757" s="21"/>
      <c r="L1757" s="21" t="s">
        <v>10560</v>
      </c>
      <c r="M1757" s="26">
        <v>45547</v>
      </c>
      <c r="N1757" s="44">
        <f>2299.44/3</f>
        <v>766.48</v>
      </c>
      <c r="O1757" s="22" t="s">
        <v>15</v>
      </c>
      <c r="P1757" s="44">
        <v>766.48</v>
      </c>
      <c r="Q1757" s="44">
        <f t="shared" si="178"/>
        <v>0</v>
      </c>
      <c r="R1757" s="24">
        <f>IF(P1757="OK",N1757-Q1757,IF(P1757="en cours",N1757-Q1757,P1757))</f>
        <v>766.48</v>
      </c>
    </row>
    <row r="1758" spans="2:19" hidden="1" x14ac:dyDescent="0.25">
      <c r="B1758" s="21" t="s">
        <v>395</v>
      </c>
      <c r="C1758" s="22" t="s">
        <v>10733</v>
      </c>
      <c r="D1758" s="22"/>
      <c r="E1758" s="21" t="s">
        <v>75</v>
      </c>
      <c r="F1758" s="21"/>
      <c r="G1758" s="147" t="s">
        <v>6850</v>
      </c>
      <c r="H1758" s="23" t="s">
        <v>10731</v>
      </c>
      <c r="I1758" s="23" t="s">
        <v>11514</v>
      </c>
      <c r="J1758" s="21" t="s">
        <v>10732</v>
      </c>
      <c r="K1758" s="21"/>
      <c r="L1758" s="21" t="s">
        <v>11022</v>
      </c>
      <c r="M1758" s="26">
        <v>45657</v>
      </c>
      <c r="N1758" s="44">
        <v>150000</v>
      </c>
      <c r="O1758" s="22" t="s">
        <v>276</v>
      </c>
      <c r="P1758" s="44">
        <v>150000</v>
      </c>
      <c r="Q1758" s="24">
        <f t="shared" si="178"/>
        <v>0</v>
      </c>
      <c r="R1758" s="24">
        <f>IF(P1758="OK",N1758-Q1758,IF(P1758="en cours",M1758-Q1758,P1758))</f>
        <v>150000</v>
      </c>
    </row>
    <row r="1759" spans="2:19" hidden="1" x14ac:dyDescent="0.25">
      <c r="B1759" s="21" t="s">
        <v>395</v>
      </c>
      <c r="C1759" s="22" t="s">
        <v>10733</v>
      </c>
      <c r="D1759" s="22"/>
      <c r="E1759" s="21" t="s">
        <v>75</v>
      </c>
      <c r="F1759" s="21" t="s">
        <v>10002</v>
      </c>
      <c r="G1759" s="147" t="s">
        <v>6850</v>
      </c>
      <c r="H1759" s="23" t="s">
        <v>11503</v>
      </c>
      <c r="I1759" s="23" t="s">
        <v>11514</v>
      </c>
      <c r="J1759" s="21" t="s">
        <v>11504</v>
      </c>
      <c r="K1759" s="21"/>
      <c r="L1759" s="21"/>
      <c r="M1759" s="26"/>
      <c r="N1759" s="44">
        <v>0</v>
      </c>
      <c r="O1759" s="22" t="s">
        <v>276</v>
      </c>
      <c r="P1759" s="44">
        <v>0</v>
      </c>
      <c r="Q1759" s="24">
        <f t="shared" ref="Q1759" si="187">IF(P1759="en cours",N1759,IF(P1759="OK",0,IF(N1759-P1759&lt;0,0,N1759-P1759)))</f>
        <v>0</v>
      </c>
      <c r="R1759" s="24">
        <f>IF(P1759="OK",N1759-Q1759,IF(P1759="en cours",M1759-Q1759,P1759))</f>
        <v>0</v>
      </c>
      <c r="S1759" s="5" t="s">
        <v>11513</v>
      </c>
    </row>
    <row r="1760" spans="2:19" hidden="1" x14ac:dyDescent="0.25">
      <c r="B1760" s="21" t="s">
        <v>395</v>
      </c>
      <c r="C1760" s="22" t="s">
        <v>10733</v>
      </c>
      <c r="D1760" s="22"/>
      <c r="E1760" s="21" t="s">
        <v>75</v>
      </c>
      <c r="F1760" s="21" t="s">
        <v>10002</v>
      </c>
      <c r="G1760" s="147" t="s">
        <v>6850</v>
      </c>
      <c r="H1760" s="23" t="s">
        <v>11503</v>
      </c>
      <c r="I1760" s="23" t="s">
        <v>11514</v>
      </c>
      <c r="J1760" s="21" t="s">
        <v>11505</v>
      </c>
      <c r="K1760" s="21"/>
      <c r="L1760" s="21" t="s">
        <v>11672</v>
      </c>
      <c r="M1760" s="26">
        <v>45769</v>
      </c>
      <c r="N1760" s="44">
        <v>186172.23</v>
      </c>
      <c r="O1760" s="22" t="s">
        <v>276</v>
      </c>
      <c r="P1760" s="44">
        <v>186172.23</v>
      </c>
      <c r="Q1760" s="24">
        <f t="shared" ref="Q1760:Q1767" si="188">IF(P1760="en cours",N1760,IF(P1760="OK",0,IF(N1760-P1760&lt;0,0,N1760-P1760)))</f>
        <v>0</v>
      </c>
      <c r="R1760" s="24">
        <f t="shared" ref="R1760:R1767" si="189">IF(P1760="OK",N1760-Q1760,IF(P1760="en cours",M1760-Q1760,P1760))</f>
        <v>186172.23</v>
      </c>
    </row>
    <row r="1761" spans="2:19" hidden="1" x14ac:dyDescent="0.25">
      <c r="B1761" s="21" t="s">
        <v>395</v>
      </c>
      <c r="C1761" s="22" t="s">
        <v>10733</v>
      </c>
      <c r="D1761" s="22"/>
      <c r="E1761" s="21" t="s">
        <v>75</v>
      </c>
      <c r="F1761" s="21" t="s">
        <v>10002</v>
      </c>
      <c r="G1761" s="147" t="s">
        <v>6850</v>
      </c>
      <c r="H1761" s="23" t="s">
        <v>11503</v>
      </c>
      <c r="I1761" s="23" t="s">
        <v>11514</v>
      </c>
      <c r="J1761" s="21" t="s">
        <v>11506</v>
      </c>
      <c r="K1761" s="47"/>
      <c r="L1761" s="21" t="s">
        <v>11737</v>
      </c>
      <c r="M1761" s="26">
        <v>45772</v>
      </c>
      <c r="N1761" s="44">
        <v>336172.23</v>
      </c>
      <c r="O1761" s="22" t="s">
        <v>276</v>
      </c>
      <c r="P1761" s="44">
        <v>336172.23</v>
      </c>
      <c r="Q1761" s="24">
        <f t="shared" si="188"/>
        <v>0</v>
      </c>
      <c r="R1761" s="24">
        <f t="shared" si="189"/>
        <v>336172.23</v>
      </c>
    </row>
    <row r="1762" spans="2:19" hidden="1" x14ac:dyDescent="0.25">
      <c r="B1762" s="21" t="s">
        <v>395</v>
      </c>
      <c r="C1762" s="22" t="s">
        <v>10733</v>
      </c>
      <c r="D1762" s="22"/>
      <c r="E1762" s="21" t="s">
        <v>75</v>
      </c>
      <c r="F1762" s="21" t="s">
        <v>10002</v>
      </c>
      <c r="G1762" s="147" t="s">
        <v>6850</v>
      </c>
      <c r="H1762" s="23" t="s">
        <v>11503</v>
      </c>
      <c r="I1762" s="23" t="s">
        <v>11514</v>
      </c>
      <c r="J1762" s="21" t="s">
        <v>11507</v>
      </c>
      <c r="K1762" s="47"/>
      <c r="L1762" s="21" t="s">
        <v>11738</v>
      </c>
      <c r="M1762" s="26">
        <v>45777</v>
      </c>
      <c r="N1762" s="44">
        <v>252129.18</v>
      </c>
      <c r="O1762" s="22" t="s">
        <v>276</v>
      </c>
      <c r="P1762" s="44">
        <v>252129.18</v>
      </c>
      <c r="Q1762" s="24">
        <f t="shared" si="188"/>
        <v>0</v>
      </c>
      <c r="R1762" s="24">
        <f t="shared" si="189"/>
        <v>252129.18</v>
      </c>
    </row>
    <row r="1763" spans="2:19" hidden="1" x14ac:dyDescent="0.25">
      <c r="B1763" s="21" t="s">
        <v>395</v>
      </c>
      <c r="C1763" s="22" t="s">
        <v>10733</v>
      </c>
      <c r="D1763" s="22"/>
      <c r="E1763" s="21" t="s">
        <v>75</v>
      </c>
      <c r="F1763" s="21" t="s">
        <v>10002</v>
      </c>
      <c r="G1763" s="147" t="s">
        <v>6850</v>
      </c>
      <c r="H1763" s="23" t="s">
        <v>11503</v>
      </c>
      <c r="I1763" s="23" t="s">
        <v>11514</v>
      </c>
      <c r="J1763" s="21" t="s">
        <v>11508</v>
      </c>
      <c r="K1763" s="47"/>
      <c r="L1763" s="21" t="s">
        <v>12026</v>
      </c>
      <c r="M1763" s="26">
        <v>45826</v>
      </c>
      <c r="N1763" s="44">
        <v>252129.18</v>
      </c>
      <c r="O1763" s="22" t="s">
        <v>276</v>
      </c>
      <c r="P1763" s="44">
        <v>252129.18</v>
      </c>
      <c r="Q1763" s="24">
        <f t="shared" si="188"/>
        <v>0</v>
      </c>
      <c r="R1763" s="24">
        <f t="shared" si="189"/>
        <v>252129.18</v>
      </c>
    </row>
    <row r="1764" spans="2:19" hidden="1" x14ac:dyDescent="0.25">
      <c r="B1764" s="21" t="s">
        <v>395</v>
      </c>
      <c r="C1764" s="22" t="s">
        <v>10733</v>
      </c>
      <c r="D1764" s="22"/>
      <c r="E1764" s="21" t="s">
        <v>75</v>
      </c>
      <c r="F1764" s="21" t="s">
        <v>10002</v>
      </c>
      <c r="G1764" s="147" t="s">
        <v>6850</v>
      </c>
      <c r="H1764" s="23" t="s">
        <v>11503</v>
      </c>
      <c r="I1764" s="23" t="s">
        <v>11514</v>
      </c>
      <c r="J1764" s="21" t="s">
        <v>11509</v>
      </c>
      <c r="K1764" s="47"/>
      <c r="L1764" s="21" t="s">
        <v>12328</v>
      </c>
      <c r="M1764" s="26">
        <v>45881</v>
      </c>
      <c r="N1764" s="44">
        <v>168086.12</v>
      </c>
      <c r="O1764" s="22" t="s">
        <v>276</v>
      </c>
      <c r="P1764" s="44">
        <v>168086.12</v>
      </c>
      <c r="Q1764" s="24">
        <f t="shared" si="188"/>
        <v>0</v>
      </c>
      <c r="R1764" s="24">
        <f t="shared" si="189"/>
        <v>168086.12</v>
      </c>
    </row>
    <row r="1765" spans="2:19" hidden="1" x14ac:dyDescent="0.25">
      <c r="B1765" s="21" t="s">
        <v>395</v>
      </c>
      <c r="C1765" s="22" t="s">
        <v>10733</v>
      </c>
      <c r="D1765" s="22"/>
      <c r="E1765" s="21" t="s">
        <v>75</v>
      </c>
      <c r="F1765" s="21" t="s">
        <v>10002</v>
      </c>
      <c r="G1765" s="147" t="s">
        <v>6850</v>
      </c>
      <c r="H1765" s="23" t="s">
        <v>11503</v>
      </c>
      <c r="I1765" s="23" t="s">
        <v>11514</v>
      </c>
      <c r="J1765" s="21" t="s">
        <v>11510</v>
      </c>
      <c r="K1765" s="47"/>
      <c r="L1765" s="21" t="s">
        <v>13973</v>
      </c>
      <c r="M1765" s="26">
        <v>46053</v>
      </c>
      <c r="N1765" s="44">
        <v>168086.12</v>
      </c>
      <c r="O1765" s="22" t="s">
        <v>276</v>
      </c>
      <c r="P1765" s="44">
        <v>168086.12</v>
      </c>
      <c r="Q1765" s="24">
        <f t="shared" si="188"/>
        <v>0</v>
      </c>
      <c r="R1765" s="24">
        <f t="shared" si="189"/>
        <v>168086.12</v>
      </c>
    </row>
    <row r="1766" spans="2:19" hidden="1" x14ac:dyDescent="0.25">
      <c r="C1766" s="4" t="s">
        <v>10733</v>
      </c>
      <c r="E1766" s="5" t="s">
        <v>75</v>
      </c>
      <c r="F1766" s="5" t="s">
        <v>10002</v>
      </c>
      <c r="G1766" s="146" t="s">
        <v>6850</v>
      </c>
      <c r="H1766" s="7" t="s">
        <v>11503</v>
      </c>
      <c r="I1766" s="7" t="s">
        <v>11514</v>
      </c>
      <c r="J1766" s="5" t="s">
        <v>11511</v>
      </c>
      <c r="K1766" s="115">
        <v>45961</v>
      </c>
      <c r="M1766" s="12"/>
      <c r="N1766" s="45">
        <v>168086.12</v>
      </c>
      <c r="O1766" s="4" t="s">
        <v>276</v>
      </c>
      <c r="Q1766" s="3">
        <f t="shared" si="188"/>
        <v>168086.12</v>
      </c>
      <c r="R1766" s="3">
        <f t="shared" si="189"/>
        <v>0</v>
      </c>
    </row>
    <row r="1767" spans="2:19" hidden="1" x14ac:dyDescent="0.25">
      <c r="C1767" s="4" t="s">
        <v>10733</v>
      </c>
      <c r="E1767" s="5" t="s">
        <v>75</v>
      </c>
      <c r="F1767" s="5" t="s">
        <v>10002</v>
      </c>
      <c r="G1767" s="146" t="s">
        <v>6850</v>
      </c>
      <c r="H1767" s="7" t="s">
        <v>11503</v>
      </c>
      <c r="I1767" s="7" t="s">
        <v>11514</v>
      </c>
      <c r="J1767" s="5" t="s">
        <v>11512</v>
      </c>
      <c r="L1767" s="5" t="s">
        <v>13974</v>
      </c>
      <c r="M1767" s="12" t="s">
        <v>13975</v>
      </c>
      <c r="N1767" s="45">
        <v>690150.24</v>
      </c>
      <c r="O1767" s="4" t="s">
        <v>276</v>
      </c>
      <c r="P1767" s="45">
        <f>106886.17+263835.3+204836.68+52577.85+10023.62+13662.03+8125.14</f>
        <v>659946.78999999992</v>
      </c>
      <c r="Q1767" s="3">
        <f t="shared" si="188"/>
        <v>30203.45000000007</v>
      </c>
      <c r="R1767" s="3">
        <f t="shared" si="189"/>
        <v>659946.78999999992</v>
      </c>
    </row>
    <row r="1768" spans="2:19" hidden="1" x14ac:dyDescent="0.25">
      <c r="C1768" s="4" t="s">
        <v>7235</v>
      </c>
      <c r="E1768" s="5" t="s">
        <v>0</v>
      </c>
      <c r="G1768" s="146" t="s">
        <v>7261</v>
      </c>
      <c r="H1768" s="58" t="s">
        <v>7707</v>
      </c>
      <c r="I1768" s="58" t="s">
        <v>7707</v>
      </c>
      <c r="J1768" s="5" t="s">
        <v>7708</v>
      </c>
      <c r="N1768" s="45">
        <v>2433.4</v>
      </c>
      <c r="O1768" s="4" t="s">
        <v>15</v>
      </c>
      <c r="Q1768" s="45">
        <f t="shared" si="178"/>
        <v>2433.4</v>
      </c>
      <c r="R1768" s="3">
        <f t="shared" ref="R1768" si="190">IF(P1768="OK",N1768-Q1768,IF(P1768="en cours",N1768-Q1768,P1768))</f>
        <v>0</v>
      </c>
    </row>
    <row r="1769" spans="2:19" hidden="1" x14ac:dyDescent="0.25">
      <c r="B1769" s="21" t="s">
        <v>395</v>
      </c>
      <c r="C1769" s="22" t="s">
        <v>2450</v>
      </c>
      <c r="D1769" s="22"/>
      <c r="E1769" s="21" t="s">
        <v>0</v>
      </c>
      <c r="F1769" s="21" t="s">
        <v>9773</v>
      </c>
      <c r="G1769" s="147" t="s">
        <v>10225</v>
      </c>
      <c r="H1769" s="23" t="s">
        <v>11480</v>
      </c>
      <c r="I1769" s="23" t="s">
        <v>9774</v>
      </c>
      <c r="J1769" s="21" t="s">
        <v>9775</v>
      </c>
      <c r="K1769" s="21"/>
      <c r="L1769" s="21" t="s">
        <v>11097</v>
      </c>
      <c r="M1769" s="23" t="s">
        <v>11098</v>
      </c>
      <c r="N1769" s="44">
        <v>14389.95</v>
      </c>
      <c r="O1769" s="22" t="s">
        <v>276</v>
      </c>
      <c r="P1769" s="44">
        <f>25443.34+14389.95-25597.41</f>
        <v>14235.880000000001</v>
      </c>
      <c r="Q1769" s="44">
        <v>0</v>
      </c>
      <c r="R1769" s="116">
        <f>IF(P1769="OK",N1769-Q1769,IF(P1769="en cours",N1769-Q1769,P1769))</f>
        <v>14235.880000000001</v>
      </c>
    </row>
    <row r="1770" spans="2:19" hidden="1" x14ac:dyDescent="0.25">
      <c r="B1770" s="21" t="s">
        <v>395</v>
      </c>
      <c r="C1770" s="22" t="s">
        <v>7235</v>
      </c>
      <c r="D1770" s="22"/>
      <c r="E1770" s="21" t="s">
        <v>0</v>
      </c>
      <c r="F1770" s="21"/>
      <c r="G1770" s="147" t="s">
        <v>9878</v>
      </c>
      <c r="H1770" s="23" t="s">
        <v>9356</v>
      </c>
      <c r="I1770" s="23" t="s">
        <v>9355</v>
      </c>
      <c r="J1770" s="21" t="s">
        <v>9879</v>
      </c>
      <c r="K1770" s="21"/>
      <c r="L1770" s="21" t="s">
        <v>9880</v>
      </c>
      <c r="M1770" s="23" t="s">
        <v>9881</v>
      </c>
      <c r="N1770" s="44">
        <v>42428</v>
      </c>
      <c r="O1770" s="22" t="s">
        <v>15</v>
      </c>
      <c r="P1770" s="44">
        <v>42428</v>
      </c>
      <c r="Q1770" s="44">
        <f t="shared" si="178"/>
        <v>0</v>
      </c>
      <c r="R1770" s="24">
        <f t="shared" ref="R1770:R1795" si="191">IF(P1770="OK",N1770-Q1770,IF(P1770="en cours",N1770-Q1770,P1770))</f>
        <v>42428</v>
      </c>
      <c r="S1770" s="5" t="s">
        <v>9358</v>
      </c>
    </row>
    <row r="1771" spans="2:19" hidden="1" x14ac:dyDescent="0.25">
      <c r="B1771" s="21" t="s">
        <v>395</v>
      </c>
      <c r="C1771" s="22" t="s">
        <v>2450</v>
      </c>
      <c r="D1771" s="22"/>
      <c r="E1771" s="21" t="s">
        <v>0</v>
      </c>
      <c r="F1771" s="21"/>
      <c r="G1771" s="147" t="s">
        <v>3261</v>
      </c>
      <c r="H1771" s="23" t="s">
        <v>5347</v>
      </c>
      <c r="I1771" s="23" t="s">
        <v>8313</v>
      </c>
      <c r="J1771" s="21" t="s">
        <v>5336</v>
      </c>
      <c r="K1771" s="47"/>
      <c r="L1771" s="21" t="s">
        <v>5352</v>
      </c>
      <c r="M1771" s="26">
        <v>44382</v>
      </c>
      <c r="N1771" s="44">
        <v>10000</v>
      </c>
      <c r="O1771" s="22" t="s">
        <v>15</v>
      </c>
      <c r="P1771" s="22" t="s">
        <v>19</v>
      </c>
      <c r="Q1771" s="44">
        <f t="shared" ref="Q1771:Q1805" si="192">IF(P1771="en cours",N1771,IF(P1771="OK",0,IF(N1771-P1771&lt;0,0,N1771-P1771)))</f>
        <v>0</v>
      </c>
      <c r="R1771" s="24">
        <f t="shared" si="191"/>
        <v>10000</v>
      </c>
    </row>
    <row r="1772" spans="2:19" hidden="1" x14ac:dyDescent="0.25">
      <c r="B1772" s="21" t="s">
        <v>395</v>
      </c>
      <c r="C1772" s="22" t="s">
        <v>2450</v>
      </c>
      <c r="D1772" s="22"/>
      <c r="E1772" s="21" t="s">
        <v>0</v>
      </c>
      <c r="F1772" s="21"/>
      <c r="G1772" s="147" t="s">
        <v>3261</v>
      </c>
      <c r="H1772" s="23" t="s">
        <v>5348</v>
      </c>
      <c r="I1772" s="23" t="s">
        <v>8313</v>
      </c>
      <c r="J1772" s="21" t="s">
        <v>5337</v>
      </c>
      <c r="K1772" s="47"/>
      <c r="L1772" s="21" t="s">
        <v>7123</v>
      </c>
      <c r="M1772" s="26">
        <v>44834</v>
      </c>
      <c r="N1772" s="44">
        <v>10000</v>
      </c>
      <c r="O1772" s="22" t="s">
        <v>15</v>
      </c>
      <c r="P1772" s="22" t="s">
        <v>19</v>
      </c>
      <c r="Q1772" s="44">
        <f t="shared" si="192"/>
        <v>0</v>
      </c>
      <c r="R1772" s="24">
        <f t="shared" si="191"/>
        <v>10000</v>
      </c>
    </row>
    <row r="1773" spans="2:19" hidden="1" x14ac:dyDescent="0.25">
      <c r="B1773" s="21" t="s">
        <v>395</v>
      </c>
      <c r="C1773" s="22" t="s">
        <v>2450</v>
      </c>
      <c r="D1773" s="22"/>
      <c r="E1773" s="21" t="s">
        <v>0</v>
      </c>
      <c r="F1773" s="21"/>
      <c r="G1773" s="147" t="s">
        <v>3261</v>
      </c>
      <c r="H1773" s="23" t="s">
        <v>5348</v>
      </c>
      <c r="I1773" s="23" t="s">
        <v>8313</v>
      </c>
      <c r="J1773" s="21" t="s">
        <v>5338</v>
      </c>
      <c r="K1773" s="47"/>
      <c r="L1773" s="21" t="s">
        <v>8994</v>
      </c>
      <c r="M1773" s="26">
        <v>45209</v>
      </c>
      <c r="N1773" s="44">
        <v>10000</v>
      </c>
      <c r="O1773" s="22" t="s">
        <v>15</v>
      </c>
      <c r="P1773" s="22">
        <v>10000</v>
      </c>
      <c r="Q1773" s="44">
        <f t="shared" si="192"/>
        <v>0</v>
      </c>
      <c r="R1773" s="24">
        <f t="shared" si="191"/>
        <v>10000</v>
      </c>
    </row>
    <row r="1774" spans="2:19" hidden="1" x14ac:dyDescent="0.25">
      <c r="B1774" s="21" t="s">
        <v>395</v>
      </c>
      <c r="C1774" s="22" t="s">
        <v>2450</v>
      </c>
      <c r="D1774" s="22"/>
      <c r="E1774" s="21" t="s">
        <v>0</v>
      </c>
      <c r="F1774" s="21"/>
      <c r="G1774" s="147" t="s">
        <v>3261</v>
      </c>
      <c r="H1774" s="23" t="s">
        <v>5348</v>
      </c>
      <c r="I1774" s="23" t="s">
        <v>8313</v>
      </c>
      <c r="J1774" s="21" t="s">
        <v>5339</v>
      </c>
      <c r="K1774" s="47"/>
      <c r="L1774" s="21" t="s">
        <v>10520</v>
      </c>
      <c r="M1774" s="26">
        <v>45546</v>
      </c>
      <c r="N1774" s="44">
        <v>5000</v>
      </c>
      <c r="O1774" s="22" t="s">
        <v>15</v>
      </c>
      <c r="P1774" s="22">
        <v>5000</v>
      </c>
      <c r="Q1774" s="44">
        <f t="shared" si="192"/>
        <v>0</v>
      </c>
      <c r="R1774" s="24">
        <f t="shared" si="191"/>
        <v>5000</v>
      </c>
      <c r="S1774" s="21"/>
    </row>
    <row r="1775" spans="2:19" hidden="1" x14ac:dyDescent="0.25">
      <c r="B1775" s="21" t="s">
        <v>395</v>
      </c>
      <c r="C1775" s="22" t="s">
        <v>2450</v>
      </c>
      <c r="D1775" s="22"/>
      <c r="E1775" s="21" t="s">
        <v>0</v>
      </c>
      <c r="F1775" s="21"/>
      <c r="G1775" s="147" t="s">
        <v>3261</v>
      </c>
      <c r="H1775" s="23" t="s">
        <v>5348</v>
      </c>
      <c r="I1775" s="23" t="s">
        <v>8313</v>
      </c>
      <c r="J1775" s="21" t="s">
        <v>5340</v>
      </c>
      <c r="K1775" s="47"/>
      <c r="L1775" s="21" t="s">
        <v>13117</v>
      </c>
      <c r="M1775" s="26">
        <v>45961</v>
      </c>
      <c r="N1775" s="44">
        <v>5000</v>
      </c>
      <c r="O1775" s="22" t="s">
        <v>15</v>
      </c>
      <c r="P1775" s="22">
        <v>5000</v>
      </c>
      <c r="Q1775" s="44">
        <f t="shared" si="192"/>
        <v>0</v>
      </c>
      <c r="R1775" s="24">
        <f t="shared" si="191"/>
        <v>5000</v>
      </c>
      <c r="S1775" s="21"/>
    </row>
    <row r="1776" spans="2:19" hidden="1" x14ac:dyDescent="0.25">
      <c r="C1776" s="4" t="s">
        <v>2450</v>
      </c>
      <c r="E1776" s="5" t="s">
        <v>0</v>
      </c>
      <c r="G1776" s="146" t="s">
        <v>3261</v>
      </c>
      <c r="H1776" s="7" t="s">
        <v>5348</v>
      </c>
      <c r="I1776" s="7" t="s">
        <v>8313</v>
      </c>
      <c r="J1776" s="5" t="s">
        <v>5341</v>
      </c>
      <c r="K1776" s="115">
        <v>46082</v>
      </c>
      <c r="N1776" s="45">
        <v>12000</v>
      </c>
      <c r="O1776" s="4" t="s">
        <v>15</v>
      </c>
      <c r="P1776" s="4"/>
      <c r="Q1776" s="45">
        <f t="shared" si="192"/>
        <v>12000</v>
      </c>
      <c r="R1776" s="3">
        <f t="shared" si="191"/>
        <v>0</v>
      </c>
    </row>
    <row r="1777" spans="2:18" hidden="1" x14ac:dyDescent="0.25">
      <c r="C1777" s="4" t="s">
        <v>2450</v>
      </c>
      <c r="E1777" s="5" t="s">
        <v>0</v>
      </c>
      <c r="G1777" s="146" t="s">
        <v>3261</v>
      </c>
      <c r="H1777" s="7" t="s">
        <v>5349</v>
      </c>
      <c r="I1777" s="7" t="s">
        <v>8313</v>
      </c>
      <c r="J1777" s="5" t="s">
        <v>5342</v>
      </c>
      <c r="K1777" s="115">
        <v>46447</v>
      </c>
      <c r="N1777" s="45">
        <v>10140</v>
      </c>
      <c r="O1777" s="4" t="s">
        <v>15</v>
      </c>
      <c r="P1777" s="4"/>
      <c r="Q1777" s="45">
        <f t="shared" si="192"/>
        <v>10140</v>
      </c>
      <c r="R1777" s="3">
        <f t="shared" si="191"/>
        <v>0</v>
      </c>
    </row>
    <row r="1778" spans="2:18" hidden="1" x14ac:dyDescent="0.25">
      <c r="C1778" s="4" t="s">
        <v>2450</v>
      </c>
      <c r="E1778" s="5" t="s">
        <v>0</v>
      </c>
      <c r="G1778" s="146" t="s">
        <v>3261</v>
      </c>
      <c r="H1778" s="7" t="s">
        <v>5350</v>
      </c>
      <c r="I1778" s="7" t="s">
        <v>8313</v>
      </c>
      <c r="J1778" s="5" t="s">
        <v>5336</v>
      </c>
      <c r="K1778" s="115">
        <v>44256</v>
      </c>
      <c r="N1778" s="45">
        <v>10000</v>
      </c>
      <c r="O1778" s="4" t="s">
        <v>15</v>
      </c>
      <c r="P1778" s="4"/>
      <c r="Q1778" s="45">
        <f t="shared" si="192"/>
        <v>10000</v>
      </c>
      <c r="R1778" s="3">
        <f t="shared" si="191"/>
        <v>0</v>
      </c>
    </row>
    <row r="1779" spans="2:18" hidden="1" x14ac:dyDescent="0.25">
      <c r="C1779" s="4" t="s">
        <v>2450</v>
      </c>
      <c r="E1779" s="5" t="s">
        <v>0</v>
      </c>
      <c r="G1779" s="146" t="s">
        <v>3261</v>
      </c>
      <c r="H1779" s="7" t="s">
        <v>5350</v>
      </c>
      <c r="I1779" s="7" t="s">
        <v>8313</v>
      </c>
      <c r="J1779" s="5" t="s">
        <v>5337</v>
      </c>
      <c r="K1779" s="115">
        <v>44621</v>
      </c>
      <c r="N1779" s="45">
        <v>10000</v>
      </c>
      <c r="O1779" s="4" t="s">
        <v>15</v>
      </c>
      <c r="P1779" s="4"/>
      <c r="Q1779" s="45">
        <f t="shared" si="192"/>
        <v>10000</v>
      </c>
      <c r="R1779" s="3">
        <f t="shared" si="191"/>
        <v>0</v>
      </c>
    </row>
    <row r="1780" spans="2:18" hidden="1" x14ac:dyDescent="0.25">
      <c r="C1780" s="4" t="s">
        <v>2450</v>
      </c>
      <c r="E1780" s="5" t="s">
        <v>0</v>
      </c>
      <c r="G1780" s="146" t="s">
        <v>3261</v>
      </c>
      <c r="H1780" s="7" t="s">
        <v>5350</v>
      </c>
      <c r="I1780" s="7" t="s">
        <v>8313</v>
      </c>
      <c r="J1780" s="5" t="s">
        <v>5338</v>
      </c>
      <c r="K1780" s="115">
        <v>44986</v>
      </c>
      <c r="N1780" s="45">
        <v>10000</v>
      </c>
      <c r="O1780" s="4" t="s">
        <v>15</v>
      </c>
      <c r="P1780" s="4"/>
      <c r="Q1780" s="45">
        <f t="shared" si="192"/>
        <v>10000</v>
      </c>
      <c r="R1780" s="3">
        <f t="shared" si="191"/>
        <v>0</v>
      </c>
    </row>
    <row r="1781" spans="2:18" hidden="1" x14ac:dyDescent="0.25">
      <c r="C1781" s="4" t="s">
        <v>2450</v>
      </c>
      <c r="E1781" s="5" t="s">
        <v>0</v>
      </c>
      <c r="G1781" s="146" t="s">
        <v>3261</v>
      </c>
      <c r="H1781" s="7" t="s">
        <v>5350</v>
      </c>
      <c r="I1781" s="7" t="s">
        <v>8313</v>
      </c>
      <c r="J1781" s="5" t="s">
        <v>5339</v>
      </c>
      <c r="K1781" s="115">
        <v>45352</v>
      </c>
      <c r="N1781" s="45">
        <v>5000</v>
      </c>
      <c r="O1781" s="4" t="s">
        <v>15</v>
      </c>
      <c r="P1781" s="4"/>
      <c r="Q1781" s="45">
        <f t="shared" si="192"/>
        <v>5000</v>
      </c>
      <c r="R1781" s="3">
        <f t="shared" si="191"/>
        <v>0</v>
      </c>
    </row>
    <row r="1782" spans="2:18" hidden="1" x14ac:dyDescent="0.25">
      <c r="C1782" s="4" t="s">
        <v>2450</v>
      </c>
      <c r="E1782" s="5" t="s">
        <v>0</v>
      </c>
      <c r="G1782" s="146" t="s">
        <v>3261</v>
      </c>
      <c r="H1782" s="7" t="s">
        <v>5350</v>
      </c>
      <c r="I1782" s="7" t="s">
        <v>8313</v>
      </c>
      <c r="J1782" s="5" t="s">
        <v>5340</v>
      </c>
      <c r="K1782" s="115">
        <v>45717</v>
      </c>
      <c r="N1782" s="45">
        <v>5000</v>
      </c>
      <c r="O1782" s="4" t="s">
        <v>15</v>
      </c>
      <c r="P1782" s="4"/>
      <c r="Q1782" s="45">
        <f t="shared" si="192"/>
        <v>5000</v>
      </c>
      <c r="R1782" s="3">
        <f t="shared" si="191"/>
        <v>0</v>
      </c>
    </row>
    <row r="1783" spans="2:18" hidden="1" x14ac:dyDescent="0.25">
      <c r="C1783" s="4" t="s">
        <v>2450</v>
      </c>
      <c r="E1783" s="5" t="s">
        <v>0</v>
      </c>
      <c r="G1783" s="146" t="s">
        <v>3261</v>
      </c>
      <c r="H1783" s="7" t="s">
        <v>5350</v>
      </c>
      <c r="I1783" s="7" t="s">
        <v>8313</v>
      </c>
      <c r="J1783" s="5" t="s">
        <v>5341</v>
      </c>
      <c r="K1783" s="115">
        <v>46082</v>
      </c>
      <c r="N1783" s="45">
        <v>12000</v>
      </c>
      <c r="O1783" s="4" t="s">
        <v>15</v>
      </c>
      <c r="P1783" s="4"/>
      <c r="Q1783" s="45">
        <f t="shared" si="192"/>
        <v>12000</v>
      </c>
      <c r="R1783" s="3">
        <f t="shared" si="191"/>
        <v>0</v>
      </c>
    </row>
    <row r="1784" spans="2:18" hidden="1" x14ac:dyDescent="0.25">
      <c r="C1784" s="4" t="s">
        <v>2450</v>
      </c>
      <c r="E1784" s="5" t="s">
        <v>0</v>
      </c>
      <c r="G1784" s="146" t="s">
        <v>3261</v>
      </c>
      <c r="H1784" s="7" t="s">
        <v>5350</v>
      </c>
      <c r="I1784" s="7" t="s">
        <v>8313</v>
      </c>
      <c r="J1784" s="5" t="s">
        <v>5342</v>
      </c>
      <c r="K1784" s="115">
        <v>46447</v>
      </c>
      <c r="N1784" s="45">
        <v>10140</v>
      </c>
      <c r="O1784" s="4" t="s">
        <v>15</v>
      </c>
      <c r="P1784" s="4"/>
      <c r="Q1784" s="45">
        <f t="shared" si="192"/>
        <v>10140</v>
      </c>
      <c r="R1784" s="3">
        <f t="shared" si="191"/>
        <v>0</v>
      </c>
    </row>
    <row r="1785" spans="2:18" hidden="1" x14ac:dyDescent="0.25">
      <c r="C1785" s="4" t="s">
        <v>2450</v>
      </c>
      <c r="E1785" s="5" t="s">
        <v>0</v>
      </c>
      <c r="G1785" s="146" t="s">
        <v>3261</v>
      </c>
      <c r="H1785" s="7" t="s">
        <v>5351</v>
      </c>
      <c r="I1785" s="7" t="s">
        <v>8313</v>
      </c>
      <c r="J1785" s="5" t="s">
        <v>5336</v>
      </c>
      <c r="K1785" s="115">
        <v>44256</v>
      </c>
      <c r="N1785" s="45">
        <v>10000</v>
      </c>
      <c r="O1785" s="4" t="s">
        <v>15</v>
      </c>
      <c r="P1785" s="4"/>
      <c r="Q1785" s="45">
        <f t="shared" si="192"/>
        <v>10000</v>
      </c>
      <c r="R1785" s="3">
        <f t="shared" si="191"/>
        <v>0</v>
      </c>
    </row>
    <row r="1786" spans="2:18" hidden="1" x14ac:dyDescent="0.25">
      <c r="C1786" s="4" t="s">
        <v>2450</v>
      </c>
      <c r="E1786" s="5" t="s">
        <v>0</v>
      </c>
      <c r="G1786" s="146" t="s">
        <v>3261</v>
      </c>
      <c r="H1786" s="7" t="s">
        <v>5351</v>
      </c>
      <c r="I1786" s="7" t="s">
        <v>8313</v>
      </c>
      <c r="J1786" s="5" t="s">
        <v>5337</v>
      </c>
      <c r="K1786" s="115">
        <v>44621</v>
      </c>
      <c r="N1786" s="45">
        <v>10000</v>
      </c>
      <c r="O1786" s="4" t="s">
        <v>15</v>
      </c>
      <c r="P1786" s="4"/>
      <c r="Q1786" s="45">
        <f t="shared" si="192"/>
        <v>10000</v>
      </c>
      <c r="R1786" s="3">
        <f t="shared" si="191"/>
        <v>0</v>
      </c>
    </row>
    <row r="1787" spans="2:18" hidden="1" x14ac:dyDescent="0.25">
      <c r="C1787" s="4" t="s">
        <v>2450</v>
      </c>
      <c r="E1787" s="5" t="s">
        <v>0</v>
      </c>
      <c r="G1787" s="146" t="s">
        <v>3261</v>
      </c>
      <c r="H1787" s="7" t="s">
        <v>5351</v>
      </c>
      <c r="I1787" s="7" t="s">
        <v>8313</v>
      </c>
      <c r="J1787" s="5" t="s">
        <v>5338</v>
      </c>
      <c r="K1787" s="115">
        <v>44986</v>
      </c>
      <c r="N1787" s="45">
        <v>10000</v>
      </c>
      <c r="O1787" s="4" t="s">
        <v>15</v>
      </c>
      <c r="P1787" s="4"/>
      <c r="Q1787" s="45">
        <f t="shared" si="192"/>
        <v>10000</v>
      </c>
      <c r="R1787" s="3">
        <f t="shared" si="191"/>
        <v>0</v>
      </c>
    </row>
    <row r="1788" spans="2:18" hidden="1" x14ac:dyDescent="0.25">
      <c r="C1788" s="4" t="s">
        <v>2450</v>
      </c>
      <c r="E1788" s="5" t="s">
        <v>0</v>
      </c>
      <c r="G1788" s="146" t="s">
        <v>3261</v>
      </c>
      <c r="H1788" s="7" t="s">
        <v>5351</v>
      </c>
      <c r="I1788" s="7" t="s">
        <v>8313</v>
      </c>
      <c r="J1788" s="5" t="s">
        <v>5339</v>
      </c>
      <c r="K1788" s="115">
        <v>45352</v>
      </c>
      <c r="N1788" s="45">
        <v>5000</v>
      </c>
      <c r="O1788" s="4" t="s">
        <v>15</v>
      </c>
      <c r="P1788" s="4"/>
      <c r="Q1788" s="45">
        <f t="shared" si="192"/>
        <v>5000</v>
      </c>
      <c r="R1788" s="3">
        <f t="shared" si="191"/>
        <v>0</v>
      </c>
    </row>
    <row r="1789" spans="2:18" hidden="1" x14ac:dyDescent="0.25">
      <c r="C1789" s="4" t="s">
        <v>2450</v>
      </c>
      <c r="E1789" s="5" t="s">
        <v>0</v>
      </c>
      <c r="G1789" s="146" t="s">
        <v>3261</v>
      </c>
      <c r="H1789" s="7" t="s">
        <v>5351</v>
      </c>
      <c r="I1789" s="7" t="s">
        <v>8313</v>
      </c>
      <c r="J1789" s="5" t="s">
        <v>5340</v>
      </c>
      <c r="K1789" s="115">
        <v>45717</v>
      </c>
      <c r="N1789" s="45">
        <v>5000</v>
      </c>
      <c r="O1789" s="4" t="s">
        <v>15</v>
      </c>
      <c r="P1789" s="4"/>
      <c r="Q1789" s="45">
        <f t="shared" si="192"/>
        <v>5000</v>
      </c>
      <c r="R1789" s="3">
        <f t="shared" si="191"/>
        <v>0</v>
      </c>
    </row>
    <row r="1790" spans="2:18" hidden="1" x14ac:dyDescent="0.25">
      <c r="C1790" s="4" t="s">
        <v>2450</v>
      </c>
      <c r="E1790" s="5" t="s">
        <v>0</v>
      </c>
      <c r="G1790" s="146" t="s">
        <v>3261</v>
      </c>
      <c r="H1790" s="7" t="s">
        <v>5351</v>
      </c>
      <c r="I1790" s="7" t="s">
        <v>8313</v>
      </c>
      <c r="J1790" s="5" t="s">
        <v>5341</v>
      </c>
      <c r="K1790" s="115">
        <v>46082</v>
      </c>
      <c r="N1790" s="45">
        <v>12000</v>
      </c>
      <c r="O1790" s="4" t="s">
        <v>15</v>
      </c>
      <c r="P1790" s="4"/>
      <c r="Q1790" s="45">
        <f t="shared" si="192"/>
        <v>12000</v>
      </c>
      <c r="R1790" s="3">
        <f t="shared" si="191"/>
        <v>0</v>
      </c>
    </row>
    <row r="1791" spans="2:18" hidden="1" x14ac:dyDescent="0.25">
      <c r="C1791" s="4" t="s">
        <v>2450</v>
      </c>
      <c r="E1791" s="5" t="s">
        <v>0</v>
      </c>
      <c r="G1791" s="146" t="s">
        <v>3261</v>
      </c>
      <c r="H1791" s="7" t="s">
        <v>5351</v>
      </c>
      <c r="I1791" s="7" t="s">
        <v>8313</v>
      </c>
      <c r="J1791" s="5" t="s">
        <v>5342</v>
      </c>
      <c r="K1791" s="115">
        <v>46447</v>
      </c>
      <c r="N1791" s="45">
        <v>10140</v>
      </c>
      <c r="O1791" s="4" t="s">
        <v>15</v>
      </c>
      <c r="P1791" s="4"/>
      <c r="Q1791" s="45">
        <f t="shared" si="192"/>
        <v>10140</v>
      </c>
      <c r="R1791" s="3">
        <f t="shared" si="191"/>
        <v>0</v>
      </c>
    </row>
    <row r="1792" spans="2:18" hidden="1" x14ac:dyDescent="0.25">
      <c r="B1792" s="21" t="s">
        <v>395</v>
      </c>
      <c r="C1792" s="22" t="s">
        <v>2450</v>
      </c>
      <c r="D1792" s="22"/>
      <c r="E1792" s="21" t="s">
        <v>0</v>
      </c>
      <c r="F1792" s="21"/>
      <c r="G1792" s="147" t="s">
        <v>3261</v>
      </c>
      <c r="H1792" s="23" t="s">
        <v>5343</v>
      </c>
      <c r="I1792" s="23" t="s">
        <v>8313</v>
      </c>
      <c r="J1792" s="21" t="s">
        <v>5329</v>
      </c>
      <c r="K1792" s="47"/>
      <c r="L1792" s="21" t="s">
        <v>5327</v>
      </c>
      <c r="M1792" s="26">
        <v>44280</v>
      </c>
      <c r="N1792" s="44">
        <v>10000</v>
      </c>
      <c r="O1792" s="22" t="s">
        <v>15</v>
      </c>
      <c r="P1792" s="22" t="s">
        <v>19</v>
      </c>
      <c r="Q1792" s="44">
        <f t="shared" si="192"/>
        <v>0</v>
      </c>
      <c r="R1792" s="24">
        <f t="shared" si="191"/>
        <v>10000</v>
      </c>
    </row>
    <row r="1793" spans="2:19" hidden="1" x14ac:dyDescent="0.25">
      <c r="B1793" s="21" t="s">
        <v>395</v>
      </c>
      <c r="C1793" s="22" t="s">
        <v>2450</v>
      </c>
      <c r="D1793" s="22"/>
      <c r="E1793" s="21" t="s">
        <v>0</v>
      </c>
      <c r="F1793" s="21"/>
      <c r="G1793" s="147" t="s">
        <v>3261</v>
      </c>
      <c r="H1793" s="23" t="s">
        <v>5343</v>
      </c>
      <c r="I1793" s="23" t="s">
        <v>8313</v>
      </c>
      <c r="J1793" s="21" t="s">
        <v>5330</v>
      </c>
      <c r="K1793" s="47"/>
      <c r="L1793" s="21" t="s">
        <v>6734</v>
      </c>
      <c r="M1793" s="26">
        <v>44697</v>
      </c>
      <c r="N1793" s="44">
        <v>10000</v>
      </c>
      <c r="O1793" s="22" t="s">
        <v>15</v>
      </c>
      <c r="P1793" s="22" t="s">
        <v>19</v>
      </c>
      <c r="Q1793" s="44">
        <f t="shared" si="192"/>
        <v>0</v>
      </c>
      <c r="R1793" s="24">
        <f t="shared" si="191"/>
        <v>10000</v>
      </c>
    </row>
    <row r="1794" spans="2:19" hidden="1" x14ac:dyDescent="0.25">
      <c r="B1794" s="21" t="s">
        <v>395</v>
      </c>
      <c r="C1794" s="22" t="s">
        <v>2450</v>
      </c>
      <c r="D1794" s="22"/>
      <c r="E1794" s="21" t="s">
        <v>0</v>
      </c>
      <c r="F1794" s="21"/>
      <c r="G1794" s="147" t="s">
        <v>3261</v>
      </c>
      <c r="H1794" s="23" t="s">
        <v>5344</v>
      </c>
      <c r="I1794" s="23" t="s">
        <v>8313</v>
      </c>
      <c r="J1794" s="21" t="s">
        <v>5331</v>
      </c>
      <c r="K1794" s="47"/>
      <c r="L1794" s="21" t="s">
        <v>8546</v>
      </c>
      <c r="M1794" s="26">
        <v>45111</v>
      </c>
      <c r="N1794" s="44">
        <v>10000</v>
      </c>
      <c r="O1794" s="22" t="s">
        <v>15</v>
      </c>
      <c r="P1794" s="22">
        <v>10000</v>
      </c>
      <c r="Q1794" s="44">
        <f t="shared" si="192"/>
        <v>0</v>
      </c>
      <c r="R1794" s="24">
        <f t="shared" si="191"/>
        <v>10000</v>
      </c>
    </row>
    <row r="1795" spans="2:19" ht="15.95" hidden="1" customHeight="1" x14ac:dyDescent="0.25">
      <c r="B1795" s="21" t="s">
        <v>395</v>
      </c>
      <c r="C1795" s="22" t="s">
        <v>2450</v>
      </c>
      <c r="D1795" s="22"/>
      <c r="E1795" s="21" t="s">
        <v>0</v>
      </c>
      <c r="F1795" s="21"/>
      <c r="G1795" s="147" t="s">
        <v>3261</v>
      </c>
      <c r="H1795" s="23" t="s">
        <v>5343</v>
      </c>
      <c r="I1795" s="23" t="s">
        <v>8313</v>
      </c>
      <c r="J1795" s="21" t="s">
        <v>5332</v>
      </c>
      <c r="K1795" s="47"/>
      <c r="L1795" s="21" t="s">
        <v>9889</v>
      </c>
      <c r="M1795" s="26">
        <v>45434</v>
      </c>
      <c r="N1795" s="44">
        <v>5000</v>
      </c>
      <c r="O1795" s="22" t="s">
        <v>15</v>
      </c>
      <c r="P1795" s="22">
        <v>5000</v>
      </c>
      <c r="Q1795" s="44">
        <f t="shared" si="192"/>
        <v>0</v>
      </c>
      <c r="R1795" s="24">
        <f t="shared" si="191"/>
        <v>5000</v>
      </c>
    </row>
    <row r="1796" spans="2:19" ht="15.95" hidden="1" customHeight="1" x14ac:dyDescent="0.25">
      <c r="B1796" s="21"/>
      <c r="C1796" s="22" t="s">
        <v>2450</v>
      </c>
      <c r="D1796" s="22"/>
      <c r="E1796" s="21" t="s">
        <v>0</v>
      </c>
      <c r="F1796" s="21"/>
      <c r="G1796" s="147" t="s">
        <v>3261</v>
      </c>
      <c r="H1796" s="23" t="s">
        <v>5345</v>
      </c>
      <c r="I1796" s="23" t="s">
        <v>8313</v>
      </c>
      <c r="J1796" s="21" t="s">
        <v>5333</v>
      </c>
      <c r="K1796" s="47"/>
      <c r="L1796" s="21" t="s">
        <v>12030</v>
      </c>
      <c r="M1796" s="26">
        <v>45825</v>
      </c>
      <c r="N1796" s="44">
        <v>5000</v>
      </c>
      <c r="O1796" s="22" t="s">
        <v>15</v>
      </c>
      <c r="P1796" s="22">
        <v>5000</v>
      </c>
      <c r="Q1796" s="44">
        <f t="shared" si="192"/>
        <v>0</v>
      </c>
      <c r="R1796" s="24">
        <f t="shared" ref="R1796:R1805" si="193">IF(P1796="OK",N1796-Q1796,IF(P1796="en cours",N1796-Q1796,P1796))</f>
        <v>5000</v>
      </c>
    </row>
    <row r="1797" spans="2:19" hidden="1" x14ac:dyDescent="0.25">
      <c r="C1797" s="4" t="s">
        <v>2450</v>
      </c>
      <c r="E1797" s="5" t="s">
        <v>0</v>
      </c>
      <c r="G1797" s="146" t="s">
        <v>3261</v>
      </c>
      <c r="H1797" s="7" t="s">
        <v>5345</v>
      </c>
      <c r="I1797" s="7" t="s">
        <v>8313</v>
      </c>
      <c r="J1797" s="5" t="s">
        <v>5334</v>
      </c>
      <c r="K1797" s="115">
        <v>46082</v>
      </c>
      <c r="N1797" s="45">
        <v>12000</v>
      </c>
      <c r="O1797" s="4" t="s">
        <v>15</v>
      </c>
      <c r="P1797" s="4"/>
      <c r="Q1797" s="45">
        <f t="shared" si="192"/>
        <v>12000</v>
      </c>
      <c r="R1797" s="3">
        <f t="shared" si="193"/>
        <v>0</v>
      </c>
    </row>
    <row r="1798" spans="2:19" hidden="1" x14ac:dyDescent="0.25">
      <c r="C1798" s="4" t="s">
        <v>2450</v>
      </c>
      <c r="E1798" s="5" t="s">
        <v>0</v>
      </c>
      <c r="G1798" s="146" t="s">
        <v>3261</v>
      </c>
      <c r="H1798" s="7" t="s">
        <v>5343</v>
      </c>
      <c r="I1798" s="7" t="s">
        <v>8313</v>
      </c>
      <c r="J1798" s="5" t="s">
        <v>5335</v>
      </c>
      <c r="K1798" s="115">
        <v>46447</v>
      </c>
      <c r="N1798" s="45">
        <v>10140</v>
      </c>
      <c r="O1798" s="4" t="s">
        <v>15</v>
      </c>
      <c r="P1798" s="4"/>
      <c r="Q1798" s="45">
        <f t="shared" si="192"/>
        <v>10140</v>
      </c>
      <c r="R1798" s="3">
        <f t="shared" si="193"/>
        <v>0</v>
      </c>
    </row>
    <row r="1799" spans="2:19" hidden="1" x14ac:dyDescent="0.25">
      <c r="B1799" s="21" t="s">
        <v>395</v>
      </c>
      <c r="C1799" s="22" t="s">
        <v>2450</v>
      </c>
      <c r="D1799" s="22"/>
      <c r="E1799" s="21" t="s">
        <v>0</v>
      </c>
      <c r="F1799" s="21"/>
      <c r="G1799" s="147" t="s">
        <v>3261</v>
      </c>
      <c r="H1799" s="23" t="s">
        <v>5346</v>
      </c>
      <c r="I1799" s="23" t="s">
        <v>8313</v>
      </c>
      <c r="J1799" s="21" t="s">
        <v>5336</v>
      </c>
      <c r="K1799" s="47"/>
      <c r="L1799" s="21" t="s">
        <v>4657</v>
      </c>
      <c r="M1799" s="26">
        <v>44280</v>
      </c>
      <c r="N1799" s="44">
        <v>10000</v>
      </c>
      <c r="O1799" s="22" t="s">
        <v>15</v>
      </c>
      <c r="P1799" s="22" t="s">
        <v>19</v>
      </c>
      <c r="Q1799" s="44">
        <f t="shared" si="192"/>
        <v>0</v>
      </c>
      <c r="R1799" s="24">
        <f t="shared" si="193"/>
        <v>10000</v>
      </c>
    </row>
    <row r="1800" spans="2:19" hidden="1" x14ac:dyDescent="0.25">
      <c r="B1800" s="21" t="s">
        <v>395</v>
      </c>
      <c r="C1800" s="22" t="s">
        <v>2450</v>
      </c>
      <c r="D1800" s="22"/>
      <c r="E1800" s="21" t="s">
        <v>0</v>
      </c>
      <c r="F1800" s="21"/>
      <c r="G1800" s="147" t="s">
        <v>3261</v>
      </c>
      <c r="H1800" s="23" t="s">
        <v>5346</v>
      </c>
      <c r="I1800" s="23" t="s">
        <v>8313</v>
      </c>
      <c r="J1800" s="21" t="s">
        <v>5337</v>
      </c>
      <c r="K1800" s="47"/>
      <c r="L1800" s="21" t="s">
        <v>6735</v>
      </c>
      <c r="M1800" s="26">
        <v>44697</v>
      </c>
      <c r="N1800" s="44">
        <v>10000</v>
      </c>
      <c r="O1800" s="22" t="s">
        <v>15</v>
      </c>
      <c r="P1800" s="22" t="s">
        <v>19</v>
      </c>
      <c r="Q1800" s="44">
        <f t="shared" si="192"/>
        <v>0</v>
      </c>
      <c r="R1800" s="24">
        <f t="shared" si="193"/>
        <v>10000</v>
      </c>
    </row>
    <row r="1801" spans="2:19" hidden="1" x14ac:dyDescent="0.25">
      <c r="B1801" s="21" t="s">
        <v>395</v>
      </c>
      <c r="C1801" s="22" t="s">
        <v>2450</v>
      </c>
      <c r="D1801" s="22"/>
      <c r="E1801" s="21" t="s">
        <v>0</v>
      </c>
      <c r="F1801" s="21"/>
      <c r="G1801" s="147" t="s">
        <v>3261</v>
      </c>
      <c r="H1801" s="23" t="s">
        <v>5346</v>
      </c>
      <c r="I1801" s="23" t="s">
        <v>8313</v>
      </c>
      <c r="J1801" s="21" t="s">
        <v>5338</v>
      </c>
      <c r="K1801" s="47"/>
      <c r="L1801" s="21" t="s">
        <v>8547</v>
      </c>
      <c r="M1801" s="26">
        <v>45111</v>
      </c>
      <c r="N1801" s="44">
        <v>10000</v>
      </c>
      <c r="O1801" s="22" t="s">
        <v>15</v>
      </c>
      <c r="P1801" s="22">
        <v>10000</v>
      </c>
      <c r="Q1801" s="44">
        <f t="shared" si="192"/>
        <v>0</v>
      </c>
      <c r="R1801" s="24">
        <f t="shared" si="193"/>
        <v>10000</v>
      </c>
    </row>
    <row r="1802" spans="2:19" hidden="1" x14ac:dyDescent="0.25">
      <c r="B1802" s="21" t="s">
        <v>395</v>
      </c>
      <c r="C1802" s="22" t="s">
        <v>2450</v>
      </c>
      <c r="D1802" s="22"/>
      <c r="E1802" s="21" t="s">
        <v>0</v>
      </c>
      <c r="F1802" s="21"/>
      <c r="G1802" s="147" t="s">
        <v>3261</v>
      </c>
      <c r="H1802" s="23" t="s">
        <v>5346</v>
      </c>
      <c r="I1802" s="23" t="s">
        <v>8313</v>
      </c>
      <c r="J1802" s="21" t="s">
        <v>5339</v>
      </c>
      <c r="K1802" s="47"/>
      <c r="L1802" s="21" t="s">
        <v>9890</v>
      </c>
      <c r="M1802" s="26">
        <v>45434</v>
      </c>
      <c r="N1802" s="44">
        <v>5000</v>
      </c>
      <c r="O1802" s="22" t="s">
        <v>15</v>
      </c>
      <c r="P1802" s="22">
        <v>5000</v>
      </c>
      <c r="Q1802" s="44">
        <f t="shared" si="192"/>
        <v>0</v>
      </c>
      <c r="R1802" s="24">
        <f t="shared" si="193"/>
        <v>5000</v>
      </c>
    </row>
    <row r="1803" spans="2:19" ht="15.95" hidden="1" customHeight="1" x14ac:dyDescent="0.25">
      <c r="B1803" s="21" t="s">
        <v>395</v>
      </c>
      <c r="C1803" s="22" t="s">
        <v>2450</v>
      </c>
      <c r="D1803" s="22"/>
      <c r="E1803" s="21" t="s">
        <v>0</v>
      </c>
      <c r="F1803" s="21"/>
      <c r="G1803" s="147" t="s">
        <v>3261</v>
      </c>
      <c r="H1803" s="23" t="s">
        <v>5346</v>
      </c>
      <c r="I1803" s="23" t="s">
        <v>8313</v>
      </c>
      <c r="J1803" s="21" t="s">
        <v>5340</v>
      </c>
      <c r="K1803" s="47"/>
      <c r="L1803" s="21" t="s">
        <v>12033</v>
      </c>
      <c r="M1803" s="26">
        <v>45825</v>
      </c>
      <c r="N1803" s="44">
        <v>5000</v>
      </c>
      <c r="O1803" s="22" t="s">
        <v>15</v>
      </c>
      <c r="P1803" s="22">
        <v>5000</v>
      </c>
      <c r="Q1803" s="44">
        <f t="shared" si="192"/>
        <v>0</v>
      </c>
      <c r="R1803" s="24">
        <f t="shared" si="193"/>
        <v>5000</v>
      </c>
    </row>
    <row r="1804" spans="2:19" hidden="1" x14ac:dyDescent="0.25">
      <c r="C1804" s="4" t="s">
        <v>2450</v>
      </c>
      <c r="E1804" s="5" t="s">
        <v>0</v>
      </c>
      <c r="G1804" s="146" t="s">
        <v>3261</v>
      </c>
      <c r="H1804" s="7" t="s">
        <v>5346</v>
      </c>
      <c r="I1804" s="7" t="s">
        <v>8313</v>
      </c>
      <c r="J1804" s="5" t="s">
        <v>5341</v>
      </c>
      <c r="K1804" s="115">
        <v>46082</v>
      </c>
      <c r="N1804" s="45">
        <v>12000</v>
      </c>
      <c r="O1804" s="4" t="s">
        <v>15</v>
      </c>
      <c r="P1804" s="4"/>
      <c r="Q1804" s="45">
        <f t="shared" si="192"/>
        <v>12000</v>
      </c>
      <c r="R1804" s="3">
        <f t="shared" si="193"/>
        <v>0</v>
      </c>
    </row>
    <row r="1805" spans="2:19" hidden="1" x14ac:dyDescent="0.25">
      <c r="C1805" s="4" t="s">
        <v>2450</v>
      </c>
      <c r="E1805" s="5" t="s">
        <v>0</v>
      </c>
      <c r="G1805" s="146" t="s">
        <v>3261</v>
      </c>
      <c r="H1805" s="7" t="s">
        <v>5346</v>
      </c>
      <c r="I1805" s="7" t="s">
        <v>8313</v>
      </c>
      <c r="J1805" s="5" t="s">
        <v>5342</v>
      </c>
      <c r="K1805" s="115">
        <v>46447</v>
      </c>
      <c r="N1805" s="45">
        <v>10140</v>
      </c>
      <c r="O1805" s="4" t="s">
        <v>15</v>
      </c>
      <c r="P1805" s="4"/>
      <c r="Q1805" s="45">
        <f t="shared" si="192"/>
        <v>10140</v>
      </c>
      <c r="R1805" s="3">
        <f t="shared" si="193"/>
        <v>0</v>
      </c>
    </row>
    <row r="1806" spans="2:19" hidden="1" x14ac:dyDescent="0.25">
      <c r="C1806" s="4" t="s">
        <v>2450</v>
      </c>
      <c r="E1806" s="5" t="s">
        <v>0</v>
      </c>
      <c r="G1806" s="146" t="s">
        <v>3261</v>
      </c>
      <c r="H1806" s="7" t="s">
        <v>6151</v>
      </c>
      <c r="I1806" s="7" t="s">
        <v>8113</v>
      </c>
      <c r="J1806" s="5" t="s">
        <v>6089</v>
      </c>
      <c r="L1806" s="5" t="s">
        <v>6617</v>
      </c>
      <c r="M1806" s="12">
        <v>44644</v>
      </c>
      <c r="N1806" s="45">
        <v>24750</v>
      </c>
      <c r="O1806" s="4" t="s">
        <v>15</v>
      </c>
      <c r="P1806" s="45">
        <v>13984</v>
      </c>
      <c r="Q1806" s="3">
        <f t="shared" ref="Q1806:Q1807" si="194">IF(P1806="en cours",N1806,IF(P1806="OK",0,IF(N1806-P1806&lt;0,0,N1806-P1806)))</f>
        <v>10766</v>
      </c>
      <c r="R1806" s="3">
        <f t="shared" ref="R1806:R1807" si="195">IF(P1806="OK",N1806-Q1806,IF(P1806="en cours",N1806-Q1806,P1806))</f>
        <v>13984</v>
      </c>
    </row>
    <row r="1807" spans="2:19" hidden="1" x14ac:dyDescent="0.25">
      <c r="C1807" s="4" t="s">
        <v>2450</v>
      </c>
      <c r="E1807" s="5" t="s">
        <v>0</v>
      </c>
      <c r="G1807" s="146" t="s">
        <v>3261</v>
      </c>
      <c r="H1807" s="7" t="s">
        <v>6276</v>
      </c>
      <c r="I1807" s="7" t="s">
        <v>8121</v>
      </c>
      <c r="J1807" s="5" t="s">
        <v>6277</v>
      </c>
      <c r="L1807" s="5" t="s">
        <v>11277</v>
      </c>
      <c r="M1807" s="12" t="s">
        <v>11278</v>
      </c>
      <c r="N1807" s="45">
        <v>68855</v>
      </c>
      <c r="O1807" s="4" t="s">
        <v>15</v>
      </c>
      <c r="P1807" s="45">
        <f>15000+15000+15025+4370</f>
        <v>49395</v>
      </c>
      <c r="Q1807" s="3">
        <f t="shared" si="194"/>
        <v>19460</v>
      </c>
      <c r="R1807" s="3">
        <f t="shared" si="195"/>
        <v>49395</v>
      </c>
    </row>
    <row r="1808" spans="2:19" hidden="1" x14ac:dyDescent="0.25">
      <c r="B1808" s="21" t="s">
        <v>395</v>
      </c>
      <c r="C1808" s="22" t="s">
        <v>2450</v>
      </c>
      <c r="D1808" s="22"/>
      <c r="E1808" s="21" t="s">
        <v>0</v>
      </c>
      <c r="F1808" s="21"/>
      <c r="G1808" s="147" t="s">
        <v>3261</v>
      </c>
      <c r="H1808" s="23" t="s">
        <v>3528</v>
      </c>
      <c r="I1808" s="23" t="s">
        <v>7925</v>
      </c>
      <c r="J1808" s="21" t="s">
        <v>5739</v>
      </c>
      <c r="K1808" s="120"/>
      <c r="L1808" s="21" t="s">
        <v>5738</v>
      </c>
      <c r="M1808" s="26">
        <v>44454</v>
      </c>
      <c r="N1808" s="44">
        <f>702000-220000</f>
        <v>482000</v>
      </c>
      <c r="O1808" s="22" t="s">
        <v>15</v>
      </c>
      <c r="P1808" s="44">
        <v>580370</v>
      </c>
      <c r="Q1808" s="44">
        <f t="shared" ref="Q1808:Q1810" si="196">IF(P1808="en cours",N1808,IF(P1808="OK",0,IF(N1808-P1808&lt;0,0,N1808-P1808)))</f>
        <v>0</v>
      </c>
      <c r="R1808" s="24">
        <f t="shared" ref="R1808:R1811" si="197">IF(P1808="OK",N1808-Q1808,IF(P1808="en cours",N1808-Q1808,P1808))</f>
        <v>580370</v>
      </c>
      <c r="S1808" s="5" t="s">
        <v>3534</v>
      </c>
    </row>
    <row r="1809" spans="2:19" hidden="1" x14ac:dyDescent="0.25">
      <c r="C1809" s="4" t="s">
        <v>2450</v>
      </c>
      <c r="E1809" s="5" t="s">
        <v>0</v>
      </c>
      <c r="G1809" s="146" t="s">
        <v>3261</v>
      </c>
      <c r="H1809" s="7" t="s">
        <v>3529</v>
      </c>
      <c r="I1809" s="7" t="s">
        <v>7925</v>
      </c>
      <c r="J1809" s="5" t="s">
        <v>3526</v>
      </c>
      <c r="K1809" s="13" t="s">
        <v>1541</v>
      </c>
      <c r="N1809" s="45">
        <v>30000</v>
      </c>
      <c r="O1809" s="4" t="s">
        <v>15</v>
      </c>
      <c r="P1809" s="4"/>
      <c r="Q1809" s="45">
        <f t="shared" si="196"/>
        <v>30000</v>
      </c>
      <c r="R1809" s="3">
        <f t="shared" si="197"/>
        <v>0</v>
      </c>
    </row>
    <row r="1810" spans="2:19" hidden="1" x14ac:dyDescent="0.25">
      <c r="C1810" s="4" t="s">
        <v>2450</v>
      </c>
      <c r="E1810" s="5" t="s">
        <v>0</v>
      </c>
      <c r="G1810" s="146" t="s">
        <v>3261</v>
      </c>
      <c r="H1810" s="7" t="s">
        <v>3535</v>
      </c>
      <c r="I1810" s="7" t="s">
        <v>7925</v>
      </c>
      <c r="J1810" s="5" t="s">
        <v>3530</v>
      </c>
      <c r="K1810" s="13"/>
      <c r="L1810" s="5" t="s">
        <v>7756</v>
      </c>
      <c r="M1810" s="12" t="s">
        <v>7757</v>
      </c>
      <c r="N1810" s="45">
        <v>252000</v>
      </c>
      <c r="O1810" s="4" t="s">
        <v>15</v>
      </c>
      <c r="P1810" s="4">
        <f>54000+72000+66000+30000</f>
        <v>222000</v>
      </c>
      <c r="Q1810" s="45">
        <f t="shared" si="196"/>
        <v>30000</v>
      </c>
      <c r="R1810" s="3">
        <f t="shared" si="197"/>
        <v>222000</v>
      </c>
    </row>
    <row r="1811" spans="2:19" hidden="1" x14ac:dyDescent="0.25">
      <c r="C1811" s="4" t="s">
        <v>2450</v>
      </c>
      <c r="E1811" s="5" t="s">
        <v>0</v>
      </c>
      <c r="G1811" s="146" t="s">
        <v>3261</v>
      </c>
      <c r="H1811" s="7" t="s">
        <v>4226</v>
      </c>
      <c r="I1811" s="7" t="s">
        <v>8005</v>
      </c>
      <c r="J1811" s="5" t="s">
        <v>4227</v>
      </c>
      <c r="K1811" s="115" t="s">
        <v>4940</v>
      </c>
      <c r="L1811" s="5" t="s">
        <v>6296</v>
      </c>
      <c r="M1811" s="12" t="s">
        <v>6297</v>
      </c>
      <c r="N1811" s="45">
        <v>1730000</v>
      </c>
      <c r="O1811" s="4" t="s">
        <v>15</v>
      </c>
      <c r="P1811" s="45">
        <f>512000+394444.65</f>
        <v>906444.65</v>
      </c>
      <c r="Q1811" s="45">
        <f t="shared" ref="Q1811:Q1817" si="198">IF(P1811="en cours",N1811,IF(P1811="OK",0,IF(N1811-P1811&lt;0,0,N1811-P1811)))</f>
        <v>823555.35</v>
      </c>
      <c r="R1811" s="3">
        <f t="shared" si="197"/>
        <v>906444.65</v>
      </c>
      <c r="S1811" s="5" t="s">
        <v>7440</v>
      </c>
    </row>
    <row r="1812" spans="2:19" hidden="1" x14ac:dyDescent="0.25">
      <c r="B1812" s="21" t="s">
        <v>395</v>
      </c>
      <c r="C1812" s="22" t="s">
        <v>4633</v>
      </c>
      <c r="D1812" s="22"/>
      <c r="E1812" s="21" t="s">
        <v>75</v>
      </c>
      <c r="F1812" s="21"/>
      <c r="G1812" s="147" t="s">
        <v>155</v>
      </c>
      <c r="H1812" s="23" t="s">
        <v>4466</v>
      </c>
      <c r="I1812" s="23" t="s">
        <v>8020</v>
      </c>
      <c r="J1812" s="21" t="s">
        <v>4467</v>
      </c>
      <c r="K1812" s="47"/>
      <c r="L1812" s="21" t="s">
        <v>4643</v>
      </c>
      <c r="M1812" s="26">
        <v>44274</v>
      </c>
      <c r="N1812" s="44">
        <v>10118</v>
      </c>
      <c r="O1812" s="22" t="s">
        <v>15</v>
      </c>
      <c r="P1812" s="22" t="s">
        <v>19</v>
      </c>
      <c r="Q1812" s="24">
        <f t="shared" si="198"/>
        <v>0</v>
      </c>
      <c r="R1812" s="24">
        <f t="shared" ref="R1812:R1822" si="199">IF(P1812="OK",N1812-Q1812,IF(P1812="en cours",N1812-Q1812,P1812))</f>
        <v>10118</v>
      </c>
    </row>
    <row r="1813" spans="2:19" hidden="1" x14ac:dyDescent="0.25">
      <c r="C1813" s="4" t="s">
        <v>4633</v>
      </c>
      <c r="E1813" s="5" t="s">
        <v>75</v>
      </c>
      <c r="G1813" s="146" t="s">
        <v>155</v>
      </c>
      <c r="H1813" s="7" t="s">
        <v>4466</v>
      </c>
      <c r="I1813" s="7" t="s">
        <v>8020</v>
      </c>
      <c r="J1813" s="5" t="s">
        <v>4468</v>
      </c>
      <c r="N1813" s="45">
        <v>10118</v>
      </c>
      <c r="O1813" s="4" t="s">
        <v>15</v>
      </c>
      <c r="P1813" s="4"/>
      <c r="Q1813" s="3">
        <f t="shared" si="198"/>
        <v>10118</v>
      </c>
      <c r="R1813" s="3">
        <f t="shared" si="199"/>
        <v>0</v>
      </c>
    </row>
    <row r="1814" spans="2:19" hidden="1" x14ac:dyDescent="0.25">
      <c r="C1814" s="4" t="s">
        <v>4633</v>
      </c>
      <c r="E1814" s="5" t="s">
        <v>75</v>
      </c>
      <c r="G1814" s="146" t="s">
        <v>155</v>
      </c>
      <c r="H1814" s="7" t="s">
        <v>4466</v>
      </c>
      <c r="I1814" s="7" t="s">
        <v>8020</v>
      </c>
      <c r="J1814" s="5" t="s">
        <v>4469</v>
      </c>
      <c r="N1814" s="45">
        <v>10118</v>
      </c>
      <c r="O1814" s="4" t="s">
        <v>15</v>
      </c>
      <c r="P1814" s="4"/>
      <c r="Q1814" s="3">
        <f t="shared" si="198"/>
        <v>10118</v>
      </c>
      <c r="R1814" s="3">
        <f t="shared" si="199"/>
        <v>0</v>
      </c>
    </row>
    <row r="1815" spans="2:19" hidden="1" x14ac:dyDescent="0.25">
      <c r="C1815" s="4" t="s">
        <v>4633</v>
      </c>
      <c r="E1815" s="5" t="s">
        <v>75</v>
      </c>
      <c r="G1815" s="146" t="s">
        <v>155</v>
      </c>
      <c r="H1815" s="7" t="s">
        <v>4466</v>
      </c>
      <c r="I1815" s="7" t="s">
        <v>8020</v>
      </c>
      <c r="J1815" s="5" t="s">
        <v>4470</v>
      </c>
      <c r="N1815" s="45">
        <v>10118</v>
      </c>
      <c r="O1815" s="4" t="s">
        <v>15</v>
      </c>
      <c r="P1815" s="4"/>
      <c r="Q1815" s="3">
        <f t="shared" si="198"/>
        <v>10118</v>
      </c>
      <c r="R1815" s="3">
        <f t="shared" si="199"/>
        <v>0</v>
      </c>
    </row>
    <row r="1816" spans="2:19" hidden="1" x14ac:dyDescent="0.25">
      <c r="C1816" s="4" t="s">
        <v>4633</v>
      </c>
      <c r="E1816" s="5" t="s">
        <v>75</v>
      </c>
      <c r="G1816" s="146" t="s">
        <v>155</v>
      </c>
      <c r="H1816" s="7" t="s">
        <v>4466</v>
      </c>
      <c r="I1816" s="7" t="s">
        <v>8020</v>
      </c>
      <c r="J1816" s="5" t="s">
        <v>4471</v>
      </c>
      <c r="L1816" s="115"/>
      <c r="N1816" s="45">
        <v>10118</v>
      </c>
      <c r="O1816" s="4" t="s">
        <v>15</v>
      </c>
      <c r="P1816" s="4"/>
      <c r="Q1816" s="3">
        <f t="shared" si="198"/>
        <v>10118</v>
      </c>
      <c r="R1816" s="3">
        <f t="shared" si="199"/>
        <v>0</v>
      </c>
    </row>
    <row r="1817" spans="2:19" hidden="1" x14ac:dyDescent="0.25">
      <c r="C1817" s="4" t="s">
        <v>2568</v>
      </c>
      <c r="E1817" s="5" t="s">
        <v>75</v>
      </c>
      <c r="G1817" s="146" t="s">
        <v>155</v>
      </c>
      <c r="H1817" s="7" t="s">
        <v>4315</v>
      </c>
      <c r="J1817" s="5" t="s">
        <v>4316</v>
      </c>
      <c r="L1817" s="5" t="s">
        <v>4873</v>
      </c>
      <c r="M1817" s="12" t="s">
        <v>4874</v>
      </c>
      <c r="N1817" s="45">
        <v>11000</v>
      </c>
      <c r="O1817" s="4" t="s">
        <v>15</v>
      </c>
      <c r="P1817" s="4">
        <f>3500+2500+3500</f>
        <v>9500</v>
      </c>
      <c r="Q1817" s="3">
        <f t="shared" si="198"/>
        <v>1500</v>
      </c>
      <c r="R1817" s="3">
        <f t="shared" si="199"/>
        <v>9500</v>
      </c>
    </row>
    <row r="1818" spans="2:19" hidden="1" x14ac:dyDescent="0.25">
      <c r="B1818" s="21" t="s">
        <v>395</v>
      </c>
      <c r="C1818" s="22" t="s">
        <v>8584</v>
      </c>
      <c r="D1818" s="22"/>
      <c r="E1818" s="21" t="s">
        <v>75</v>
      </c>
      <c r="F1818" s="21"/>
      <c r="G1818" s="147" t="s">
        <v>155</v>
      </c>
      <c r="H1818" s="23" t="s">
        <v>8836</v>
      </c>
      <c r="I1818" s="23" t="s">
        <v>8837</v>
      </c>
      <c r="J1818" s="21" t="s">
        <v>8838</v>
      </c>
      <c r="K1818" s="21"/>
      <c r="L1818" s="21" t="s">
        <v>8844</v>
      </c>
      <c r="M1818" s="26">
        <v>45189</v>
      </c>
      <c r="N1818" s="44">
        <v>30380</v>
      </c>
      <c r="O1818" s="22" t="s">
        <v>15</v>
      </c>
      <c r="P1818" s="44">
        <f>30380</f>
        <v>30380</v>
      </c>
      <c r="Q1818" s="44">
        <f t="shared" ref="Q1818:Q1833" si="200">IF(P1818="en cours",N1818,IF(P1818="OK",0,IF(N1818-P1818&lt;0,0,N1818-P1818)))</f>
        <v>0</v>
      </c>
      <c r="R1818" s="24">
        <f t="shared" si="199"/>
        <v>30380</v>
      </c>
    </row>
    <row r="1819" spans="2:19" hidden="1" x14ac:dyDescent="0.25">
      <c r="B1819" s="21" t="s">
        <v>395</v>
      </c>
      <c r="C1819" s="22" t="s">
        <v>8584</v>
      </c>
      <c r="D1819" s="22"/>
      <c r="E1819" s="21" t="s">
        <v>75</v>
      </c>
      <c r="F1819" s="21"/>
      <c r="G1819" s="147" t="s">
        <v>155</v>
      </c>
      <c r="H1819" s="23" t="s">
        <v>8836</v>
      </c>
      <c r="I1819" s="23" t="s">
        <v>8837</v>
      </c>
      <c r="J1819" s="21" t="s">
        <v>8839</v>
      </c>
      <c r="K1819" s="21"/>
      <c r="L1819" s="21" t="s">
        <v>9962</v>
      </c>
      <c r="M1819" s="26">
        <v>45470</v>
      </c>
      <c r="N1819" s="44">
        <v>22785</v>
      </c>
      <c r="O1819" s="22" t="s">
        <v>15</v>
      </c>
      <c r="P1819" s="44">
        <f>22785</f>
        <v>22785</v>
      </c>
      <c r="Q1819" s="44">
        <f t="shared" si="200"/>
        <v>0</v>
      </c>
      <c r="R1819" s="24">
        <f t="shared" si="199"/>
        <v>22785</v>
      </c>
    </row>
    <row r="1820" spans="2:19" hidden="1" x14ac:dyDescent="0.25">
      <c r="C1820" s="4" t="s">
        <v>8584</v>
      </c>
      <c r="E1820" s="5" t="s">
        <v>75</v>
      </c>
      <c r="G1820" s="146" t="s">
        <v>155</v>
      </c>
      <c r="H1820" s="7" t="s">
        <v>8836</v>
      </c>
      <c r="I1820" s="7" t="s">
        <v>8837</v>
      </c>
      <c r="J1820" s="5" t="s">
        <v>8840</v>
      </c>
      <c r="M1820" s="12"/>
      <c r="N1820" s="45">
        <v>22785</v>
      </c>
      <c r="O1820" s="4" t="s">
        <v>15</v>
      </c>
      <c r="Q1820" s="45">
        <f t="shared" si="200"/>
        <v>22785</v>
      </c>
      <c r="R1820" s="3">
        <f t="shared" si="199"/>
        <v>0</v>
      </c>
    </row>
    <row r="1821" spans="2:19" hidden="1" x14ac:dyDescent="0.25">
      <c r="B1821" s="21" t="s">
        <v>395</v>
      </c>
      <c r="C1821" s="22" t="s">
        <v>8584</v>
      </c>
      <c r="D1821" s="22"/>
      <c r="E1821" s="21" t="s">
        <v>75</v>
      </c>
      <c r="F1821" s="21"/>
      <c r="G1821" s="147" t="s">
        <v>155</v>
      </c>
      <c r="H1821" s="23" t="s">
        <v>8836</v>
      </c>
      <c r="I1821" s="23" t="s">
        <v>8837</v>
      </c>
      <c r="J1821" s="21" t="s">
        <v>8841</v>
      </c>
      <c r="K1821" s="21"/>
      <c r="L1821" s="21" t="s">
        <v>12209</v>
      </c>
      <c r="M1821" s="26">
        <v>45862</v>
      </c>
      <c r="N1821" s="44">
        <v>30380</v>
      </c>
      <c r="O1821" s="22" t="s">
        <v>15</v>
      </c>
      <c r="P1821" s="44">
        <v>30380</v>
      </c>
      <c r="Q1821" s="44">
        <f t="shared" si="200"/>
        <v>0</v>
      </c>
      <c r="R1821" s="24">
        <f t="shared" si="199"/>
        <v>30380</v>
      </c>
    </row>
    <row r="1822" spans="2:19" hidden="1" x14ac:dyDescent="0.25">
      <c r="B1822" s="21" t="s">
        <v>395</v>
      </c>
      <c r="C1822" s="22" t="s">
        <v>8584</v>
      </c>
      <c r="D1822" s="22"/>
      <c r="E1822" s="21" t="s">
        <v>75</v>
      </c>
      <c r="F1822" s="21"/>
      <c r="G1822" s="147" t="s">
        <v>155</v>
      </c>
      <c r="H1822" s="23" t="s">
        <v>8836</v>
      </c>
      <c r="I1822" s="23" t="s">
        <v>8837</v>
      </c>
      <c r="J1822" s="21" t="s">
        <v>8842</v>
      </c>
      <c r="K1822" s="21"/>
      <c r="L1822" s="21" t="s">
        <v>12336</v>
      </c>
      <c r="M1822" s="26">
        <v>45891</v>
      </c>
      <c r="N1822" s="44">
        <v>22785</v>
      </c>
      <c r="O1822" s="22" t="s">
        <v>15</v>
      </c>
      <c r="P1822" s="44">
        <v>22785</v>
      </c>
      <c r="Q1822" s="44">
        <f t="shared" si="200"/>
        <v>0</v>
      </c>
      <c r="R1822" s="24">
        <f t="shared" si="199"/>
        <v>22785</v>
      </c>
    </row>
    <row r="1823" spans="2:19" hidden="1" x14ac:dyDescent="0.25">
      <c r="C1823" s="4" t="s">
        <v>8584</v>
      </c>
      <c r="E1823" s="5" t="s">
        <v>75</v>
      </c>
      <c r="G1823" s="146" t="s">
        <v>155</v>
      </c>
      <c r="H1823" s="7" t="s">
        <v>8836</v>
      </c>
      <c r="I1823" s="7" t="s">
        <v>8837</v>
      </c>
      <c r="J1823" s="5" t="s">
        <v>8843</v>
      </c>
      <c r="L1823" s="5" t="s">
        <v>12242</v>
      </c>
      <c r="M1823" s="12">
        <v>45897</v>
      </c>
      <c r="N1823" s="45">
        <v>22785</v>
      </c>
      <c r="O1823" s="4" t="s">
        <v>15</v>
      </c>
      <c r="P1823" s="45">
        <v>22785</v>
      </c>
      <c r="Q1823" s="45">
        <f t="shared" si="200"/>
        <v>0</v>
      </c>
      <c r="R1823" s="3">
        <f t="shared" ref="R1823:R1834" si="201">IF(P1823="OK",N1823-Q1823,IF(P1823="en cours",N1823-Q1823,P1823))</f>
        <v>22785</v>
      </c>
    </row>
    <row r="1824" spans="2:19" hidden="1" x14ac:dyDescent="0.25">
      <c r="B1824" s="21" t="s">
        <v>395</v>
      </c>
      <c r="C1824" s="22" t="s">
        <v>2450</v>
      </c>
      <c r="D1824" s="22"/>
      <c r="E1824" s="21" t="s">
        <v>75</v>
      </c>
      <c r="F1824" s="21"/>
      <c r="G1824" s="147" t="s">
        <v>155</v>
      </c>
      <c r="H1824" s="23" t="s">
        <v>9316</v>
      </c>
      <c r="I1824" s="23" t="s">
        <v>9317</v>
      </c>
      <c r="J1824" s="21" t="s">
        <v>9309</v>
      </c>
      <c r="K1824" s="21"/>
      <c r="L1824" s="21" t="s">
        <v>9416</v>
      </c>
      <c r="M1824" s="26">
        <v>45313</v>
      </c>
      <c r="N1824" s="44">
        <v>5000</v>
      </c>
      <c r="O1824" s="22" t="s">
        <v>15</v>
      </c>
      <c r="P1824" s="44">
        <v>5000</v>
      </c>
      <c r="Q1824" s="44">
        <f t="shared" si="200"/>
        <v>0</v>
      </c>
      <c r="R1824" s="24">
        <f t="shared" si="201"/>
        <v>5000</v>
      </c>
    </row>
    <row r="1825" spans="2:19" hidden="1" x14ac:dyDescent="0.25">
      <c r="B1825" s="21" t="s">
        <v>395</v>
      </c>
      <c r="C1825" s="22" t="s">
        <v>2450</v>
      </c>
      <c r="D1825" s="22"/>
      <c r="E1825" s="21" t="s">
        <v>75</v>
      </c>
      <c r="F1825" s="21"/>
      <c r="G1825" s="147" t="s">
        <v>155</v>
      </c>
      <c r="H1825" s="23" t="s">
        <v>12569</v>
      </c>
      <c r="I1825" s="23"/>
      <c r="J1825" s="21" t="s">
        <v>12570</v>
      </c>
      <c r="K1825" s="21"/>
      <c r="L1825" s="21" t="s">
        <v>12571</v>
      </c>
      <c r="M1825" s="26">
        <v>45924</v>
      </c>
      <c r="N1825" s="44">
        <v>23680</v>
      </c>
      <c r="O1825" s="22" t="s">
        <v>15</v>
      </c>
      <c r="P1825" s="44">
        <f>23680</f>
        <v>23680</v>
      </c>
      <c r="Q1825" s="24">
        <f t="shared" ref="Q1825" si="202">IF(P1825="en cours",N1825,IF(P1825="OK",0,IF(N1825-P1825&lt;0,0,N1825-P1825)))</f>
        <v>0</v>
      </c>
      <c r="R1825" s="24">
        <f t="shared" ref="R1825" si="203">IF(P1825="OK",N1825-Q1825,IF(P1825="en cours",N1825-Q1825,P1825))</f>
        <v>23680</v>
      </c>
    </row>
    <row r="1826" spans="2:19" hidden="1" x14ac:dyDescent="0.25">
      <c r="B1826" s="21" t="s">
        <v>395</v>
      </c>
      <c r="C1826" s="22" t="s">
        <v>2450</v>
      </c>
      <c r="D1826" s="22"/>
      <c r="E1826" s="21" t="s">
        <v>75</v>
      </c>
      <c r="F1826" s="21"/>
      <c r="G1826" s="147" t="s">
        <v>155</v>
      </c>
      <c r="H1826" s="23" t="s">
        <v>12559</v>
      </c>
      <c r="I1826" s="23" t="s">
        <v>9317</v>
      </c>
      <c r="J1826" s="208" t="s">
        <v>12560</v>
      </c>
      <c r="K1826" s="44"/>
      <c r="L1826" s="21"/>
      <c r="M1826" s="23"/>
      <c r="N1826" s="44">
        <v>0</v>
      </c>
      <c r="O1826" s="22" t="s">
        <v>15</v>
      </c>
      <c r="P1826" s="44"/>
      <c r="Q1826" s="24">
        <f t="shared" si="200"/>
        <v>0</v>
      </c>
      <c r="R1826" s="24">
        <f t="shared" si="201"/>
        <v>0</v>
      </c>
      <c r="S1826" s="5" t="s">
        <v>12568</v>
      </c>
    </row>
    <row r="1827" spans="2:19" hidden="1" x14ac:dyDescent="0.25">
      <c r="B1827" s="21" t="s">
        <v>395</v>
      </c>
      <c r="C1827" s="22" t="s">
        <v>2450</v>
      </c>
      <c r="D1827" s="22"/>
      <c r="E1827" s="21" t="s">
        <v>75</v>
      </c>
      <c r="F1827" s="21"/>
      <c r="G1827" s="147" t="s">
        <v>155</v>
      </c>
      <c r="H1827" s="23" t="s">
        <v>12559</v>
      </c>
      <c r="I1827" s="23" t="s">
        <v>9317</v>
      </c>
      <c r="J1827" s="208" t="s">
        <v>12561</v>
      </c>
      <c r="K1827" s="44"/>
      <c r="L1827" s="21"/>
      <c r="M1827" s="23"/>
      <c r="N1827" s="44">
        <v>0</v>
      </c>
      <c r="O1827" s="22" t="s">
        <v>15</v>
      </c>
      <c r="P1827" s="44"/>
      <c r="Q1827" s="24">
        <f t="shared" si="200"/>
        <v>0</v>
      </c>
      <c r="R1827" s="24">
        <f t="shared" si="201"/>
        <v>0</v>
      </c>
      <c r="S1827" s="5" t="s">
        <v>12568</v>
      </c>
    </row>
    <row r="1828" spans="2:19" hidden="1" x14ac:dyDescent="0.25">
      <c r="B1828" s="21" t="s">
        <v>395</v>
      </c>
      <c r="C1828" s="22" t="s">
        <v>2450</v>
      </c>
      <c r="D1828" s="22"/>
      <c r="E1828" s="21" t="s">
        <v>75</v>
      </c>
      <c r="F1828" s="21"/>
      <c r="G1828" s="147" t="s">
        <v>155</v>
      </c>
      <c r="H1828" s="23" t="s">
        <v>12559</v>
      </c>
      <c r="I1828" s="23" t="s">
        <v>9317</v>
      </c>
      <c r="J1828" s="208" t="s">
        <v>12562</v>
      </c>
      <c r="K1828" s="44"/>
      <c r="L1828" s="21"/>
      <c r="M1828" s="23"/>
      <c r="N1828" s="44">
        <v>0</v>
      </c>
      <c r="O1828" s="22" t="s">
        <v>15</v>
      </c>
      <c r="P1828" s="44"/>
      <c r="Q1828" s="24">
        <f t="shared" si="200"/>
        <v>0</v>
      </c>
      <c r="R1828" s="24">
        <f t="shared" si="201"/>
        <v>0</v>
      </c>
      <c r="S1828" s="5" t="s">
        <v>12568</v>
      </c>
    </row>
    <row r="1829" spans="2:19" hidden="1" x14ac:dyDescent="0.25">
      <c r="B1829" s="21" t="s">
        <v>395</v>
      </c>
      <c r="C1829" s="22" t="s">
        <v>2450</v>
      </c>
      <c r="D1829" s="22"/>
      <c r="E1829" s="21" t="s">
        <v>75</v>
      </c>
      <c r="F1829" s="21"/>
      <c r="G1829" s="147" t="s">
        <v>155</v>
      </c>
      <c r="H1829" s="23" t="s">
        <v>12559</v>
      </c>
      <c r="I1829" s="23" t="s">
        <v>9317</v>
      </c>
      <c r="J1829" s="208" t="s">
        <v>12563</v>
      </c>
      <c r="K1829" s="44"/>
      <c r="L1829" s="21"/>
      <c r="M1829" s="23"/>
      <c r="N1829" s="44">
        <v>0</v>
      </c>
      <c r="O1829" s="22" t="s">
        <v>15</v>
      </c>
      <c r="P1829" s="44"/>
      <c r="Q1829" s="24">
        <f t="shared" si="200"/>
        <v>0</v>
      </c>
      <c r="R1829" s="24">
        <f t="shared" si="201"/>
        <v>0</v>
      </c>
      <c r="S1829" s="5" t="s">
        <v>12568</v>
      </c>
    </row>
    <row r="1830" spans="2:19" hidden="1" x14ac:dyDescent="0.25">
      <c r="B1830" s="21" t="s">
        <v>395</v>
      </c>
      <c r="C1830" s="22" t="s">
        <v>2450</v>
      </c>
      <c r="D1830" s="22"/>
      <c r="E1830" s="21" t="s">
        <v>75</v>
      </c>
      <c r="F1830" s="21"/>
      <c r="G1830" s="147" t="s">
        <v>155</v>
      </c>
      <c r="H1830" s="23" t="s">
        <v>12559</v>
      </c>
      <c r="I1830" s="23" t="s">
        <v>9317</v>
      </c>
      <c r="J1830" s="208" t="s">
        <v>12564</v>
      </c>
      <c r="K1830" s="44"/>
      <c r="L1830" s="21"/>
      <c r="M1830" s="23"/>
      <c r="N1830" s="44">
        <v>0</v>
      </c>
      <c r="O1830" s="22" t="s">
        <v>15</v>
      </c>
      <c r="P1830" s="44"/>
      <c r="Q1830" s="24">
        <f t="shared" si="200"/>
        <v>0</v>
      </c>
      <c r="R1830" s="24">
        <f t="shared" si="201"/>
        <v>0</v>
      </c>
      <c r="S1830" s="5" t="s">
        <v>12568</v>
      </c>
    </row>
    <row r="1831" spans="2:19" hidden="1" x14ac:dyDescent="0.25">
      <c r="B1831" s="21" t="s">
        <v>395</v>
      </c>
      <c r="C1831" s="22" t="s">
        <v>2450</v>
      </c>
      <c r="D1831" s="22"/>
      <c r="E1831" s="21" t="s">
        <v>75</v>
      </c>
      <c r="F1831" s="21"/>
      <c r="G1831" s="147" t="s">
        <v>155</v>
      </c>
      <c r="H1831" s="23" t="s">
        <v>12559</v>
      </c>
      <c r="I1831" s="23" t="s">
        <v>9317</v>
      </c>
      <c r="J1831" s="208" t="s">
        <v>12565</v>
      </c>
      <c r="K1831" s="44"/>
      <c r="L1831" s="21"/>
      <c r="M1831" s="23"/>
      <c r="N1831" s="44">
        <v>0</v>
      </c>
      <c r="O1831" s="22" t="s">
        <v>15</v>
      </c>
      <c r="P1831" s="44"/>
      <c r="Q1831" s="24">
        <f t="shared" si="200"/>
        <v>0</v>
      </c>
      <c r="R1831" s="24">
        <f t="shared" si="201"/>
        <v>0</v>
      </c>
      <c r="S1831" s="5" t="s">
        <v>12568</v>
      </c>
    </row>
    <row r="1832" spans="2:19" hidden="1" x14ac:dyDescent="0.25">
      <c r="B1832" s="21" t="s">
        <v>395</v>
      </c>
      <c r="C1832" s="22" t="s">
        <v>2450</v>
      </c>
      <c r="D1832" s="22"/>
      <c r="E1832" s="21" t="s">
        <v>75</v>
      </c>
      <c r="F1832" s="21"/>
      <c r="G1832" s="147" t="s">
        <v>155</v>
      </c>
      <c r="H1832" s="23" t="s">
        <v>12559</v>
      </c>
      <c r="I1832" s="23" t="s">
        <v>9317</v>
      </c>
      <c r="J1832" s="208" t="s">
        <v>12566</v>
      </c>
      <c r="K1832" s="44"/>
      <c r="L1832" s="21"/>
      <c r="M1832" s="23"/>
      <c r="N1832" s="44">
        <v>0</v>
      </c>
      <c r="O1832" s="22" t="s">
        <v>15</v>
      </c>
      <c r="P1832" s="44"/>
      <c r="Q1832" s="24">
        <f t="shared" si="200"/>
        <v>0</v>
      </c>
      <c r="R1832" s="24">
        <f t="shared" si="201"/>
        <v>0</v>
      </c>
      <c r="S1832" s="5" t="s">
        <v>12568</v>
      </c>
    </row>
    <row r="1833" spans="2:19" hidden="1" x14ac:dyDescent="0.25">
      <c r="B1833" s="21" t="s">
        <v>395</v>
      </c>
      <c r="C1833" s="22" t="s">
        <v>2450</v>
      </c>
      <c r="D1833" s="22"/>
      <c r="E1833" s="21" t="s">
        <v>75</v>
      </c>
      <c r="F1833" s="21"/>
      <c r="G1833" s="147" t="s">
        <v>155</v>
      </c>
      <c r="H1833" s="23" t="s">
        <v>12559</v>
      </c>
      <c r="I1833" s="23" t="s">
        <v>9317</v>
      </c>
      <c r="J1833" s="208" t="s">
        <v>12567</v>
      </c>
      <c r="K1833" s="44"/>
      <c r="L1833" s="21"/>
      <c r="M1833" s="23"/>
      <c r="N1833" s="44">
        <v>0</v>
      </c>
      <c r="O1833" s="22" t="s">
        <v>15</v>
      </c>
      <c r="P1833" s="44"/>
      <c r="Q1833" s="24">
        <f t="shared" si="200"/>
        <v>0</v>
      </c>
      <c r="R1833" s="24">
        <f t="shared" si="201"/>
        <v>0</v>
      </c>
      <c r="S1833" s="5" t="s">
        <v>12568</v>
      </c>
    </row>
    <row r="1834" spans="2:19" hidden="1" x14ac:dyDescent="0.25">
      <c r="C1834" s="4" t="s">
        <v>2450</v>
      </c>
      <c r="E1834" s="5" t="s">
        <v>75</v>
      </c>
      <c r="F1834" s="5" t="s">
        <v>11253</v>
      </c>
      <c r="G1834" s="146" t="s">
        <v>155</v>
      </c>
      <c r="H1834" s="7" t="s">
        <v>9866</v>
      </c>
      <c r="I1834" s="7" t="s">
        <v>9867</v>
      </c>
      <c r="J1834" s="5" t="s">
        <v>9635</v>
      </c>
      <c r="N1834" s="45">
        <v>8160</v>
      </c>
      <c r="O1834" s="4" t="s">
        <v>15</v>
      </c>
      <c r="Q1834" s="3">
        <f t="shared" ref="Q1834:Q1843" si="204">IF(P1834="en cours",N1834,IF(P1834="OK",0,IF(N1834-P1834&lt;0,0,N1834-P1834)))</f>
        <v>8160</v>
      </c>
      <c r="R1834" s="3">
        <f t="shared" si="201"/>
        <v>0</v>
      </c>
    </row>
    <row r="1835" spans="2:19" hidden="1" x14ac:dyDescent="0.25">
      <c r="C1835" s="4" t="s">
        <v>9747</v>
      </c>
      <c r="E1835" s="5" t="s">
        <v>75</v>
      </c>
      <c r="F1835" s="5" t="s">
        <v>11253</v>
      </c>
      <c r="G1835" s="146" t="s">
        <v>155</v>
      </c>
      <c r="H1835" s="7" t="s">
        <v>9886</v>
      </c>
      <c r="I1835" s="7" t="s">
        <v>9746</v>
      </c>
      <c r="J1835" s="5" t="s">
        <v>9748</v>
      </c>
      <c r="L1835" s="5" t="s">
        <v>11193</v>
      </c>
      <c r="M1835" s="12" t="s">
        <v>11194</v>
      </c>
      <c r="N1835" s="45">
        <v>96900</v>
      </c>
      <c r="O1835" s="4" t="s">
        <v>15</v>
      </c>
      <c r="P1835" s="45">
        <f>24225+11628</f>
        <v>35853</v>
      </c>
      <c r="Q1835" s="3">
        <f t="shared" si="204"/>
        <v>61047</v>
      </c>
      <c r="R1835" s="3">
        <f t="shared" ref="R1835:R1843" si="205">IF(P1835="OK",N1835-Q1835,IF(P1835="en cours",N1835-Q1835,P1835))</f>
        <v>35853</v>
      </c>
    </row>
    <row r="1836" spans="2:19" hidden="1" x14ac:dyDescent="0.25">
      <c r="B1836" s="21" t="s">
        <v>395</v>
      </c>
      <c r="C1836" s="22" t="s">
        <v>6267</v>
      </c>
      <c r="D1836" s="22"/>
      <c r="E1836" s="21" t="s">
        <v>75</v>
      </c>
      <c r="F1836" s="21" t="s">
        <v>9767</v>
      </c>
      <c r="G1836" s="147" t="s">
        <v>155</v>
      </c>
      <c r="H1836" s="23" t="s">
        <v>10896</v>
      </c>
      <c r="I1836" s="23"/>
      <c r="J1836" s="21" t="s">
        <v>10897</v>
      </c>
      <c r="K1836" s="21"/>
      <c r="L1836" s="21" t="s">
        <v>11013</v>
      </c>
      <c r="M1836" s="26">
        <v>45646</v>
      </c>
      <c r="N1836" s="44">
        <v>14496</v>
      </c>
      <c r="O1836" s="22" t="s">
        <v>15</v>
      </c>
      <c r="P1836" s="44">
        <v>14496</v>
      </c>
      <c r="Q1836" s="44">
        <f t="shared" si="204"/>
        <v>0</v>
      </c>
      <c r="R1836" s="24">
        <f t="shared" si="205"/>
        <v>14496</v>
      </c>
    </row>
    <row r="1837" spans="2:19" hidden="1" x14ac:dyDescent="0.25">
      <c r="B1837" s="21" t="s">
        <v>395</v>
      </c>
      <c r="C1837" s="22" t="s">
        <v>6267</v>
      </c>
      <c r="D1837" s="22"/>
      <c r="E1837" s="21" t="s">
        <v>75</v>
      </c>
      <c r="F1837" s="21" t="s">
        <v>9767</v>
      </c>
      <c r="G1837" s="147" t="s">
        <v>155</v>
      </c>
      <c r="H1837" s="23" t="s">
        <v>10896</v>
      </c>
      <c r="I1837" s="23"/>
      <c r="J1837" s="21" t="s">
        <v>10898</v>
      </c>
      <c r="K1837" s="21"/>
      <c r="L1837" s="21" t="s">
        <v>13761</v>
      </c>
      <c r="M1837" s="26">
        <v>46022</v>
      </c>
      <c r="N1837" s="44">
        <v>5120</v>
      </c>
      <c r="O1837" s="22" t="s">
        <v>15</v>
      </c>
      <c r="P1837" s="44">
        <v>5120</v>
      </c>
      <c r="Q1837" s="44">
        <f t="shared" si="204"/>
        <v>0</v>
      </c>
      <c r="R1837" s="24">
        <f t="shared" si="205"/>
        <v>5120</v>
      </c>
    </row>
    <row r="1838" spans="2:19" hidden="1" x14ac:dyDescent="0.25">
      <c r="B1838" s="21" t="s">
        <v>395</v>
      </c>
      <c r="C1838" s="22" t="s">
        <v>6267</v>
      </c>
      <c r="D1838" s="22"/>
      <c r="E1838" s="21" t="s">
        <v>75</v>
      </c>
      <c r="F1838" s="21" t="s">
        <v>9767</v>
      </c>
      <c r="G1838" s="147" t="s">
        <v>155</v>
      </c>
      <c r="H1838" s="23" t="s">
        <v>10896</v>
      </c>
      <c r="I1838" s="23"/>
      <c r="J1838" s="21" t="s">
        <v>10899</v>
      </c>
      <c r="K1838" s="21"/>
      <c r="L1838" s="21" t="s">
        <v>13399</v>
      </c>
      <c r="M1838" s="26">
        <v>45987</v>
      </c>
      <c r="N1838" s="44">
        <v>7680</v>
      </c>
      <c r="O1838" s="22" t="s">
        <v>15</v>
      </c>
      <c r="P1838" s="44">
        <v>7680</v>
      </c>
      <c r="Q1838" s="24">
        <f t="shared" si="204"/>
        <v>0</v>
      </c>
      <c r="R1838" s="24">
        <f t="shared" si="205"/>
        <v>7680</v>
      </c>
    </row>
    <row r="1839" spans="2:19" hidden="1" x14ac:dyDescent="0.25">
      <c r="B1839" s="21" t="s">
        <v>395</v>
      </c>
      <c r="C1839" s="22" t="s">
        <v>6267</v>
      </c>
      <c r="D1839" s="22"/>
      <c r="E1839" s="21" t="s">
        <v>75</v>
      </c>
      <c r="F1839" s="21" t="s">
        <v>9767</v>
      </c>
      <c r="G1839" s="147" t="s">
        <v>155</v>
      </c>
      <c r="H1839" s="23" t="s">
        <v>10896</v>
      </c>
      <c r="I1839" s="23"/>
      <c r="J1839" s="21" t="s">
        <v>10900</v>
      </c>
      <c r="K1839" s="21"/>
      <c r="L1839" s="21" t="s">
        <v>12050</v>
      </c>
      <c r="M1839" s="26">
        <v>45833</v>
      </c>
      <c r="N1839" s="44">
        <v>10872</v>
      </c>
      <c r="O1839" s="22" t="s">
        <v>15</v>
      </c>
      <c r="P1839" s="44">
        <v>10872</v>
      </c>
      <c r="Q1839" s="44">
        <f t="shared" si="204"/>
        <v>0</v>
      </c>
      <c r="R1839" s="24">
        <f t="shared" si="205"/>
        <v>10872</v>
      </c>
    </row>
    <row r="1840" spans="2:19" hidden="1" x14ac:dyDescent="0.25">
      <c r="C1840" s="4" t="s">
        <v>6267</v>
      </c>
      <c r="E1840" s="5" t="s">
        <v>75</v>
      </c>
      <c r="F1840" s="5" t="s">
        <v>9767</v>
      </c>
      <c r="G1840" s="146" t="s">
        <v>155</v>
      </c>
      <c r="H1840" s="7" t="s">
        <v>10896</v>
      </c>
      <c r="J1840" s="5" t="s">
        <v>10901</v>
      </c>
      <c r="N1840" s="45">
        <v>14496</v>
      </c>
      <c r="O1840" s="4" t="s">
        <v>15</v>
      </c>
      <c r="Q1840" s="3">
        <f t="shared" si="204"/>
        <v>14496</v>
      </c>
      <c r="R1840" s="3">
        <f t="shared" si="205"/>
        <v>0</v>
      </c>
    </row>
    <row r="1841" spans="2:19" hidden="1" x14ac:dyDescent="0.25">
      <c r="C1841" s="4" t="s">
        <v>6267</v>
      </c>
      <c r="E1841" s="5" t="s">
        <v>75</v>
      </c>
      <c r="F1841" s="5" t="s">
        <v>9767</v>
      </c>
      <c r="G1841" s="146" t="s">
        <v>155</v>
      </c>
      <c r="H1841" s="7" t="s">
        <v>10896</v>
      </c>
      <c r="J1841" s="5" t="s">
        <v>10902</v>
      </c>
      <c r="N1841" s="45">
        <v>10872</v>
      </c>
      <c r="O1841" s="4" t="s">
        <v>15</v>
      </c>
      <c r="Q1841" s="3">
        <f t="shared" si="204"/>
        <v>10872</v>
      </c>
      <c r="R1841" s="3">
        <f t="shared" si="205"/>
        <v>0</v>
      </c>
    </row>
    <row r="1842" spans="2:19" hidden="1" x14ac:dyDescent="0.25">
      <c r="C1842" s="4" t="s">
        <v>6267</v>
      </c>
      <c r="E1842" s="5" t="s">
        <v>75</v>
      </c>
      <c r="F1842" s="5" t="s">
        <v>9767</v>
      </c>
      <c r="G1842" s="146" t="s">
        <v>155</v>
      </c>
      <c r="H1842" s="7" t="s">
        <v>10896</v>
      </c>
      <c r="J1842" s="5" t="s">
        <v>10903</v>
      </c>
      <c r="N1842" s="45">
        <v>10872</v>
      </c>
      <c r="O1842" s="4" t="s">
        <v>15</v>
      </c>
      <c r="Q1842" s="3">
        <f t="shared" si="204"/>
        <v>10872</v>
      </c>
      <c r="R1842" s="3">
        <f t="shared" si="205"/>
        <v>0</v>
      </c>
    </row>
    <row r="1843" spans="2:19" hidden="1" x14ac:dyDescent="0.25">
      <c r="C1843" s="4" t="s">
        <v>6267</v>
      </c>
      <c r="E1843" s="5" t="s">
        <v>75</v>
      </c>
      <c r="F1843" s="5" t="s">
        <v>9767</v>
      </c>
      <c r="G1843" s="146" t="s">
        <v>155</v>
      </c>
      <c r="H1843" s="7" t="s">
        <v>10896</v>
      </c>
      <c r="J1843" s="5" t="s">
        <v>10904</v>
      </c>
      <c r="N1843" s="45">
        <v>10872</v>
      </c>
      <c r="O1843" s="4" t="s">
        <v>15</v>
      </c>
      <c r="Q1843" s="3">
        <f t="shared" si="204"/>
        <v>10872</v>
      </c>
      <c r="R1843" s="3">
        <f t="shared" si="205"/>
        <v>0</v>
      </c>
    </row>
    <row r="1844" spans="2:19" hidden="1" x14ac:dyDescent="0.25">
      <c r="B1844" s="21" t="s">
        <v>395</v>
      </c>
      <c r="C1844" s="22" t="s">
        <v>2450</v>
      </c>
      <c r="D1844" s="22"/>
      <c r="E1844" s="21" t="s">
        <v>0</v>
      </c>
      <c r="F1844" s="21"/>
      <c r="G1844" s="147" t="s">
        <v>7816</v>
      </c>
      <c r="H1844" s="23" t="s">
        <v>7817</v>
      </c>
      <c r="I1844" s="23" t="s">
        <v>8299</v>
      </c>
      <c r="J1844" s="21" t="s">
        <v>7818</v>
      </c>
      <c r="K1844" s="21"/>
      <c r="L1844" s="21" t="s">
        <v>8711</v>
      </c>
      <c r="M1844" s="26" t="s">
        <v>8712</v>
      </c>
      <c r="N1844" s="44">
        <v>10200</v>
      </c>
      <c r="O1844" s="22" t="s">
        <v>341</v>
      </c>
      <c r="P1844" s="44">
        <f>7990+1105+1105</f>
        <v>10200</v>
      </c>
      <c r="Q1844" s="44">
        <f t="shared" ref="Q1844:Q1846" si="206">IF(P1844="en cours",N1844,IF(P1844="OK",0,IF(N1844-P1844&lt;0,0,N1844-P1844)))</f>
        <v>0</v>
      </c>
      <c r="R1844" s="24">
        <f t="shared" ref="R1844:R1848" si="207">IF(P1844="OK",N1844-Q1844,IF(P1844="en cours",N1844-Q1844,P1844))</f>
        <v>10200</v>
      </c>
    </row>
    <row r="1845" spans="2:19" hidden="1" x14ac:dyDescent="0.25">
      <c r="C1845" s="4" t="s">
        <v>2450</v>
      </c>
      <c r="E1845" s="5" t="s">
        <v>75</v>
      </c>
      <c r="G1845" s="146" t="s">
        <v>9633</v>
      </c>
      <c r="H1845" s="7" t="s">
        <v>10816</v>
      </c>
      <c r="J1845" s="5" t="s">
        <v>10817</v>
      </c>
      <c r="L1845" s="5" t="s">
        <v>11015</v>
      </c>
      <c r="M1845" s="12" t="s">
        <v>11016</v>
      </c>
      <c r="N1845" s="45">
        <f>152000+4250</f>
        <v>156250</v>
      </c>
      <c r="O1845" s="4" t="s">
        <v>276</v>
      </c>
      <c r="P1845" s="45">
        <f>59750+19000</f>
        <v>78750</v>
      </c>
      <c r="Q1845" s="3">
        <f t="shared" si="206"/>
        <v>77500</v>
      </c>
      <c r="R1845" s="3">
        <f t="shared" si="207"/>
        <v>78750</v>
      </c>
    </row>
    <row r="1846" spans="2:19" hidden="1" x14ac:dyDescent="0.25">
      <c r="C1846" s="4" t="s">
        <v>2450</v>
      </c>
      <c r="E1846" s="5" t="s">
        <v>75</v>
      </c>
      <c r="G1846" s="146" t="s">
        <v>9633</v>
      </c>
      <c r="H1846" s="7" t="s">
        <v>11089</v>
      </c>
      <c r="J1846" s="5" t="s">
        <v>9634</v>
      </c>
      <c r="L1846" s="5" t="s">
        <v>11017</v>
      </c>
      <c r="M1846" s="12">
        <v>45653</v>
      </c>
      <c r="N1846" s="45">
        <f>32605+47740+8730</f>
        <v>89075</v>
      </c>
      <c r="O1846" s="4" t="s">
        <v>276</v>
      </c>
      <c r="P1846" s="45">
        <f>41335</f>
        <v>41335</v>
      </c>
      <c r="Q1846" s="3">
        <f t="shared" si="206"/>
        <v>47740</v>
      </c>
      <c r="R1846" s="3">
        <f t="shared" si="207"/>
        <v>41335</v>
      </c>
    </row>
    <row r="1847" spans="2:19" hidden="1" x14ac:dyDescent="0.25">
      <c r="C1847" s="4" t="s">
        <v>2450</v>
      </c>
      <c r="E1847" s="5" t="s">
        <v>10</v>
      </c>
      <c r="G1847" s="146" t="s">
        <v>6638</v>
      </c>
      <c r="H1847" s="7" t="s">
        <v>9140</v>
      </c>
      <c r="I1847" s="7" t="s">
        <v>9141</v>
      </c>
      <c r="J1847" s="5" t="s">
        <v>6557</v>
      </c>
      <c r="N1847" s="45">
        <v>907.2</v>
      </c>
      <c r="O1847" s="4" t="s">
        <v>15</v>
      </c>
      <c r="Q1847" s="45">
        <f t="shared" ref="Q1847:Q1851" si="208">IF(P1847="en cours",N1847,IF(P1847="OK",0,IF(N1847-P1847&lt;0,0,N1847-P1847)))</f>
        <v>907.2</v>
      </c>
      <c r="R1847" s="3">
        <f t="shared" si="207"/>
        <v>0</v>
      </c>
    </row>
    <row r="1848" spans="2:19" hidden="1" x14ac:dyDescent="0.25">
      <c r="C1848" s="4" t="s">
        <v>2450</v>
      </c>
      <c r="E1848" s="5" t="s">
        <v>10</v>
      </c>
      <c r="G1848" s="146" t="s">
        <v>6638</v>
      </c>
      <c r="H1848" s="7" t="s">
        <v>9299</v>
      </c>
      <c r="I1848" s="7" t="s">
        <v>9300</v>
      </c>
      <c r="J1848" s="5" t="s">
        <v>6557</v>
      </c>
      <c r="N1848" s="45">
        <v>6325.6</v>
      </c>
      <c r="O1848" s="4" t="s">
        <v>15</v>
      </c>
      <c r="Q1848" s="3">
        <f t="shared" si="208"/>
        <v>6325.6</v>
      </c>
      <c r="R1848" s="3">
        <f t="shared" si="207"/>
        <v>0</v>
      </c>
    </row>
    <row r="1849" spans="2:19" hidden="1" x14ac:dyDescent="0.25">
      <c r="C1849" s="4" t="s">
        <v>2450</v>
      </c>
      <c r="E1849" s="5" t="s">
        <v>10</v>
      </c>
      <c r="G1849" s="146" t="s">
        <v>6638</v>
      </c>
      <c r="H1849" s="58" t="s">
        <v>9666</v>
      </c>
      <c r="I1849" s="7" t="s">
        <v>9666</v>
      </c>
      <c r="J1849" s="5" t="s">
        <v>6557</v>
      </c>
      <c r="N1849" s="45">
        <v>1933.4</v>
      </c>
      <c r="O1849" s="4" t="s">
        <v>15</v>
      </c>
      <c r="Q1849" s="3">
        <f t="shared" si="208"/>
        <v>1933.4</v>
      </c>
      <c r="R1849" s="3">
        <f t="shared" ref="R1849:R1851" si="209">IF(P1849="OK",N1849-Q1849,IF(P1849="en cours",N1849-Q1849,P1849))</f>
        <v>0</v>
      </c>
    </row>
    <row r="1850" spans="2:19" hidden="1" x14ac:dyDescent="0.25">
      <c r="C1850" s="4" t="s">
        <v>2450</v>
      </c>
      <c r="E1850" s="5" t="s">
        <v>10</v>
      </c>
      <c r="F1850" s="5" t="s">
        <v>9721</v>
      </c>
      <c r="G1850" s="146" t="s">
        <v>6638</v>
      </c>
      <c r="H1850" s="7" t="s">
        <v>9861</v>
      </c>
      <c r="I1850" s="7" t="s">
        <v>9862</v>
      </c>
      <c r="J1850" s="5" t="s">
        <v>6557</v>
      </c>
      <c r="N1850" s="45">
        <v>4890.95</v>
      </c>
      <c r="O1850" s="4" t="s">
        <v>15</v>
      </c>
      <c r="Q1850" s="3">
        <f t="shared" si="208"/>
        <v>4890.95</v>
      </c>
      <c r="R1850" s="3">
        <f t="shared" si="209"/>
        <v>0</v>
      </c>
    </row>
    <row r="1851" spans="2:19" hidden="1" x14ac:dyDescent="0.25">
      <c r="C1851" s="4" t="s">
        <v>2450</v>
      </c>
      <c r="E1851" s="5" t="s">
        <v>10</v>
      </c>
      <c r="F1851" s="5" t="s">
        <v>9721</v>
      </c>
      <c r="G1851" s="146" t="s">
        <v>6638</v>
      </c>
      <c r="H1851" s="7" t="s">
        <v>10018</v>
      </c>
      <c r="I1851" s="7" t="s">
        <v>10019</v>
      </c>
      <c r="J1851" s="5" t="s">
        <v>6557</v>
      </c>
      <c r="L1851" s="5" t="s">
        <v>10073</v>
      </c>
      <c r="M1851" s="12">
        <v>45457</v>
      </c>
      <c r="N1851" s="45">
        <v>1000.04</v>
      </c>
      <c r="O1851" s="4" t="s">
        <v>15</v>
      </c>
      <c r="P1851" s="45">
        <f>403.04</f>
        <v>403.04</v>
      </c>
      <c r="Q1851" s="45">
        <f t="shared" si="208"/>
        <v>597</v>
      </c>
      <c r="R1851" s="3">
        <f t="shared" si="209"/>
        <v>403.04</v>
      </c>
    </row>
    <row r="1852" spans="2:19" hidden="1" x14ac:dyDescent="0.25">
      <c r="B1852" s="21" t="s">
        <v>395</v>
      </c>
      <c r="C1852" s="22" t="s">
        <v>2450</v>
      </c>
      <c r="D1852" s="22"/>
      <c r="E1852" s="21" t="s">
        <v>10</v>
      </c>
      <c r="F1852" s="21" t="s">
        <v>9721</v>
      </c>
      <c r="G1852" s="147" t="s">
        <v>6638</v>
      </c>
      <c r="H1852" s="23" t="s">
        <v>11117</v>
      </c>
      <c r="I1852" s="23" t="s">
        <v>11118</v>
      </c>
      <c r="J1852" s="21" t="s">
        <v>6557</v>
      </c>
      <c r="K1852" s="21"/>
      <c r="L1852" s="21" t="s">
        <v>11181</v>
      </c>
      <c r="M1852" s="26" t="s">
        <v>11182</v>
      </c>
      <c r="N1852" s="44">
        <v>10913.3</v>
      </c>
      <c r="O1852" s="22" t="s">
        <v>15</v>
      </c>
      <c r="P1852" s="44">
        <f>6177.6+4710.7</f>
        <v>10888.3</v>
      </c>
      <c r="Q1852" s="44">
        <v>0</v>
      </c>
      <c r="R1852" s="24">
        <f t="shared" ref="R1852:R1854" si="210">IF(P1852="OK",N1852-Q1852,IF(P1852="en cours",N1852-Q1852,P1852))</f>
        <v>10888.3</v>
      </c>
    </row>
    <row r="1853" spans="2:19" hidden="1" x14ac:dyDescent="0.25">
      <c r="C1853" s="4" t="s">
        <v>2449</v>
      </c>
      <c r="E1853" s="5" t="s">
        <v>10</v>
      </c>
      <c r="G1853" s="146" t="s">
        <v>188</v>
      </c>
      <c r="H1853" s="7" t="s">
        <v>191</v>
      </c>
      <c r="J1853" s="5" t="s">
        <v>190</v>
      </c>
      <c r="M1853" s="48"/>
      <c r="N1853" s="45">
        <v>16250</v>
      </c>
      <c r="O1853" s="3" t="s">
        <v>15</v>
      </c>
      <c r="P1853" s="4"/>
      <c r="Q1853" s="3">
        <f t="shared" ref="Q1853:Q1885" si="211">IF(P1853="en cours",N1853,IF(P1853="OK",0,IF(N1853-P1853&lt;0,0,N1853-P1853)))</f>
        <v>16250</v>
      </c>
      <c r="R1853" s="3">
        <f t="shared" si="210"/>
        <v>0</v>
      </c>
      <c r="S1853" s="5" t="s">
        <v>1282</v>
      </c>
    </row>
    <row r="1854" spans="2:19" hidden="1" x14ac:dyDescent="0.25">
      <c r="C1854" s="4" t="s">
        <v>2568</v>
      </c>
      <c r="E1854" s="5" t="s">
        <v>729</v>
      </c>
      <c r="G1854" s="146" t="s">
        <v>5391</v>
      </c>
      <c r="H1854" s="7" t="s">
        <v>5393</v>
      </c>
      <c r="I1854" s="7" t="s">
        <v>8069</v>
      </c>
      <c r="J1854" s="5" t="s">
        <v>5392</v>
      </c>
      <c r="L1854" s="5" t="s">
        <v>6388</v>
      </c>
      <c r="M1854" s="12" t="s">
        <v>6389</v>
      </c>
      <c r="N1854" s="45">
        <v>20040</v>
      </c>
      <c r="O1854" s="4" t="s">
        <v>341</v>
      </c>
      <c r="P1854" s="4">
        <f>1290+2317.5+1040+667.5+995+1075</f>
        <v>7385</v>
      </c>
      <c r="Q1854" s="3">
        <f t="shared" si="211"/>
        <v>12655</v>
      </c>
      <c r="R1854" s="3">
        <f t="shared" si="210"/>
        <v>7385</v>
      </c>
    </row>
    <row r="1855" spans="2:19" hidden="1" x14ac:dyDescent="0.25">
      <c r="C1855" s="4" t="s">
        <v>2450</v>
      </c>
      <c r="E1855" s="5" t="s">
        <v>0</v>
      </c>
      <c r="G1855" s="146" t="s">
        <v>8957</v>
      </c>
      <c r="H1855" s="7" t="s">
        <v>8761</v>
      </c>
      <c r="I1855" s="7" t="s">
        <v>8760</v>
      </c>
      <c r="J1855" s="5" t="s">
        <v>6822</v>
      </c>
      <c r="L1855" s="5" t="s">
        <v>8882</v>
      </c>
      <c r="M1855" s="12" t="s">
        <v>9053</v>
      </c>
      <c r="N1855" s="45">
        <v>168171</v>
      </c>
      <c r="O1855" s="4" t="s">
        <v>341</v>
      </c>
      <c r="P1855" s="3">
        <f>3847+(25929-25929)+27715+27714+39464+38792-38792+4710+12863</f>
        <v>116313</v>
      </c>
      <c r="Q1855" s="3">
        <f t="shared" si="211"/>
        <v>51858</v>
      </c>
      <c r="R1855" s="3">
        <f>IF(P1855="OK",N1855-Q1855,IF(P1855="en cours",M1855-Q1855,P1855))</f>
        <v>116313</v>
      </c>
    </row>
    <row r="1856" spans="2:19" hidden="1" x14ac:dyDescent="0.25">
      <c r="B1856" s="21" t="s">
        <v>395</v>
      </c>
      <c r="C1856" s="22" t="s">
        <v>2450</v>
      </c>
      <c r="D1856" s="22"/>
      <c r="E1856" s="21" t="s">
        <v>0</v>
      </c>
      <c r="F1856" s="21" t="s">
        <v>9766</v>
      </c>
      <c r="G1856" s="147" t="s">
        <v>11668</v>
      </c>
      <c r="H1856" s="23" t="s">
        <v>10179</v>
      </c>
      <c r="I1856" s="23" t="s">
        <v>10180</v>
      </c>
      <c r="J1856" s="21" t="s">
        <v>11284</v>
      </c>
      <c r="K1856" s="21"/>
      <c r="L1856" s="21" t="s">
        <v>11669</v>
      </c>
      <c r="M1856" s="26" t="s">
        <v>11671</v>
      </c>
      <c r="N1856" s="44">
        <v>195729</v>
      </c>
      <c r="O1856" s="22" t="s">
        <v>341</v>
      </c>
      <c r="P1856" s="44">
        <f>195729+1967.5</f>
        <v>197696.5</v>
      </c>
      <c r="Q1856" s="24">
        <f>IF(P1856="en cours",N1856,IF(P1856="OK",0,IF(N1856-P1856&lt;0,0,N1856-P1856)))</f>
        <v>0</v>
      </c>
      <c r="R1856" s="24">
        <f t="shared" ref="R1856:R1861" si="212">IF(P1856="OK",N1856-Q1856,IF(P1856="en cours",M1856-Q1856,P1856))</f>
        <v>197696.5</v>
      </c>
    </row>
    <row r="1857" spans="2:19" hidden="1" x14ac:dyDescent="0.25">
      <c r="B1857" s="21" t="s">
        <v>395</v>
      </c>
      <c r="C1857" s="22" t="s">
        <v>2450</v>
      </c>
      <c r="D1857" s="22"/>
      <c r="E1857" s="21" t="s">
        <v>0</v>
      </c>
      <c r="F1857" s="21" t="s">
        <v>9766</v>
      </c>
      <c r="G1857" s="147" t="s">
        <v>11668</v>
      </c>
      <c r="H1857" s="23" t="s">
        <v>11282</v>
      </c>
      <c r="I1857" s="23" t="s">
        <v>10650</v>
      </c>
      <c r="J1857" s="21" t="s">
        <v>11289</v>
      </c>
      <c r="K1857" s="21"/>
      <c r="L1857" s="21" t="s">
        <v>11283</v>
      </c>
      <c r="M1857" s="26">
        <v>45607</v>
      </c>
      <c r="N1857" s="44">
        <v>56988</v>
      </c>
      <c r="O1857" s="22" t="s">
        <v>341</v>
      </c>
      <c r="P1857" s="44">
        <v>56988</v>
      </c>
      <c r="Q1857" s="24">
        <f t="shared" si="211"/>
        <v>0</v>
      </c>
      <c r="R1857" s="24">
        <f t="shared" si="212"/>
        <v>56988</v>
      </c>
    </row>
    <row r="1858" spans="2:19" hidden="1" x14ac:dyDescent="0.25">
      <c r="B1858" s="21" t="s">
        <v>395</v>
      </c>
      <c r="C1858" s="22" t="s">
        <v>2450</v>
      </c>
      <c r="D1858" s="22"/>
      <c r="E1858" s="21" t="s">
        <v>0</v>
      </c>
      <c r="F1858" s="21" t="s">
        <v>9766</v>
      </c>
      <c r="G1858" s="147" t="s">
        <v>11668</v>
      </c>
      <c r="H1858" s="23" t="s">
        <v>13533</v>
      </c>
      <c r="I1858" s="23" t="s">
        <v>13535</v>
      </c>
      <c r="J1858" s="21" t="s">
        <v>11285</v>
      </c>
      <c r="K1858" s="21"/>
      <c r="L1858" s="21"/>
      <c r="M1858" s="23"/>
      <c r="N1858" s="44">
        <f>260972-260972</f>
        <v>0</v>
      </c>
      <c r="O1858" s="22" t="s">
        <v>341</v>
      </c>
      <c r="P1858" s="44"/>
      <c r="Q1858" s="24">
        <f t="shared" ref="Q1858:Q1861" si="213">IF(P1858="en cours",N1858,IF(P1858="OK",0,IF(N1858-P1858&lt;0,0,N1858-P1858)))</f>
        <v>0</v>
      </c>
      <c r="R1858" s="24">
        <f t="shared" si="212"/>
        <v>0</v>
      </c>
      <c r="S1858" s="5" t="s">
        <v>13534</v>
      </c>
    </row>
    <row r="1859" spans="2:19" hidden="1" x14ac:dyDescent="0.25">
      <c r="B1859" s="21" t="s">
        <v>395</v>
      </c>
      <c r="C1859" s="22" t="s">
        <v>2450</v>
      </c>
      <c r="D1859" s="22"/>
      <c r="E1859" s="21" t="s">
        <v>0</v>
      </c>
      <c r="F1859" s="21" t="s">
        <v>9766</v>
      </c>
      <c r="G1859" s="147" t="s">
        <v>11668</v>
      </c>
      <c r="H1859" s="23" t="s">
        <v>13533</v>
      </c>
      <c r="I1859" s="23" t="s">
        <v>13535</v>
      </c>
      <c r="J1859" s="21" t="s">
        <v>11286</v>
      </c>
      <c r="K1859" s="21"/>
      <c r="L1859" s="21"/>
      <c r="M1859" s="23"/>
      <c r="N1859" s="44">
        <f>195729-195729</f>
        <v>0</v>
      </c>
      <c r="O1859" s="22" t="s">
        <v>341</v>
      </c>
      <c r="P1859" s="44"/>
      <c r="Q1859" s="24">
        <f t="shared" si="213"/>
        <v>0</v>
      </c>
      <c r="R1859" s="24">
        <f t="shared" si="212"/>
        <v>0</v>
      </c>
      <c r="S1859" s="5" t="s">
        <v>13534</v>
      </c>
    </row>
    <row r="1860" spans="2:19" hidden="1" x14ac:dyDescent="0.25">
      <c r="B1860" s="21" t="s">
        <v>395</v>
      </c>
      <c r="C1860" s="22" t="s">
        <v>2450</v>
      </c>
      <c r="D1860" s="22"/>
      <c r="E1860" s="21" t="s">
        <v>0</v>
      </c>
      <c r="F1860" s="21" t="s">
        <v>9766</v>
      </c>
      <c r="G1860" s="147" t="s">
        <v>11668</v>
      </c>
      <c r="H1860" s="23" t="s">
        <v>11287</v>
      </c>
      <c r="I1860" s="23" t="s">
        <v>11288</v>
      </c>
      <c r="J1860" s="21" t="s">
        <v>11290</v>
      </c>
      <c r="K1860" s="21"/>
      <c r="L1860" s="21" t="s">
        <v>11670</v>
      </c>
      <c r="M1860" s="26">
        <v>45721</v>
      </c>
      <c r="N1860" s="44">
        <v>36519</v>
      </c>
      <c r="O1860" s="22" t="s">
        <v>341</v>
      </c>
      <c r="P1860" s="44">
        <v>36519</v>
      </c>
      <c r="Q1860" s="24">
        <f t="shared" si="213"/>
        <v>0</v>
      </c>
      <c r="R1860" s="24">
        <f t="shared" si="212"/>
        <v>36519</v>
      </c>
    </row>
    <row r="1861" spans="2:19" hidden="1" x14ac:dyDescent="0.25">
      <c r="B1861" s="21" t="s">
        <v>395</v>
      </c>
      <c r="C1861" s="22" t="s">
        <v>2450</v>
      </c>
      <c r="D1861" s="22"/>
      <c r="E1861" s="21" t="s">
        <v>0</v>
      </c>
      <c r="F1861" s="21" t="s">
        <v>9766</v>
      </c>
      <c r="G1861" s="147" t="s">
        <v>11668</v>
      </c>
      <c r="H1861" s="23" t="s">
        <v>11287</v>
      </c>
      <c r="I1861" s="23" t="s">
        <v>11288</v>
      </c>
      <c r="J1861" s="21" t="s">
        <v>11291</v>
      </c>
      <c r="K1861" s="21"/>
      <c r="L1861" s="21" t="s">
        <v>13966</v>
      </c>
      <c r="M1861" s="26">
        <v>46049</v>
      </c>
      <c r="N1861" s="44">
        <v>36518</v>
      </c>
      <c r="O1861" s="22" t="s">
        <v>341</v>
      </c>
      <c r="P1861" s="44">
        <v>36518</v>
      </c>
      <c r="Q1861" s="24">
        <f t="shared" si="213"/>
        <v>0</v>
      </c>
      <c r="R1861" s="24">
        <f t="shared" si="212"/>
        <v>36518</v>
      </c>
    </row>
    <row r="1862" spans="2:19" ht="15" hidden="1" customHeight="1" x14ac:dyDescent="0.25">
      <c r="B1862" s="21" t="s">
        <v>395</v>
      </c>
      <c r="C1862" s="22" t="s">
        <v>2450</v>
      </c>
      <c r="D1862" s="22"/>
      <c r="E1862" s="21" t="s">
        <v>0</v>
      </c>
      <c r="F1862" s="21" t="s">
        <v>9766</v>
      </c>
      <c r="G1862" s="147" t="s">
        <v>11668</v>
      </c>
      <c r="H1862" s="23" t="s">
        <v>10963</v>
      </c>
      <c r="I1862" s="23" t="s">
        <v>10964</v>
      </c>
      <c r="J1862" s="21" t="s">
        <v>10965</v>
      </c>
      <c r="K1862" s="21"/>
      <c r="L1862" s="21" t="s">
        <v>11012</v>
      </c>
      <c r="M1862" s="26">
        <v>45657</v>
      </c>
      <c r="N1862" s="44">
        <v>181544</v>
      </c>
      <c r="O1862" s="22" t="s">
        <v>341</v>
      </c>
      <c r="P1862" s="44">
        <v>181544</v>
      </c>
      <c r="Q1862" s="24">
        <f t="shared" si="211"/>
        <v>0</v>
      </c>
      <c r="R1862" s="24">
        <f t="shared" ref="R1862:R1874" si="214">IF(P1862="OK",N1862-Q1862,IF(P1862="en cours",N1862-Q1862,P1862))</f>
        <v>181544</v>
      </c>
    </row>
    <row r="1863" spans="2:19" ht="15" hidden="1" customHeight="1" x14ac:dyDescent="0.25">
      <c r="B1863" s="21" t="s">
        <v>395</v>
      </c>
      <c r="C1863" s="22" t="s">
        <v>2450</v>
      </c>
      <c r="D1863" s="22"/>
      <c r="E1863" s="21" t="s">
        <v>0</v>
      </c>
      <c r="F1863" s="21" t="s">
        <v>11538</v>
      </c>
      <c r="G1863" s="147" t="s">
        <v>11668</v>
      </c>
      <c r="H1863" s="23" t="s">
        <v>11541</v>
      </c>
      <c r="I1863" s="23" t="s">
        <v>11539</v>
      </c>
      <c r="J1863" s="21" t="s">
        <v>11540</v>
      </c>
      <c r="K1863" s="21"/>
      <c r="L1863" s="21" t="s">
        <v>11564</v>
      </c>
      <c r="M1863" s="26">
        <v>45747</v>
      </c>
      <c r="N1863" s="44">
        <v>75137</v>
      </c>
      <c r="O1863" s="22" t="s">
        <v>341</v>
      </c>
      <c r="P1863" s="44">
        <v>75137</v>
      </c>
      <c r="Q1863" s="24">
        <f t="shared" ref="Q1863" si="215">IF(P1863="en cours",N1863,IF(P1863="OK",0,IF(N1863-P1863&lt;0,0,N1863-P1863)))</f>
        <v>0</v>
      </c>
      <c r="R1863" s="24">
        <f t="shared" ref="R1863" si="216">IF(P1863="OK",N1863-Q1863,IF(P1863="en cours",N1863-Q1863,P1863))</f>
        <v>75137</v>
      </c>
    </row>
    <row r="1864" spans="2:19" ht="15" hidden="1" customHeight="1" x14ac:dyDescent="0.25">
      <c r="B1864" s="21" t="s">
        <v>395</v>
      </c>
      <c r="C1864" s="22" t="s">
        <v>2450</v>
      </c>
      <c r="D1864" s="22"/>
      <c r="E1864" s="21" t="s">
        <v>0</v>
      </c>
      <c r="F1864" s="21" t="s">
        <v>11538</v>
      </c>
      <c r="G1864" s="147" t="s">
        <v>11668</v>
      </c>
      <c r="H1864" s="23" t="s">
        <v>11541</v>
      </c>
      <c r="I1864" s="23" t="s">
        <v>11539</v>
      </c>
      <c r="J1864" s="21" t="s">
        <v>10966</v>
      </c>
      <c r="K1864" s="21"/>
      <c r="L1864" s="21" t="s">
        <v>12907</v>
      </c>
      <c r="M1864" s="26">
        <v>45947</v>
      </c>
      <c r="N1864" s="44">
        <v>242059</v>
      </c>
      <c r="O1864" s="22" t="s">
        <v>341</v>
      </c>
      <c r="P1864" s="44">
        <v>242059</v>
      </c>
      <c r="Q1864" s="24">
        <f t="shared" si="211"/>
        <v>0</v>
      </c>
      <c r="R1864" s="24">
        <f t="shared" si="214"/>
        <v>242059</v>
      </c>
    </row>
    <row r="1865" spans="2:19" ht="15" hidden="1" customHeight="1" x14ac:dyDescent="0.25">
      <c r="B1865" s="21" t="s">
        <v>395</v>
      </c>
      <c r="C1865" s="22" t="s">
        <v>2450</v>
      </c>
      <c r="D1865" s="22"/>
      <c r="E1865" s="21" t="s">
        <v>0</v>
      </c>
      <c r="F1865" s="21" t="s">
        <v>11538</v>
      </c>
      <c r="G1865" s="147" t="s">
        <v>11668</v>
      </c>
      <c r="H1865" s="23" t="s">
        <v>11541</v>
      </c>
      <c r="I1865" s="23" t="s">
        <v>11539</v>
      </c>
      <c r="J1865" s="21" t="s">
        <v>10967</v>
      </c>
      <c r="K1865" s="21"/>
      <c r="L1865" s="21" t="s">
        <v>12907</v>
      </c>
      <c r="M1865" s="26">
        <v>45947</v>
      </c>
      <c r="N1865" s="44">
        <v>90772</v>
      </c>
      <c r="O1865" s="22" t="s">
        <v>341</v>
      </c>
      <c r="P1865" s="44">
        <v>90772</v>
      </c>
      <c r="Q1865" s="24">
        <f t="shared" si="211"/>
        <v>0</v>
      </c>
      <c r="R1865" s="24">
        <f t="shared" si="214"/>
        <v>90772</v>
      </c>
    </row>
    <row r="1866" spans="2:19" hidden="1" x14ac:dyDescent="0.25">
      <c r="C1866" s="4" t="s">
        <v>2450</v>
      </c>
      <c r="E1866" s="5" t="s">
        <v>0</v>
      </c>
      <c r="F1866" s="5" t="s">
        <v>11538</v>
      </c>
      <c r="G1866" s="146" t="s">
        <v>11668</v>
      </c>
      <c r="H1866" s="7" t="s">
        <v>11541</v>
      </c>
      <c r="I1866" s="7" t="s">
        <v>11539</v>
      </c>
      <c r="J1866" s="5" t="s">
        <v>10968</v>
      </c>
      <c r="N1866" s="45">
        <v>90772</v>
      </c>
      <c r="O1866" s="4" t="s">
        <v>341</v>
      </c>
      <c r="Q1866" s="3">
        <f t="shared" si="211"/>
        <v>90772</v>
      </c>
      <c r="R1866" s="3">
        <f t="shared" si="214"/>
        <v>0</v>
      </c>
    </row>
    <row r="1867" spans="2:19" hidden="1" x14ac:dyDescent="0.25">
      <c r="B1867" s="21" t="s">
        <v>395</v>
      </c>
      <c r="C1867" s="22" t="s">
        <v>2450</v>
      </c>
      <c r="D1867" s="22"/>
      <c r="E1867" s="21" t="s">
        <v>75</v>
      </c>
      <c r="F1867" s="21" t="s">
        <v>11253</v>
      </c>
      <c r="G1867" s="147" t="s">
        <v>11668</v>
      </c>
      <c r="H1867" s="23" t="s">
        <v>10981</v>
      </c>
      <c r="I1867" s="23" t="s">
        <v>10982</v>
      </c>
      <c r="J1867" s="21" t="s">
        <v>10983</v>
      </c>
      <c r="K1867" s="21"/>
      <c r="L1867" s="21" t="s">
        <v>10985</v>
      </c>
      <c r="M1867" s="26">
        <v>45623</v>
      </c>
      <c r="N1867" s="44">
        <v>9515</v>
      </c>
      <c r="O1867" s="22" t="s">
        <v>341</v>
      </c>
      <c r="P1867" s="44">
        <v>9515</v>
      </c>
      <c r="Q1867" s="24">
        <f t="shared" si="211"/>
        <v>0</v>
      </c>
      <c r="R1867" s="24">
        <f t="shared" si="214"/>
        <v>9515</v>
      </c>
    </row>
    <row r="1868" spans="2:19" hidden="1" x14ac:dyDescent="0.25">
      <c r="C1868" s="4" t="s">
        <v>2450</v>
      </c>
      <c r="E1868" s="5" t="s">
        <v>75</v>
      </c>
      <c r="F1868" s="5" t="s">
        <v>11253</v>
      </c>
      <c r="G1868" s="146" t="s">
        <v>11668</v>
      </c>
      <c r="H1868" s="7" t="s">
        <v>10981</v>
      </c>
      <c r="I1868" s="7" t="s">
        <v>10982</v>
      </c>
      <c r="J1868" s="5" t="s">
        <v>10984</v>
      </c>
      <c r="N1868" s="45">
        <v>3806</v>
      </c>
      <c r="O1868" s="4" t="s">
        <v>341</v>
      </c>
      <c r="Q1868" s="3">
        <f t="shared" si="211"/>
        <v>3806</v>
      </c>
      <c r="R1868" s="3">
        <f t="shared" si="214"/>
        <v>0</v>
      </c>
      <c r="S1868" s="5" t="s">
        <v>11705</v>
      </c>
    </row>
    <row r="1869" spans="2:19" hidden="1" x14ac:dyDescent="0.25">
      <c r="C1869" s="4" t="s">
        <v>2450</v>
      </c>
      <c r="E1869" s="5" t="s">
        <v>10</v>
      </c>
      <c r="F1869" s="5" t="s">
        <v>9721</v>
      </c>
      <c r="G1869" s="146" t="s">
        <v>9863</v>
      </c>
      <c r="H1869" s="7" t="s">
        <v>9864</v>
      </c>
      <c r="I1869" s="7" t="s">
        <v>9865</v>
      </c>
      <c r="J1869" s="5" t="s">
        <v>6557</v>
      </c>
      <c r="N1869" s="45">
        <v>1857.7</v>
      </c>
      <c r="O1869" s="4" t="s">
        <v>15</v>
      </c>
      <c r="Q1869" s="3">
        <f t="shared" si="211"/>
        <v>1857.7</v>
      </c>
      <c r="R1869" s="3">
        <f t="shared" si="214"/>
        <v>0</v>
      </c>
    </row>
    <row r="1870" spans="2:19" hidden="1" x14ac:dyDescent="0.25">
      <c r="C1870" s="4" t="s">
        <v>158</v>
      </c>
      <c r="E1870" s="5" t="s">
        <v>10</v>
      </c>
      <c r="F1870" s="5" t="s">
        <v>9721</v>
      </c>
      <c r="G1870" s="146" t="s">
        <v>12548</v>
      </c>
      <c r="H1870" s="7" t="s">
        <v>11043</v>
      </c>
      <c r="I1870" s="7" t="s">
        <v>11044</v>
      </c>
      <c r="J1870" s="5" t="s">
        <v>6557</v>
      </c>
      <c r="L1870" s="5" t="s">
        <v>11085</v>
      </c>
      <c r="M1870" s="12">
        <v>45667</v>
      </c>
      <c r="N1870" s="45">
        <v>1493.05</v>
      </c>
      <c r="O1870" s="4" t="s">
        <v>15</v>
      </c>
      <c r="P1870" s="45">
        <v>1493.05</v>
      </c>
      <c r="Q1870" s="45">
        <f t="shared" si="211"/>
        <v>0</v>
      </c>
      <c r="R1870" s="3">
        <f t="shared" si="214"/>
        <v>1493.05</v>
      </c>
    </row>
    <row r="1871" spans="2:19" hidden="1" x14ac:dyDescent="0.25">
      <c r="C1871" s="4" t="s">
        <v>2450</v>
      </c>
      <c r="E1871" s="5" t="s">
        <v>7137</v>
      </c>
      <c r="F1871" s="5" t="s">
        <v>10561</v>
      </c>
      <c r="G1871" s="146" t="s">
        <v>8733</v>
      </c>
      <c r="H1871" s="7" t="s">
        <v>8734</v>
      </c>
      <c r="I1871" s="7" t="s">
        <v>8735</v>
      </c>
      <c r="J1871" s="5" t="s">
        <v>8736</v>
      </c>
      <c r="L1871" s="5" t="s">
        <v>9388</v>
      </c>
      <c r="M1871" s="12" t="s">
        <v>9389</v>
      </c>
      <c r="N1871" s="45">
        <v>49710</v>
      </c>
      <c r="O1871" s="4" t="s">
        <v>341</v>
      </c>
      <c r="P1871" s="45">
        <f>10804.85+22920.8+14687.24+730</f>
        <v>49142.89</v>
      </c>
      <c r="Q1871" s="45">
        <f t="shared" si="211"/>
        <v>567.11000000000058</v>
      </c>
      <c r="R1871" s="3">
        <f t="shared" si="214"/>
        <v>49142.89</v>
      </c>
    </row>
    <row r="1872" spans="2:19" hidden="1" x14ac:dyDescent="0.25">
      <c r="C1872" s="4" t="s">
        <v>2450</v>
      </c>
      <c r="E1872" s="5" t="s">
        <v>7137</v>
      </c>
      <c r="F1872" s="5" t="s">
        <v>10561</v>
      </c>
      <c r="G1872" s="146" t="s">
        <v>8733</v>
      </c>
      <c r="H1872" s="7" t="s">
        <v>9079</v>
      </c>
      <c r="I1872" s="7" t="s">
        <v>9080</v>
      </c>
      <c r="J1872" s="5" t="s">
        <v>9081</v>
      </c>
      <c r="L1872" s="5" t="s">
        <v>10154</v>
      </c>
      <c r="M1872" s="12" t="s">
        <v>10155</v>
      </c>
      <c r="N1872" s="45">
        <v>25670</v>
      </c>
      <c r="O1872" s="139" t="s">
        <v>341</v>
      </c>
      <c r="P1872" s="45">
        <f>11640+1676.93+10771.49+500+500</f>
        <v>25088.42</v>
      </c>
      <c r="Q1872" s="45">
        <f t="shared" si="211"/>
        <v>581.58000000000175</v>
      </c>
      <c r="R1872" s="3">
        <f t="shared" si="214"/>
        <v>25088.42</v>
      </c>
    </row>
    <row r="1873" spans="2:20" hidden="1" x14ac:dyDescent="0.25">
      <c r="B1873" s="21" t="s">
        <v>395</v>
      </c>
      <c r="C1873" s="22" t="s">
        <v>8972</v>
      </c>
      <c r="D1873" s="22"/>
      <c r="E1873" s="21" t="s">
        <v>7137</v>
      </c>
      <c r="F1873" s="21" t="s">
        <v>10561</v>
      </c>
      <c r="G1873" s="147" t="s">
        <v>8733</v>
      </c>
      <c r="H1873" s="23" t="s">
        <v>9441</v>
      </c>
      <c r="I1873" s="23" t="s">
        <v>9441</v>
      </c>
      <c r="J1873" s="21" t="s">
        <v>9442</v>
      </c>
      <c r="K1873" s="21"/>
      <c r="L1873" s="21" t="s">
        <v>10256</v>
      </c>
      <c r="M1873" s="26" t="s">
        <v>10257</v>
      </c>
      <c r="N1873" s="44">
        <f>11960+1500+1150+100</f>
        <v>14710</v>
      </c>
      <c r="O1873" s="22" t="s">
        <v>341</v>
      </c>
      <c r="P1873" s="44">
        <f>17765.97+730+3680</f>
        <v>22175.97</v>
      </c>
      <c r="Q1873" s="44">
        <f t="shared" si="211"/>
        <v>0</v>
      </c>
      <c r="R1873" s="24">
        <f t="shared" si="214"/>
        <v>22175.97</v>
      </c>
    </row>
    <row r="1874" spans="2:20" hidden="1" x14ac:dyDescent="0.25">
      <c r="C1874" s="4" t="s">
        <v>6267</v>
      </c>
      <c r="E1874" s="5" t="s">
        <v>7137</v>
      </c>
      <c r="F1874" s="5" t="s">
        <v>10561</v>
      </c>
      <c r="G1874" s="146" t="s">
        <v>8733</v>
      </c>
      <c r="H1874" s="58" t="s">
        <v>9441</v>
      </c>
      <c r="I1874" s="7" t="s">
        <v>9441</v>
      </c>
      <c r="J1874" s="5" t="s">
        <v>9443</v>
      </c>
      <c r="L1874" s="5" t="s">
        <v>10258</v>
      </c>
      <c r="M1874" s="12" t="s">
        <v>10259</v>
      </c>
      <c r="N1874" s="45">
        <f>8740+1100+1150+100+11960+100</f>
        <v>23150</v>
      </c>
      <c r="O1874" s="4" t="s">
        <v>341</v>
      </c>
      <c r="P1874" s="45">
        <f>270+730+730+3450+7940+3680</f>
        <v>16800</v>
      </c>
      <c r="Q1874" s="45">
        <f t="shared" si="211"/>
        <v>6350</v>
      </c>
      <c r="R1874" s="3">
        <f t="shared" si="214"/>
        <v>16800</v>
      </c>
    </row>
    <row r="1875" spans="2:20" hidden="1" x14ac:dyDescent="0.25">
      <c r="B1875" s="21" t="s">
        <v>395</v>
      </c>
      <c r="C1875" s="22" t="s">
        <v>2450</v>
      </c>
      <c r="D1875" s="22"/>
      <c r="E1875" s="21" t="s">
        <v>7137</v>
      </c>
      <c r="F1875" s="21" t="s">
        <v>10561</v>
      </c>
      <c r="G1875" s="147" t="s">
        <v>8733</v>
      </c>
      <c r="H1875" s="23" t="s">
        <v>10133</v>
      </c>
      <c r="I1875" s="23" t="s">
        <v>10134</v>
      </c>
      <c r="J1875" s="21" t="s">
        <v>10135</v>
      </c>
      <c r="K1875" s="21"/>
      <c r="L1875" s="21" t="s">
        <v>11266</v>
      </c>
      <c r="M1875" s="26" t="s">
        <v>11267</v>
      </c>
      <c r="N1875" s="44">
        <v>13980</v>
      </c>
      <c r="O1875" s="22" t="s">
        <v>341</v>
      </c>
      <c r="P1875" s="44">
        <f>13543.79+615+270</f>
        <v>14428.79</v>
      </c>
      <c r="Q1875" s="24">
        <f t="shared" si="211"/>
        <v>0</v>
      </c>
      <c r="R1875" s="24">
        <f>IF(P1875="OK",N1875-Q1875,IF(P1875="en cours",M1875-Q1875,P1875))</f>
        <v>14428.79</v>
      </c>
    </row>
    <row r="1876" spans="2:20" hidden="1" x14ac:dyDescent="0.25">
      <c r="B1876" s="21" t="s">
        <v>395</v>
      </c>
      <c r="C1876" s="22" t="s">
        <v>8972</v>
      </c>
      <c r="D1876" s="22"/>
      <c r="E1876" s="21" t="s">
        <v>75</v>
      </c>
      <c r="F1876" s="21" t="s">
        <v>9783</v>
      </c>
      <c r="G1876" s="147" t="s">
        <v>9784</v>
      </c>
      <c r="H1876" s="23" t="s">
        <v>9785</v>
      </c>
      <c r="I1876" s="23"/>
      <c r="J1876" s="21" t="s">
        <v>9786</v>
      </c>
      <c r="K1876" s="21"/>
      <c r="L1876" s="21" t="s">
        <v>13492</v>
      </c>
      <c r="M1876" s="26">
        <v>45268</v>
      </c>
      <c r="N1876" s="44">
        <v>55225</v>
      </c>
      <c r="O1876" s="22" t="s">
        <v>276</v>
      </c>
      <c r="P1876" s="44">
        <v>55225</v>
      </c>
      <c r="Q1876" s="24">
        <f t="shared" si="211"/>
        <v>0</v>
      </c>
      <c r="R1876" s="24">
        <f>IF(P1876="OK",N1876-Q1876,IF(P1876="en cours",M1876-Q1876,P1876))</f>
        <v>55225</v>
      </c>
    </row>
    <row r="1877" spans="2:20" hidden="1" x14ac:dyDescent="0.25">
      <c r="B1877" s="21" t="s">
        <v>395</v>
      </c>
      <c r="C1877" s="22" t="s">
        <v>8972</v>
      </c>
      <c r="D1877" s="22"/>
      <c r="E1877" s="21" t="s">
        <v>75</v>
      </c>
      <c r="F1877" s="21" t="s">
        <v>9783</v>
      </c>
      <c r="G1877" s="147" t="s">
        <v>9784</v>
      </c>
      <c r="H1877" s="23" t="s">
        <v>9787</v>
      </c>
      <c r="I1877" s="23"/>
      <c r="J1877" s="21" t="s">
        <v>9788</v>
      </c>
      <c r="K1877" s="21"/>
      <c r="L1877" s="21" t="s">
        <v>9789</v>
      </c>
      <c r="M1877" s="26">
        <v>45418</v>
      </c>
      <c r="N1877" s="44">
        <v>2200</v>
      </c>
      <c r="O1877" s="22" t="s">
        <v>276</v>
      </c>
      <c r="P1877" s="44">
        <v>2200</v>
      </c>
      <c r="Q1877" s="24">
        <f t="shared" si="211"/>
        <v>0</v>
      </c>
      <c r="R1877" s="24">
        <f>IF(P1877="OK",N1877-Q1877,IF(P1877="en cours",M1877-Q1877,P1877))</f>
        <v>2200</v>
      </c>
    </row>
    <row r="1878" spans="2:20" hidden="1" x14ac:dyDescent="0.25">
      <c r="C1878" s="4" t="s">
        <v>2427</v>
      </c>
      <c r="E1878" s="5" t="s">
        <v>0</v>
      </c>
      <c r="G1878" s="146" t="s">
        <v>49</v>
      </c>
      <c r="H1878" s="112" t="s">
        <v>480</v>
      </c>
      <c r="I1878" s="112" t="s">
        <v>8334</v>
      </c>
      <c r="J1878" s="5" t="s">
        <v>252</v>
      </c>
      <c r="N1878" s="45">
        <v>8000</v>
      </c>
      <c r="O1878" s="4" t="s">
        <v>15</v>
      </c>
      <c r="P1878" s="4"/>
      <c r="Q1878" s="3">
        <f t="shared" si="211"/>
        <v>8000</v>
      </c>
      <c r="R1878" s="3">
        <f t="shared" ref="R1878:R1904" si="217">IF(P1878="OK",N1878-Q1878,IF(P1878="en cours",N1878-Q1878,P1878))</f>
        <v>0</v>
      </c>
      <c r="S1878" s="5" t="s">
        <v>7403</v>
      </c>
      <c r="T1878" s="401" t="s">
        <v>7404</v>
      </c>
    </row>
    <row r="1879" spans="2:20" hidden="1" x14ac:dyDescent="0.25">
      <c r="C1879" s="4" t="s">
        <v>2427</v>
      </c>
      <c r="E1879" s="5" t="s">
        <v>0</v>
      </c>
      <c r="G1879" s="146" t="s">
        <v>49</v>
      </c>
      <c r="H1879" s="7" t="s">
        <v>7673</v>
      </c>
      <c r="I1879" s="7" t="s">
        <v>8277</v>
      </c>
      <c r="J1879" s="5" t="s">
        <v>7674</v>
      </c>
      <c r="N1879" s="45">
        <v>1500</v>
      </c>
      <c r="O1879" s="4" t="s">
        <v>15</v>
      </c>
      <c r="Q1879" s="45">
        <f t="shared" si="211"/>
        <v>1500</v>
      </c>
      <c r="R1879" s="3">
        <f t="shared" si="217"/>
        <v>0</v>
      </c>
    </row>
    <row r="1880" spans="2:20" hidden="1" x14ac:dyDescent="0.25">
      <c r="C1880" s="4" t="s">
        <v>2450</v>
      </c>
      <c r="E1880" s="5" t="s">
        <v>0</v>
      </c>
      <c r="G1880" s="146" t="s">
        <v>8934</v>
      </c>
      <c r="H1880" s="7" t="s">
        <v>8931</v>
      </c>
      <c r="I1880" s="7" t="s">
        <v>8932</v>
      </c>
      <c r="J1880" s="5" t="s">
        <v>8933</v>
      </c>
      <c r="L1880" s="5" t="s">
        <v>9065</v>
      </c>
      <c r="M1880" s="12">
        <v>45205</v>
      </c>
      <c r="N1880" s="45">
        <v>15200</v>
      </c>
      <c r="O1880" s="4" t="s">
        <v>15</v>
      </c>
      <c r="P1880" s="45">
        <f>11400</f>
        <v>11400</v>
      </c>
      <c r="Q1880" s="45">
        <f t="shared" si="211"/>
        <v>3800</v>
      </c>
      <c r="R1880" s="3">
        <f t="shared" si="217"/>
        <v>11400</v>
      </c>
    </row>
    <row r="1881" spans="2:20" hidden="1" x14ac:dyDescent="0.25">
      <c r="C1881" s="4" t="s">
        <v>158</v>
      </c>
      <c r="E1881" s="5" t="s">
        <v>11054</v>
      </c>
      <c r="F1881" s="5" t="s">
        <v>9815</v>
      </c>
      <c r="G1881" s="146" t="s">
        <v>11055</v>
      </c>
      <c r="H1881" s="7" t="s">
        <v>11056</v>
      </c>
      <c r="I1881" s="7" t="s">
        <v>9320</v>
      </c>
      <c r="J1881" s="5" t="s">
        <v>11057</v>
      </c>
      <c r="L1881" s="5" t="s">
        <v>13457</v>
      </c>
      <c r="M1881" s="12" t="s">
        <v>13456</v>
      </c>
      <c r="N1881" s="45">
        <v>76800</v>
      </c>
      <c r="O1881" s="4" t="s">
        <v>276</v>
      </c>
      <c r="P1881" s="45">
        <f>38400+19200+19200</f>
        <v>76800</v>
      </c>
      <c r="Q1881" s="45">
        <f t="shared" si="211"/>
        <v>0</v>
      </c>
      <c r="R1881" s="3">
        <f t="shared" si="217"/>
        <v>76800</v>
      </c>
    </row>
    <row r="1882" spans="2:20" hidden="1" x14ac:dyDescent="0.25">
      <c r="C1882" s="4" t="s">
        <v>2450</v>
      </c>
      <c r="E1882" s="5" t="s">
        <v>10</v>
      </c>
      <c r="G1882" s="146" t="s">
        <v>9258</v>
      </c>
      <c r="H1882" s="7" t="s">
        <v>9260</v>
      </c>
      <c r="I1882" s="7" t="s">
        <v>9259</v>
      </c>
      <c r="J1882" s="5" t="s">
        <v>9261</v>
      </c>
      <c r="N1882" s="45">
        <v>1916.8</v>
      </c>
      <c r="O1882" s="4" t="s">
        <v>15</v>
      </c>
      <c r="Q1882" s="45">
        <f t="shared" si="211"/>
        <v>1916.8</v>
      </c>
      <c r="R1882" s="3">
        <f t="shared" si="217"/>
        <v>0</v>
      </c>
    </row>
    <row r="1883" spans="2:20" hidden="1" x14ac:dyDescent="0.25">
      <c r="C1883" s="4" t="s">
        <v>158</v>
      </c>
      <c r="E1883" s="5" t="s">
        <v>10</v>
      </c>
      <c r="G1883" s="146" t="s">
        <v>7675</v>
      </c>
      <c r="H1883" s="7" t="s">
        <v>8654</v>
      </c>
      <c r="I1883" s="7" t="s">
        <v>8655</v>
      </c>
      <c r="J1883" s="5" t="s">
        <v>8656</v>
      </c>
      <c r="N1883" s="45">
        <v>11064.9</v>
      </c>
      <c r="O1883" s="4" t="s">
        <v>15</v>
      </c>
      <c r="Q1883" s="45">
        <f t="shared" si="211"/>
        <v>11064.9</v>
      </c>
      <c r="R1883" s="3">
        <f t="shared" si="217"/>
        <v>0</v>
      </c>
    </row>
    <row r="1884" spans="2:20" hidden="1" x14ac:dyDescent="0.25">
      <c r="C1884" s="4" t="s">
        <v>158</v>
      </c>
      <c r="E1884" s="5" t="s">
        <v>10</v>
      </c>
      <c r="F1884" s="5" t="s">
        <v>9721</v>
      </c>
      <c r="G1884" s="146" t="s">
        <v>7675</v>
      </c>
      <c r="H1884" s="7" t="s">
        <v>11144</v>
      </c>
      <c r="I1884" s="7" t="s">
        <v>11145</v>
      </c>
      <c r="J1884" s="5" t="s">
        <v>11146</v>
      </c>
      <c r="L1884" s="5" t="s">
        <v>12545</v>
      </c>
      <c r="M1884" s="12">
        <v>45924</v>
      </c>
      <c r="N1884" s="45">
        <v>7785.15</v>
      </c>
      <c r="O1884" s="4" t="s">
        <v>15</v>
      </c>
      <c r="P1884" s="45">
        <v>7503.32</v>
      </c>
      <c r="Q1884" s="45">
        <f t="shared" si="211"/>
        <v>281.82999999999993</v>
      </c>
      <c r="R1884" s="3">
        <f t="shared" si="217"/>
        <v>7503.32</v>
      </c>
    </row>
    <row r="1885" spans="2:20" hidden="1" x14ac:dyDescent="0.25">
      <c r="B1885" s="21" t="s">
        <v>395</v>
      </c>
      <c r="C1885" s="22" t="s">
        <v>158</v>
      </c>
      <c r="D1885" s="22"/>
      <c r="E1885" s="21" t="s">
        <v>7137</v>
      </c>
      <c r="F1885" s="21" t="s">
        <v>10013</v>
      </c>
      <c r="G1885" s="147" t="s">
        <v>10014</v>
      </c>
      <c r="H1885" s="23" t="s">
        <v>10015</v>
      </c>
      <c r="I1885" s="23" t="s">
        <v>10016</v>
      </c>
      <c r="J1885" s="21" t="s">
        <v>10017</v>
      </c>
      <c r="K1885" s="21"/>
      <c r="L1885" s="21" t="s">
        <v>10705</v>
      </c>
      <c r="M1885" s="26" t="s">
        <v>10706</v>
      </c>
      <c r="N1885" s="44">
        <v>39000</v>
      </c>
      <c r="O1885" s="22" t="s">
        <v>276</v>
      </c>
      <c r="P1885" s="44">
        <f>15000+18000+6000</f>
        <v>39000</v>
      </c>
      <c r="Q1885" s="44">
        <f t="shared" si="211"/>
        <v>0</v>
      </c>
      <c r="R1885" s="24">
        <f t="shared" si="217"/>
        <v>39000</v>
      </c>
    </row>
    <row r="1886" spans="2:20" hidden="1" x14ac:dyDescent="0.25">
      <c r="B1886" s="21" t="s">
        <v>395</v>
      </c>
      <c r="C1886" s="22" t="s">
        <v>158</v>
      </c>
      <c r="D1886" s="22"/>
      <c r="E1886" s="21" t="s">
        <v>7137</v>
      </c>
      <c r="F1886" s="21" t="s">
        <v>9761</v>
      </c>
      <c r="G1886" s="147" t="s">
        <v>10014</v>
      </c>
      <c r="H1886" s="23" t="s">
        <v>10236</v>
      </c>
      <c r="I1886" s="23" t="s">
        <v>10237</v>
      </c>
      <c r="J1886" s="21" t="s">
        <v>10371</v>
      </c>
      <c r="K1886" s="21"/>
      <c r="L1886" s="21" t="s">
        <v>11082</v>
      </c>
      <c r="M1886" s="26" t="s">
        <v>11083</v>
      </c>
      <c r="N1886" s="44">
        <v>127999.98</v>
      </c>
      <c r="O1886" s="22" t="s">
        <v>276</v>
      </c>
      <c r="P1886" s="44">
        <f>8533.33+48355.55+71110.1</f>
        <v>127998.98000000001</v>
      </c>
      <c r="Q1886" s="44">
        <v>0</v>
      </c>
      <c r="R1886" s="24">
        <f t="shared" si="217"/>
        <v>127998.98000000001</v>
      </c>
    </row>
    <row r="1887" spans="2:20" hidden="1" x14ac:dyDescent="0.25">
      <c r="B1887" s="21" t="s">
        <v>395</v>
      </c>
      <c r="C1887" s="22" t="s">
        <v>158</v>
      </c>
      <c r="D1887" s="22"/>
      <c r="E1887" s="21" t="s">
        <v>7137</v>
      </c>
      <c r="F1887" s="21" t="s">
        <v>9761</v>
      </c>
      <c r="G1887" s="147" t="s">
        <v>10014</v>
      </c>
      <c r="H1887" s="23" t="s">
        <v>10238</v>
      </c>
      <c r="I1887" s="23" t="s">
        <v>10239</v>
      </c>
      <c r="J1887" s="21" t="s">
        <v>10240</v>
      </c>
      <c r="K1887" s="21"/>
      <c r="L1887" s="21" t="s">
        <v>12093</v>
      </c>
      <c r="M1887" s="26" t="s">
        <v>12094</v>
      </c>
      <c r="N1887" s="44">
        <v>42000</v>
      </c>
      <c r="O1887" s="22" t="s">
        <v>276</v>
      </c>
      <c r="P1887" s="44">
        <f>3000+6000+12000+6000+3000+3000</f>
        <v>33000</v>
      </c>
      <c r="Q1887" s="44">
        <v>0</v>
      </c>
      <c r="R1887" s="24">
        <f t="shared" si="217"/>
        <v>33000</v>
      </c>
      <c r="S1887" s="5" t="s">
        <v>13758</v>
      </c>
    </row>
    <row r="1888" spans="2:20" hidden="1" x14ac:dyDescent="0.25">
      <c r="B1888" s="21" t="s">
        <v>395</v>
      </c>
      <c r="C1888" s="22" t="s">
        <v>5792</v>
      </c>
      <c r="D1888" s="22"/>
      <c r="E1888" s="21" t="s">
        <v>75</v>
      </c>
      <c r="F1888" s="21"/>
      <c r="G1888" s="147" t="s">
        <v>5582</v>
      </c>
      <c r="H1888" s="23" t="s">
        <v>5825</v>
      </c>
      <c r="I1888" s="23"/>
      <c r="J1888" s="21" t="s">
        <v>6211</v>
      </c>
      <c r="K1888" s="21"/>
      <c r="L1888" s="21" t="s">
        <v>6349</v>
      </c>
      <c r="M1888" s="26" t="s">
        <v>6350</v>
      </c>
      <c r="N1888" s="44">
        <f>241853-100000</f>
        <v>141853</v>
      </c>
      <c r="O1888" s="22" t="s">
        <v>15</v>
      </c>
      <c r="P1888" s="44">
        <f>31117.32+30051.82+36178.04+37365.29+2450+59207.45</f>
        <v>196369.91999999998</v>
      </c>
      <c r="Q1888" s="24">
        <f>IF(P1888="en cours",N1888,IF(P1888="OK",0,IF(N1888-P1888&lt;0,0,N1888-P1888)))</f>
        <v>0</v>
      </c>
      <c r="R1888" s="24">
        <f t="shared" si="217"/>
        <v>196369.91999999998</v>
      </c>
    </row>
    <row r="1889" spans="2:18" hidden="1" x14ac:dyDescent="0.25">
      <c r="B1889" s="21" t="s">
        <v>395</v>
      </c>
      <c r="C1889" s="22" t="s">
        <v>5792</v>
      </c>
      <c r="D1889" s="22"/>
      <c r="E1889" s="21" t="s">
        <v>75</v>
      </c>
      <c r="F1889" s="21"/>
      <c r="G1889" s="147" t="s">
        <v>5582</v>
      </c>
      <c r="H1889" s="23" t="s">
        <v>5583</v>
      </c>
      <c r="I1889" s="23" t="s">
        <v>8089</v>
      </c>
      <c r="J1889" s="21" t="s">
        <v>6439</v>
      </c>
      <c r="K1889" s="21"/>
      <c r="L1889" s="21" t="s">
        <v>5822</v>
      </c>
      <c r="M1889" s="26">
        <v>44461</v>
      </c>
      <c r="N1889" s="264">
        <v>190129</v>
      </c>
      <c r="O1889" s="22" t="s">
        <v>15</v>
      </c>
      <c r="P1889" s="44">
        <v>190128</v>
      </c>
      <c r="Q1889" s="24">
        <v>0</v>
      </c>
      <c r="R1889" s="24">
        <f t="shared" si="217"/>
        <v>190128</v>
      </c>
    </row>
    <row r="1890" spans="2:18" hidden="1" x14ac:dyDescent="0.25">
      <c r="B1890" s="21" t="s">
        <v>395</v>
      </c>
      <c r="C1890" s="22" t="s">
        <v>5792</v>
      </c>
      <c r="D1890" s="22"/>
      <c r="E1890" s="21" t="s">
        <v>75</v>
      </c>
      <c r="F1890" s="21"/>
      <c r="G1890" s="147" t="s">
        <v>5582</v>
      </c>
      <c r="H1890" s="23" t="s">
        <v>5583</v>
      </c>
      <c r="I1890" s="23" t="s">
        <v>8089</v>
      </c>
      <c r="J1890" s="21" t="s">
        <v>6440</v>
      </c>
      <c r="K1890" s="21"/>
      <c r="L1890" s="21" t="s">
        <v>5868</v>
      </c>
      <c r="M1890" s="26">
        <v>44469</v>
      </c>
      <c r="N1890" s="264">
        <v>95064</v>
      </c>
      <c r="O1890" s="22" t="s">
        <v>15</v>
      </c>
      <c r="P1890" s="44">
        <v>95064</v>
      </c>
      <c r="Q1890" s="24">
        <f t="shared" ref="Q1890:Q1930" si="218">IF(P1890="en cours",N1890,IF(P1890="OK",0,IF(N1890-P1890&lt;0,0,N1890-P1890)))</f>
        <v>0</v>
      </c>
      <c r="R1890" s="24">
        <f t="shared" si="217"/>
        <v>95064</v>
      </c>
    </row>
    <row r="1891" spans="2:18" hidden="1" x14ac:dyDescent="0.25">
      <c r="B1891" s="21" t="s">
        <v>395</v>
      </c>
      <c r="C1891" s="22" t="s">
        <v>5792</v>
      </c>
      <c r="D1891" s="22"/>
      <c r="E1891" s="21" t="s">
        <v>75</v>
      </c>
      <c r="F1891" s="21"/>
      <c r="G1891" s="147" t="s">
        <v>5582</v>
      </c>
      <c r="H1891" s="23" t="s">
        <v>5583</v>
      </c>
      <c r="I1891" s="23" t="s">
        <v>8089</v>
      </c>
      <c r="J1891" s="21" t="s">
        <v>6442</v>
      </c>
      <c r="K1891" s="21"/>
      <c r="L1891" s="21" t="s">
        <v>6210</v>
      </c>
      <c r="M1891" s="26">
        <v>44537</v>
      </c>
      <c r="N1891" s="264">
        <v>95064</v>
      </c>
      <c r="O1891" s="22" t="s">
        <v>15</v>
      </c>
      <c r="P1891" s="44">
        <v>95064</v>
      </c>
      <c r="Q1891" s="24">
        <f t="shared" si="218"/>
        <v>0</v>
      </c>
      <c r="R1891" s="24">
        <f t="shared" si="217"/>
        <v>95064</v>
      </c>
    </row>
    <row r="1892" spans="2:18" hidden="1" x14ac:dyDescent="0.25">
      <c r="B1892" s="21" t="s">
        <v>395</v>
      </c>
      <c r="C1892" s="22" t="s">
        <v>5792</v>
      </c>
      <c r="D1892" s="22"/>
      <c r="E1892" s="21" t="s">
        <v>75</v>
      </c>
      <c r="F1892" s="21"/>
      <c r="G1892" s="147" t="s">
        <v>5582</v>
      </c>
      <c r="H1892" s="23" t="s">
        <v>5583</v>
      </c>
      <c r="I1892" s="23" t="s">
        <v>8089</v>
      </c>
      <c r="J1892" s="21" t="s">
        <v>6441</v>
      </c>
      <c r="K1892" s="21"/>
      <c r="L1892" s="21" t="s">
        <v>5823</v>
      </c>
      <c r="M1892" s="26" t="s">
        <v>5824</v>
      </c>
      <c r="N1892" s="44">
        <v>100000</v>
      </c>
      <c r="O1892" s="22" t="s">
        <v>15</v>
      </c>
      <c r="P1892" s="44">
        <f>100000</f>
        <v>100000</v>
      </c>
      <c r="Q1892" s="24">
        <f t="shared" si="218"/>
        <v>0</v>
      </c>
      <c r="R1892" s="24">
        <f t="shared" si="217"/>
        <v>100000</v>
      </c>
    </row>
    <row r="1893" spans="2:18" hidden="1" x14ac:dyDescent="0.25">
      <c r="B1893" s="21" t="s">
        <v>395</v>
      </c>
      <c r="C1893" s="22" t="s">
        <v>5792</v>
      </c>
      <c r="D1893" s="22"/>
      <c r="E1893" s="21" t="s">
        <v>75</v>
      </c>
      <c r="F1893" s="21"/>
      <c r="G1893" s="147" t="s">
        <v>5582</v>
      </c>
      <c r="H1893" s="23" t="s">
        <v>6418</v>
      </c>
      <c r="I1893" s="23"/>
      <c r="J1893" s="21" t="s">
        <v>6419</v>
      </c>
      <c r="K1893" s="21"/>
      <c r="L1893" s="21" t="s">
        <v>6443</v>
      </c>
      <c r="M1893" s="26">
        <v>44596</v>
      </c>
      <c r="N1893" s="44">
        <v>125000</v>
      </c>
      <c r="O1893" s="22" t="s">
        <v>15</v>
      </c>
      <c r="P1893" s="44">
        <v>125000</v>
      </c>
      <c r="Q1893" s="24">
        <f t="shared" si="218"/>
        <v>0</v>
      </c>
      <c r="R1893" s="24">
        <f t="shared" si="217"/>
        <v>125000</v>
      </c>
    </row>
    <row r="1894" spans="2:18" hidden="1" x14ac:dyDescent="0.25">
      <c r="B1894" s="21" t="s">
        <v>395</v>
      </c>
      <c r="C1894" s="22" t="s">
        <v>5792</v>
      </c>
      <c r="D1894" s="22"/>
      <c r="E1894" s="21" t="s">
        <v>75</v>
      </c>
      <c r="F1894" s="21"/>
      <c r="G1894" s="147" t="s">
        <v>5582</v>
      </c>
      <c r="H1894" s="23" t="s">
        <v>6418</v>
      </c>
      <c r="I1894" s="23"/>
      <c r="J1894" s="21" t="s">
        <v>6420</v>
      </c>
      <c r="K1894" s="21"/>
      <c r="L1894" s="21" t="s">
        <v>6443</v>
      </c>
      <c r="M1894" s="26">
        <v>44596</v>
      </c>
      <c r="N1894" s="44">
        <v>60000</v>
      </c>
      <c r="O1894" s="22" t="s">
        <v>15</v>
      </c>
      <c r="P1894" s="44">
        <v>60000</v>
      </c>
      <c r="Q1894" s="24">
        <f t="shared" si="218"/>
        <v>0</v>
      </c>
      <c r="R1894" s="24">
        <f t="shared" si="217"/>
        <v>60000</v>
      </c>
    </row>
    <row r="1895" spans="2:18" hidden="1" x14ac:dyDescent="0.25">
      <c r="B1895" s="21" t="s">
        <v>395</v>
      </c>
      <c r="C1895" s="22" t="s">
        <v>5792</v>
      </c>
      <c r="D1895" s="22"/>
      <c r="E1895" s="21" t="s">
        <v>75</v>
      </c>
      <c r="F1895" s="21"/>
      <c r="G1895" s="147" t="s">
        <v>5582</v>
      </c>
      <c r="H1895" s="23" t="s">
        <v>6418</v>
      </c>
      <c r="I1895" s="23"/>
      <c r="J1895" s="21" t="s">
        <v>6421</v>
      </c>
      <c r="K1895" s="21"/>
      <c r="L1895" s="21" t="s">
        <v>7084</v>
      </c>
      <c r="M1895" s="26">
        <v>44818</v>
      </c>
      <c r="N1895" s="44">
        <v>125000</v>
      </c>
      <c r="O1895" s="22" t="s">
        <v>15</v>
      </c>
      <c r="P1895" s="44">
        <v>125000</v>
      </c>
      <c r="Q1895" s="24">
        <f t="shared" si="218"/>
        <v>0</v>
      </c>
      <c r="R1895" s="24">
        <f t="shared" si="217"/>
        <v>125000</v>
      </c>
    </row>
    <row r="1896" spans="2:18" hidden="1" x14ac:dyDescent="0.25">
      <c r="B1896" s="21" t="s">
        <v>395</v>
      </c>
      <c r="C1896" s="22" t="s">
        <v>5792</v>
      </c>
      <c r="D1896" s="22"/>
      <c r="E1896" s="21" t="s">
        <v>75</v>
      </c>
      <c r="F1896" s="21"/>
      <c r="G1896" s="147" t="s">
        <v>5582</v>
      </c>
      <c r="H1896" s="23" t="s">
        <v>7277</v>
      </c>
      <c r="I1896" s="23"/>
      <c r="J1896" s="21" t="s">
        <v>7278</v>
      </c>
      <c r="K1896" s="21"/>
      <c r="L1896" s="21" t="s">
        <v>7280</v>
      </c>
      <c r="M1896" s="26">
        <v>44881</v>
      </c>
      <c r="N1896" s="44">
        <v>249250</v>
      </c>
      <c r="O1896" s="22" t="s">
        <v>15</v>
      </c>
      <c r="P1896" s="44">
        <v>249250</v>
      </c>
      <c r="Q1896" s="24">
        <f t="shared" si="218"/>
        <v>0</v>
      </c>
      <c r="R1896" s="24">
        <f t="shared" si="217"/>
        <v>249250</v>
      </c>
    </row>
    <row r="1897" spans="2:18" hidden="1" x14ac:dyDescent="0.25">
      <c r="B1897" s="21" t="s">
        <v>395</v>
      </c>
      <c r="C1897" s="22" t="s">
        <v>5792</v>
      </c>
      <c r="D1897" s="22"/>
      <c r="E1897" s="21" t="s">
        <v>75</v>
      </c>
      <c r="F1897" s="21"/>
      <c r="G1897" s="147" t="s">
        <v>5582</v>
      </c>
      <c r="H1897" s="23" t="s">
        <v>6418</v>
      </c>
      <c r="I1897" s="23"/>
      <c r="J1897" s="21" t="s">
        <v>7279</v>
      </c>
      <c r="K1897" s="21"/>
      <c r="L1897" s="21" t="s">
        <v>7491</v>
      </c>
      <c r="M1897" s="26">
        <v>44949</v>
      </c>
      <c r="N1897" s="44">
        <v>204821</v>
      </c>
      <c r="O1897" s="22" t="s">
        <v>15</v>
      </c>
      <c r="P1897" s="44">
        <v>204821</v>
      </c>
      <c r="Q1897" s="24">
        <f t="shared" si="218"/>
        <v>0</v>
      </c>
      <c r="R1897" s="24">
        <f t="shared" si="217"/>
        <v>204821</v>
      </c>
    </row>
    <row r="1898" spans="2:18" hidden="1" x14ac:dyDescent="0.25">
      <c r="B1898" s="21" t="s">
        <v>395</v>
      </c>
      <c r="C1898" s="22" t="s">
        <v>5792</v>
      </c>
      <c r="D1898" s="22"/>
      <c r="E1898" s="21" t="s">
        <v>75</v>
      </c>
      <c r="F1898" s="21"/>
      <c r="G1898" s="147" t="s">
        <v>5582</v>
      </c>
      <c r="H1898" s="23" t="s">
        <v>9447</v>
      </c>
      <c r="I1898" s="23"/>
      <c r="J1898" s="21" t="s">
        <v>9448</v>
      </c>
      <c r="K1898" s="21"/>
      <c r="L1898" s="21" t="s">
        <v>9455</v>
      </c>
      <c r="M1898" s="26">
        <v>45316</v>
      </c>
      <c r="N1898" s="44">
        <v>146765</v>
      </c>
      <c r="O1898" s="22" t="s">
        <v>15</v>
      </c>
      <c r="P1898" s="44">
        <v>146765</v>
      </c>
      <c r="Q1898" s="24">
        <f t="shared" si="218"/>
        <v>0</v>
      </c>
      <c r="R1898" s="24">
        <f t="shared" si="217"/>
        <v>146765</v>
      </c>
    </row>
    <row r="1899" spans="2:18" hidden="1" x14ac:dyDescent="0.25">
      <c r="B1899" s="21" t="s">
        <v>395</v>
      </c>
      <c r="C1899" s="22" t="s">
        <v>5792</v>
      </c>
      <c r="D1899" s="22"/>
      <c r="E1899" s="21" t="s">
        <v>75</v>
      </c>
      <c r="F1899" s="21"/>
      <c r="G1899" s="147" t="s">
        <v>5582</v>
      </c>
      <c r="H1899" s="23" t="s">
        <v>10145</v>
      </c>
      <c r="I1899" s="23"/>
      <c r="J1899" s="21" t="s">
        <v>10146</v>
      </c>
      <c r="K1899" s="21"/>
      <c r="L1899" s="21" t="s">
        <v>10283</v>
      </c>
      <c r="M1899" s="26">
        <v>45476</v>
      </c>
      <c r="N1899" s="44">
        <v>119390</v>
      </c>
      <c r="O1899" s="22" t="s">
        <v>15</v>
      </c>
      <c r="P1899" s="44">
        <v>119390</v>
      </c>
      <c r="Q1899" s="24">
        <f t="shared" si="218"/>
        <v>0</v>
      </c>
      <c r="R1899" s="24">
        <f t="shared" si="217"/>
        <v>119390</v>
      </c>
    </row>
    <row r="1900" spans="2:18" hidden="1" x14ac:dyDescent="0.25">
      <c r="B1900" s="21" t="s">
        <v>395</v>
      </c>
      <c r="C1900" s="22" t="s">
        <v>5792</v>
      </c>
      <c r="D1900" s="22"/>
      <c r="E1900" s="21" t="s">
        <v>75</v>
      </c>
      <c r="F1900" s="21"/>
      <c r="G1900" s="147" t="s">
        <v>5582</v>
      </c>
      <c r="H1900" s="23" t="s">
        <v>13469</v>
      </c>
      <c r="I1900" s="23"/>
      <c r="J1900" s="21" t="s">
        <v>13470</v>
      </c>
      <c r="K1900" s="21"/>
      <c r="L1900" s="21" t="s">
        <v>13484</v>
      </c>
      <c r="M1900" s="26">
        <v>45994</v>
      </c>
      <c r="N1900" s="44">
        <v>150000</v>
      </c>
      <c r="O1900" s="22" t="s">
        <v>15</v>
      </c>
      <c r="P1900" s="44">
        <v>150000</v>
      </c>
      <c r="Q1900" s="24">
        <f t="shared" ref="Q1900" si="219">IF(P1900="en cours",N1900,IF(P1900="OK",0,IF(N1900-P1900&lt;0,0,N1900-P1900)))</f>
        <v>0</v>
      </c>
      <c r="R1900" s="24">
        <f t="shared" ref="R1900" si="220">IF(P1900="OK",N1900-Q1900,IF(P1900="en cours",N1900-Q1900,P1900))</f>
        <v>150000</v>
      </c>
    </row>
    <row r="1901" spans="2:18" hidden="1" x14ac:dyDescent="0.25">
      <c r="C1901" s="4" t="s">
        <v>5792</v>
      </c>
      <c r="E1901" s="5" t="s">
        <v>75</v>
      </c>
      <c r="G1901" s="146" t="s">
        <v>5582</v>
      </c>
      <c r="H1901" s="7" t="s">
        <v>13469</v>
      </c>
      <c r="J1901" s="5" t="s">
        <v>13471</v>
      </c>
      <c r="N1901" s="45">
        <v>120000</v>
      </c>
      <c r="O1901" s="4" t="s">
        <v>15</v>
      </c>
      <c r="Q1901" s="3">
        <f t="shared" si="218"/>
        <v>120000</v>
      </c>
      <c r="R1901" s="3">
        <f t="shared" si="217"/>
        <v>0</v>
      </c>
    </row>
    <row r="1902" spans="2:18" hidden="1" x14ac:dyDescent="0.25">
      <c r="C1902" s="4" t="s">
        <v>5792</v>
      </c>
      <c r="E1902" s="5" t="s">
        <v>75</v>
      </c>
      <c r="G1902" s="146" t="s">
        <v>5582</v>
      </c>
      <c r="H1902" s="7" t="s">
        <v>13469</v>
      </c>
      <c r="J1902" s="5" t="s">
        <v>13472</v>
      </c>
      <c r="N1902" s="45">
        <v>70000</v>
      </c>
      <c r="O1902" s="4" t="s">
        <v>15</v>
      </c>
      <c r="Q1902" s="3">
        <f t="shared" si="218"/>
        <v>70000</v>
      </c>
      <c r="R1902" s="3">
        <f t="shared" si="217"/>
        <v>0</v>
      </c>
    </row>
    <row r="1903" spans="2:18" hidden="1" x14ac:dyDescent="0.25">
      <c r="C1903" s="4" t="s">
        <v>5792</v>
      </c>
      <c r="E1903" s="5" t="s">
        <v>75</v>
      </c>
      <c r="G1903" s="146" t="s">
        <v>5582</v>
      </c>
      <c r="H1903" s="7" t="s">
        <v>13469</v>
      </c>
      <c r="J1903" s="5" t="s">
        <v>13473</v>
      </c>
      <c r="N1903" s="45">
        <v>70000</v>
      </c>
      <c r="O1903" s="4" t="s">
        <v>15</v>
      </c>
      <c r="Q1903" s="3">
        <f t="shared" si="218"/>
        <v>70000</v>
      </c>
      <c r="R1903" s="3">
        <f t="shared" si="217"/>
        <v>0</v>
      </c>
    </row>
    <row r="1904" spans="2:18" hidden="1" x14ac:dyDescent="0.25">
      <c r="C1904" s="4" t="s">
        <v>5792</v>
      </c>
      <c r="E1904" s="5" t="s">
        <v>75</v>
      </c>
      <c r="G1904" s="146" t="s">
        <v>5582</v>
      </c>
      <c r="H1904" s="7" t="s">
        <v>13469</v>
      </c>
      <c r="J1904" s="5" t="s">
        <v>13474</v>
      </c>
      <c r="N1904" s="45">
        <v>91679</v>
      </c>
      <c r="O1904" s="4" t="s">
        <v>15</v>
      </c>
      <c r="Q1904" s="3">
        <f t="shared" si="218"/>
        <v>91679</v>
      </c>
      <c r="R1904" s="3">
        <f t="shared" si="217"/>
        <v>0</v>
      </c>
    </row>
    <row r="1905" spans="2:18" hidden="1" x14ac:dyDescent="0.25">
      <c r="B1905" s="21" t="s">
        <v>395</v>
      </c>
      <c r="C1905" s="22" t="s">
        <v>5792</v>
      </c>
      <c r="D1905" s="22"/>
      <c r="E1905" s="21" t="s">
        <v>75</v>
      </c>
      <c r="F1905" s="21"/>
      <c r="G1905" s="147" t="s">
        <v>5582</v>
      </c>
      <c r="H1905" s="23" t="s">
        <v>6418</v>
      </c>
      <c r="I1905" s="23"/>
      <c r="J1905" s="21" t="s">
        <v>6422</v>
      </c>
      <c r="K1905" s="21"/>
      <c r="L1905" s="21" t="s">
        <v>6444</v>
      </c>
      <c r="M1905" s="26">
        <v>44596</v>
      </c>
      <c r="N1905" s="44">
        <f t="shared" ref="N1905:N1920" si="221">1786560/16</f>
        <v>111660</v>
      </c>
      <c r="O1905" s="22" t="s">
        <v>15</v>
      </c>
      <c r="P1905" s="44">
        <v>111660</v>
      </c>
      <c r="Q1905" s="24">
        <f t="shared" si="218"/>
        <v>0</v>
      </c>
      <c r="R1905" s="24">
        <f t="shared" ref="R1905:R1930" si="222">IF(P1905="OK",N1905-Q1905,IF(P1905="en cours",N1905-Q1905,P1905))</f>
        <v>111660</v>
      </c>
    </row>
    <row r="1906" spans="2:18" hidden="1" x14ac:dyDescent="0.25">
      <c r="B1906" s="21" t="s">
        <v>395</v>
      </c>
      <c r="C1906" s="22" t="s">
        <v>5792</v>
      </c>
      <c r="D1906" s="22"/>
      <c r="E1906" s="21" t="s">
        <v>75</v>
      </c>
      <c r="F1906" s="21"/>
      <c r="G1906" s="147" t="s">
        <v>5582</v>
      </c>
      <c r="H1906" s="23" t="s">
        <v>6418</v>
      </c>
      <c r="I1906" s="23"/>
      <c r="J1906" s="21" t="s">
        <v>6423</v>
      </c>
      <c r="K1906" s="21"/>
      <c r="L1906" s="21" t="s">
        <v>6718</v>
      </c>
      <c r="M1906" s="26">
        <v>44684</v>
      </c>
      <c r="N1906" s="44">
        <f t="shared" si="221"/>
        <v>111660</v>
      </c>
      <c r="O1906" s="22" t="s">
        <v>15</v>
      </c>
      <c r="P1906" s="44">
        <v>111660</v>
      </c>
      <c r="Q1906" s="24">
        <f t="shared" si="218"/>
        <v>0</v>
      </c>
      <c r="R1906" s="24">
        <f t="shared" si="222"/>
        <v>111660</v>
      </c>
    </row>
    <row r="1907" spans="2:18" hidden="1" x14ac:dyDescent="0.25">
      <c r="B1907" s="21" t="s">
        <v>395</v>
      </c>
      <c r="C1907" s="22" t="s">
        <v>5792</v>
      </c>
      <c r="D1907" s="22"/>
      <c r="E1907" s="21" t="s">
        <v>75</v>
      </c>
      <c r="F1907" s="21"/>
      <c r="G1907" s="147" t="s">
        <v>5582</v>
      </c>
      <c r="H1907" s="23" t="s">
        <v>6418</v>
      </c>
      <c r="I1907" s="23"/>
      <c r="J1907" s="21" t="s">
        <v>6424</v>
      </c>
      <c r="K1907" s="21"/>
      <c r="L1907" s="21" t="s">
        <v>6955</v>
      </c>
      <c r="M1907" s="26">
        <v>44774</v>
      </c>
      <c r="N1907" s="44">
        <f t="shared" si="221"/>
        <v>111660</v>
      </c>
      <c r="O1907" s="22" t="s">
        <v>15</v>
      </c>
      <c r="P1907" s="44">
        <v>111660</v>
      </c>
      <c r="Q1907" s="24">
        <f t="shared" si="218"/>
        <v>0</v>
      </c>
      <c r="R1907" s="24">
        <f t="shared" si="222"/>
        <v>111660</v>
      </c>
    </row>
    <row r="1908" spans="2:18" hidden="1" x14ac:dyDescent="0.25">
      <c r="B1908" s="21" t="s">
        <v>395</v>
      </c>
      <c r="C1908" s="22" t="s">
        <v>5792</v>
      </c>
      <c r="D1908" s="22"/>
      <c r="E1908" s="21" t="s">
        <v>75</v>
      </c>
      <c r="F1908" s="21"/>
      <c r="G1908" s="147" t="s">
        <v>5582</v>
      </c>
      <c r="H1908" s="23" t="s">
        <v>6418</v>
      </c>
      <c r="I1908" s="23"/>
      <c r="J1908" s="21" t="s">
        <v>6425</v>
      </c>
      <c r="K1908" s="21"/>
      <c r="L1908" s="21" t="s">
        <v>7245</v>
      </c>
      <c r="M1908" s="26">
        <v>44867</v>
      </c>
      <c r="N1908" s="44">
        <f t="shared" si="221"/>
        <v>111660</v>
      </c>
      <c r="O1908" s="22" t="s">
        <v>15</v>
      </c>
      <c r="P1908" s="44">
        <v>111660</v>
      </c>
      <c r="Q1908" s="24">
        <f t="shared" si="218"/>
        <v>0</v>
      </c>
      <c r="R1908" s="24">
        <f t="shared" si="222"/>
        <v>111660</v>
      </c>
    </row>
    <row r="1909" spans="2:18" hidden="1" x14ac:dyDescent="0.25">
      <c r="B1909" s="21" t="s">
        <v>395</v>
      </c>
      <c r="C1909" s="22" t="s">
        <v>5792</v>
      </c>
      <c r="D1909" s="22"/>
      <c r="E1909" s="21" t="s">
        <v>75</v>
      </c>
      <c r="F1909" s="21"/>
      <c r="G1909" s="147" t="s">
        <v>5582</v>
      </c>
      <c r="H1909" s="23" t="s">
        <v>6418</v>
      </c>
      <c r="I1909" s="23"/>
      <c r="J1909" s="21" t="s">
        <v>6426</v>
      </c>
      <c r="K1909" s="21"/>
      <c r="L1909" s="21" t="s">
        <v>7537</v>
      </c>
      <c r="M1909" s="26">
        <v>44958</v>
      </c>
      <c r="N1909" s="44">
        <f t="shared" si="221"/>
        <v>111660</v>
      </c>
      <c r="O1909" s="22" t="s">
        <v>15</v>
      </c>
      <c r="P1909" s="44">
        <v>111660</v>
      </c>
      <c r="Q1909" s="24">
        <f t="shared" si="218"/>
        <v>0</v>
      </c>
      <c r="R1909" s="24">
        <f t="shared" si="222"/>
        <v>111660</v>
      </c>
    </row>
    <row r="1910" spans="2:18" hidden="1" x14ac:dyDescent="0.25">
      <c r="B1910" s="21" t="s">
        <v>395</v>
      </c>
      <c r="C1910" s="22" t="s">
        <v>5792</v>
      </c>
      <c r="D1910" s="22"/>
      <c r="E1910" s="21" t="s">
        <v>75</v>
      </c>
      <c r="F1910" s="21"/>
      <c r="G1910" s="147" t="s">
        <v>5582</v>
      </c>
      <c r="H1910" s="23" t="s">
        <v>6418</v>
      </c>
      <c r="I1910" s="23"/>
      <c r="J1910" s="21" t="s">
        <v>6427</v>
      </c>
      <c r="K1910" s="21"/>
      <c r="L1910" s="21" t="s">
        <v>7810</v>
      </c>
      <c r="M1910" s="26">
        <v>45048</v>
      </c>
      <c r="N1910" s="44">
        <f t="shared" si="221"/>
        <v>111660</v>
      </c>
      <c r="O1910" s="22" t="s">
        <v>15</v>
      </c>
      <c r="P1910" s="44">
        <v>111660</v>
      </c>
      <c r="Q1910" s="24">
        <f t="shared" si="218"/>
        <v>0</v>
      </c>
      <c r="R1910" s="24">
        <f t="shared" si="222"/>
        <v>111660</v>
      </c>
    </row>
    <row r="1911" spans="2:18" ht="17.25" hidden="1" customHeight="1" x14ac:dyDescent="0.25">
      <c r="B1911" s="21" t="s">
        <v>395</v>
      </c>
      <c r="C1911" s="22" t="s">
        <v>5792</v>
      </c>
      <c r="D1911" s="22"/>
      <c r="E1911" s="21" t="s">
        <v>75</v>
      </c>
      <c r="F1911" s="21"/>
      <c r="G1911" s="147" t="s">
        <v>5582</v>
      </c>
      <c r="H1911" s="23" t="s">
        <v>6418</v>
      </c>
      <c r="I1911" s="23"/>
      <c r="J1911" s="21" t="s">
        <v>6428</v>
      </c>
      <c r="K1911" s="21"/>
      <c r="L1911" s="21" t="s">
        <v>8668</v>
      </c>
      <c r="M1911" s="26">
        <v>45139</v>
      </c>
      <c r="N1911" s="44">
        <f t="shared" si="221"/>
        <v>111660</v>
      </c>
      <c r="O1911" s="22" t="s">
        <v>15</v>
      </c>
      <c r="P1911" s="44">
        <f>111660</f>
        <v>111660</v>
      </c>
      <c r="Q1911" s="24">
        <f t="shared" si="218"/>
        <v>0</v>
      </c>
      <c r="R1911" s="24">
        <f t="shared" si="222"/>
        <v>111660</v>
      </c>
    </row>
    <row r="1912" spans="2:18" hidden="1" x14ac:dyDescent="0.25">
      <c r="B1912" s="21" t="s">
        <v>395</v>
      </c>
      <c r="C1912" s="22" t="s">
        <v>5792</v>
      </c>
      <c r="D1912" s="22"/>
      <c r="E1912" s="21" t="s">
        <v>75</v>
      </c>
      <c r="F1912" s="21"/>
      <c r="G1912" s="147" t="s">
        <v>5582</v>
      </c>
      <c r="H1912" s="23" t="s">
        <v>6418</v>
      </c>
      <c r="I1912" s="23"/>
      <c r="J1912" s="21" t="s">
        <v>6429</v>
      </c>
      <c r="K1912" s="21"/>
      <c r="L1912" s="21" t="s">
        <v>9103</v>
      </c>
      <c r="M1912" s="26">
        <v>45232</v>
      </c>
      <c r="N1912" s="44">
        <f t="shared" si="221"/>
        <v>111660</v>
      </c>
      <c r="O1912" s="22" t="s">
        <v>15</v>
      </c>
      <c r="P1912" s="44">
        <v>111660</v>
      </c>
      <c r="Q1912" s="24">
        <f t="shared" si="218"/>
        <v>0</v>
      </c>
      <c r="R1912" s="24">
        <f t="shared" si="222"/>
        <v>111660</v>
      </c>
    </row>
    <row r="1913" spans="2:18" hidden="1" x14ac:dyDescent="0.25">
      <c r="B1913" s="21" t="s">
        <v>395</v>
      </c>
      <c r="C1913" s="22" t="s">
        <v>5792</v>
      </c>
      <c r="D1913" s="22"/>
      <c r="E1913" s="21" t="s">
        <v>75</v>
      </c>
      <c r="F1913" s="21"/>
      <c r="G1913" s="147" t="s">
        <v>5582</v>
      </c>
      <c r="H1913" s="23" t="s">
        <v>6418</v>
      </c>
      <c r="I1913" s="23"/>
      <c r="J1913" s="21" t="s">
        <v>6430</v>
      </c>
      <c r="K1913" s="21"/>
      <c r="L1913" s="21" t="s">
        <v>9627</v>
      </c>
      <c r="M1913" s="26">
        <v>45323</v>
      </c>
      <c r="N1913" s="44">
        <f t="shared" si="221"/>
        <v>111660</v>
      </c>
      <c r="O1913" s="22" t="s">
        <v>15</v>
      </c>
      <c r="P1913" s="44">
        <v>111660</v>
      </c>
      <c r="Q1913" s="24">
        <f t="shared" si="218"/>
        <v>0</v>
      </c>
      <c r="R1913" s="24">
        <f t="shared" si="222"/>
        <v>111660</v>
      </c>
    </row>
    <row r="1914" spans="2:18" hidden="1" x14ac:dyDescent="0.25">
      <c r="B1914" s="21" t="s">
        <v>395</v>
      </c>
      <c r="C1914" s="22" t="s">
        <v>5792</v>
      </c>
      <c r="D1914" s="22"/>
      <c r="E1914" s="21" t="s">
        <v>75</v>
      </c>
      <c r="F1914" s="21"/>
      <c r="G1914" s="147" t="s">
        <v>5582</v>
      </c>
      <c r="H1914" s="23" t="s">
        <v>6418</v>
      </c>
      <c r="I1914" s="23"/>
      <c r="J1914" s="21" t="s">
        <v>6431</v>
      </c>
      <c r="K1914" s="21"/>
      <c r="L1914" s="21" t="s">
        <v>10284</v>
      </c>
      <c r="M1914" s="26">
        <v>45414</v>
      </c>
      <c r="N1914" s="44">
        <f t="shared" si="221"/>
        <v>111660</v>
      </c>
      <c r="O1914" s="22" t="s">
        <v>15</v>
      </c>
      <c r="P1914" s="44">
        <v>111660</v>
      </c>
      <c r="Q1914" s="24">
        <f t="shared" si="218"/>
        <v>0</v>
      </c>
      <c r="R1914" s="24">
        <f t="shared" si="222"/>
        <v>111660</v>
      </c>
    </row>
    <row r="1915" spans="2:18" hidden="1" x14ac:dyDescent="0.25">
      <c r="B1915" s="21" t="s">
        <v>395</v>
      </c>
      <c r="C1915" s="22" t="s">
        <v>5792</v>
      </c>
      <c r="D1915" s="22"/>
      <c r="E1915" s="21" t="s">
        <v>75</v>
      </c>
      <c r="F1915" s="21"/>
      <c r="G1915" s="147" t="s">
        <v>5582</v>
      </c>
      <c r="H1915" s="23" t="s">
        <v>6418</v>
      </c>
      <c r="I1915" s="23"/>
      <c r="J1915" s="21" t="s">
        <v>6432</v>
      </c>
      <c r="K1915" s="21"/>
      <c r="L1915" s="21" t="s">
        <v>10285</v>
      </c>
      <c r="M1915" s="26">
        <v>45505</v>
      </c>
      <c r="N1915" s="44">
        <f t="shared" si="221"/>
        <v>111660</v>
      </c>
      <c r="O1915" s="22" t="s">
        <v>15</v>
      </c>
      <c r="P1915" s="44">
        <v>111660</v>
      </c>
      <c r="Q1915" s="24">
        <f t="shared" si="218"/>
        <v>0</v>
      </c>
      <c r="R1915" s="24">
        <f t="shared" si="222"/>
        <v>111660</v>
      </c>
    </row>
    <row r="1916" spans="2:18" hidden="1" x14ac:dyDescent="0.25">
      <c r="B1916" s="21" t="s">
        <v>395</v>
      </c>
      <c r="C1916" s="22" t="s">
        <v>5792</v>
      </c>
      <c r="D1916" s="22"/>
      <c r="E1916" s="21" t="s">
        <v>75</v>
      </c>
      <c r="F1916" s="21"/>
      <c r="G1916" s="147" t="s">
        <v>5582</v>
      </c>
      <c r="H1916" s="23" t="s">
        <v>6418</v>
      </c>
      <c r="I1916" s="23"/>
      <c r="J1916" s="21" t="s">
        <v>6433</v>
      </c>
      <c r="K1916" s="21"/>
      <c r="L1916" s="21" t="s">
        <v>10694</v>
      </c>
      <c r="M1916" s="26">
        <v>45600</v>
      </c>
      <c r="N1916" s="44">
        <f t="shared" si="221"/>
        <v>111660</v>
      </c>
      <c r="O1916" s="22" t="s">
        <v>15</v>
      </c>
      <c r="P1916" s="44">
        <v>111660</v>
      </c>
      <c r="Q1916" s="24">
        <f t="shared" si="218"/>
        <v>0</v>
      </c>
      <c r="R1916" s="24">
        <f t="shared" si="222"/>
        <v>111660</v>
      </c>
    </row>
    <row r="1917" spans="2:18" hidden="1" x14ac:dyDescent="0.25">
      <c r="B1917" s="21" t="s">
        <v>395</v>
      </c>
      <c r="C1917" s="22" t="s">
        <v>5792</v>
      </c>
      <c r="D1917" s="22"/>
      <c r="E1917" s="21" t="s">
        <v>75</v>
      </c>
      <c r="F1917" s="21"/>
      <c r="G1917" s="147" t="s">
        <v>5582</v>
      </c>
      <c r="H1917" s="23" t="s">
        <v>6418</v>
      </c>
      <c r="I1917" s="23"/>
      <c r="J1917" s="21" t="s">
        <v>6434</v>
      </c>
      <c r="K1917" s="21"/>
      <c r="L1917" s="21" t="s">
        <v>11245</v>
      </c>
      <c r="M1917" s="26">
        <v>45691</v>
      </c>
      <c r="N1917" s="44">
        <f t="shared" si="221"/>
        <v>111660</v>
      </c>
      <c r="O1917" s="22" t="s">
        <v>15</v>
      </c>
      <c r="P1917" s="44">
        <v>111660</v>
      </c>
      <c r="Q1917" s="24">
        <f t="shared" si="218"/>
        <v>0</v>
      </c>
      <c r="R1917" s="24">
        <f t="shared" si="222"/>
        <v>111660</v>
      </c>
    </row>
    <row r="1918" spans="2:18" hidden="1" x14ac:dyDescent="0.25">
      <c r="B1918" s="21" t="s">
        <v>395</v>
      </c>
      <c r="C1918" s="22" t="s">
        <v>5792</v>
      </c>
      <c r="D1918" s="22"/>
      <c r="E1918" s="21" t="s">
        <v>75</v>
      </c>
      <c r="F1918" s="21"/>
      <c r="G1918" s="147" t="s">
        <v>5582</v>
      </c>
      <c r="H1918" s="23" t="s">
        <v>6418</v>
      </c>
      <c r="I1918" s="23"/>
      <c r="J1918" s="21" t="s">
        <v>6435</v>
      </c>
      <c r="K1918" s="21"/>
      <c r="L1918" s="21" t="s">
        <v>11748</v>
      </c>
      <c r="M1918" s="26">
        <v>45778</v>
      </c>
      <c r="N1918" s="44">
        <f t="shared" si="221"/>
        <v>111660</v>
      </c>
      <c r="O1918" s="22" t="s">
        <v>15</v>
      </c>
      <c r="P1918" s="44">
        <v>116171.06</v>
      </c>
      <c r="Q1918" s="24">
        <f t="shared" si="218"/>
        <v>0</v>
      </c>
      <c r="R1918" s="24">
        <f t="shared" si="222"/>
        <v>116171.06</v>
      </c>
    </row>
    <row r="1919" spans="2:18" hidden="1" x14ac:dyDescent="0.25">
      <c r="B1919" s="21" t="s">
        <v>395</v>
      </c>
      <c r="C1919" s="22" t="s">
        <v>5792</v>
      </c>
      <c r="D1919" s="22"/>
      <c r="E1919" s="21" t="s">
        <v>75</v>
      </c>
      <c r="F1919" s="21"/>
      <c r="G1919" s="147" t="s">
        <v>5582</v>
      </c>
      <c r="H1919" s="23" t="s">
        <v>6418</v>
      </c>
      <c r="I1919" s="23"/>
      <c r="J1919" s="21" t="s">
        <v>6436</v>
      </c>
      <c r="K1919" s="21"/>
      <c r="L1919" s="21" t="s">
        <v>12315</v>
      </c>
      <c r="M1919" s="26">
        <v>45870</v>
      </c>
      <c r="N1919" s="44">
        <f t="shared" si="221"/>
        <v>111660</v>
      </c>
      <c r="O1919" s="22" t="s">
        <v>15</v>
      </c>
      <c r="P1919" s="44">
        <v>116171.06</v>
      </c>
      <c r="Q1919" s="24">
        <f t="shared" si="218"/>
        <v>0</v>
      </c>
      <c r="R1919" s="24">
        <f t="shared" si="222"/>
        <v>116171.06</v>
      </c>
    </row>
    <row r="1920" spans="2:18" hidden="1" x14ac:dyDescent="0.25">
      <c r="B1920" s="21" t="s">
        <v>395</v>
      </c>
      <c r="C1920" s="22" t="s">
        <v>5792</v>
      </c>
      <c r="D1920" s="22"/>
      <c r="E1920" s="21" t="s">
        <v>75</v>
      </c>
      <c r="F1920" s="21"/>
      <c r="G1920" s="147" t="s">
        <v>5582</v>
      </c>
      <c r="H1920" s="23" t="s">
        <v>6418</v>
      </c>
      <c r="I1920" s="23"/>
      <c r="J1920" s="21" t="s">
        <v>6437</v>
      </c>
      <c r="K1920" s="21"/>
      <c r="L1920" s="21" t="s">
        <v>13468</v>
      </c>
      <c r="M1920" s="26">
        <v>45964</v>
      </c>
      <c r="N1920" s="44">
        <f t="shared" si="221"/>
        <v>111660</v>
      </c>
      <c r="O1920" s="22" t="s">
        <v>15</v>
      </c>
      <c r="P1920" s="44">
        <v>116171.06</v>
      </c>
      <c r="Q1920" s="24">
        <f t="shared" si="218"/>
        <v>0</v>
      </c>
      <c r="R1920" s="24">
        <f t="shared" si="222"/>
        <v>116171.06</v>
      </c>
    </row>
    <row r="1921" spans="2:20" hidden="1" x14ac:dyDescent="0.25">
      <c r="B1921" s="21" t="s">
        <v>395</v>
      </c>
      <c r="C1921" s="22" t="s">
        <v>5792</v>
      </c>
      <c r="D1921" s="22"/>
      <c r="E1921" s="21" t="s">
        <v>75</v>
      </c>
      <c r="F1921" s="21"/>
      <c r="G1921" s="147" t="s">
        <v>5582</v>
      </c>
      <c r="H1921" s="23" t="s">
        <v>6418</v>
      </c>
      <c r="I1921" s="23"/>
      <c r="J1921" s="21" t="s">
        <v>13476</v>
      </c>
      <c r="K1921" s="21"/>
      <c r="L1921" s="21" t="s">
        <v>13976</v>
      </c>
      <c r="M1921" s="26">
        <v>46055</v>
      </c>
      <c r="N1921" s="44">
        <v>150000</v>
      </c>
      <c r="O1921" s="22" t="s">
        <v>15</v>
      </c>
      <c r="P1921" s="44">
        <v>150000</v>
      </c>
      <c r="Q1921" s="24">
        <f t="shared" ref="Q1921" si="223">IF(P1921="en cours",N1921,IF(P1921="OK",0,IF(N1921-P1921&lt;0,0,N1921-P1921)))</f>
        <v>0</v>
      </c>
      <c r="R1921" s="24">
        <f t="shared" ref="R1921" si="224">IF(P1921="OK",N1921-Q1921,IF(P1921="en cours",N1921-Q1921,P1921))</f>
        <v>150000</v>
      </c>
    </row>
    <row r="1922" spans="2:20" hidden="1" x14ac:dyDescent="0.25">
      <c r="C1922" s="4" t="s">
        <v>5792</v>
      </c>
      <c r="E1922" s="5" t="s">
        <v>75</v>
      </c>
      <c r="G1922" s="146" t="s">
        <v>5582</v>
      </c>
      <c r="H1922" s="7" t="s">
        <v>6418</v>
      </c>
      <c r="J1922" s="5" t="s">
        <v>13477</v>
      </c>
      <c r="M1922" s="12"/>
      <c r="N1922" s="45">
        <v>150000</v>
      </c>
      <c r="O1922" s="4" t="s">
        <v>15</v>
      </c>
      <c r="Q1922" s="3">
        <f t="shared" ref="Q1922:Q1928" si="225">IF(P1922="en cours",N1922,IF(P1922="OK",0,IF(N1922-P1922&lt;0,0,N1922-P1922)))</f>
        <v>150000</v>
      </c>
      <c r="R1922" s="3">
        <f t="shared" ref="R1922:R1928" si="226">IF(P1922="OK",N1922-Q1922,IF(P1922="en cours",N1922-Q1922,P1922))</f>
        <v>0</v>
      </c>
    </row>
    <row r="1923" spans="2:20" hidden="1" x14ac:dyDescent="0.25">
      <c r="C1923" s="4" t="s">
        <v>5792</v>
      </c>
      <c r="E1923" s="5" t="s">
        <v>75</v>
      </c>
      <c r="G1923" s="146" t="s">
        <v>5582</v>
      </c>
      <c r="H1923" s="7" t="s">
        <v>6418</v>
      </c>
      <c r="J1923" s="5" t="s">
        <v>13478</v>
      </c>
      <c r="M1923" s="12"/>
      <c r="N1923" s="45">
        <v>150000</v>
      </c>
      <c r="O1923" s="4" t="s">
        <v>15</v>
      </c>
      <c r="Q1923" s="3">
        <f t="shared" si="225"/>
        <v>150000</v>
      </c>
      <c r="R1923" s="3">
        <f t="shared" si="226"/>
        <v>0</v>
      </c>
    </row>
    <row r="1924" spans="2:20" hidden="1" x14ac:dyDescent="0.25">
      <c r="C1924" s="4" t="s">
        <v>5792</v>
      </c>
      <c r="E1924" s="5" t="s">
        <v>75</v>
      </c>
      <c r="G1924" s="146" t="s">
        <v>5582</v>
      </c>
      <c r="H1924" s="7" t="s">
        <v>6418</v>
      </c>
      <c r="J1924" s="5" t="s">
        <v>13479</v>
      </c>
      <c r="M1924" s="12"/>
      <c r="N1924" s="45">
        <v>150000</v>
      </c>
      <c r="O1924" s="4" t="s">
        <v>15</v>
      </c>
      <c r="Q1924" s="3">
        <f t="shared" si="225"/>
        <v>150000</v>
      </c>
      <c r="R1924" s="3">
        <f t="shared" si="226"/>
        <v>0</v>
      </c>
    </row>
    <row r="1925" spans="2:20" hidden="1" x14ac:dyDescent="0.25">
      <c r="C1925" s="4" t="s">
        <v>5792</v>
      </c>
      <c r="E1925" s="5" t="s">
        <v>75</v>
      </c>
      <c r="G1925" s="146" t="s">
        <v>5582</v>
      </c>
      <c r="H1925" s="7" t="s">
        <v>6418</v>
      </c>
      <c r="J1925" s="5" t="s">
        <v>13480</v>
      </c>
      <c r="M1925" s="12"/>
      <c r="N1925" s="45">
        <v>150000</v>
      </c>
      <c r="O1925" s="4" t="s">
        <v>15</v>
      </c>
      <c r="Q1925" s="3">
        <f t="shared" si="225"/>
        <v>150000</v>
      </c>
      <c r="R1925" s="3">
        <f t="shared" si="226"/>
        <v>0</v>
      </c>
    </row>
    <row r="1926" spans="2:20" hidden="1" x14ac:dyDescent="0.25">
      <c r="C1926" s="4" t="s">
        <v>5792</v>
      </c>
      <c r="E1926" s="5" t="s">
        <v>75</v>
      </c>
      <c r="G1926" s="146" t="s">
        <v>5582</v>
      </c>
      <c r="H1926" s="7" t="s">
        <v>6418</v>
      </c>
      <c r="J1926" s="5" t="s">
        <v>13481</v>
      </c>
      <c r="M1926" s="12"/>
      <c r="N1926" s="45">
        <v>150000</v>
      </c>
      <c r="O1926" s="4" t="s">
        <v>15</v>
      </c>
      <c r="Q1926" s="3">
        <f t="shared" si="225"/>
        <v>150000</v>
      </c>
      <c r="R1926" s="3">
        <f t="shared" si="226"/>
        <v>0</v>
      </c>
    </row>
    <row r="1927" spans="2:20" hidden="1" x14ac:dyDescent="0.25">
      <c r="C1927" s="4" t="s">
        <v>5792</v>
      </c>
      <c r="E1927" s="5" t="s">
        <v>75</v>
      </c>
      <c r="G1927" s="146" t="s">
        <v>5582</v>
      </c>
      <c r="H1927" s="7" t="s">
        <v>6418</v>
      </c>
      <c r="J1927" s="5" t="s">
        <v>13482</v>
      </c>
      <c r="M1927" s="12"/>
      <c r="N1927" s="45">
        <v>150000</v>
      </c>
      <c r="O1927" s="4" t="s">
        <v>15</v>
      </c>
      <c r="Q1927" s="3">
        <f t="shared" si="225"/>
        <v>150000</v>
      </c>
      <c r="R1927" s="3">
        <f t="shared" si="226"/>
        <v>0</v>
      </c>
    </row>
    <row r="1928" spans="2:20" hidden="1" x14ac:dyDescent="0.25">
      <c r="C1928" s="4" t="s">
        <v>5792</v>
      </c>
      <c r="E1928" s="5" t="s">
        <v>75</v>
      </c>
      <c r="G1928" s="146" t="s">
        <v>5582</v>
      </c>
      <c r="H1928" s="7" t="s">
        <v>6418</v>
      </c>
      <c r="J1928" s="5" t="s">
        <v>13483</v>
      </c>
      <c r="M1928" s="12"/>
      <c r="N1928" s="45">
        <v>150000</v>
      </c>
      <c r="O1928" s="4" t="s">
        <v>15</v>
      </c>
      <c r="Q1928" s="3">
        <f t="shared" si="225"/>
        <v>150000</v>
      </c>
      <c r="R1928" s="3">
        <f t="shared" si="226"/>
        <v>0</v>
      </c>
    </row>
    <row r="1929" spans="2:20" hidden="1" x14ac:dyDescent="0.25">
      <c r="C1929" s="4" t="s">
        <v>5792</v>
      </c>
      <c r="E1929" s="5" t="s">
        <v>75</v>
      </c>
      <c r="G1929" s="146" t="s">
        <v>5582</v>
      </c>
      <c r="H1929" s="7" t="s">
        <v>6418</v>
      </c>
      <c r="J1929" s="170" t="s">
        <v>6438</v>
      </c>
      <c r="L1929" s="5" t="s">
        <v>14233</v>
      </c>
      <c r="M1929" s="12" t="s">
        <v>14234</v>
      </c>
      <c r="N1929" s="45">
        <f>1842924+1060703</f>
        <v>2903627</v>
      </c>
      <c r="O1929" s="4" t="s">
        <v>15</v>
      </c>
      <c r="P1929" s="45">
        <f>180000+24271+18613.4+32558.1+34920.77+8265.03+7467.37+10668.9+50512.51+50234.97+47803.38+6979.32+64135.95+42183.5+46777.6+32474.63+42870.97+11963.99+26175.43+11413.07+7090+65831.65+72614.37+21327.79+57921.41+113309.05+63885.46+28965.71+21481+18187.89+9013.65+76251.31+36608.9+1779.55+11890.8+15122.81+19256.43+4274.3+1653.38+61499.66+1838.38+66036.36+7625.02+49667.9</f>
        <v>1583422.6699999997</v>
      </c>
      <c r="Q1929" s="3">
        <f t="shared" si="218"/>
        <v>1320204.3300000003</v>
      </c>
      <c r="R1929" s="3">
        <f t="shared" si="222"/>
        <v>1583422.6699999997</v>
      </c>
      <c r="T1929" s="5" t="s">
        <v>8881</v>
      </c>
    </row>
    <row r="1930" spans="2:20" hidden="1" x14ac:dyDescent="0.25">
      <c r="C1930" s="4" t="s">
        <v>5792</v>
      </c>
      <c r="E1930" s="5" t="s">
        <v>75</v>
      </c>
      <c r="G1930" s="146" t="s">
        <v>5582</v>
      </c>
      <c r="H1930" s="7" t="s">
        <v>13475</v>
      </c>
      <c r="J1930" s="170" t="s">
        <v>180</v>
      </c>
      <c r="L1930" s="5" t="s">
        <v>14231</v>
      </c>
      <c r="M1930" s="12" t="s">
        <v>14232</v>
      </c>
      <c r="N1930" s="45">
        <f>1951435+109000+166461+25800+59144.3+603883.7</f>
        <v>2915724</v>
      </c>
      <c r="O1930" s="4" t="s">
        <v>15</v>
      </c>
      <c r="P1930" s="45">
        <f>100000+37935.64+32721.36+23607.63+38607.62+31183.36+10746.9+18678.87+13674.38+39195.25+16417.78+20282.59+4908.73+24548.66+38542.41+29657.75+24148.6+38569.96+31405.09+30713.81+26453.66+32780.21+54634.51+33448.02+23703.71+31583.64+32780.21+21213.96+29731.81+24759.82+22143.79+29270.4+19081.04+1956.46+34220.94+34116.48+5002.12+21365.65+19069.15+15419.83+37136.89+18627.82+37569.17+38862.85+12716.98+20321+24460.92</f>
        <v>1307977.43</v>
      </c>
      <c r="Q1930" s="3">
        <f t="shared" si="218"/>
        <v>1607746.57</v>
      </c>
      <c r="R1930" s="3">
        <f t="shared" si="222"/>
        <v>1307977.43</v>
      </c>
    </row>
    <row r="1931" spans="2:20" hidden="1" x14ac:dyDescent="0.25">
      <c r="C1931" s="4" t="s">
        <v>2450</v>
      </c>
      <c r="E1931" s="5" t="s">
        <v>0</v>
      </c>
      <c r="G1931" s="146" t="s">
        <v>7266</v>
      </c>
      <c r="H1931" s="7" t="s">
        <v>7564</v>
      </c>
      <c r="I1931" s="7" t="s">
        <v>8253</v>
      </c>
      <c r="J1931" s="5" t="s">
        <v>7565</v>
      </c>
      <c r="L1931" s="5" t="s">
        <v>9414</v>
      </c>
      <c r="M1931" s="12">
        <v>45310</v>
      </c>
      <c r="N1931" s="45">
        <v>5400</v>
      </c>
      <c r="O1931" s="4" t="s">
        <v>15</v>
      </c>
      <c r="P1931" s="4">
        <v>3000</v>
      </c>
      <c r="Q1931" s="45">
        <f t="shared" ref="Q1931:Q1938" si="227">IF(P1931="en cours",N1931,IF(P1931="OK",0,IF(N1931-P1931&lt;0,0,N1931-P1931)))</f>
        <v>2400</v>
      </c>
      <c r="R1931" s="3">
        <f t="shared" ref="R1931:R1932" si="228">IF(P1931="OK",N1931-Q1931,IF(P1931="en cours",N1931-Q1931,P1931))</f>
        <v>3000</v>
      </c>
    </row>
    <row r="1932" spans="2:20" hidden="1" x14ac:dyDescent="0.25">
      <c r="C1932" s="4" t="s">
        <v>2450</v>
      </c>
      <c r="E1932" s="5" t="s">
        <v>0</v>
      </c>
      <c r="G1932" s="146" t="s">
        <v>7266</v>
      </c>
      <c r="H1932" s="7" t="s">
        <v>8676</v>
      </c>
      <c r="I1932" s="7" t="s">
        <v>8677</v>
      </c>
      <c r="J1932" s="5" t="s">
        <v>8678</v>
      </c>
      <c r="K1932" s="5" t="s">
        <v>8679</v>
      </c>
      <c r="L1932" s="5" t="s">
        <v>12831</v>
      </c>
      <c r="M1932" s="12" t="s">
        <v>12832</v>
      </c>
      <c r="N1932" s="45">
        <v>1870200</v>
      </c>
      <c r="O1932" s="4" t="s">
        <v>15</v>
      </c>
      <c r="P1932" s="45">
        <f>254200+115575+115575+213270+241384+143864.86+538560+315453</f>
        <v>1937881.8599999999</v>
      </c>
      <c r="Q1932" s="45">
        <f t="shared" si="227"/>
        <v>0</v>
      </c>
      <c r="R1932" s="3">
        <f t="shared" si="228"/>
        <v>1937881.8599999999</v>
      </c>
    </row>
    <row r="1933" spans="2:20" hidden="1" x14ac:dyDescent="0.25">
      <c r="C1933" s="4" t="s">
        <v>2450</v>
      </c>
      <c r="E1933" s="5" t="s">
        <v>0</v>
      </c>
      <c r="G1933" s="146" t="s">
        <v>7266</v>
      </c>
      <c r="H1933" s="7" t="s">
        <v>8636</v>
      </c>
      <c r="I1933" s="7" t="s">
        <v>8637</v>
      </c>
      <c r="J1933" s="5" t="s">
        <v>8638</v>
      </c>
      <c r="L1933" s="5" t="s">
        <v>10651</v>
      </c>
      <c r="M1933" s="12" t="s">
        <v>10652</v>
      </c>
      <c r="N1933" s="45">
        <v>296200</v>
      </c>
      <c r="O1933" s="4" t="s">
        <v>15</v>
      </c>
      <c r="P1933" s="45">
        <f>31200+24200+24200+12000+36000+28800</f>
        <v>156400</v>
      </c>
      <c r="Q1933" s="45">
        <f t="shared" si="227"/>
        <v>139800</v>
      </c>
      <c r="R1933" s="3">
        <f t="shared" ref="R1933:R1938" si="229">IF(P1933="OK",N1933-Q1933,IF(P1933="en cours",N1933-Q1933,P1933))</f>
        <v>156400</v>
      </c>
    </row>
    <row r="1934" spans="2:20" hidden="1" x14ac:dyDescent="0.25">
      <c r="C1934" s="4" t="s">
        <v>2450</v>
      </c>
      <c r="E1934" s="5" t="s">
        <v>0</v>
      </c>
      <c r="G1934" s="146" t="s">
        <v>7266</v>
      </c>
      <c r="H1934" s="7" t="s">
        <v>8630</v>
      </c>
      <c r="I1934" s="7" t="s">
        <v>8631</v>
      </c>
      <c r="J1934" s="5" t="s">
        <v>8632</v>
      </c>
      <c r="L1934" s="5" t="s">
        <v>10690</v>
      </c>
      <c r="M1934" s="12">
        <v>45595</v>
      </c>
      <c r="N1934" s="45">
        <v>48000</v>
      </c>
      <c r="O1934" s="4" t="s">
        <v>15</v>
      </c>
      <c r="P1934" s="45">
        <v>32000</v>
      </c>
      <c r="Q1934" s="45">
        <f t="shared" si="227"/>
        <v>16000</v>
      </c>
      <c r="R1934" s="3">
        <f t="shared" si="229"/>
        <v>32000</v>
      </c>
    </row>
    <row r="1935" spans="2:20" hidden="1" x14ac:dyDescent="0.25">
      <c r="C1935" s="4" t="s">
        <v>2450</v>
      </c>
      <c r="E1935" s="5" t="s">
        <v>0</v>
      </c>
      <c r="G1935" s="146" t="s">
        <v>7266</v>
      </c>
      <c r="H1935" s="7" t="s">
        <v>8926</v>
      </c>
      <c r="I1935" s="7" t="s">
        <v>8927</v>
      </c>
      <c r="J1935" s="5" t="s">
        <v>8995</v>
      </c>
      <c r="L1935" s="5" t="s">
        <v>10889</v>
      </c>
      <c r="M1935" s="12" t="s">
        <v>10890</v>
      </c>
      <c r="N1935" s="45">
        <v>16000</v>
      </c>
      <c r="O1935" s="4" t="s">
        <v>15</v>
      </c>
      <c r="P1935" s="45">
        <f>5120+6400</f>
        <v>11520</v>
      </c>
      <c r="Q1935" s="45">
        <f t="shared" si="227"/>
        <v>4480</v>
      </c>
      <c r="R1935" s="3">
        <f t="shared" si="229"/>
        <v>11520</v>
      </c>
    </row>
    <row r="1936" spans="2:20" hidden="1" x14ac:dyDescent="0.25">
      <c r="C1936" s="4" t="s">
        <v>2450</v>
      </c>
      <c r="E1936" s="5" t="s">
        <v>0</v>
      </c>
      <c r="G1936" s="146" t="s">
        <v>7266</v>
      </c>
      <c r="H1936" s="7" t="s">
        <v>9421</v>
      </c>
      <c r="I1936" s="7" t="s">
        <v>9422</v>
      </c>
      <c r="J1936" s="5" t="s">
        <v>9423</v>
      </c>
      <c r="N1936" s="45">
        <v>4060</v>
      </c>
      <c r="O1936" s="4" t="s">
        <v>15</v>
      </c>
      <c r="Q1936" s="45">
        <f t="shared" si="227"/>
        <v>4060</v>
      </c>
      <c r="R1936" s="3">
        <f t="shared" si="229"/>
        <v>0</v>
      </c>
    </row>
    <row r="1937" spans="2:20" hidden="1" x14ac:dyDescent="0.25">
      <c r="C1937" s="4" t="s">
        <v>2450</v>
      </c>
      <c r="E1937" s="5" t="s">
        <v>0</v>
      </c>
      <c r="G1937" s="146" t="s">
        <v>7266</v>
      </c>
      <c r="H1937" s="7" t="s">
        <v>9444</v>
      </c>
      <c r="I1937" s="7" t="s">
        <v>9445</v>
      </c>
      <c r="J1937" s="5" t="s">
        <v>9446</v>
      </c>
      <c r="N1937" s="45">
        <v>31500</v>
      </c>
      <c r="O1937" s="4" t="s">
        <v>15</v>
      </c>
      <c r="Q1937" s="45">
        <f t="shared" si="227"/>
        <v>31500</v>
      </c>
      <c r="R1937" s="3">
        <f t="shared" si="229"/>
        <v>0</v>
      </c>
    </row>
    <row r="1938" spans="2:20" hidden="1" x14ac:dyDescent="0.25">
      <c r="C1938" s="4" t="s">
        <v>2450</v>
      </c>
      <c r="E1938" s="5" t="s">
        <v>0</v>
      </c>
      <c r="F1938" s="5" t="s">
        <v>9766</v>
      </c>
      <c r="G1938" s="146" t="s">
        <v>7266</v>
      </c>
      <c r="H1938" s="7" t="s">
        <v>10842</v>
      </c>
      <c r="I1938" s="7" t="s">
        <v>10199</v>
      </c>
      <c r="J1938" s="5" t="s">
        <v>10200</v>
      </c>
      <c r="L1938" s="5" t="s">
        <v>11001</v>
      </c>
      <c r="M1938" s="12">
        <v>45644</v>
      </c>
      <c r="N1938" s="45">
        <v>10450</v>
      </c>
      <c r="O1938" s="4" t="s">
        <v>15</v>
      </c>
      <c r="P1938" s="45">
        <v>10450</v>
      </c>
      <c r="Q1938" s="3">
        <f t="shared" si="227"/>
        <v>0</v>
      </c>
      <c r="R1938" s="3">
        <f t="shared" si="229"/>
        <v>10450</v>
      </c>
    </row>
    <row r="1939" spans="2:20" hidden="1" x14ac:dyDescent="0.25">
      <c r="C1939" s="4" t="s">
        <v>2450</v>
      </c>
      <c r="E1939" s="5" t="s">
        <v>0</v>
      </c>
      <c r="F1939" s="5" t="s">
        <v>9766</v>
      </c>
      <c r="G1939" s="146" t="s">
        <v>7266</v>
      </c>
      <c r="H1939" s="7" t="s">
        <v>10844</v>
      </c>
      <c r="I1939" s="7" t="s">
        <v>10845</v>
      </c>
      <c r="J1939" s="5" t="s">
        <v>10846</v>
      </c>
      <c r="L1939" s="5" t="s">
        <v>13685</v>
      </c>
      <c r="M1939" s="12">
        <v>46013</v>
      </c>
      <c r="N1939" s="45">
        <v>23450</v>
      </c>
      <c r="O1939" s="4" t="s">
        <v>15</v>
      </c>
      <c r="P1939" s="45">
        <f>18750</f>
        <v>18750</v>
      </c>
      <c r="Q1939" s="3">
        <f t="shared" ref="Q1939:Q1948" si="230">IF(P1939="en cours",N1939,IF(P1939="OK",0,IF(N1939-P1939&lt;0,0,N1939-P1939)))</f>
        <v>4700</v>
      </c>
      <c r="R1939" s="3">
        <f>IF(P1939="OK",N1939-Q1939,IF(P1939="en cours",M1939-Q1939,P1939))</f>
        <v>18750</v>
      </c>
    </row>
    <row r="1940" spans="2:20" hidden="1" x14ac:dyDescent="0.25">
      <c r="B1940" s="21" t="s">
        <v>395</v>
      </c>
      <c r="C1940" s="22" t="s">
        <v>2450</v>
      </c>
      <c r="D1940" s="22"/>
      <c r="E1940" s="21" t="s">
        <v>0</v>
      </c>
      <c r="F1940" s="21" t="s">
        <v>9766</v>
      </c>
      <c r="G1940" s="147" t="s">
        <v>7266</v>
      </c>
      <c r="H1940" s="23" t="s">
        <v>10847</v>
      </c>
      <c r="I1940" s="23" t="s">
        <v>10848</v>
      </c>
      <c r="J1940" s="21" t="s">
        <v>10849</v>
      </c>
      <c r="K1940" s="47">
        <v>46022</v>
      </c>
      <c r="L1940" s="21" t="s">
        <v>13971</v>
      </c>
      <c r="M1940" s="26">
        <v>46051</v>
      </c>
      <c r="N1940" s="44">
        <v>6900</v>
      </c>
      <c r="O1940" s="22" t="s">
        <v>15</v>
      </c>
      <c r="P1940" s="44">
        <v>6900</v>
      </c>
      <c r="Q1940" s="24">
        <f t="shared" si="230"/>
        <v>0</v>
      </c>
      <c r="R1940" s="24">
        <f>IF(P1940="OK",N1940-Q1940,IF(P1940="en cours",M1940-Q1940,P1940))</f>
        <v>6900</v>
      </c>
      <c r="S1940" s="21"/>
    </row>
    <row r="1941" spans="2:20" hidden="1" x14ac:dyDescent="0.25">
      <c r="C1941" s="4" t="s">
        <v>2450</v>
      </c>
      <c r="E1941" s="5" t="s">
        <v>0</v>
      </c>
      <c r="F1941" s="5" t="s">
        <v>9807</v>
      </c>
      <c r="G1941" s="146" t="s">
        <v>7266</v>
      </c>
      <c r="H1941" s="7" t="s">
        <v>10969</v>
      </c>
      <c r="I1941" s="7" t="s">
        <v>10970</v>
      </c>
      <c r="J1941" s="5" t="s">
        <v>10971</v>
      </c>
      <c r="L1941" s="5" t="s">
        <v>11002</v>
      </c>
      <c r="M1941" s="12">
        <v>45645</v>
      </c>
      <c r="N1941" s="45">
        <v>12240</v>
      </c>
      <c r="O1941" s="4" t="s">
        <v>15</v>
      </c>
      <c r="P1941" s="45">
        <v>12240</v>
      </c>
      <c r="Q1941" s="3">
        <f t="shared" si="230"/>
        <v>0</v>
      </c>
      <c r="R1941" s="3">
        <f t="shared" ref="R1941:R1973" si="231">IF(P1941="OK",N1941-Q1941,IF(P1941="en cours",N1941-Q1941,P1941))</f>
        <v>12240</v>
      </c>
    </row>
    <row r="1942" spans="2:20" hidden="1" x14ac:dyDescent="0.25">
      <c r="B1942" s="421" t="s">
        <v>395</v>
      </c>
      <c r="C1942" s="22" t="s">
        <v>2450</v>
      </c>
      <c r="D1942" s="22"/>
      <c r="E1942" s="21" t="s">
        <v>0</v>
      </c>
      <c r="F1942" s="21" t="s">
        <v>9823</v>
      </c>
      <c r="G1942" s="147" t="s">
        <v>7266</v>
      </c>
      <c r="H1942" s="23" t="s">
        <v>11073</v>
      </c>
      <c r="I1942" s="23" t="s">
        <v>11074</v>
      </c>
      <c r="J1942" s="21" t="s">
        <v>11175</v>
      </c>
      <c r="K1942" s="21"/>
      <c r="L1942" s="21" t="s">
        <v>12031</v>
      </c>
      <c r="M1942" s="26" t="s">
        <v>12032</v>
      </c>
      <c r="N1942" s="44">
        <v>33750</v>
      </c>
      <c r="O1942" s="22" t="s">
        <v>15</v>
      </c>
      <c r="P1942" s="44">
        <f>10125+21525+2100</f>
        <v>33750</v>
      </c>
      <c r="Q1942" s="44">
        <f t="shared" si="230"/>
        <v>0</v>
      </c>
      <c r="R1942" s="24">
        <f t="shared" si="231"/>
        <v>33750</v>
      </c>
    </row>
    <row r="1943" spans="2:20" hidden="1" x14ac:dyDescent="0.25">
      <c r="C1943" s="4" t="s">
        <v>2450</v>
      </c>
      <c r="E1943" s="5" t="s">
        <v>0</v>
      </c>
      <c r="F1943" s="5" t="s">
        <v>9807</v>
      </c>
      <c r="G1943" s="146" t="s">
        <v>7266</v>
      </c>
      <c r="H1943" s="7" t="s">
        <v>11964</v>
      </c>
      <c r="I1943" s="7" t="s">
        <v>11147</v>
      </c>
      <c r="J1943" s="5" t="s">
        <v>11963</v>
      </c>
      <c r="L1943" s="5" t="s">
        <v>11965</v>
      </c>
      <c r="M1943" s="12">
        <v>45812</v>
      </c>
      <c r="N1943" s="45">
        <v>69600</v>
      </c>
      <c r="O1943" s="4" t="s">
        <v>15</v>
      </c>
      <c r="P1943" s="45">
        <f>13000</f>
        <v>13000</v>
      </c>
      <c r="Q1943" s="45">
        <f t="shared" si="230"/>
        <v>56600</v>
      </c>
      <c r="R1943" s="3">
        <f t="shared" si="231"/>
        <v>13000</v>
      </c>
    </row>
    <row r="1944" spans="2:20" hidden="1" x14ac:dyDescent="0.25">
      <c r="C1944" s="4" t="s">
        <v>2450</v>
      </c>
      <c r="E1944" s="5" t="s">
        <v>0</v>
      </c>
      <c r="F1944" s="5" t="s">
        <v>9807</v>
      </c>
      <c r="G1944" s="146" t="s">
        <v>7266</v>
      </c>
      <c r="H1944" s="7" t="s">
        <v>11160</v>
      </c>
      <c r="I1944" s="7" t="s">
        <v>11161</v>
      </c>
      <c r="J1944" s="5" t="s">
        <v>11162</v>
      </c>
      <c r="L1944" s="5" t="s">
        <v>11262</v>
      </c>
      <c r="M1944" s="12">
        <v>45712</v>
      </c>
      <c r="N1944" s="45">
        <v>12250</v>
      </c>
      <c r="O1944" s="4" t="s">
        <v>15</v>
      </c>
      <c r="P1944" s="45">
        <v>6125</v>
      </c>
      <c r="Q1944" s="45">
        <f t="shared" si="230"/>
        <v>6125</v>
      </c>
      <c r="R1944" s="3">
        <f t="shared" si="231"/>
        <v>6125</v>
      </c>
    </row>
    <row r="1945" spans="2:20" hidden="1" x14ac:dyDescent="0.25">
      <c r="C1945" s="4" t="s">
        <v>2450</v>
      </c>
      <c r="E1945" s="5" t="s">
        <v>0</v>
      </c>
      <c r="F1945" s="5" t="s">
        <v>9807</v>
      </c>
      <c r="G1945" s="146" t="s">
        <v>7266</v>
      </c>
      <c r="H1945" s="7" t="s">
        <v>11280</v>
      </c>
      <c r="I1945" s="7" t="s">
        <v>11279</v>
      </c>
      <c r="J1945" s="7" t="s">
        <v>11163</v>
      </c>
      <c r="L1945" s="5" t="s">
        <v>12056</v>
      </c>
      <c r="M1945" s="12" t="s">
        <v>12057</v>
      </c>
      <c r="N1945" s="45">
        <v>377440</v>
      </c>
      <c r="O1945" s="4" t="s">
        <v>15</v>
      </c>
      <c r="P1945" s="45">
        <f>56817+27500+67800</f>
        <v>152117</v>
      </c>
      <c r="Q1945" s="45">
        <f t="shared" si="230"/>
        <v>225323</v>
      </c>
      <c r="R1945" s="3">
        <f t="shared" si="231"/>
        <v>152117</v>
      </c>
      <c r="S1945" s="5" t="s">
        <v>11281</v>
      </c>
    </row>
    <row r="1946" spans="2:20" s="252" customFormat="1" hidden="1" x14ac:dyDescent="0.25">
      <c r="B1946" s="421" t="s">
        <v>395</v>
      </c>
      <c r="C1946" s="422" t="s">
        <v>2450</v>
      </c>
      <c r="D1946" s="422"/>
      <c r="E1946" s="421" t="s">
        <v>0</v>
      </c>
      <c r="F1946" s="421" t="s">
        <v>9823</v>
      </c>
      <c r="G1946" s="502" t="s">
        <v>7266</v>
      </c>
      <c r="H1946" s="423" t="s">
        <v>11177</v>
      </c>
      <c r="I1946" s="423" t="s">
        <v>11174</v>
      </c>
      <c r="J1946" s="421" t="s">
        <v>11176</v>
      </c>
      <c r="K1946" s="421"/>
      <c r="L1946" s="421" t="s">
        <v>11555</v>
      </c>
      <c r="M1946" s="46">
        <v>45743</v>
      </c>
      <c r="N1946" s="424">
        <v>22275</v>
      </c>
      <c r="O1946" s="422" t="s">
        <v>15</v>
      </c>
      <c r="P1946" s="424">
        <v>22275</v>
      </c>
      <c r="Q1946" s="424">
        <f t="shared" si="230"/>
        <v>0</v>
      </c>
      <c r="R1946" s="425">
        <f t="shared" si="231"/>
        <v>22275</v>
      </c>
      <c r="S1946" s="250"/>
      <c r="T1946" s="250"/>
    </row>
    <row r="1947" spans="2:20" hidden="1" x14ac:dyDescent="0.25">
      <c r="C1947" s="4" t="s">
        <v>2450</v>
      </c>
      <c r="E1947" s="5" t="s">
        <v>7137</v>
      </c>
      <c r="G1947" s="146" t="s">
        <v>846</v>
      </c>
      <c r="H1947" s="7" t="s">
        <v>7743</v>
      </c>
      <c r="I1947" s="7" t="s">
        <v>8289</v>
      </c>
      <c r="J1947" s="5" t="s">
        <v>7744</v>
      </c>
      <c r="L1947" s="5" t="s">
        <v>8834</v>
      </c>
      <c r="M1947" s="12" t="s">
        <v>8835</v>
      </c>
      <c r="N1947" s="45">
        <v>7100</v>
      </c>
      <c r="O1947" s="4" t="s">
        <v>15</v>
      </c>
      <c r="P1947" s="45">
        <f>4598+1155</f>
        <v>5753</v>
      </c>
      <c r="Q1947" s="45">
        <f t="shared" si="230"/>
        <v>1347</v>
      </c>
      <c r="R1947" s="3">
        <f t="shared" si="231"/>
        <v>5753</v>
      </c>
    </row>
    <row r="1948" spans="2:20" hidden="1" x14ac:dyDescent="0.25">
      <c r="B1948" s="21" t="s">
        <v>395</v>
      </c>
      <c r="C1948" s="22" t="s">
        <v>158</v>
      </c>
      <c r="D1948" s="22"/>
      <c r="E1948" s="21" t="s">
        <v>729</v>
      </c>
      <c r="F1948" s="21"/>
      <c r="G1948" s="147" t="s">
        <v>846</v>
      </c>
      <c r="H1948" s="23" t="s">
        <v>6818</v>
      </c>
      <c r="I1948" s="23" t="s">
        <v>8169</v>
      </c>
      <c r="J1948" s="21" t="s">
        <v>6816</v>
      </c>
      <c r="K1948" s="21"/>
      <c r="L1948" s="21" t="s">
        <v>6944</v>
      </c>
      <c r="M1948" s="26">
        <v>44762</v>
      </c>
      <c r="N1948" s="44">
        <v>5500</v>
      </c>
      <c r="O1948" s="22" t="s">
        <v>15</v>
      </c>
      <c r="P1948" s="22">
        <v>5500</v>
      </c>
      <c r="Q1948" s="24">
        <f t="shared" si="230"/>
        <v>0</v>
      </c>
      <c r="R1948" s="24">
        <f t="shared" si="231"/>
        <v>5500</v>
      </c>
    </row>
    <row r="1949" spans="2:20" hidden="1" x14ac:dyDescent="0.25">
      <c r="B1949" s="21" t="s">
        <v>395</v>
      </c>
      <c r="C1949" s="22" t="s">
        <v>158</v>
      </c>
      <c r="D1949" s="22"/>
      <c r="E1949" s="21" t="s">
        <v>729</v>
      </c>
      <c r="F1949" s="21"/>
      <c r="G1949" s="147" t="s">
        <v>846</v>
      </c>
      <c r="H1949" s="23" t="s">
        <v>6819</v>
      </c>
      <c r="I1949" s="23" t="s">
        <v>8170</v>
      </c>
      <c r="J1949" s="21" t="s">
        <v>6817</v>
      </c>
      <c r="K1949" s="21"/>
      <c r="L1949" s="21" t="s">
        <v>6945</v>
      </c>
      <c r="M1949" s="26">
        <v>44762</v>
      </c>
      <c r="N1949" s="44">
        <v>5985</v>
      </c>
      <c r="O1949" s="22" t="s">
        <v>15</v>
      </c>
      <c r="P1949" s="22">
        <v>5500</v>
      </c>
      <c r="Q1949" s="24">
        <v>0</v>
      </c>
      <c r="R1949" s="24">
        <f t="shared" si="231"/>
        <v>5500</v>
      </c>
    </row>
    <row r="1950" spans="2:20" hidden="1" x14ac:dyDescent="0.25">
      <c r="B1950" s="21" t="s">
        <v>395</v>
      </c>
      <c r="C1950" s="22" t="s">
        <v>158</v>
      </c>
      <c r="D1950" s="22"/>
      <c r="E1950" s="21" t="s">
        <v>729</v>
      </c>
      <c r="F1950" s="21"/>
      <c r="G1950" s="147" t="s">
        <v>846</v>
      </c>
      <c r="H1950" s="23" t="s">
        <v>939</v>
      </c>
      <c r="I1950" s="23"/>
      <c r="J1950" s="21" t="s">
        <v>839</v>
      </c>
      <c r="K1950" s="120"/>
      <c r="L1950" s="21" t="s">
        <v>1980</v>
      </c>
      <c r="M1950" s="47">
        <v>43385</v>
      </c>
      <c r="N1950" s="44">
        <v>2000</v>
      </c>
      <c r="O1950" s="22" t="s">
        <v>15</v>
      </c>
      <c r="P1950" s="22" t="s">
        <v>19</v>
      </c>
      <c r="Q1950" s="24">
        <f t="shared" ref="Q1950:Q1981" si="232">IF(P1950="en cours",N1950,IF(P1950="OK",0,IF(N1950-P1950&lt;0,0,N1950-P1950)))</f>
        <v>0</v>
      </c>
      <c r="R1950" s="24">
        <f t="shared" si="231"/>
        <v>2000</v>
      </c>
    </row>
    <row r="1951" spans="2:20" hidden="1" x14ac:dyDescent="0.25">
      <c r="B1951" s="21" t="s">
        <v>395</v>
      </c>
      <c r="C1951" s="22" t="s">
        <v>158</v>
      </c>
      <c r="D1951" s="22"/>
      <c r="E1951" s="21" t="s">
        <v>729</v>
      </c>
      <c r="F1951" s="21"/>
      <c r="G1951" s="147" t="s">
        <v>846</v>
      </c>
      <c r="H1951" s="23" t="s">
        <v>939</v>
      </c>
      <c r="I1951" s="23"/>
      <c r="J1951" s="21" t="s">
        <v>840</v>
      </c>
      <c r="K1951" s="120"/>
      <c r="L1951" s="21" t="s">
        <v>1980</v>
      </c>
      <c r="M1951" s="47">
        <v>43385</v>
      </c>
      <c r="N1951" s="44">
        <v>2000</v>
      </c>
      <c r="O1951" s="22" t="s">
        <v>15</v>
      </c>
      <c r="P1951" s="22" t="s">
        <v>19</v>
      </c>
      <c r="Q1951" s="24">
        <f t="shared" si="232"/>
        <v>0</v>
      </c>
      <c r="R1951" s="24">
        <f t="shared" si="231"/>
        <v>2000</v>
      </c>
    </row>
    <row r="1952" spans="2:20" hidden="1" x14ac:dyDescent="0.25">
      <c r="B1952" s="21" t="s">
        <v>395</v>
      </c>
      <c r="C1952" s="22" t="s">
        <v>158</v>
      </c>
      <c r="D1952" s="22"/>
      <c r="E1952" s="21" t="s">
        <v>729</v>
      </c>
      <c r="F1952" s="21"/>
      <c r="G1952" s="147" t="s">
        <v>846</v>
      </c>
      <c r="H1952" s="23" t="s">
        <v>939</v>
      </c>
      <c r="I1952" s="23"/>
      <c r="J1952" s="21" t="s">
        <v>841</v>
      </c>
      <c r="K1952" s="120"/>
      <c r="L1952" s="21" t="s">
        <v>1981</v>
      </c>
      <c r="M1952" s="21" t="s">
        <v>1982</v>
      </c>
      <c r="N1952" s="44">
        <v>3500</v>
      </c>
      <c r="O1952" s="22" t="s">
        <v>15</v>
      </c>
      <c r="P1952" s="22">
        <f>1000+2500</f>
        <v>3500</v>
      </c>
      <c r="Q1952" s="24">
        <f t="shared" si="232"/>
        <v>0</v>
      </c>
      <c r="R1952" s="24">
        <f t="shared" si="231"/>
        <v>3500</v>
      </c>
    </row>
    <row r="1953" spans="2:19" hidden="1" x14ac:dyDescent="0.25">
      <c r="B1953" s="21" t="s">
        <v>395</v>
      </c>
      <c r="C1953" s="22" t="s">
        <v>158</v>
      </c>
      <c r="D1953" s="22"/>
      <c r="E1953" s="21" t="s">
        <v>729</v>
      </c>
      <c r="F1953" s="21"/>
      <c r="G1953" s="147" t="s">
        <v>846</v>
      </c>
      <c r="H1953" s="23" t="s">
        <v>939</v>
      </c>
      <c r="I1953" s="23"/>
      <c r="J1953" s="21" t="s">
        <v>842</v>
      </c>
      <c r="K1953" s="120"/>
      <c r="L1953" s="21" t="s">
        <v>1983</v>
      </c>
      <c r="M1953" s="47">
        <v>43465</v>
      </c>
      <c r="N1953" s="44">
        <v>500</v>
      </c>
      <c r="O1953" s="22" t="s">
        <v>15</v>
      </c>
      <c r="P1953" s="22">
        <v>500</v>
      </c>
      <c r="Q1953" s="24">
        <f t="shared" si="232"/>
        <v>0</v>
      </c>
      <c r="R1953" s="24">
        <f t="shared" si="231"/>
        <v>500</v>
      </c>
    </row>
    <row r="1954" spans="2:19" hidden="1" x14ac:dyDescent="0.25">
      <c r="B1954" s="21" t="s">
        <v>395</v>
      </c>
      <c r="C1954" s="22" t="s">
        <v>158</v>
      </c>
      <c r="D1954" s="22"/>
      <c r="E1954" s="21" t="s">
        <v>729</v>
      </c>
      <c r="F1954" s="21"/>
      <c r="G1954" s="147" t="s">
        <v>846</v>
      </c>
      <c r="H1954" s="23" t="s">
        <v>939</v>
      </c>
      <c r="I1954" s="23"/>
      <c r="J1954" s="21" t="s">
        <v>843</v>
      </c>
      <c r="K1954" s="120">
        <v>43922</v>
      </c>
      <c r="L1954" s="21"/>
      <c r="M1954" s="21"/>
      <c r="N1954" s="44">
        <v>0</v>
      </c>
      <c r="O1954" s="22" t="s">
        <v>15</v>
      </c>
      <c r="P1954" s="22"/>
      <c r="Q1954" s="24">
        <f t="shared" si="232"/>
        <v>0</v>
      </c>
      <c r="R1954" s="24">
        <f t="shared" si="231"/>
        <v>0</v>
      </c>
    </row>
    <row r="1955" spans="2:19" hidden="1" x14ac:dyDescent="0.25">
      <c r="B1955" s="21" t="s">
        <v>395</v>
      </c>
      <c r="C1955" s="22" t="s">
        <v>158</v>
      </c>
      <c r="D1955" s="22"/>
      <c r="E1955" s="21" t="s">
        <v>729</v>
      </c>
      <c r="F1955" s="21"/>
      <c r="G1955" s="147" t="s">
        <v>846</v>
      </c>
      <c r="H1955" s="23" t="s">
        <v>939</v>
      </c>
      <c r="I1955" s="23"/>
      <c r="J1955" s="21" t="s">
        <v>844</v>
      </c>
      <c r="K1955" s="120">
        <v>43922</v>
      </c>
      <c r="L1955" s="21"/>
      <c r="M1955" s="21"/>
      <c r="N1955" s="44">
        <v>0</v>
      </c>
      <c r="O1955" s="22" t="s">
        <v>15</v>
      </c>
      <c r="P1955" s="22"/>
      <c r="Q1955" s="24">
        <f t="shared" si="232"/>
        <v>0</v>
      </c>
      <c r="R1955" s="24">
        <f t="shared" si="231"/>
        <v>0</v>
      </c>
    </row>
    <row r="1956" spans="2:19" hidden="1" x14ac:dyDescent="0.25">
      <c r="B1956" s="21" t="s">
        <v>395</v>
      </c>
      <c r="C1956" s="22" t="s">
        <v>158</v>
      </c>
      <c r="D1956" s="22"/>
      <c r="E1956" s="21" t="s">
        <v>729</v>
      </c>
      <c r="F1956" s="21"/>
      <c r="G1956" s="147" t="s">
        <v>846</v>
      </c>
      <c r="H1956" s="23" t="s">
        <v>939</v>
      </c>
      <c r="I1956" s="23"/>
      <c r="J1956" s="21" t="s">
        <v>845</v>
      </c>
      <c r="K1956" s="120"/>
      <c r="L1956" s="21"/>
      <c r="M1956" s="21"/>
      <c r="N1956" s="44">
        <v>0</v>
      </c>
      <c r="O1956" s="22" t="s">
        <v>15</v>
      </c>
      <c r="P1956" s="22" t="s">
        <v>19</v>
      </c>
      <c r="Q1956" s="24">
        <f t="shared" si="232"/>
        <v>0</v>
      </c>
      <c r="R1956" s="24">
        <f t="shared" si="231"/>
        <v>0</v>
      </c>
    </row>
    <row r="1957" spans="2:19" hidden="1" x14ac:dyDescent="0.25">
      <c r="B1957" s="21" t="s">
        <v>395</v>
      </c>
      <c r="C1957" s="22" t="s">
        <v>158</v>
      </c>
      <c r="D1957" s="22"/>
      <c r="E1957" s="21" t="s">
        <v>729</v>
      </c>
      <c r="F1957" s="21"/>
      <c r="G1957" s="147" t="s">
        <v>846</v>
      </c>
      <c r="H1957" s="23" t="s">
        <v>939</v>
      </c>
      <c r="I1957" s="23"/>
      <c r="J1957" s="21" t="s">
        <v>2506</v>
      </c>
      <c r="K1957" s="120"/>
      <c r="L1957" s="21"/>
      <c r="M1957" s="21"/>
      <c r="N1957" s="44">
        <v>0</v>
      </c>
      <c r="O1957" s="22" t="s">
        <v>15</v>
      </c>
      <c r="P1957" s="22" t="s">
        <v>19</v>
      </c>
      <c r="Q1957" s="24">
        <f t="shared" si="232"/>
        <v>0</v>
      </c>
      <c r="R1957" s="24">
        <f t="shared" si="231"/>
        <v>0</v>
      </c>
      <c r="S1957" s="5" t="s">
        <v>2507</v>
      </c>
    </row>
    <row r="1958" spans="2:19" hidden="1" x14ac:dyDescent="0.25">
      <c r="B1958" s="21" t="s">
        <v>395</v>
      </c>
      <c r="C1958" s="22" t="s">
        <v>158</v>
      </c>
      <c r="D1958" s="22"/>
      <c r="E1958" s="21" t="s">
        <v>729</v>
      </c>
      <c r="F1958" s="21"/>
      <c r="G1958" s="147" t="s">
        <v>846</v>
      </c>
      <c r="H1958" s="23" t="s">
        <v>939</v>
      </c>
      <c r="I1958" s="23"/>
      <c r="J1958" s="208" t="s">
        <v>2508</v>
      </c>
      <c r="K1958" s="120"/>
      <c r="L1958" s="21" t="s">
        <v>5940</v>
      </c>
      <c r="M1958" s="47">
        <v>44456</v>
      </c>
      <c r="N1958" s="44">
        <v>2000</v>
      </c>
      <c r="O1958" s="22" t="s">
        <v>15</v>
      </c>
      <c r="P1958" s="22">
        <v>3750</v>
      </c>
      <c r="Q1958" s="24">
        <f t="shared" si="232"/>
        <v>0</v>
      </c>
      <c r="R1958" s="24">
        <f t="shared" si="231"/>
        <v>3750</v>
      </c>
    </row>
    <row r="1959" spans="2:19" hidden="1" x14ac:dyDescent="0.25">
      <c r="B1959" s="21" t="s">
        <v>395</v>
      </c>
      <c r="C1959" s="22" t="s">
        <v>158</v>
      </c>
      <c r="D1959" s="22"/>
      <c r="E1959" s="21" t="s">
        <v>729</v>
      </c>
      <c r="F1959" s="21"/>
      <c r="G1959" s="147" t="s">
        <v>846</v>
      </c>
      <c r="H1959" s="23" t="s">
        <v>939</v>
      </c>
      <c r="I1959" s="23"/>
      <c r="J1959" s="21" t="s">
        <v>2509</v>
      </c>
      <c r="K1959" s="120"/>
      <c r="L1959" s="21"/>
      <c r="M1959" s="70"/>
      <c r="N1959" s="44">
        <v>0</v>
      </c>
      <c r="O1959" s="22" t="s">
        <v>15</v>
      </c>
      <c r="P1959" s="22" t="s">
        <v>19</v>
      </c>
      <c r="Q1959" s="24">
        <f t="shared" si="232"/>
        <v>0</v>
      </c>
      <c r="R1959" s="24">
        <f t="shared" si="231"/>
        <v>0</v>
      </c>
      <c r="S1959" s="5" t="s">
        <v>2510</v>
      </c>
    </row>
    <row r="1960" spans="2:19" hidden="1" x14ac:dyDescent="0.25">
      <c r="B1960" s="21" t="s">
        <v>395</v>
      </c>
      <c r="C1960" s="22" t="s">
        <v>158</v>
      </c>
      <c r="D1960" s="22"/>
      <c r="E1960" s="21" t="s">
        <v>729</v>
      </c>
      <c r="F1960" s="21"/>
      <c r="G1960" s="147" t="s">
        <v>846</v>
      </c>
      <c r="H1960" s="23" t="s">
        <v>939</v>
      </c>
      <c r="I1960" s="23"/>
      <c r="J1960" s="21" t="s">
        <v>2511</v>
      </c>
      <c r="K1960" s="120"/>
      <c r="L1960" s="21"/>
      <c r="M1960" s="70"/>
      <c r="N1960" s="44">
        <v>0</v>
      </c>
      <c r="O1960" s="22" t="s">
        <v>15</v>
      </c>
      <c r="P1960" s="22" t="s">
        <v>19</v>
      </c>
      <c r="Q1960" s="24">
        <f t="shared" si="232"/>
        <v>0</v>
      </c>
      <c r="R1960" s="24">
        <f t="shared" si="231"/>
        <v>0</v>
      </c>
      <c r="S1960" s="5" t="s">
        <v>2512</v>
      </c>
    </row>
    <row r="1961" spans="2:19" hidden="1" x14ac:dyDescent="0.25">
      <c r="C1961" s="4" t="s">
        <v>158</v>
      </c>
      <c r="E1961" s="5" t="s">
        <v>7137</v>
      </c>
      <c r="G1961" s="146" t="s">
        <v>846</v>
      </c>
      <c r="H1961" s="7" t="s">
        <v>7466</v>
      </c>
      <c r="I1961" s="7" t="s">
        <v>8243</v>
      </c>
      <c r="J1961" s="5" t="s">
        <v>7467</v>
      </c>
      <c r="L1961" s="5" t="s">
        <v>8465</v>
      </c>
      <c r="M1961" s="12" t="s">
        <v>8466</v>
      </c>
      <c r="N1961" s="45">
        <f>1100+1100+3300+550+500</f>
        <v>6550</v>
      </c>
      <c r="O1961" s="4" t="s">
        <v>15</v>
      </c>
      <c r="P1961" s="45">
        <f>4400+161</f>
        <v>4561</v>
      </c>
      <c r="Q1961" s="45">
        <f t="shared" si="232"/>
        <v>1989</v>
      </c>
      <c r="R1961" s="3">
        <f t="shared" si="231"/>
        <v>4561</v>
      </c>
    </row>
    <row r="1962" spans="2:19" hidden="1" x14ac:dyDescent="0.25">
      <c r="C1962" s="4" t="s">
        <v>158</v>
      </c>
      <c r="E1962" s="5" t="s">
        <v>7137</v>
      </c>
      <c r="G1962" s="146" t="s">
        <v>846</v>
      </c>
      <c r="H1962" s="7" t="s">
        <v>7464</v>
      </c>
      <c r="I1962" s="7" t="s">
        <v>8242</v>
      </c>
      <c r="J1962" s="5" t="s">
        <v>7465</v>
      </c>
      <c r="L1962" s="5" t="s">
        <v>8465</v>
      </c>
      <c r="M1962" s="12" t="s">
        <v>8466</v>
      </c>
      <c r="N1962" s="45">
        <v>5500</v>
      </c>
      <c r="O1962" s="4" t="s">
        <v>15</v>
      </c>
      <c r="P1962" s="45">
        <f>687.5+2266</f>
        <v>2953.5</v>
      </c>
      <c r="Q1962" s="45">
        <f t="shared" si="232"/>
        <v>2546.5</v>
      </c>
      <c r="R1962" s="3">
        <f t="shared" si="231"/>
        <v>2953.5</v>
      </c>
    </row>
    <row r="1963" spans="2:19" hidden="1" x14ac:dyDescent="0.25">
      <c r="B1963" s="21" t="s">
        <v>395</v>
      </c>
      <c r="C1963" s="22" t="s">
        <v>158</v>
      </c>
      <c r="D1963" s="22"/>
      <c r="E1963" s="21" t="s">
        <v>7137</v>
      </c>
      <c r="F1963" s="21"/>
      <c r="G1963" s="147" t="s">
        <v>846</v>
      </c>
      <c r="H1963" s="23" t="s">
        <v>8578</v>
      </c>
      <c r="I1963" s="23" t="s">
        <v>8579</v>
      </c>
      <c r="J1963" s="21" t="s">
        <v>8580</v>
      </c>
      <c r="K1963" s="47"/>
      <c r="L1963" s="21" t="s">
        <v>10873</v>
      </c>
      <c r="M1963" s="26" t="s">
        <v>10874</v>
      </c>
      <c r="N1963" s="44">
        <v>19550</v>
      </c>
      <c r="O1963" s="22" t="s">
        <v>15</v>
      </c>
      <c r="P1963" s="44">
        <f>825+(140+2131.25+756.25+595.83+2567.13+515.63+1054.63)+(1890.63+275+1386+137.5+687.5)+7287.51+(1467.13+12460)+6055</f>
        <v>40231.990000000005</v>
      </c>
      <c r="Q1963" s="44">
        <f t="shared" si="232"/>
        <v>0</v>
      </c>
      <c r="R1963" s="24">
        <f t="shared" si="231"/>
        <v>40231.990000000005</v>
      </c>
    </row>
    <row r="1964" spans="2:19" hidden="1" x14ac:dyDescent="0.25">
      <c r="B1964" s="21" t="s">
        <v>395</v>
      </c>
      <c r="C1964" s="22" t="s">
        <v>158</v>
      </c>
      <c r="D1964" s="22"/>
      <c r="E1964" s="21" t="s">
        <v>7137</v>
      </c>
      <c r="F1964" s="21"/>
      <c r="G1964" s="147" t="s">
        <v>846</v>
      </c>
      <c r="H1964" s="23" t="s">
        <v>8866</v>
      </c>
      <c r="I1964" s="23" t="s">
        <v>8867</v>
      </c>
      <c r="J1964" s="21" t="s">
        <v>8868</v>
      </c>
      <c r="K1964" s="21"/>
      <c r="L1964" s="21" t="s">
        <v>10875</v>
      </c>
      <c r="M1964" s="26" t="s">
        <v>10876</v>
      </c>
      <c r="N1964" s="44">
        <v>22000</v>
      </c>
      <c r="O1964" s="22" t="s">
        <v>15</v>
      </c>
      <c r="P1964" s="44">
        <f>9215.41+(34.38+836+779.63+859.38+1100+2406.25+1100+561.69+2200+3654.75+515.23)+286+(193.33+343.75)</f>
        <v>24085.800000000003</v>
      </c>
      <c r="Q1964" s="44">
        <f t="shared" si="232"/>
        <v>0</v>
      </c>
      <c r="R1964" s="24">
        <f t="shared" si="231"/>
        <v>24085.800000000003</v>
      </c>
    </row>
    <row r="1965" spans="2:19" ht="18.75" hidden="1" customHeight="1" x14ac:dyDescent="0.25">
      <c r="B1965" s="21" t="s">
        <v>395</v>
      </c>
      <c r="C1965" s="22" t="s">
        <v>158</v>
      </c>
      <c r="D1965" s="22"/>
      <c r="E1965" s="21" t="s">
        <v>7137</v>
      </c>
      <c r="F1965" s="21"/>
      <c r="G1965" s="147" t="s">
        <v>846</v>
      </c>
      <c r="H1965" s="23" t="s">
        <v>7544</v>
      </c>
      <c r="I1965" s="23" t="s">
        <v>8251</v>
      </c>
      <c r="J1965" s="21" t="s">
        <v>7543</v>
      </c>
      <c r="K1965" s="21"/>
      <c r="L1965" s="21" t="s">
        <v>9617</v>
      </c>
      <c r="M1965" s="26" t="s">
        <v>9618</v>
      </c>
      <c r="N1965" s="44">
        <v>6200</v>
      </c>
      <c r="O1965" s="22" t="s">
        <v>15</v>
      </c>
      <c r="P1965" s="44">
        <f>540+(787.5+525)+1512+(1987.5+262.5)+(500+650)</f>
        <v>6764.5</v>
      </c>
      <c r="Q1965" s="44">
        <f t="shared" si="232"/>
        <v>0</v>
      </c>
      <c r="R1965" s="24">
        <f t="shared" si="231"/>
        <v>6764.5</v>
      </c>
    </row>
    <row r="1966" spans="2:19" ht="26.25" hidden="1" customHeight="1" x14ac:dyDescent="0.25">
      <c r="B1966" s="21" t="s">
        <v>395</v>
      </c>
      <c r="C1966" s="22" t="s">
        <v>158</v>
      </c>
      <c r="D1966" s="22"/>
      <c r="E1966" s="21" t="s">
        <v>7137</v>
      </c>
      <c r="F1966" s="21"/>
      <c r="G1966" s="147" t="s">
        <v>846</v>
      </c>
      <c r="H1966" s="23" t="s">
        <v>1845</v>
      </c>
      <c r="I1966" s="23" t="s">
        <v>7882</v>
      </c>
      <c r="J1966" s="21" t="s">
        <v>1847</v>
      </c>
      <c r="K1966" s="120"/>
      <c r="L1966" s="21" t="s">
        <v>2419</v>
      </c>
      <c r="M1966" s="26">
        <v>43775</v>
      </c>
      <c r="N1966" s="44">
        <v>1000</v>
      </c>
      <c r="O1966" s="22" t="s">
        <v>15</v>
      </c>
      <c r="P1966" s="22" t="s">
        <v>19</v>
      </c>
      <c r="Q1966" s="24">
        <f t="shared" si="232"/>
        <v>0</v>
      </c>
      <c r="R1966" s="24">
        <f t="shared" si="231"/>
        <v>1000</v>
      </c>
    </row>
    <row r="1967" spans="2:19" ht="18.75" hidden="1" customHeight="1" x14ac:dyDescent="0.25">
      <c r="B1967" s="21" t="s">
        <v>395</v>
      </c>
      <c r="C1967" s="22" t="s">
        <v>158</v>
      </c>
      <c r="D1967" s="22"/>
      <c r="E1967" s="21" t="s">
        <v>7137</v>
      </c>
      <c r="F1967" s="21"/>
      <c r="G1967" s="147" t="s">
        <v>846</v>
      </c>
      <c r="H1967" s="23" t="s">
        <v>1845</v>
      </c>
      <c r="I1967" s="23" t="s">
        <v>7882</v>
      </c>
      <c r="J1967" s="21" t="s">
        <v>1846</v>
      </c>
      <c r="K1967" s="120"/>
      <c r="L1967" s="21" t="s">
        <v>2419</v>
      </c>
      <c r="M1967" s="26">
        <v>43775</v>
      </c>
      <c r="N1967" s="44">
        <v>1000</v>
      </c>
      <c r="O1967" s="22" t="s">
        <v>15</v>
      </c>
      <c r="P1967" s="22" t="s">
        <v>19</v>
      </c>
      <c r="Q1967" s="24">
        <f t="shared" si="232"/>
        <v>0</v>
      </c>
      <c r="R1967" s="24">
        <f t="shared" si="231"/>
        <v>1000</v>
      </c>
    </row>
    <row r="1968" spans="2:19" hidden="1" x14ac:dyDescent="0.25">
      <c r="C1968" s="4" t="s">
        <v>2450</v>
      </c>
      <c r="E1968" s="5" t="s">
        <v>7137</v>
      </c>
      <c r="G1968" s="146" t="s">
        <v>846</v>
      </c>
      <c r="H1968" s="7" t="s">
        <v>9342</v>
      </c>
      <c r="I1968" s="7" t="s">
        <v>9343</v>
      </c>
      <c r="J1968" s="5" t="s">
        <v>9344</v>
      </c>
      <c r="L1968" s="5" t="s">
        <v>10877</v>
      </c>
      <c r="M1968" s="12" t="s">
        <v>10878</v>
      </c>
      <c r="N1968" s="45">
        <v>8800</v>
      </c>
      <c r="O1968" s="4" t="s">
        <v>15</v>
      </c>
      <c r="P1968" s="45">
        <f>825+1065.63+2004.75+909.38+354.75+217.25+435.88</f>
        <v>5812.64</v>
      </c>
      <c r="Q1968" s="45">
        <f t="shared" si="232"/>
        <v>2987.3599999999997</v>
      </c>
      <c r="R1968" s="3">
        <f t="shared" si="231"/>
        <v>5812.64</v>
      </c>
    </row>
    <row r="1969" spans="2:18" hidden="1" x14ac:dyDescent="0.25">
      <c r="C1969" s="4" t="s">
        <v>2450</v>
      </c>
      <c r="E1969" s="5" t="s">
        <v>7137</v>
      </c>
      <c r="G1969" s="146" t="s">
        <v>846</v>
      </c>
      <c r="H1969" s="7" t="s">
        <v>9431</v>
      </c>
      <c r="I1969" s="7" t="s">
        <v>9432</v>
      </c>
      <c r="J1969" s="5" t="s">
        <v>9433</v>
      </c>
      <c r="L1969" s="5" t="s">
        <v>10879</v>
      </c>
      <c r="M1969" s="12" t="s">
        <v>10878</v>
      </c>
      <c r="N1969" s="45">
        <v>9900</v>
      </c>
      <c r="O1969" s="4" t="s">
        <v>15</v>
      </c>
      <c r="P1969" s="45">
        <f>1420.38+2509.38+606.14+2028.13+103.13+217.25</f>
        <v>6884.4100000000008</v>
      </c>
      <c r="Q1969" s="45">
        <f t="shared" si="232"/>
        <v>3015.5899999999992</v>
      </c>
      <c r="R1969" s="3">
        <f t="shared" si="231"/>
        <v>6884.4100000000008</v>
      </c>
    </row>
    <row r="1970" spans="2:18" ht="18" hidden="1" customHeight="1" x14ac:dyDescent="0.25">
      <c r="C1970" s="4" t="s">
        <v>2450</v>
      </c>
      <c r="E1970" s="5" t="s">
        <v>9707</v>
      </c>
      <c r="F1970" s="5" t="s">
        <v>9776</v>
      </c>
      <c r="G1970" s="146" t="s">
        <v>846</v>
      </c>
      <c r="H1970" s="7" t="s">
        <v>9507</v>
      </c>
      <c r="I1970" s="7" t="s">
        <v>9508</v>
      </c>
      <c r="J1970" s="5" t="s">
        <v>9615</v>
      </c>
      <c r="L1970" s="5" t="s">
        <v>9616</v>
      </c>
      <c r="M1970" s="12">
        <v>45364</v>
      </c>
      <c r="N1970" s="45">
        <v>8800</v>
      </c>
      <c r="O1970" s="4" t="s">
        <v>15</v>
      </c>
      <c r="P1970" s="45">
        <v>320.38</v>
      </c>
      <c r="Q1970" s="45">
        <f t="shared" si="232"/>
        <v>8479.6200000000008</v>
      </c>
      <c r="R1970" s="3">
        <f t="shared" si="231"/>
        <v>320.38</v>
      </c>
    </row>
    <row r="1971" spans="2:18" hidden="1" x14ac:dyDescent="0.25">
      <c r="C1971" s="4" t="s">
        <v>2450</v>
      </c>
      <c r="E1971" s="5" t="s">
        <v>7137</v>
      </c>
      <c r="G1971" s="146" t="s">
        <v>846</v>
      </c>
      <c r="H1971" s="7" t="s">
        <v>9670</v>
      </c>
      <c r="I1971" s="7" t="s">
        <v>9671</v>
      </c>
      <c r="J1971" s="5" t="s">
        <v>9672</v>
      </c>
      <c r="L1971" s="5" t="s">
        <v>10880</v>
      </c>
      <c r="M1971" s="12" t="s">
        <v>10872</v>
      </c>
      <c r="N1971" s="45">
        <v>11000</v>
      </c>
      <c r="O1971" s="4" t="s">
        <v>15</v>
      </c>
      <c r="P1971" s="45">
        <f>8079.9+1845.25+893.75</f>
        <v>10818.9</v>
      </c>
      <c r="Q1971" s="3">
        <f t="shared" si="232"/>
        <v>181.10000000000036</v>
      </c>
      <c r="R1971" s="3">
        <f t="shared" si="231"/>
        <v>10818.9</v>
      </c>
    </row>
    <row r="1972" spans="2:18" hidden="1" x14ac:dyDescent="0.25">
      <c r="C1972" s="4" t="s">
        <v>6267</v>
      </c>
      <c r="E1972" s="5" t="s">
        <v>7137</v>
      </c>
      <c r="F1972" s="5" t="s">
        <v>9761</v>
      </c>
      <c r="G1972" s="146" t="s">
        <v>846</v>
      </c>
      <c r="H1972" s="7" t="s">
        <v>9771</v>
      </c>
      <c r="I1972" s="7" t="s">
        <v>9762</v>
      </c>
      <c r="J1972" s="5" t="s">
        <v>9763</v>
      </c>
      <c r="L1972" s="5" t="s">
        <v>12500</v>
      </c>
      <c r="M1972" s="12" t="s">
        <v>12501</v>
      </c>
      <c r="N1972" s="45">
        <f>1100+1100+3300+2200</f>
        <v>7700</v>
      </c>
      <c r="O1972" s="4" t="s">
        <v>15</v>
      </c>
      <c r="P1972" s="45">
        <f>446.88+(653.13+1100+378.25+470.25+893.75)+126.5+470.25+195.25+103.13</f>
        <v>4837.3900000000003</v>
      </c>
      <c r="Q1972" s="3">
        <f t="shared" si="232"/>
        <v>2862.6099999999997</v>
      </c>
      <c r="R1972" s="3">
        <f t="shared" si="231"/>
        <v>4837.3900000000003</v>
      </c>
    </row>
    <row r="1973" spans="2:18" ht="16.5" hidden="1" customHeight="1" x14ac:dyDescent="0.25">
      <c r="C1973" s="4" t="s">
        <v>2450</v>
      </c>
      <c r="E1973" s="5" t="s">
        <v>7137</v>
      </c>
      <c r="F1973" s="5" t="s">
        <v>9761</v>
      </c>
      <c r="G1973" s="146" t="s">
        <v>846</v>
      </c>
      <c r="H1973" s="7" t="s">
        <v>9771</v>
      </c>
      <c r="I1973" s="7" t="s">
        <v>9762</v>
      </c>
      <c r="J1973" s="5" t="s">
        <v>9764</v>
      </c>
      <c r="L1973" s="5" t="s">
        <v>12071</v>
      </c>
      <c r="M1973" s="12" t="s">
        <v>12072</v>
      </c>
      <c r="N1973" s="45">
        <f>1100+2200+3300+2200</f>
        <v>8800</v>
      </c>
      <c r="O1973" s="4" t="s">
        <v>15</v>
      </c>
      <c r="P1973" s="45">
        <f>275+(825+2200+4526.5)+343.75+34.38</f>
        <v>8204.6299999999992</v>
      </c>
      <c r="Q1973" s="3">
        <f t="shared" si="232"/>
        <v>595.3700000000008</v>
      </c>
      <c r="R1973" s="3">
        <f t="shared" si="231"/>
        <v>8204.6299999999992</v>
      </c>
    </row>
    <row r="1974" spans="2:18" hidden="1" x14ac:dyDescent="0.25">
      <c r="C1974" s="4" t="s">
        <v>8972</v>
      </c>
      <c r="E1974" s="5" t="s">
        <v>7137</v>
      </c>
      <c r="F1974" s="5" t="s">
        <v>9761</v>
      </c>
      <c r="G1974" s="146" t="s">
        <v>846</v>
      </c>
      <c r="H1974" s="7" t="s">
        <v>9771</v>
      </c>
      <c r="I1974" s="7" t="s">
        <v>9762</v>
      </c>
      <c r="J1974" s="5" t="s">
        <v>9765</v>
      </c>
      <c r="L1974" s="5" t="s">
        <v>12502</v>
      </c>
      <c r="M1974" s="12" t="s">
        <v>12497</v>
      </c>
      <c r="N1974" s="45">
        <f>1100+2200+3300+2200+1100+2200+3300+2200</f>
        <v>17600</v>
      </c>
      <c r="O1974" s="4" t="s">
        <v>15</v>
      </c>
      <c r="P1974" s="45">
        <f>7529.54+(2635.88+1065.63)+320.38+114.13</f>
        <v>11665.559999999998</v>
      </c>
      <c r="Q1974" s="3">
        <f t="shared" si="232"/>
        <v>5934.4400000000023</v>
      </c>
      <c r="R1974" s="3">
        <f>IF(P1974="OK",N1974-Q1974,IF(P1974="en cours",N1974-Q1974,P1974))</f>
        <v>11665.559999999998</v>
      </c>
    </row>
    <row r="1975" spans="2:18" hidden="1" x14ac:dyDescent="0.25">
      <c r="C1975" s="4" t="s">
        <v>2450</v>
      </c>
      <c r="E1975" s="5" t="s">
        <v>7137</v>
      </c>
      <c r="F1975" s="5" t="s">
        <v>9768</v>
      </c>
      <c r="G1975" s="146" t="s">
        <v>846</v>
      </c>
      <c r="H1975" s="7" t="s">
        <v>9770</v>
      </c>
      <c r="I1975" s="7" t="s">
        <v>9769</v>
      </c>
      <c r="J1975" s="5" t="s">
        <v>9772</v>
      </c>
      <c r="L1975" s="5" t="s">
        <v>9914</v>
      </c>
      <c r="M1975" s="12">
        <v>45457</v>
      </c>
      <c r="N1975" s="45">
        <v>8800</v>
      </c>
      <c r="O1975" s="4" t="s">
        <v>15</v>
      </c>
      <c r="P1975" s="45">
        <v>1542.75</v>
      </c>
      <c r="Q1975" s="3">
        <f t="shared" si="232"/>
        <v>7257.25</v>
      </c>
      <c r="R1975" s="3">
        <f>IF(P1975="OK",N1975-Q1975,IF(P1975="en cours",N1975-Q1975,P1975))</f>
        <v>1542.75</v>
      </c>
    </row>
    <row r="1976" spans="2:18" hidden="1" x14ac:dyDescent="0.25">
      <c r="C1976" s="4" t="s">
        <v>2450</v>
      </c>
      <c r="E1976" s="5" t="s">
        <v>0</v>
      </c>
      <c r="F1976" s="5" t="s">
        <v>9749</v>
      </c>
      <c r="G1976" s="146" t="s">
        <v>846</v>
      </c>
      <c r="H1976" s="7" t="s">
        <v>9848</v>
      </c>
      <c r="I1976" s="7" t="s">
        <v>9849</v>
      </c>
      <c r="J1976" s="5" t="s">
        <v>10562</v>
      </c>
      <c r="L1976" s="5" t="s">
        <v>10865</v>
      </c>
      <c r="M1976" s="12" t="s">
        <v>10866</v>
      </c>
      <c r="N1976" s="45">
        <v>14000</v>
      </c>
      <c r="O1976" s="4" t="s">
        <v>15</v>
      </c>
      <c r="P1976" s="45">
        <f>5193.25+869.25</f>
        <v>6062.5</v>
      </c>
      <c r="Q1976" s="3">
        <f t="shared" si="232"/>
        <v>7937.5</v>
      </c>
      <c r="R1976" s="3">
        <f>IF(P1976="OK",N1976-Q1976,IF(P1976="en cours",N1976-Q1976,P1976))</f>
        <v>6062.5</v>
      </c>
    </row>
    <row r="1977" spans="2:18" hidden="1" x14ac:dyDescent="0.25">
      <c r="C1977" s="4" t="s">
        <v>158</v>
      </c>
      <c r="E1977" s="5" t="s">
        <v>7137</v>
      </c>
      <c r="F1977" s="5" t="s">
        <v>10561</v>
      </c>
      <c r="G1977" s="146" t="s">
        <v>846</v>
      </c>
      <c r="H1977" s="7" t="s">
        <v>10065</v>
      </c>
      <c r="I1977" s="7" t="s">
        <v>10066</v>
      </c>
      <c r="J1977" s="5" t="s">
        <v>10067</v>
      </c>
      <c r="L1977" s="5" t="s">
        <v>10881</v>
      </c>
      <c r="M1977" s="12" t="s">
        <v>10882</v>
      </c>
      <c r="N1977" s="45">
        <v>29500</v>
      </c>
      <c r="O1977" s="4" t="s">
        <v>15</v>
      </c>
      <c r="P1977" s="45">
        <f>6050+5087.5</f>
        <v>11137.5</v>
      </c>
      <c r="Q1977" s="45">
        <f t="shared" si="232"/>
        <v>18362.5</v>
      </c>
      <c r="R1977" s="3">
        <f>IF(P1977="OK",N1977-Q1977,IF(P1977="en cours",N1977-Q1977,P1977))</f>
        <v>11137.5</v>
      </c>
    </row>
    <row r="1978" spans="2:18" hidden="1" x14ac:dyDescent="0.25">
      <c r="C1978" s="4" t="s">
        <v>158</v>
      </c>
      <c r="E1978" s="5" t="s">
        <v>7137</v>
      </c>
      <c r="F1978" s="5" t="s">
        <v>10561</v>
      </c>
      <c r="G1978" s="146" t="s">
        <v>846</v>
      </c>
      <c r="H1978" s="7" t="s">
        <v>10121</v>
      </c>
      <c r="I1978" s="7" t="s">
        <v>10122</v>
      </c>
      <c r="J1978" s="5" t="s">
        <v>10123</v>
      </c>
      <c r="L1978" s="5" t="s">
        <v>10881</v>
      </c>
      <c r="M1978" s="12" t="s">
        <v>10882</v>
      </c>
      <c r="N1978" s="45">
        <v>4300</v>
      </c>
      <c r="O1978" s="4" t="s">
        <v>15</v>
      </c>
      <c r="P1978" s="45">
        <f>(1639+1425+446.88)+600</f>
        <v>4110.88</v>
      </c>
      <c r="Q1978" s="3">
        <f t="shared" si="232"/>
        <v>189.11999999999989</v>
      </c>
      <c r="R1978" s="3">
        <f>IF(P1978="OK",N1978-Q1978,IF(P1978="en cours",N1978-Q1978,P1978))</f>
        <v>4110.88</v>
      </c>
    </row>
    <row r="1979" spans="2:18" hidden="1" x14ac:dyDescent="0.25">
      <c r="C1979" s="4" t="s">
        <v>2450</v>
      </c>
      <c r="E1979" s="5" t="s">
        <v>7137</v>
      </c>
      <c r="F1979" s="5" t="s">
        <v>9761</v>
      </c>
      <c r="G1979" s="146" t="s">
        <v>846</v>
      </c>
      <c r="H1979" s="7" t="s">
        <v>10455</v>
      </c>
      <c r="I1979" s="7" t="s">
        <v>10456</v>
      </c>
      <c r="J1979" s="5" t="s">
        <v>10457</v>
      </c>
      <c r="L1979" s="5" t="s">
        <v>11600</v>
      </c>
      <c r="M1979" s="12" t="s">
        <v>11601</v>
      </c>
      <c r="N1979" s="45">
        <v>9100</v>
      </c>
      <c r="O1979" s="4" t="s">
        <v>15</v>
      </c>
      <c r="P1979" s="45">
        <f>5775+325</f>
        <v>6100</v>
      </c>
      <c r="Q1979" s="45">
        <f t="shared" si="232"/>
        <v>3000</v>
      </c>
      <c r="R1979" s="3">
        <f t="shared" ref="R1979:R1981" si="233">IF(P1979="OK",N1979-Q1979,IF(P1979="en cours",N1979-Q1979,P1979))</f>
        <v>6100</v>
      </c>
    </row>
    <row r="1980" spans="2:18" ht="18.75" hidden="1" customHeight="1" x14ac:dyDescent="0.25">
      <c r="B1980" s="21" t="s">
        <v>395</v>
      </c>
      <c r="C1980" s="22" t="s">
        <v>158</v>
      </c>
      <c r="D1980" s="22"/>
      <c r="E1980" s="21" t="s">
        <v>7137</v>
      </c>
      <c r="F1980" s="21" t="s">
        <v>10561</v>
      </c>
      <c r="G1980" s="147" t="s">
        <v>846</v>
      </c>
      <c r="H1980" s="23" t="s">
        <v>11067</v>
      </c>
      <c r="I1980" s="23" t="s">
        <v>11068</v>
      </c>
      <c r="J1980" s="21" t="s">
        <v>11069</v>
      </c>
      <c r="K1980" s="120"/>
      <c r="L1980" s="21" t="s">
        <v>12498</v>
      </c>
      <c r="M1980" s="26" t="s">
        <v>12497</v>
      </c>
      <c r="N1980" s="44">
        <v>9100</v>
      </c>
      <c r="O1980" s="22" t="s">
        <v>15</v>
      </c>
      <c r="P1980" s="44">
        <f>(352.63+338+2925+1162.5)+(162.5+40.63+81.25+2044.25+8266)+(40.63+1746.88)</f>
        <v>17160.270000000004</v>
      </c>
      <c r="Q1980" s="24">
        <f t="shared" si="232"/>
        <v>0</v>
      </c>
      <c r="R1980" s="24">
        <f t="shared" si="233"/>
        <v>17160.270000000004</v>
      </c>
    </row>
    <row r="1981" spans="2:18" ht="18.75" hidden="1" customHeight="1" x14ac:dyDescent="0.25">
      <c r="B1981" s="21" t="s">
        <v>395</v>
      </c>
      <c r="C1981" s="22" t="s">
        <v>158</v>
      </c>
      <c r="D1981" s="22"/>
      <c r="E1981" s="21" t="s">
        <v>7137</v>
      </c>
      <c r="F1981" s="21" t="s">
        <v>10561</v>
      </c>
      <c r="G1981" s="147" t="s">
        <v>846</v>
      </c>
      <c r="H1981" s="23" t="s">
        <v>11070</v>
      </c>
      <c r="I1981" s="23" t="s">
        <v>11071</v>
      </c>
      <c r="J1981" s="21" t="s">
        <v>11072</v>
      </c>
      <c r="K1981" s="120"/>
      <c r="L1981" s="21" t="s">
        <v>13637</v>
      </c>
      <c r="M1981" s="26" t="s">
        <v>13638</v>
      </c>
      <c r="N1981" s="44">
        <v>11050</v>
      </c>
      <c r="O1981" s="22" t="s">
        <v>15</v>
      </c>
      <c r="P1981" s="44">
        <f>(1490.13+1124.5+515.13+252.89)+(1693.25+853.13+2206.75)+744.25+2262</f>
        <v>11142.03</v>
      </c>
      <c r="Q1981" s="24">
        <f t="shared" si="232"/>
        <v>0</v>
      </c>
      <c r="R1981" s="24">
        <f t="shared" si="233"/>
        <v>11142.03</v>
      </c>
    </row>
    <row r="1982" spans="2:18" hidden="1" x14ac:dyDescent="0.25">
      <c r="C1982" s="4" t="s">
        <v>2461</v>
      </c>
      <c r="E1982" s="5" t="s">
        <v>0</v>
      </c>
      <c r="G1982" s="146" t="s">
        <v>2192</v>
      </c>
      <c r="H1982" s="7" t="s">
        <v>7710</v>
      </c>
      <c r="I1982" s="7" t="s">
        <v>8284</v>
      </c>
      <c r="J1982" s="5" t="s">
        <v>7711</v>
      </c>
      <c r="K1982" s="13"/>
      <c r="L1982" s="5" t="s">
        <v>12859</v>
      </c>
      <c r="M1982" s="12" t="s">
        <v>12860</v>
      </c>
      <c r="N1982" s="45">
        <f>12314.5+933</f>
        <v>13247.5</v>
      </c>
      <c r="O1982" s="4" t="s">
        <v>15</v>
      </c>
      <c r="P1982" s="45">
        <f>39.36+872.5+1602.84+78+234+234+234+234+243.36+243.36+789.98</f>
        <v>4805.3999999999996</v>
      </c>
      <c r="Q1982" s="3">
        <f t="shared" ref="Q1982" si="234">IF(P1982="en cours",N1982,IF(P1982="OK",0,IF(N1982-P1982&lt;0,0,N1982-P1982)))</f>
        <v>8442.1</v>
      </c>
      <c r="R1982" s="3">
        <f t="shared" ref="R1982" si="235">IF(P1982="OK",N1982-Q1982,IF(P1982="en cours",N1982-Q1982,P1982))</f>
        <v>4805.3999999999996</v>
      </c>
    </row>
    <row r="1983" spans="2:18" hidden="1" x14ac:dyDescent="0.25">
      <c r="B1983" s="21" t="s">
        <v>395</v>
      </c>
      <c r="C1983" s="22" t="s">
        <v>158</v>
      </c>
      <c r="D1983" s="22"/>
      <c r="E1983" s="21" t="s">
        <v>10610</v>
      </c>
      <c r="F1983" s="21" t="s">
        <v>10611</v>
      </c>
      <c r="G1983" s="147" t="s">
        <v>10612</v>
      </c>
      <c r="H1983" s="23" t="s">
        <v>10613</v>
      </c>
      <c r="I1983" s="23" t="s">
        <v>10614</v>
      </c>
      <c r="J1983" s="21" t="s">
        <v>10615</v>
      </c>
      <c r="K1983" s="21"/>
      <c r="L1983" s="21" t="s">
        <v>13633</v>
      </c>
      <c r="M1983" s="26">
        <v>45559</v>
      </c>
      <c r="N1983" s="44">
        <v>1503.15</v>
      </c>
      <c r="O1983" s="22" t="s">
        <v>15</v>
      </c>
      <c r="P1983" s="44">
        <v>1503.15</v>
      </c>
      <c r="Q1983" s="44">
        <f t="shared" ref="Q1983:Q1999" si="236">IF(P1983="en cours",N1983,IF(P1983="OK",0,IF(N1983-P1983&lt;0,0,N1983-P1983)))</f>
        <v>0</v>
      </c>
      <c r="R1983" s="24">
        <f t="shared" ref="R1983:R1984" si="237">IF(P1983="OK",N1983-Q1983,IF(P1983="en cours",N1983-Q1983,P1983))</f>
        <v>1503.15</v>
      </c>
    </row>
    <row r="1984" spans="2:18" hidden="1" x14ac:dyDescent="0.25">
      <c r="C1984" s="4" t="s">
        <v>158</v>
      </c>
      <c r="E1984" s="5" t="s">
        <v>10</v>
      </c>
      <c r="F1984" s="5" t="s">
        <v>9721</v>
      </c>
      <c r="G1984" s="146" t="s">
        <v>11125</v>
      </c>
      <c r="H1984" s="58" t="s">
        <v>11126</v>
      </c>
      <c r="I1984" s="7" t="s">
        <v>11126</v>
      </c>
      <c r="J1984" s="5" t="s">
        <v>11127</v>
      </c>
      <c r="L1984" s="5" t="s">
        <v>11269</v>
      </c>
      <c r="M1984" s="12">
        <v>45715</v>
      </c>
      <c r="N1984" s="45">
        <v>987.87</v>
      </c>
      <c r="O1984" s="4" t="s">
        <v>15</v>
      </c>
      <c r="P1984" s="45">
        <v>646.95000000000005</v>
      </c>
      <c r="Q1984" s="45">
        <f t="shared" si="236"/>
        <v>340.91999999999996</v>
      </c>
      <c r="R1984" s="3">
        <f t="shared" si="237"/>
        <v>646.95000000000005</v>
      </c>
    </row>
    <row r="1985" spans="1:19" hidden="1" x14ac:dyDescent="0.25">
      <c r="B1985" s="21" t="s">
        <v>395</v>
      </c>
      <c r="C1985" s="22" t="s">
        <v>2450</v>
      </c>
      <c r="D1985" s="22"/>
      <c r="E1985" s="21" t="s">
        <v>0</v>
      </c>
      <c r="F1985" s="21" t="s">
        <v>9766</v>
      </c>
      <c r="G1985" s="147" t="s">
        <v>8633</v>
      </c>
      <c r="H1985" s="23" t="s">
        <v>8652</v>
      </c>
      <c r="I1985" s="23" t="s">
        <v>8653</v>
      </c>
      <c r="J1985" s="21" t="s">
        <v>8649</v>
      </c>
      <c r="K1985" s="21"/>
      <c r="L1985" s="21" t="s">
        <v>11899</v>
      </c>
      <c r="M1985" s="26" t="s">
        <v>11900</v>
      </c>
      <c r="N1985" s="44">
        <v>507556</v>
      </c>
      <c r="O1985" s="22" t="s">
        <v>15</v>
      </c>
      <c r="P1985" s="44">
        <f>152267+152267+203022</f>
        <v>507556</v>
      </c>
      <c r="Q1985" s="44">
        <f t="shared" si="236"/>
        <v>0</v>
      </c>
      <c r="R1985" s="24">
        <f t="shared" ref="R1985:R1997" si="238">IF(P1985="OK",N1985-Q1985,IF(P1985="en cours",N1985-Q1985,P1985))</f>
        <v>507556</v>
      </c>
      <c r="S1985" s="5" t="s">
        <v>9798</v>
      </c>
    </row>
    <row r="1986" spans="1:19" hidden="1" x14ac:dyDescent="0.25">
      <c r="A1986" t="s">
        <v>12228</v>
      </c>
      <c r="C1986" s="4" t="s">
        <v>2450</v>
      </c>
      <c r="E1986" s="5" t="s">
        <v>0</v>
      </c>
      <c r="F1986" s="5" t="s">
        <v>9766</v>
      </c>
      <c r="G1986" s="146" t="s">
        <v>8633</v>
      </c>
      <c r="H1986" s="7" t="s">
        <v>8652</v>
      </c>
      <c r="I1986" s="7" t="s">
        <v>8653</v>
      </c>
      <c r="J1986" s="5" t="s">
        <v>8650</v>
      </c>
      <c r="L1986" s="5" t="s">
        <v>14001</v>
      </c>
      <c r="M1986" s="7" t="s">
        <v>14002</v>
      </c>
      <c r="N1986" s="45">
        <v>3986049</v>
      </c>
      <c r="O1986" s="4" t="s">
        <v>15</v>
      </c>
      <c r="P1986" s="45">
        <f>110217+(904665-904665)+904665+257173+162387.25-162387.25+104624.31+151983.44+65157.47+126870.89+250509.42</f>
        <v>1971200.5299999998</v>
      </c>
      <c r="Q1986" s="45">
        <f t="shared" si="236"/>
        <v>2014848.4700000002</v>
      </c>
      <c r="R1986" s="3">
        <f t="shared" si="238"/>
        <v>1971200.5299999998</v>
      </c>
    </row>
    <row r="1987" spans="1:19" hidden="1" x14ac:dyDescent="0.25">
      <c r="A1987" t="s">
        <v>12228</v>
      </c>
      <c r="C1987" s="4" t="s">
        <v>2450</v>
      </c>
      <c r="E1987" s="5" t="s">
        <v>0</v>
      </c>
      <c r="F1987" s="5" t="s">
        <v>14189</v>
      </c>
      <c r="G1987" s="146" t="s">
        <v>8633</v>
      </c>
      <c r="H1987" s="7" t="s">
        <v>8634</v>
      </c>
      <c r="I1987" s="7" t="s">
        <v>8635</v>
      </c>
      <c r="J1987" s="5" t="s">
        <v>8651</v>
      </c>
      <c r="L1987" s="5" t="s">
        <v>13876</v>
      </c>
      <c r="M1987" s="12">
        <v>46034</v>
      </c>
      <c r="N1987" s="45">
        <v>127095</v>
      </c>
      <c r="O1987" s="4" t="s">
        <v>15</v>
      </c>
      <c r="P1987" s="45">
        <f>63547.5</f>
        <v>63547.5</v>
      </c>
      <c r="Q1987" s="45">
        <f t="shared" si="236"/>
        <v>63547.5</v>
      </c>
      <c r="R1987" s="3">
        <f t="shared" si="238"/>
        <v>63547.5</v>
      </c>
    </row>
    <row r="1988" spans="1:19" hidden="1" x14ac:dyDescent="0.25">
      <c r="B1988" s="21" t="s">
        <v>395</v>
      </c>
      <c r="C1988" s="22" t="s">
        <v>2450</v>
      </c>
      <c r="D1988" s="22"/>
      <c r="E1988" s="21" t="s">
        <v>0</v>
      </c>
      <c r="F1988" s="21" t="s">
        <v>14189</v>
      </c>
      <c r="G1988" s="147" t="s">
        <v>8633</v>
      </c>
      <c r="H1988" s="23" t="s">
        <v>12525</v>
      </c>
      <c r="I1988" s="23" t="s">
        <v>9513</v>
      </c>
      <c r="J1988" s="21" t="s">
        <v>9516</v>
      </c>
      <c r="K1988" s="21"/>
      <c r="L1988" s="21" t="s">
        <v>11828</v>
      </c>
      <c r="M1988" s="26">
        <v>45786</v>
      </c>
      <c r="N1988" s="44">
        <v>52500</v>
      </c>
      <c r="O1988" s="22" t="s">
        <v>15</v>
      </c>
      <c r="P1988" s="44">
        <v>52500</v>
      </c>
      <c r="Q1988" s="44">
        <f t="shared" si="236"/>
        <v>0</v>
      </c>
      <c r="R1988" s="24">
        <f t="shared" si="238"/>
        <v>52500</v>
      </c>
    </row>
    <row r="1989" spans="1:19" hidden="1" x14ac:dyDescent="0.25">
      <c r="B1989" s="21" t="s">
        <v>395</v>
      </c>
      <c r="C1989" s="22" t="s">
        <v>2450</v>
      </c>
      <c r="D1989" s="22"/>
      <c r="E1989" s="21" t="s">
        <v>0</v>
      </c>
      <c r="F1989" s="21" t="s">
        <v>14189</v>
      </c>
      <c r="G1989" s="147" t="s">
        <v>8633</v>
      </c>
      <c r="H1989" s="23" t="s">
        <v>12526</v>
      </c>
      <c r="I1989" s="23" t="s">
        <v>9514</v>
      </c>
      <c r="J1989" s="21" t="s">
        <v>9517</v>
      </c>
      <c r="K1989" s="21"/>
      <c r="L1989" s="21" t="s">
        <v>11829</v>
      </c>
      <c r="M1989" s="26">
        <v>45786</v>
      </c>
      <c r="N1989" s="44">
        <v>22900</v>
      </c>
      <c r="O1989" s="22" t="s">
        <v>15</v>
      </c>
      <c r="P1989" s="44">
        <v>22900</v>
      </c>
      <c r="Q1989" s="44">
        <f t="shared" si="236"/>
        <v>0</v>
      </c>
      <c r="R1989" s="24">
        <f t="shared" si="238"/>
        <v>22900</v>
      </c>
    </row>
    <row r="1990" spans="1:19" hidden="1" x14ac:dyDescent="0.25">
      <c r="B1990" s="21" t="s">
        <v>395</v>
      </c>
      <c r="C1990" s="22" t="s">
        <v>2450</v>
      </c>
      <c r="D1990" s="22"/>
      <c r="E1990" s="21" t="s">
        <v>0</v>
      </c>
      <c r="F1990" s="21" t="s">
        <v>14189</v>
      </c>
      <c r="G1990" s="147" t="s">
        <v>8633</v>
      </c>
      <c r="H1990" s="23" t="s">
        <v>12527</v>
      </c>
      <c r="I1990" s="23" t="s">
        <v>9515</v>
      </c>
      <c r="J1990" s="21" t="s">
        <v>9518</v>
      </c>
      <c r="K1990" s="21"/>
      <c r="L1990" s="21" t="s">
        <v>11827</v>
      </c>
      <c r="M1990" s="26">
        <v>45786</v>
      </c>
      <c r="N1990" s="44">
        <v>12500</v>
      </c>
      <c r="O1990" s="22" t="s">
        <v>15</v>
      </c>
      <c r="P1990" s="44">
        <v>12500</v>
      </c>
      <c r="Q1990" s="44">
        <f t="shared" si="236"/>
        <v>0</v>
      </c>
      <c r="R1990" s="24">
        <f t="shared" si="238"/>
        <v>12500</v>
      </c>
    </row>
    <row r="1991" spans="1:19" hidden="1" x14ac:dyDescent="0.25">
      <c r="B1991" s="21" t="s">
        <v>395</v>
      </c>
      <c r="C1991" s="22" t="s">
        <v>2450</v>
      </c>
      <c r="D1991" s="22"/>
      <c r="E1991" s="21" t="s">
        <v>0</v>
      </c>
      <c r="F1991" s="21" t="s">
        <v>14189</v>
      </c>
      <c r="G1991" s="147" t="s">
        <v>8633</v>
      </c>
      <c r="H1991" s="23" t="s">
        <v>14188</v>
      </c>
      <c r="I1991" s="23" t="s">
        <v>14186</v>
      </c>
      <c r="J1991" s="21" t="s">
        <v>14187</v>
      </c>
      <c r="K1991" s="21"/>
      <c r="L1991" s="21" t="s">
        <v>14190</v>
      </c>
      <c r="M1991" s="26">
        <v>46072</v>
      </c>
      <c r="N1991" s="44">
        <v>16100</v>
      </c>
      <c r="O1991" s="22" t="s">
        <v>15</v>
      </c>
      <c r="P1991" s="44">
        <v>16100</v>
      </c>
      <c r="Q1991" s="44">
        <f t="shared" ref="Q1991" si="239">IF(P1991="en cours",N1991,IF(P1991="OK",0,IF(N1991-P1991&lt;0,0,N1991-P1991)))</f>
        <v>0</v>
      </c>
      <c r="R1991" s="24">
        <f t="shared" ref="R1991" si="240">IF(P1991="OK",N1991-Q1991,IF(P1991="en cours",N1991-Q1991,P1991))</f>
        <v>16100</v>
      </c>
    </row>
    <row r="1992" spans="1:19" hidden="1" x14ac:dyDescent="0.25">
      <c r="C1992" s="4" t="s">
        <v>2450</v>
      </c>
      <c r="E1992" s="5" t="s">
        <v>0</v>
      </c>
      <c r="F1992" s="5" t="s">
        <v>9773</v>
      </c>
      <c r="G1992" s="146" t="s">
        <v>8633</v>
      </c>
      <c r="H1992" s="7" t="s">
        <v>10986</v>
      </c>
      <c r="I1992" s="7" t="s">
        <v>10987</v>
      </c>
      <c r="J1992" s="5" t="s">
        <v>10988</v>
      </c>
      <c r="L1992" s="5" t="s">
        <v>11667</v>
      </c>
      <c r="M1992" s="12" t="s">
        <v>12528</v>
      </c>
      <c r="N1992" s="45">
        <v>241700</v>
      </c>
      <c r="O1992" s="4" t="s">
        <v>15</v>
      </c>
      <c r="P1992" s="45">
        <f>108900+28000+64500</f>
        <v>201400</v>
      </c>
      <c r="Q1992" s="45">
        <f t="shared" si="236"/>
        <v>40300</v>
      </c>
      <c r="R1992" s="3">
        <f t="shared" si="238"/>
        <v>201400</v>
      </c>
    </row>
    <row r="1993" spans="1:19" ht="19.5" hidden="1" customHeight="1" x14ac:dyDescent="0.25">
      <c r="B1993" s="21" t="s">
        <v>395</v>
      </c>
      <c r="C1993" s="22" t="s">
        <v>2450</v>
      </c>
      <c r="D1993" s="22"/>
      <c r="E1993" s="21" t="s">
        <v>0</v>
      </c>
      <c r="F1993" s="21" t="s">
        <v>9773</v>
      </c>
      <c r="G1993" s="147" t="s">
        <v>9509</v>
      </c>
      <c r="H1993" s="23" t="s">
        <v>9510</v>
      </c>
      <c r="I1993" s="23" t="s">
        <v>9511</v>
      </c>
      <c r="J1993" s="21" t="s">
        <v>9512</v>
      </c>
      <c r="K1993" s="21"/>
      <c r="L1993" s="21" t="s">
        <v>10224</v>
      </c>
      <c r="M1993" s="26">
        <v>45496</v>
      </c>
      <c r="N1993" s="44">
        <v>93000.71</v>
      </c>
      <c r="O1993" s="22" t="s">
        <v>276</v>
      </c>
      <c r="P1993" s="44">
        <f>92932.94</f>
        <v>92932.94</v>
      </c>
      <c r="Q1993" s="44">
        <f t="shared" si="236"/>
        <v>67.770000000004075</v>
      </c>
      <c r="R1993" s="24">
        <f t="shared" si="238"/>
        <v>92932.94</v>
      </c>
    </row>
    <row r="1994" spans="1:19" ht="18" hidden="1" customHeight="1" x14ac:dyDescent="0.25">
      <c r="C1994" s="4" t="s">
        <v>2450</v>
      </c>
      <c r="E1994" s="5" t="s">
        <v>0</v>
      </c>
      <c r="F1994" s="5" t="s">
        <v>9773</v>
      </c>
      <c r="G1994" s="146" t="s">
        <v>9509</v>
      </c>
      <c r="H1994" s="7" t="s">
        <v>10063</v>
      </c>
      <c r="I1994" s="7" t="s">
        <v>10060</v>
      </c>
      <c r="J1994" s="5" t="s">
        <v>10062</v>
      </c>
      <c r="N1994" s="45">
        <v>5525.1</v>
      </c>
      <c r="O1994" s="4" t="s">
        <v>276</v>
      </c>
      <c r="Q1994" s="45">
        <f t="shared" si="236"/>
        <v>5525.1</v>
      </c>
      <c r="R1994" s="3">
        <f t="shared" si="238"/>
        <v>0</v>
      </c>
    </row>
    <row r="1995" spans="1:19" ht="12" hidden="1" customHeight="1" x14ac:dyDescent="0.25">
      <c r="C1995" s="4" t="s">
        <v>2450</v>
      </c>
      <c r="E1995" s="5" t="s">
        <v>0</v>
      </c>
      <c r="F1995" s="5" t="s">
        <v>9773</v>
      </c>
      <c r="G1995" s="146" t="s">
        <v>9509</v>
      </c>
      <c r="H1995" s="7" t="s">
        <v>10064</v>
      </c>
      <c r="I1995" s="7" t="s">
        <v>10061</v>
      </c>
      <c r="J1995" s="5" t="s">
        <v>10062</v>
      </c>
      <c r="N1995" s="45">
        <v>12969.56</v>
      </c>
      <c r="O1995" s="4" t="s">
        <v>276</v>
      </c>
      <c r="Q1995" s="45">
        <f t="shared" si="236"/>
        <v>12969.56</v>
      </c>
      <c r="R1995" s="3">
        <f t="shared" si="238"/>
        <v>0</v>
      </c>
    </row>
    <row r="1996" spans="1:19" hidden="1" x14ac:dyDescent="0.25">
      <c r="B1996" s="21" t="s">
        <v>395</v>
      </c>
      <c r="C1996" s="22" t="s">
        <v>2450</v>
      </c>
      <c r="D1996" s="22"/>
      <c r="E1996" s="21" t="s">
        <v>0</v>
      </c>
      <c r="F1996" s="21" t="s">
        <v>9823</v>
      </c>
      <c r="G1996" s="147" t="s">
        <v>8633</v>
      </c>
      <c r="H1996" s="23" t="s">
        <v>10961</v>
      </c>
      <c r="I1996" s="23" t="s">
        <v>10962</v>
      </c>
      <c r="J1996" s="21" t="s">
        <v>10989</v>
      </c>
      <c r="K1996" s="21"/>
      <c r="L1996" s="21" t="s">
        <v>11709</v>
      </c>
      <c r="M1996" s="26">
        <v>45761</v>
      </c>
      <c r="N1996" s="44">
        <v>15100</v>
      </c>
      <c r="O1996" s="22" t="s">
        <v>15</v>
      </c>
      <c r="P1996" s="44">
        <f>15100</f>
        <v>15100</v>
      </c>
      <c r="Q1996" s="24">
        <f t="shared" si="236"/>
        <v>0</v>
      </c>
      <c r="R1996" s="24">
        <f t="shared" si="238"/>
        <v>15100</v>
      </c>
    </row>
    <row r="1997" spans="1:19" hidden="1" x14ac:dyDescent="0.25">
      <c r="B1997" s="21" t="s">
        <v>395</v>
      </c>
      <c r="C1997" s="22" t="s">
        <v>2450</v>
      </c>
      <c r="D1997" s="22"/>
      <c r="E1997" s="21" t="s">
        <v>0</v>
      </c>
      <c r="F1997" s="21" t="s">
        <v>9823</v>
      </c>
      <c r="G1997" s="147" t="s">
        <v>8633</v>
      </c>
      <c r="H1997" s="23" t="s">
        <v>10961</v>
      </c>
      <c r="I1997" s="23" t="s">
        <v>10962</v>
      </c>
      <c r="J1997" s="21" t="s">
        <v>10990</v>
      </c>
      <c r="K1997" s="21"/>
      <c r="L1997" s="21" t="s">
        <v>11709</v>
      </c>
      <c r="M1997" s="26">
        <v>45761</v>
      </c>
      <c r="N1997" s="44">
        <v>80600</v>
      </c>
      <c r="O1997" s="22" t="s">
        <v>15</v>
      </c>
      <c r="P1997" s="44">
        <f>80600</f>
        <v>80600</v>
      </c>
      <c r="Q1997" s="24">
        <f t="shared" si="236"/>
        <v>0</v>
      </c>
      <c r="R1997" s="24">
        <f t="shared" si="238"/>
        <v>80600</v>
      </c>
    </row>
    <row r="1998" spans="1:19" hidden="1" x14ac:dyDescent="0.25">
      <c r="B1998" s="21" t="s">
        <v>395</v>
      </c>
      <c r="C1998" s="22" t="s">
        <v>4542</v>
      </c>
      <c r="D1998" s="22"/>
      <c r="E1998" s="21" t="s">
        <v>75</v>
      </c>
      <c r="F1998" s="21" t="s">
        <v>11253</v>
      </c>
      <c r="G1998" s="147" t="s">
        <v>10713</v>
      </c>
      <c r="H1998" s="23" t="s">
        <v>11047</v>
      </c>
      <c r="I1998" s="23" t="s">
        <v>11045</v>
      </c>
      <c r="J1998" s="21" t="s">
        <v>11046</v>
      </c>
      <c r="K1998" s="21"/>
      <c r="L1998" s="21" t="s">
        <v>11212</v>
      </c>
      <c r="M1998" s="26">
        <v>45694</v>
      </c>
      <c r="N1998" s="44">
        <v>21500</v>
      </c>
      <c r="O1998" s="22" t="s">
        <v>15</v>
      </c>
      <c r="P1998" s="44">
        <v>21500</v>
      </c>
      <c r="Q1998" s="44">
        <f t="shared" si="236"/>
        <v>0</v>
      </c>
      <c r="R1998" s="24">
        <f t="shared" ref="R1998:R1999" si="241">IF(P1998="OK",N1998-Q1998,IF(P1998="en cours",N1998-Q1998,P1998))</f>
        <v>21500</v>
      </c>
    </row>
    <row r="1999" spans="1:19" hidden="1" x14ac:dyDescent="0.25">
      <c r="C1999" s="4" t="s">
        <v>2450</v>
      </c>
      <c r="E1999" s="5" t="s">
        <v>0</v>
      </c>
      <c r="F1999" s="5" t="s">
        <v>9823</v>
      </c>
      <c r="G1999" s="146" t="s">
        <v>10542</v>
      </c>
      <c r="H1999" s="7" t="s">
        <v>10543</v>
      </c>
      <c r="I1999" s="7" t="s">
        <v>10544</v>
      </c>
      <c r="J1999" s="5" t="s">
        <v>10545</v>
      </c>
      <c r="N1999" s="45">
        <v>1402.5</v>
      </c>
      <c r="O1999" s="4" t="s">
        <v>337</v>
      </c>
      <c r="Q1999" s="45">
        <f t="shared" si="236"/>
        <v>1402.5</v>
      </c>
      <c r="R1999" s="3">
        <f t="shared" si="241"/>
        <v>0</v>
      </c>
    </row>
    <row r="2000" spans="1:19" hidden="1" x14ac:dyDescent="0.25">
      <c r="B2000" s="21" t="s">
        <v>395</v>
      </c>
      <c r="C2000" s="22" t="s">
        <v>158</v>
      </c>
      <c r="D2000" s="22"/>
      <c r="E2000" s="21" t="s">
        <v>7137</v>
      </c>
      <c r="F2000" s="21" t="s">
        <v>9761</v>
      </c>
      <c r="G2000" s="147" t="s">
        <v>9722</v>
      </c>
      <c r="H2000" s="23" t="s">
        <v>9723</v>
      </c>
      <c r="I2000" s="23" t="s">
        <v>9724</v>
      </c>
      <c r="J2000" s="21" t="s">
        <v>9725</v>
      </c>
      <c r="K2000" s="21"/>
      <c r="L2000" s="21" t="s">
        <v>9936</v>
      </c>
      <c r="M2000" s="26">
        <v>45448</v>
      </c>
      <c r="N2000" s="44">
        <f>124080</f>
        <v>124080</v>
      </c>
      <c r="O2000" s="22" t="s">
        <v>15</v>
      </c>
      <c r="P2000" s="44">
        <v>124080</v>
      </c>
      <c r="Q2000" s="24">
        <f t="shared" ref="Q2000:Q2019" si="242">IF(P2000="en cours",N2000,IF(P2000="OK",0,IF(N2000-P2000&lt;0,0,N2000-P2000)))</f>
        <v>0</v>
      </c>
      <c r="R2000" s="24">
        <f>IF(P2000="OK",N2000-Q2000,IF(P2000="en cours",N2000-Q2000,P2000))</f>
        <v>124080</v>
      </c>
    </row>
    <row r="2001" spans="2:18" hidden="1" x14ac:dyDescent="0.25">
      <c r="C2001" s="4" t="s">
        <v>158</v>
      </c>
      <c r="E2001" s="5" t="s">
        <v>7137</v>
      </c>
      <c r="F2001" s="5" t="s">
        <v>9761</v>
      </c>
      <c r="G2001" s="146" t="s">
        <v>9722</v>
      </c>
      <c r="H2001" s="7" t="s">
        <v>9726</v>
      </c>
      <c r="I2001" s="7" t="s">
        <v>9727</v>
      </c>
      <c r="J2001" s="5" t="s">
        <v>9728</v>
      </c>
      <c r="L2001" s="5" t="s">
        <v>12102</v>
      </c>
      <c r="M2001" s="12" t="s">
        <v>12103</v>
      </c>
      <c r="N2001" s="45">
        <v>91280</v>
      </c>
      <c r="O2001" s="4" t="s">
        <v>15</v>
      </c>
      <c r="P2001" s="45">
        <f>30025+270+690+810+920+2300+30025+1495+270+2300+1840+115+920+690+1450+1450+1450+1450+1450+1450</f>
        <v>81370</v>
      </c>
      <c r="Q2001" s="3">
        <f t="shared" si="242"/>
        <v>9910</v>
      </c>
      <c r="R2001" s="3">
        <f>IF(P2001="OK",N2001-Q2001,IF(P2001="en cours",N2001-Q2001,P2001))</f>
        <v>81370</v>
      </c>
    </row>
    <row r="2002" spans="2:18" hidden="1" x14ac:dyDescent="0.25">
      <c r="C2002" s="4" t="s">
        <v>158</v>
      </c>
      <c r="E2002" s="5" t="s">
        <v>159</v>
      </c>
      <c r="F2002" s="5" t="s">
        <v>9837</v>
      </c>
      <c r="G2002" s="146" t="s">
        <v>9722</v>
      </c>
      <c r="H2002" s="7" t="s">
        <v>9842</v>
      </c>
      <c r="I2002" s="7" t="s">
        <v>9843</v>
      </c>
      <c r="J2002" s="5" t="s">
        <v>9844</v>
      </c>
      <c r="N2002" s="45">
        <v>93960</v>
      </c>
      <c r="O2002" s="4" t="s">
        <v>15</v>
      </c>
      <c r="Q2002" s="3">
        <f t="shared" si="242"/>
        <v>93960</v>
      </c>
      <c r="R2002" s="3">
        <f>IF(P2002="OK",N2002-Q2002,IF(P2002="en cours",N2002-Q2002,P2002))</f>
        <v>0</v>
      </c>
    </row>
    <row r="2003" spans="2:18" hidden="1" x14ac:dyDescent="0.25">
      <c r="C2003" s="4" t="s">
        <v>158</v>
      </c>
      <c r="E2003" s="5" t="s">
        <v>159</v>
      </c>
      <c r="F2003" s="5" t="s">
        <v>9837</v>
      </c>
      <c r="G2003" s="146" t="s">
        <v>9722</v>
      </c>
      <c r="H2003" s="7" t="s">
        <v>9845</v>
      </c>
      <c r="I2003" s="7" t="s">
        <v>9846</v>
      </c>
      <c r="J2003" s="5" t="s">
        <v>9847</v>
      </c>
      <c r="L2003" s="5" t="s">
        <v>13840</v>
      </c>
      <c r="M2003" s="12" t="s">
        <v>13841</v>
      </c>
      <c r="N2003" s="45">
        <v>76750</v>
      </c>
      <c r="O2003" s="4" t="s">
        <v>15</v>
      </c>
      <c r="P2003" s="45">
        <f>22225+500+1960+22225+7520+540+1450+1450+1450+1450+1450+1450+1450+1450+1450+1450+1450+1450+1450+1450</f>
        <v>75270</v>
      </c>
      <c r="Q2003" s="3">
        <f t="shared" si="242"/>
        <v>1480</v>
      </c>
      <c r="R2003" s="3">
        <f>IF(P2003="OK",N2003-Q2003,IF(P2003="en cours",N2003-Q2003,P2003))</f>
        <v>75270</v>
      </c>
    </row>
    <row r="2004" spans="2:18" hidden="1" x14ac:dyDescent="0.25">
      <c r="B2004" s="21" t="s">
        <v>395</v>
      </c>
      <c r="C2004" s="22" t="s">
        <v>158</v>
      </c>
      <c r="D2004" s="22"/>
      <c r="E2004" s="21" t="s">
        <v>7137</v>
      </c>
      <c r="F2004" s="21" t="s">
        <v>9761</v>
      </c>
      <c r="G2004" s="147" t="s">
        <v>9722</v>
      </c>
      <c r="H2004" s="23" t="s">
        <v>10658</v>
      </c>
      <c r="I2004" s="23" t="s">
        <v>10656</v>
      </c>
      <c r="J2004" s="21" t="s">
        <v>10657</v>
      </c>
      <c r="K2004" s="21"/>
      <c r="L2004" s="21" t="s">
        <v>10695</v>
      </c>
      <c r="M2004" s="26">
        <v>45600</v>
      </c>
      <c r="N2004" s="44">
        <v>29799.96</v>
      </c>
      <c r="O2004" s="22" t="s">
        <v>15</v>
      </c>
      <c r="P2004" s="44">
        <v>29800</v>
      </c>
      <c r="Q2004" s="24">
        <f t="shared" si="242"/>
        <v>0</v>
      </c>
      <c r="R2004" s="24">
        <f>IF(P2004="OK",N2004-Q2004,IF(P2004="en cours",N2004-Q2004,P2004))</f>
        <v>29800</v>
      </c>
    </row>
    <row r="2005" spans="2:18" hidden="1" x14ac:dyDescent="0.25">
      <c r="C2005" s="4" t="s">
        <v>2450</v>
      </c>
      <c r="E2005" s="5" t="s">
        <v>10</v>
      </c>
      <c r="G2005" s="146" t="s">
        <v>9160</v>
      </c>
      <c r="H2005" s="7" t="s">
        <v>9161</v>
      </c>
      <c r="I2005" s="7" t="s">
        <v>9162</v>
      </c>
      <c r="J2005" s="5" t="s">
        <v>9163</v>
      </c>
      <c r="N2005" s="45">
        <v>814.65</v>
      </c>
      <c r="O2005" s="4" t="s">
        <v>15</v>
      </c>
      <c r="Q2005" s="45">
        <f t="shared" si="242"/>
        <v>814.65</v>
      </c>
      <c r="R2005" s="25">
        <f t="shared" ref="R2005:R2047" si="243">IF(P2005="OK",N2005-Q2005,IF(P2005="en cours",N2005-Q2005,P2005))</f>
        <v>0</v>
      </c>
    </row>
    <row r="2006" spans="2:18" hidden="1" x14ac:dyDescent="0.25">
      <c r="C2006" s="4" t="s">
        <v>2450</v>
      </c>
      <c r="E2006" s="5" t="s">
        <v>75</v>
      </c>
      <c r="G2006" s="146" t="s">
        <v>9160</v>
      </c>
      <c r="H2006" s="7" t="s">
        <v>9253</v>
      </c>
      <c r="I2006" s="7" t="s">
        <v>9254</v>
      </c>
      <c r="J2006" s="5" t="s">
        <v>9255</v>
      </c>
      <c r="N2006" s="45">
        <v>1706.05</v>
      </c>
      <c r="O2006" s="4" t="s">
        <v>15</v>
      </c>
      <c r="Q2006" s="45">
        <f t="shared" si="242"/>
        <v>1706.05</v>
      </c>
      <c r="R2006" s="3">
        <f t="shared" si="243"/>
        <v>0</v>
      </c>
    </row>
    <row r="2007" spans="2:18" hidden="1" x14ac:dyDescent="0.25">
      <c r="C2007" s="4" t="s">
        <v>7408</v>
      </c>
      <c r="E2007" s="5" t="s">
        <v>75</v>
      </c>
      <c r="G2007" s="146" t="s">
        <v>9160</v>
      </c>
      <c r="H2007" s="7" t="s">
        <v>9332</v>
      </c>
      <c r="I2007" s="7" t="s">
        <v>9333</v>
      </c>
      <c r="J2007" s="5" t="s">
        <v>9334</v>
      </c>
      <c r="N2007" s="45">
        <v>2526.4</v>
      </c>
      <c r="O2007" s="4" t="s">
        <v>15</v>
      </c>
      <c r="Q2007" s="45">
        <f t="shared" si="242"/>
        <v>2526.4</v>
      </c>
      <c r="R2007" s="3">
        <f t="shared" si="243"/>
        <v>0</v>
      </c>
    </row>
    <row r="2008" spans="2:18" hidden="1" x14ac:dyDescent="0.25">
      <c r="C2008" s="4" t="s">
        <v>2450</v>
      </c>
      <c r="E2008" s="5" t="s">
        <v>10</v>
      </c>
      <c r="G2008" s="146" t="s">
        <v>9160</v>
      </c>
      <c r="H2008" s="7" t="s">
        <v>9676</v>
      </c>
      <c r="I2008" s="7" t="s">
        <v>9677</v>
      </c>
      <c r="J2008" s="5" t="s">
        <v>9681</v>
      </c>
      <c r="N2008" s="45">
        <v>3526.55</v>
      </c>
      <c r="O2008" s="4" t="s">
        <v>15</v>
      </c>
      <c r="Q2008" s="3">
        <f t="shared" si="242"/>
        <v>3526.55</v>
      </c>
      <c r="R2008" s="3">
        <f t="shared" si="243"/>
        <v>0</v>
      </c>
    </row>
    <row r="2009" spans="2:18" hidden="1" x14ac:dyDescent="0.25">
      <c r="C2009" s="4" t="s">
        <v>2450</v>
      </c>
      <c r="E2009" s="5" t="s">
        <v>10</v>
      </c>
      <c r="G2009" s="146" t="s">
        <v>9160</v>
      </c>
      <c r="H2009" s="7" t="s">
        <v>9678</v>
      </c>
      <c r="I2009" s="7" t="s">
        <v>9679</v>
      </c>
      <c r="J2009" s="5" t="s">
        <v>9680</v>
      </c>
      <c r="N2009" s="45">
        <v>3545.8</v>
      </c>
      <c r="O2009" s="4" t="s">
        <v>15</v>
      </c>
      <c r="Q2009" s="3">
        <f t="shared" si="242"/>
        <v>3545.8</v>
      </c>
      <c r="R2009" s="3">
        <f t="shared" si="243"/>
        <v>0</v>
      </c>
    </row>
    <row r="2010" spans="2:18" hidden="1" x14ac:dyDescent="0.25">
      <c r="C2010" s="4" t="s">
        <v>7408</v>
      </c>
      <c r="E2010" s="5" t="s">
        <v>75</v>
      </c>
      <c r="F2010" s="5" t="s">
        <v>9755</v>
      </c>
      <c r="G2010" s="146" t="s">
        <v>9160</v>
      </c>
      <c r="H2010" s="7" t="s">
        <v>9756</v>
      </c>
      <c r="I2010" s="7" t="s">
        <v>9757</v>
      </c>
      <c r="J2010" s="5" t="s">
        <v>9758</v>
      </c>
      <c r="N2010" s="45">
        <v>2725.6</v>
      </c>
      <c r="O2010" s="4" t="s">
        <v>15</v>
      </c>
      <c r="Q2010" s="3">
        <f t="shared" si="242"/>
        <v>2725.6</v>
      </c>
      <c r="R2010" s="3">
        <f t="shared" si="243"/>
        <v>0</v>
      </c>
    </row>
    <row r="2011" spans="2:18" hidden="1" x14ac:dyDescent="0.25">
      <c r="C2011" s="4" t="s">
        <v>2450</v>
      </c>
      <c r="E2011" s="5" t="s">
        <v>10</v>
      </c>
      <c r="F2011" s="5" t="s">
        <v>9721</v>
      </c>
      <c r="G2011" s="146" t="s">
        <v>9160</v>
      </c>
      <c r="H2011" s="7" t="s">
        <v>11048</v>
      </c>
      <c r="I2011" s="7" t="s">
        <v>11049</v>
      </c>
      <c r="J2011" s="5" t="s">
        <v>11050</v>
      </c>
      <c r="N2011" s="45">
        <v>1358.5</v>
      </c>
      <c r="O2011" s="4" t="s">
        <v>15</v>
      </c>
      <c r="Q2011" s="45">
        <f t="shared" si="242"/>
        <v>1358.5</v>
      </c>
      <c r="R2011" s="3">
        <f t="shared" si="243"/>
        <v>0</v>
      </c>
    </row>
    <row r="2012" spans="2:18" hidden="1" x14ac:dyDescent="0.25">
      <c r="C2012" s="4" t="s">
        <v>158</v>
      </c>
      <c r="E2012" s="5" t="s">
        <v>9474</v>
      </c>
      <c r="F2012" s="5" t="s">
        <v>9815</v>
      </c>
      <c r="G2012" s="146" t="s">
        <v>9816</v>
      </c>
      <c r="H2012" s="58" t="s">
        <v>9817</v>
      </c>
      <c r="I2012" s="7" t="s">
        <v>9817</v>
      </c>
      <c r="J2012" s="5" t="s">
        <v>9818</v>
      </c>
      <c r="L2012" s="5" t="s">
        <v>12820</v>
      </c>
      <c r="M2012" s="12" t="s">
        <v>12821</v>
      </c>
      <c r="N2012" s="45">
        <v>45000</v>
      </c>
      <c r="O2012" s="4" t="s">
        <v>15</v>
      </c>
      <c r="P2012" s="45">
        <f>4590+3090+3180+3180</f>
        <v>14040</v>
      </c>
      <c r="Q2012" s="3">
        <f t="shared" si="242"/>
        <v>30960</v>
      </c>
      <c r="R2012" s="3">
        <f t="shared" si="243"/>
        <v>14040</v>
      </c>
    </row>
    <row r="2013" spans="2:18" hidden="1" x14ac:dyDescent="0.25">
      <c r="B2013" s="21" t="s">
        <v>395</v>
      </c>
      <c r="C2013" s="22" t="s">
        <v>4231</v>
      </c>
      <c r="D2013" s="22"/>
      <c r="E2013" s="21" t="s">
        <v>729</v>
      </c>
      <c r="F2013" s="21"/>
      <c r="G2013" s="147" t="s">
        <v>4233</v>
      </c>
      <c r="H2013" s="23" t="s">
        <v>4234</v>
      </c>
      <c r="I2013" s="23" t="s">
        <v>8007</v>
      </c>
      <c r="J2013" s="21" t="s">
        <v>4235</v>
      </c>
      <c r="K2013" s="21"/>
      <c r="L2013" s="21" t="s">
        <v>4868</v>
      </c>
      <c r="M2013" s="26">
        <v>44314</v>
      </c>
      <c r="N2013" s="44">
        <v>1740</v>
      </c>
      <c r="O2013" s="22" t="s">
        <v>276</v>
      </c>
      <c r="P2013" s="22">
        <v>1740</v>
      </c>
      <c r="Q2013" s="44">
        <f t="shared" si="242"/>
        <v>0</v>
      </c>
      <c r="R2013" s="116">
        <f t="shared" si="243"/>
        <v>1740</v>
      </c>
    </row>
    <row r="2014" spans="2:18" hidden="1" x14ac:dyDescent="0.25">
      <c r="B2014" s="21" t="s">
        <v>395</v>
      </c>
      <c r="C2014" s="22" t="s">
        <v>4231</v>
      </c>
      <c r="D2014" s="22"/>
      <c r="E2014" s="21" t="s">
        <v>729</v>
      </c>
      <c r="F2014" s="21"/>
      <c r="G2014" s="147" t="s">
        <v>4233</v>
      </c>
      <c r="H2014" s="23" t="s">
        <v>4234</v>
      </c>
      <c r="I2014" s="23" t="s">
        <v>8007</v>
      </c>
      <c r="J2014" s="21" t="s">
        <v>4236</v>
      </c>
      <c r="K2014" s="21"/>
      <c r="L2014" s="21" t="s">
        <v>4868</v>
      </c>
      <c r="M2014" s="26">
        <v>44314</v>
      </c>
      <c r="N2014" s="44">
        <v>1920</v>
      </c>
      <c r="O2014" s="22" t="s">
        <v>276</v>
      </c>
      <c r="P2014" s="22">
        <v>1920</v>
      </c>
      <c r="Q2014" s="44">
        <f t="shared" si="242"/>
        <v>0</v>
      </c>
      <c r="R2014" s="116">
        <f t="shared" si="243"/>
        <v>1920</v>
      </c>
    </row>
    <row r="2015" spans="2:18" hidden="1" x14ac:dyDescent="0.25">
      <c r="B2015" s="5" t="s">
        <v>12228</v>
      </c>
      <c r="C2015" s="4" t="s">
        <v>4231</v>
      </c>
      <c r="E2015" s="5" t="s">
        <v>729</v>
      </c>
      <c r="G2015" s="146" t="s">
        <v>4233</v>
      </c>
      <c r="H2015" s="7" t="s">
        <v>4234</v>
      </c>
      <c r="I2015" s="7" t="s">
        <v>8007</v>
      </c>
      <c r="J2015" s="5" t="s">
        <v>4237</v>
      </c>
      <c r="K2015" s="5" t="s">
        <v>3972</v>
      </c>
      <c r="N2015" s="45">
        <v>480</v>
      </c>
      <c r="O2015" s="4" t="s">
        <v>276</v>
      </c>
      <c r="P2015" s="4"/>
      <c r="Q2015" s="45">
        <f t="shared" si="242"/>
        <v>480</v>
      </c>
      <c r="R2015" s="25">
        <f t="shared" si="243"/>
        <v>0</v>
      </c>
    </row>
    <row r="2016" spans="2:18" hidden="1" x14ac:dyDescent="0.25">
      <c r="B2016" s="21" t="s">
        <v>395</v>
      </c>
      <c r="C2016" s="22" t="s">
        <v>4231</v>
      </c>
      <c r="D2016" s="22"/>
      <c r="E2016" s="21" t="s">
        <v>729</v>
      </c>
      <c r="F2016" s="21"/>
      <c r="G2016" s="147" t="s">
        <v>4233</v>
      </c>
      <c r="H2016" s="23" t="s">
        <v>4234</v>
      </c>
      <c r="I2016" s="23" t="s">
        <v>8007</v>
      </c>
      <c r="J2016" s="21" t="s">
        <v>4235</v>
      </c>
      <c r="K2016" s="21"/>
      <c r="L2016" s="21" t="s">
        <v>4868</v>
      </c>
      <c r="M2016" s="26">
        <v>44314</v>
      </c>
      <c r="N2016" s="44">
        <v>1740</v>
      </c>
      <c r="O2016" s="22" t="s">
        <v>276</v>
      </c>
      <c r="P2016" s="22">
        <v>1740</v>
      </c>
      <c r="Q2016" s="44">
        <f t="shared" si="242"/>
        <v>0</v>
      </c>
      <c r="R2016" s="116">
        <f t="shared" si="243"/>
        <v>1740</v>
      </c>
    </row>
    <row r="2017" spans="1:20" ht="18" hidden="1" customHeight="1" x14ac:dyDescent="0.25">
      <c r="B2017" s="5" t="s">
        <v>12228</v>
      </c>
      <c r="C2017" s="4" t="s">
        <v>4231</v>
      </c>
      <c r="E2017" s="5" t="s">
        <v>729</v>
      </c>
      <c r="G2017" s="146" t="s">
        <v>4233</v>
      </c>
      <c r="H2017" s="7" t="s">
        <v>4234</v>
      </c>
      <c r="I2017" s="7" t="s">
        <v>8007</v>
      </c>
      <c r="J2017" s="5" t="s">
        <v>4236</v>
      </c>
      <c r="L2017" s="5" t="s">
        <v>4868</v>
      </c>
      <c r="M2017" s="12">
        <v>44314</v>
      </c>
      <c r="N2017" s="45">
        <v>1920</v>
      </c>
      <c r="O2017" s="4" t="s">
        <v>276</v>
      </c>
      <c r="P2017" s="4">
        <v>1399</v>
      </c>
      <c r="Q2017" s="45">
        <f t="shared" si="242"/>
        <v>521</v>
      </c>
      <c r="R2017" s="25">
        <f t="shared" si="243"/>
        <v>1399</v>
      </c>
    </row>
    <row r="2018" spans="1:20" ht="15.75" hidden="1" customHeight="1" x14ac:dyDescent="0.25">
      <c r="B2018" s="5" t="s">
        <v>12228</v>
      </c>
      <c r="C2018" s="4" t="s">
        <v>4231</v>
      </c>
      <c r="E2018" s="5" t="s">
        <v>729</v>
      </c>
      <c r="G2018" s="146" t="s">
        <v>4233</v>
      </c>
      <c r="H2018" s="7" t="s">
        <v>4234</v>
      </c>
      <c r="I2018" s="7" t="s">
        <v>8007</v>
      </c>
      <c r="J2018" s="5" t="s">
        <v>4237</v>
      </c>
      <c r="K2018" s="5" t="s">
        <v>3972</v>
      </c>
      <c r="N2018" s="45">
        <v>480</v>
      </c>
      <c r="O2018" s="4" t="s">
        <v>276</v>
      </c>
      <c r="P2018" s="4"/>
      <c r="Q2018" s="45">
        <f t="shared" si="242"/>
        <v>480</v>
      </c>
      <c r="R2018" s="25">
        <f t="shared" si="243"/>
        <v>0</v>
      </c>
    </row>
    <row r="2019" spans="1:20" hidden="1" x14ac:dyDescent="0.25">
      <c r="B2019" s="21" t="s">
        <v>395</v>
      </c>
      <c r="C2019" s="22" t="s">
        <v>2450</v>
      </c>
      <c r="D2019" s="22"/>
      <c r="E2019" s="21" t="s">
        <v>0</v>
      </c>
      <c r="F2019" s="23" t="s">
        <v>9823</v>
      </c>
      <c r="G2019" s="147" t="s">
        <v>10296</v>
      </c>
      <c r="H2019" s="23" t="s">
        <v>11214</v>
      </c>
      <c r="I2019" s="23" t="s">
        <v>11215</v>
      </c>
      <c r="J2019" s="21" t="s">
        <v>11216</v>
      </c>
      <c r="K2019" s="21"/>
      <c r="L2019" s="21" t="s">
        <v>11261</v>
      </c>
      <c r="M2019" s="26">
        <v>45714</v>
      </c>
      <c r="N2019" s="44">
        <v>1323</v>
      </c>
      <c r="O2019" s="22" t="s">
        <v>276</v>
      </c>
      <c r="P2019" s="44">
        <v>1323</v>
      </c>
      <c r="Q2019" s="44">
        <f t="shared" si="242"/>
        <v>0</v>
      </c>
      <c r="R2019" s="24">
        <f t="shared" si="243"/>
        <v>1323</v>
      </c>
    </row>
    <row r="2020" spans="1:20" hidden="1" x14ac:dyDescent="0.25">
      <c r="B2020" s="21" t="s">
        <v>395</v>
      </c>
      <c r="C2020" s="22" t="s">
        <v>2450</v>
      </c>
      <c r="D2020" s="22"/>
      <c r="E2020" s="21" t="s">
        <v>0</v>
      </c>
      <c r="F2020" s="22" t="s">
        <v>9823</v>
      </c>
      <c r="G2020" s="147" t="s">
        <v>8757</v>
      </c>
      <c r="H2020" s="23" t="s">
        <v>11217</v>
      </c>
      <c r="I2020" s="23" t="s">
        <v>11218</v>
      </c>
      <c r="J2020" s="21" t="s">
        <v>11219</v>
      </c>
      <c r="K2020" s="21"/>
      <c r="L2020" s="21" t="s">
        <v>11584</v>
      </c>
      <c r="M2020" s="26" t="s">
        <v>11585</v>
      </c>
      <c r="N2020" s="44">
        <v>6180</v>
      </c>
      <c r="O2020" s="22" t="s">
        <v>337</v>
      </c>
      <c r="P2020" s="44">
        <f>6180-283.59</f>
        <v>5896.41</v>
      </c>
      <c r="Q2020" s="44">
        <v>0</v>
      </c>
      <c r="R2020" s="116">
        <f t="shared" si="243"/>
        <v>5896.41</v>
      </c>
      <c r="S2020" s="5" t="s">
        <v>11586</v>
      </c>
    </row>
    <row r="2021" spans="1:20" hidden="1" x14ac:dyDescent="0.25">
      <c r="B2021" s="21" t="s">
        <v>395</v>
      </c>
      <c r="C2021" s="22" t="s">
        <v>2450</v>
      </c>
      <c r="D2021" s="22"/>
      <c r="E2021" s="21" t="s">
        <v>0</v>
      </c>
      <c r="F2021" s="22" t="s">
        <v>9823</v>
      </c>
      <c r="G2021" s="147" t="s">
        <v>8757</v>
      </c>
      <c r="H2021" s="23" t="s">
        <v>11220</v>
      </c>
      <c r="I2021" s="23" t="s">
        <v>11221</v>
      </c>
      <c r="J2021" s="21" t="s">
        <v>11222</v>
      </c>
      <c r="K2021" s="21"/>
      <c r="L2021" s="21" t="s">
        <v>11271</v>
      </c>
      <c r="M2021" s="26">
        <v>45715</v>
      </c>
      <c r="N2021" s="44">
        <v>16000</v>
      </c>
      <c r="O2021" s="22" t="s">
        <v>337</v>
      </c>
      <c r="P2021" s="44">
        <v>16000</v>
      </c>
      <c r="Q2021" s="44">
        <f t="shared" ref="Q2021:Q2057" si="244">IF(P2021="en cours",N2021,IF(P2021="OK",0,IF(N2021-P2021&lt;0,0,N2021-P2021)))</f>
        <v>0</v>
      </c>
      <c r="R2021" s="116">
        <f t="shared" si="243"/>
        <v>16000</v>
      </c>
    </row>
    <row r="2022" spans="1:20" s="252" customFormat="1" hidden="1" x14ac:dyDescent="0.25">
      <c r="B2022" s="421" t="s">
        <v>395</v>
      </c>
      <c r="C2022" s="422" t="s">
        <v>2450</v>
      </c>
      <c r="D2022" s="422"/>
      <c r="E2022" s="421" t="s">
        <v>0</v>
      </c>
      <c r="F2022" s="421" t="s">
        <v>9823</v>
      </c>
      <c r="G2022" s="502" t="s">
        <v>7266</v>
      </c>
      <c r="H2022" s="423" t="s">
        <v>11223</v>
      </c>
      <c r="I2022" s="423" t="s">
        <v>11224</v>
      </c>
      <c r="J2022" s="421" t="s">
        <v>9665</v>
      </c>
      <c r="K2022" s="421"/>
      <c r="L2022" s="421" t="s">
        <v>11901</v>
      </c>
      <c r="M2022" s="46">
        <v>45804</v>
      </c>
      <c r="N2022" s="424">
        <v>30000</v>
      </c>
      <c r="O2022" s="422" t="s">
        <v>15</v>
      </c>
      <c r="P2022" s="424">
        <v>30000</v>
      </c>
      <c r="Q2022" s="424">
        <f t="shared" si="244"/>
        <v>0</v>
      </c>
      <c r="R2022" s="425">
        <f t="shared" si="243"/>
        <v>30000</v>
      </c>
      <c r="S2022" s="250"/>
      <c r="T2022" s="250"/>
    </row>
    <row r="2023" spans="1:20" hidden="1" x14ac:dyDescent="0.25">
      <c r="A2023" t="s">
        <v>6753</v>
      </c>
      <c r="B2023" s="21" t="s">
        <v>395</v>
      </c>
      <c r="C2023" s="22" t="s">
        <v>2450</v>
      </c>
      <c r="D2023" s="22"/>
      <c r="E2023" s="21" t="s">
        <v>10</v>
      </c>
      <c r="F2023" s="21" t="s">
        <v>9721</v>
      </c>
      <c r="G2023" s="147" t="s">
        <v>7315</v>
      </c>
      <c r="H2023" s="23" t="s">
        <v>11225</v>
      </c>
      <c r="I2023" s="23" t="s">
        <v>11226</v>
      </c>
      <c r="J2023" s="21" t="s">
        <v>6557</v>
      </c>
      <c r="K2023" s="21"/>
      <c r="L2023" s="21" t="s">
        <v>12389</v>
      </c>
      <c r="M2023" s="26" t="s">
        <v>12390</v>
      </c>
      <c r="N2023" s="44">
        <v>2924.8</v>
      </c>
      <c r="O2023" s="22" t="s">
        <v>15</v>
      </c>
      <c r="P2023" s="44">
        <f>1828.8+1096</f>
        <v>2924.8</v>
      </c>
      <c r="Q2023" s="44">
        <f t="shared" si="244"/>
        <v>0</v>
      </c>
      <c r="R2023" s="116">
        <f t="shared" si="243"/>
        <v>2924.8</v>
      </c>
    </row>
    <row r="2024" spans="1:20" hidden="1" x14ac:dyDescent="0.25">
      <c r="B2024" s="21" t="s">
        <v>395</v>
      </c>
      <c r="C2024" s="22" t="s">
        <v>2450</v>
      </c>
      <c r="D2024" s="22"/>
      <c r="E2024" s="21" t="s">
        <v>10</v>
      </c>
      <c r="F2024" s="22" t="s">
        <v>9721</v>
      </c>
      <c r="G2024" s="147" t="s">
        <v>8639</v>
      </c>
      <c r="H2024" s="23" t="s">
        <v>11227</v>
      </c>
      <c r="I2024" s="23" t="s">
        <v>11228</v>
      </c>
      <c r="J2024" s="21" t="s">
        <v>6557</v>
      </c>
      <c r="K2024" s="21"/>
      <c r="L2024" s="21" t="s">
        <v>11252</v>
      </c>
      <c r="M2024" s="26">
        <v>45706</v>
      </c>
      <c r="N2024" s="44">
        <v>4575</v>
      </c>
      <c r="O2024" s="22" t="s">
        <v>15</v>
      </c>
      <c r="P2024" s="44">
        <v>4575</v>
      </c>
      <c r="Q2024" s="44">
        <f t="shared" si="244"/>
        <v>0</v>
      </c>
      <c r="R2024" s="116">
        <f t="shared" si="243"/>
        <v>4575</v>
      </c>
    </row>
    <row r="2025" spans="1:20" hidden="1" x14ac:dyDescent="0.25">
      <c r="B2025" s="21" t="s">
        <v>395</v>
      </c>
      <c r="C2025" s="22" t="s">
        <v>2450</v>
      </c>
      <c r="D2025" s="22"/>
      <c r="E2025" s="21" t="s">
        <v>0</v>
      </c>
      <c r="F2025" s="22" t="s">
        <v>9823</v>
      </c>
      <c r="G2025" s="147" t="s">
        <v>5405</v>
      </c>
      <c r="H2025" s="23" t="s">
        <v>11229</v>
      </c>
      <c r="I2025" s="23" t="s">
        <v>11230</v>
      </c>
      <c r="J2025" s="21" t="s">
        <v>11274</v>
      </c>
      <c r="K2025" s="21"/>
      <c r="L2025" s="21" t="s">
        <v>11275</v>
      </c>
      <c r="M2025" s="26">
        <v>45716</v>
      </c>
      <c r="N2025" s="44">
        <v>13510</v>
      </c>
      <c r="O2025" s="22" t="s">
        <v>15</v>
      </c>
      <c r="P2025" s="44">
        <v>13510</v>
      </c>
      <c r="Q2025" s="44">
        <f t="shared" si="244"/>
        <v>0</v>
      </c>
      <c r="R2025" s="116">
        <f t="shared" si="243"/>
        <v>13510</v>
      </c>
    </row>
    <row r="2026" spans="1:20" ht="23.45" hidden="1" customHeight="1" x14ac:dyDescent="0.25">
      <c r="C2026" s="4" t="s">
        <v>158</v>
      </c>
      <c r="E2026" s="5" t="s">
        <v>10</v>
      </c>
      <c r="F2026" s="5" t="s">
        <v>9721</v>
      </c>
      <c r="G2026" s="146" t="s">
        <v>7675</v>
      </c>
      <c r="H2026" s="7" t="s">
        <v>11231</v>
      </c>
      <c r="I2026" s="7" t="s">
        <v>11232</v>
      </c>
      <c r="J2026" s="5" t="s">
        <v>6557</v>
      </c>
      <c r="L2026" s="5" t="s">
        <v>11896</v>
      </c>
      <c r="M2026" s="12" t="s">
        <v>11897</v>
      </c>
      <c r="N2026" s="45">
        <v>1046.24</v>
      </c>
      <c r="O2026" s="4" t="s">
        <v>15</v>
      </c>
      <c r="P2026" s="45">
        <f>286.4+516.21+235.75</f>
        <v>1038.3600000000001</v>
      </c>
      <c r="Q2026" s="45">
        <f t="shared" si="244"/>
        <v>7.8799999999998818</v>
      </c>
      <c r="R2026" s="3">
        <f t="shared" si="243"/>
        <v>1038.3600000000001</v>
      </c>
    </row>
    <row r="2027" spans="1:20" x14ac:dyDescent="0.25">
      <c r="C2027" s="4" t="s">
        <v>2450</v>
      </c>
      <c r="E2027" s="5" t="s">
        <v>0</v>
      </c>
      <c r="F2027" s="5" t="s">
        <v>9807</v>
      </c>
      <c r="G2027" s="146" t="s">
        <v>6365</v>
      </c>
      <c r="H2027" s="7" t="s">
        <v>11233</v>
      </c>
      <c r="I2027" s="7" t="s">
        <v>11234</v>
      </c>
      <c r="J2027" s="5" t="s">
        <v>11235</v>
      </c>
      <c r="L2027" s="5" t="s">
        <v>13114</v>
      </c>
      <c r="M2027" s="12" t="s">
        <v>13115</v>
      </c>
      <c r="N2027" s="45">
        <v>175487</v>
      </c>
      <c r="O2027" s="4" t="s">
        <v>15</v>
      </c>
      <c r="P2027" s="45">
        <f>66240+66992+23404+18851</f>
        <v>175487</v>
      </c>
      <c r="Q2027" s="45">
        <f t="shared" si="244"/>
        <v>0</v>
      </c>
      <c r="R2027" s="25">
        <f t="shared" si="243"/>
        <v>175487</v>
      </c>
    </row>
    <row r="2028" spans="1:20" ht="29.45" hidden="1" customHeight="1" x14ac:dyDescent="0.25">
      <c r="C2028" s="4" t="s">
        <v>2450</v>
      </c>
      <c r="E2028" s="5" t="s">
        <v>0</v>
      </c>
      <c r="F2028" s="4" t="s">
        <v>9823</v>
      </c>
      <c r="G2028" s="146" t="s">
        <v>3687</v>
      </c>
      <c r="H2028" s="7" t="s">
        <v>11236</v>
      </c>
      <c r="I2028" s="7" t="s">
        <v>11237</v>
      </c>
      <c r="J2028" s="5" t="s">
        <v>11238</v>
      </c>
      <c r="L2028" s="5" t="s">
        <v>11724</v>
      </c>
      <c r="M2028" s="12" t="s">
        <v>11725</v>
      </c>
      <c r="N2028" s="45">
        <v>4900</v>
      </c>
      <c r="O2028" s="4" t="s">
        <v>15</v>
      </c>
      <c r="P2028" s="45">
        <f>1470+980+2450</f>
        <v>4900</v>
      </c>
      <c r="Q2028" s="45">
        <f t="shared" si="244"/>
        <v>0</v>
      </c>
      <c r="R2028" s="25">
        <f t="shared" si="243"/>
        <v>4900</v>
      </c>
    </row>
    <row r="2029" spans="1:20" hidden="1" x14ac:dyDescent="0.25">
      <c r="B2029" s="21" t="s">
        <v>395</v>
      </c>
      <c r="C2029" s="22" t="s">
        <v>2450</v>
      </c>
      <c r="D2029" s="22"/>
      <c r="E2029" s="21" t="s">
        <v>0</v>
      </c>
      <c r="F2029" s="21" t="s">
        <v>9823</v>
      </c>
      <c r="G2029" s="147" t="s">
        <v>3687</v>
      </c>
      <c r="H2029" s="23" t="s">
        <v>11239</v>
      </c>
      <c r="I2029" s="23" t="s">
        <v>11240</v>
      </c>
      <c r="J2029" s="21" t="s">
        <v>11241</v>
      </c>
      <c r="K2029" s="21"/>
      <c r="L2029" s="21" t="s">
        <v>12197</v>
      </c>
      <c r="M2029" s="26" t="s">
        <v>12198</v>
      </c>
      <c r="N2029" s="44">
        <v>41500</v>
      </c>
      <c r="O2029" s="22" t="s">
        <v>15</v>
      </c>
      <c r="P2029" s="44">
        <f>12700+27300+1500+1800-1800</f>
        <v>41500</v>
      </c>
      <c r="Q2029" s="24">
        <f t="shared" si="244"/>
        <v>0</v>
      </c>
      <c r="R2029" s="24">
        <f t="shared" si="243"/>
        <v>41500</v>
      </c>
    </row>
    <row r="2030" spans="1:20" ht="25.5" hidden="1" customHeight="1" x14ac:dyDescent="0.25">
      <c r="C2030" s="4" t="s">
        <v>2450</v>
      </c>
      <c r="E2030" s="5" t="s">
        <v>0</v>
      </c>
      <c r="F2030" s="4" t="s">
        <v>9823</v>
      </c>
      <c r="G2030" s="146" t="s">
        <v>3687</v>
      </c>
      <c r="H2030" s="7" t="s">
        <v>11326</v>
      </c>
      <c r="I2030" s="7" t="s">
        <v>11327</v>
      </c>
      <c r="J2030" s="5" t="s">
        <v>11328</v>
      </c>
      <c r="M2030" s="12"/>
      <c r="N2030" s="45">
        <v>1500</v>
      </c>
      <c r="O2030" s="4" t="s">
        <v>15</v>
      </c>
      <c r="Q2030" s="45">
        <f t="shared" si="244"/>
        <v>1500</v>
      </c>
      <c r="R2030" s="25">
        <f t="shared" si="243"/>
        <v>0</v>
      </c>
      <c r="S2030" s="5" t="s">
        <v>11792</v>
      </c>
    </row>
    <row r="2031" spans="1:20" hidden="1" x14ac:dyDescent="0.25">
      <c r="B2031" s="21" t="s">
        <v>395</v>
      </c>
      <c r="C2031" s="22" t="s">
        <v>2450</v>
      </c>
      <c r="D2031" s="22"/>
      <c r="E2031" s="21" t="s">
        <v>0</v>
      </c>
      <c r="F2031" s="23" t="s">
        <v>9823</v>
      </c>
      <c r="G2031" s="147" t="s">
        <v>10296</v>
      </c>
      <c r="H2031" s="23" t="s">
        <v>11242</v>
      </c>
      <c r="I2031" s="23" t="s">
        <v>11243</v>
      </c>
      <c r="J2031" s="21" t="s">
        <v>11244</v>
      </c>
      <c r="K2031" s="21" t="s">
        <v>8881</v>
      </c>
      <c r="L2031" s="21" t="s">
        <v>12011</v>
      </c>
      <c r="M2031" s="26">
        <v>45824</v>
      </c>
      <c r="N2031" s="44">
        <v>8655</v>
      </c>
      <c r="O2031" s="22" t="s">
        <v>276</v>
      </c>
      <c r="P2031" s="44">
        <f>8505</f>
        <v>8505</v>
      </c>
      <c r="Q2031" s="44">
        <f t="shared" si="244"/>
        <v>150</v>
      </c>
      <c r="R2031" s="24">
        <f t="shared" si="243"/>
        <v>8505</v>
      </c>
    </row>
    <row r="2032" spans="1:20" hidden="1" x14ac:dyDescent="0.25">
      <c r="B2032" s="21" t="s">
        <v>395</v>
      </c>
      <c r="C2032" s="22" t="s">
        <v>2450</v>
      </c>
      <c r="D2032" s="22"/>
      <c r="E2032" s="21" t="s">
        <v>10</v>
      </c>
      <c r="F2032" s="21" t="s">
        <v>9721</v>
      </c>
      <c r="G2032" s="147" t="s">
        <v>6638</v>
      </c>
      <c r="H2032" s="23" t="s">
        <v>11292</v>
      </c>
      <c r="I2032" s="23" t="s">
        <v>11293</v>
      </c>
      <c r="J2032" s="21" t="s">
        <v>6557</v>
      </c>
      <c r="K2032" s="21"/>
      <c r="L2032" s="21" t="s">
        <v>11558</v>
      </c>
      <c r="M2032" s="26">
        <v>45742</v>
      </c>
      <c r="N2032" s="44">
        <v>8644.85</v>
      </c>
      <c r="O2032" s="22" t="s">
        <v>15</v>
      </c>
      <c r="P2032" s="44">
        <v>8619.85</v>
      </c>
      <c r="Q2032" s="44">
        <f t="shared" si="244"/>
        <v>25</v>
      </c>
      <c r="R2032" s="24">
        <f t="shared" si="243"/>
        <v>8619.85</v>
      </c>
    </row>
    <row r="2033" spans="2:18" hidden="1" x14ac:dyDescent="0.25">
      <c r="B2033" s="21" t="s">
        <v>395</v>
      </c>
      <c r="C2033" s="22" t="s">
        <v>2450</v>
      </c>
      <c r="D2033" s="22"/>
      <c r="E2033" s="21" t="s">
        <v>10</v>
      </c>
      <c r="F2033" s="21" t="s">
        <v>9721</v>
      </c>
      <c r="G2033" s="147" t="s">
        <v>11294</v>
      </c>
      <c r="H2033" s="23" t="s">
        <v>11295</v>
      </c>
      <c r="I2033" s="23" t="s">
        <v>11296</v>
      </c>
      <c r="J2033" s="21" t="s">
        <v>6557</v>
      </c>
      <c r="K2033" s="21"/>
      <c r="L2033" s="21" t="s">
        <v>11483</v>
      </c>
      <c r="M2033" s="26">
        <v>45729</v>
      </c>
      <c r="N2033" s="44">
        <v>1139.76</v>
      </c>
      <c r="O2033" s="22" t="s">
        <v>15</v>
      </c>
      <c r="P2033" s="44">
        <v>1139.76</v>
      </c>
      <c r="Q2033" s="44">
        <f t="shared" si="244"/>
        <v>0</v>
      </c>
      <c r="R2033" s="24">
        <f t="shared" si="243"/>
        <v>1139.76</v>
      </c>
    </row>
    <row r="2034" spans="2:18" hidden="1" x14ac:dyDescent="0.25">
      <c r="B2034" s="21" t="s">
        <v>395</v>
      </c>
      <c r="C2034" s="22" t="s">
        <v>2450</v>
      </c>
      <c r="D2034" s="22"/>
      <c r="E2034" s="21" t="s">
        <v>10</v>
      </c>
      <c r="F2034" s="22" t="s">
        <v>9721</v>
      </c>
      <c r="G2034" s="147" t="s">
        <v>9319</v>
      </c>
      <c r="H2034" s="23" t="s">
        <v>11297</v>
      </c>
      <c r="I2034" s="23" t="s">
        <v>11298</v>
      </c>
      <c r="J2034" s="21" t="s">
        <v>11348</v>
      </c>
      <c r="K2034" s="21"/>
      <c r="L2034" s="21" t="s">
        <v>11347</v>
      </c>
      <c r="M2034" s="26">
        <v>45720</v>
      </c>
      <c r="N2034" s="44">
        <v>5279.04</v>
      </c>
      <c r="O2034" s="22" t="s">
        <v>15</v>
      </c>
      <c r="P2034" s="44">
        <v>5279.04</v>
      </c>
      <c r="Q2034" s="44">
        <f t="shared" si="244"/>
        <v>0</v>
      </c>
      <c r="R2034" s="116">
        <f t="shared" si="243"/>
        <v>5279.04</v>
      </c>
    </row>
    <row r="2035" spans="2:18" hidden="1" x14ac:dyDescent="0.25">
      <c r="B2035" s="21" t="s">
        <v>395</v>
      </c>
      <c r="C2035" s="22" t="s">
        <v>2450</v>
      </c>
      <c r="D2035" s="22"/>
      <c r="E2035" s="21" t="s">
        <v>10</v>
      </c>
      <c r="F2035" s="22" t="s">
        <v>9721</v>
      </c>
      <c r="G2035" s="147" t="s">
        <v>9319</v>
      </c>
      <c r="H2035" s="23" t="s">
        <v>11299</v>
      </c>
      <c r="I2035" s="23" t="s">
        <v>11300</v>
      </c>
      <c r="J2035" s="21" t="s">
        <v>6557</v>
      </c>
      <c r="K2035" s="21"/>
      <c r="L2035" s="21" t="s">
        <v>11349</v>
      </c>
      <c r="M2035" s="26">
        <v>45722</v>
      </c>
      <c r="N2035" s="44">
        <v>563.64</v>
      </c>
      <c r="O2035" s="22" t="s">
        <v>15</v>
      </c>
      <c r="P2035" s="44">
        <v>563.64</v>
      </c>
      <c r="Q2035" s="44">
        <f t="shared" si="244"/>
        <v>0</v>
      </c>
      <c r="R2035" s="116">
        <f t="shared" si="243"/>
        <v>563.64</v>
      </c>
    </row>
    <row r="2036" spans="2:18" hidden="1" x14ac:dyDescent="0.25">
      <c r="B2036" s="21" t="s">
        <v>395</v>
      </c>
      <c r="C2036" s="22" t="s">
        <v>2450</v>
      </c>
      <c r="D2036" s="22"/>
      <c r="E2036" s="21" t="s">
        <v>10</v>
      </c>
      <c r="F2036" s="22" t="s">
        <v>9721</v>
      </c>
      <c r="G2036" s="147" t="s">
        <v>8639</v>
      </c>
      <c r="H2036" s="23" t="s">
        <v>11301</v>
      </c>
      <c r="I2036" s="23" t="s">
        <v>11302</v>
      </c>
      <c r="J2036" s="21" t="s">
        <v>6557</v>
      </c>
      <c r="K2036" s="21"/>
      <c r="L2036" s="21" t="s">
        <v>11484</v>
      </c>
      <c r="M2036" s="26">
        <v>45728</v>
      </c>
      <c r="N2036" s="44">
        <v>9150</v>
      </c>
      <c r="O2036" s="22" t="s">
        <v>15</v>
      </c>
      <c r="P2036" s="44">
        <v>9150</v>
      </c>
      <c r="Q2036" s="44">
        <f t="shared" si="244"/>
        <v>0</v>
      </c>
      <c r="R2036" s="116">
        <f t="shared" si="243"/>
        <v>9150</v>
      </c>
    </row>
    <row r="2037" spans="2:18" hidden="1" x14ac:dyDescent="0.25">
      <c r="B2037" s="21" t="s">
        <v>395</v>
      </c>
      <c r="C2037" s="22" t="s">
        <v>2450</v>
      </c>
      <c r="D2037" s="22"/>
      <c r="E2037" s="21" t="s">
        <v>10</v>
      </c>
      <c r="F2037" s="21" t="s">
        <v>9830</v>
      </c>
      <c r="G2037" s="147" t="s">
        <v>6474</v>
      </c>
      <c r="H2037" s="23" t="s">
        <v>11303</v>
      </c>
      <c r="I2037" s="23" t="s">
        <v>11304</v>
      </c>
      <c r="J2037" s="21" t="s">
        <v>11305</v>
      </c>
      <c r="K2037" s="21"/>
      <c r="L2037" s="21" t="s">
        <v>11966</v>
      </c>
      <c r="M2037" s="26">
        <v>45811</v>
      </c>
      <c r="N2037" s="44">
        <v>1501</v>
      </c>
      <c r="O2037" s="22" t="s">
        <v>15</v>
      </c>
      <c r="P2037" s="44">
        <v>1501</v>
      </c>
      <c r="Q2037" s="44">
        <f t="shared" si="244"/>
        <v>0</v>
      </c>
      <c r="R2037" s="116">
        <f t="shared" si="243"/>
        <v>1501</v>
      </c>
    </row>
    <row r="2038" spans="2:18" ht="18.75" hidden="1" customHeight="1" x14ac:dyDescent="0.25">
      <c r="B2038" s="21"/>
      <c r="C2038" s="22" t="s">
        <v>158</v>
      </c>
      <c r="D2038" s="22"/>
      <c r="E2038" s="21" t="s">
        <v>729</v>
      </c>
      <c r="F2038" s="21" t="s">
        <v>10561</v>
      </c>
      <c r="G2038" s="147" t="s">
        <v>846</v>
      </c>
      <c r="H2038" s="23" t="s">
        <v>11306</v>
      </c>
      <c r="I2038" s="23" t="s">
        <v>11307</v>
      </c>
      <c r="J2038" s="21" t="s">
        <v>11308</v>
      </c>
      <c r="K2038" s="120"/>
      <c r="L2038" s="21" t="s">
        <v>12499</v>
      </c>
      <c r="M2038" s="26" t="s">
        <v>12497</v>
      </c>
      <c r="N2038" s="44">
        <v>15600</v>
      </c>
      <c r="O2038" s="22" t="s">
        <v>15</v>
      </c>
      <c r="P2038" s="44">
        <f>(568.75+1733.88)+(2816.13+12268.75+1475.5+2816+343.15)+(1137.5+166)</f>
        <v>23325.660000000003</v>
      </c>
      <c r="Q2038" s="24">
        <f t="shared" si="244"/>
        <v>0</v>
      </c>
      <c r="R2038" s="24">
        <f>IF(P2038="OK",N2038-Q2038,IF(P2038="en cours",N2038-Q2038,P2038))</f>
        <v>23325.660000000003</v>
      </c>
    </row>
    <row r="2039" spans="2:18" hidden="1" x14ac:dyDescent="0.25">
      <c r="B2039" s="21" t="s">
        <v>395</v>
      </c>
      <c r="C2039" s="22" t="s">
        <v>2450</v>
      </c>
      <c r="D2039" s="22"/>
      <c r="E2039" s="21" t="s">
        <v>0</v>
      </c>
      <c r="F2039" s="21" t="s">
        <v>9823</v>
      </c>
      <c r="G2039" s="147" t="s">
        <v>92</v>
      </c>
      <c r="H2039" s="23" t="s">
        <v>11309</v>
      </c>
      <c r="I2039" s="23" t="s">
        <v>11310</v>
      </c>
      <c r="J2039" s="21" t="s">
        <v>11311</v>
      </c>
      <c r="K2039" s="21"/>
      <c r="L2039" s="21" t="s">
        <v>11559</v>
      </c>
      <c r="M2039" s="26" t="s">
        <v>11560</v>
      </c>
      <c r="N2039" s="44">
        <v>8435</v>
      </c>
      <c r="O2039" s="22" t="s">
        <v>15</v>
      </c>
      <c r="P2039" s="44">
        <f>2505+5930</f>
        <v>8435</v>
      </c>
      <c r="Q2039" s="44">
        <f t="shared" si="244"/>
        <v>0</v>
      </c>
      <c r="R2039" s="24">
        <f t="shared" si="243"/>
        <v>8435</v>
      </c>
    </row>
    <row r="2040" spans="2:18" hidden="1" x14ac:dyDescent="0.25">
      <c r="B2040" s="21" t="s">
        <v>395</v>
      </c>
      <c r="C2040" s="22" t="s">
        <v>2450</v>
      </c>
      <c r="D2040" s="22"/>
      <c r="E2040" s="21" t="s">
        <v>0</v>
      </c>
      <c r="F2040" s="21" t="s">
        <v>9807</v>
      </c>
      <c r="G2040" s="147" t="s">
        <v>92</v>
      </c>
      <c r="H2040" s="23" t="s">
        <v>11312</v>
      </c>
      <c r="I2040" s="23" t="s">
        <v>11313</v>
      </c>
      <c r="J2040" s="21" t="s">
        <v>11314</v>
      </c>
      <c r="K2040" s="21"/>
      <c r="L2040" s="21" t="s">
        <v>11554</v>
      </c>
      <c r="M2040" s="26">
        <v>45735</v>
      </c>
      <c r="N2040" s="44">
        <v>2400</v>
      </c>
      <c r="O2040" s="22" t="s">
        <v>15</v>
      </c>
      <c r="P2040" s="44">
        <v>2400</v>
      </c>
      <c r="Q2040" s="44">
        <f t="shared" si="244"/>
        <v>0</v>
      </c>
      <c r="R2040" s="24">
        <f t="shared" si="243"/>
        <v>2400</v>
      </c>
    </row>
    <row r="2041" spans="2:18" hidden="1" x14ac:dyDescent="0.25">
      <c r="C2041" s="4" t="s">
        <v>2450</v>
      </c>
      <c r="E2041" s="5" t="s">
        <v>0</v>
      </c>
      <c r="F2041" s="5" t="s">
        <v>9807</v>
      </c>
      <c r="G2041" s="146" t="s">
        <v>7266</v>
      </c>
      <c r="H2041" s="7" t="s">
        <v>11315</v>
      </c>
      <c r="I2041" s="7" t="s">
        <v>11316</v>
      </c>
      <c r="J2041" s="5" t="s">
        <v>11317</v>
      </c>
      <c r="L2041" s="5" t="s">
        <v>11962</v>
      </c>
      <c r="M2041" s="12">
        <v>45812</v>
      </c>
      <c r="N2041" s="45">
        <v>49995</v>
      </c>
      <c r="O2041" s="4" t="s">
        <v>15</v>
      </c>
      <c r="P2041" s="45">
        <f>19790</f>
        <v>19790</v>
      </c>
      <c r="Q2041" s="45">
        <f t="shared" si="244"/>
        <v>30205</v>
      </c>
      <c r="R2041" s="25">
        <f t="shared" si="243"/>
        <v>19790</v>
      </c>
    </row>
    <row r="2042" spans="2:18" hidden="1" x14ac:dyDescent="0.25">
      <c r="B2042" s="421" t="s">
        <v>395</v>
      </c>
      <c r="C2042" s="22" t="s">
        <v>2450</v>
      </c>
      <c r="D2042" s="22"/>
      <c r="E2042" s="21" t="s">
        <v>0</v>
      </c>
      <c r="F2042" s="21" t="s">
        <v>9823</v>
      </c>
      <c r="G2042" s="147" t="s">
        <v>7266</v>
      </c>
      <c r="H2042" s="23" t="s">
        <v>11318</v>
      </c>
      <c r="I2042" s="23" t="s">
        <v>11319</v>
      </c>
      <c r="J2042" s="21" t="s">
        <v>11320</v>
      </c>
      <c r="K2042" s="21"/>
      <c r="L2042" s="21" t="s">
        <v>12034</v>
      </c>
      <c r="M2042" s="26" t="s">
        <v>12035</v>
      </c>
      <c r="N2042" s="44">
        <v>33750</v>
      </c>
      <c r="O2042" s="22" t="s">
        <v>15</v>
      </c>
      <c r="P2042" s="44">
        <f>10125+23625</f>
        <v>33750</v>
      </c>
      <c r="Q2042" s="44">
        <f t="shared" si="244"/>
        <v>0</v>
      </c>
      <c r="R2042" s="116">
        <f t="shared" si="243"/>
        <v>33750</v>
      </c>
    </row>
    <row r="2043" spans="2:18" hidden="1" x14ac:dyDescent="0.25">
      <c r="C2043" s="4" t="s">
        <v>2450</v>
      </c>
      <c r="E2043" s="5" t="s">
        <v>75</v>
      </c>
      <c r="F2043" s="5" t="s">
        <v>9819</v>
      </c>
      <c r="G2043" s="146" t="s">
        <v>13852</v>
      </c>
      <c r="H2043" s="7" t="s">
        <v>11321</v>
      </c>
      <c r="I2043" s="7" t="s">
        <v>11322</v>
      </c>
      <c r="J2043" s="5" t="s">
        <v>13853</v>
      </c>
      <c r="L2043" s="5" t="s">
        <v>13851</v>
      </c>
      <c r="M2043" s="12">
        <v>46023</v>
      </c>
      <c r="N2043" s="45">
        <v>36800</v>
      </c>
      <c r="O2043" s="4" t="s">
        <v>15</v>
      </c>
      <c r="P2043" s="45">
        <f>4025</f>
        <v>4025</v>
      </c>
      <c r="Q2043" s="45">
        <f t="shared" si="244"/>
        <v>32775</v>
      </c>
      <c r="R2043" s="25">
        <f t="shared" si="243"/>
        <v>4025</v>
      </c>
    </row>
    <row r="2044" spans="2:18" hidden="1" x14ac:dyDescent="0.25">
      <c r="C2044" s="4" t="s">
        <v>2450</v>
      </c>
      <c r="E2044" s="5" t="s">
        <v>0</v>
      </c>
      <c r="F2044" s="5" t="s">
        <v>9807</v>
      </c>
      <c r="G2044" s="146" t="s">
        <v>6474</v>
      </c>
      <c r="H2044" s="7" t="s">
        <v>11323</v>
      </c>
      <c r="I2044" s="7" t="s">
        <v>11324</v>
      </c>
      <c r="J2044" s="5" t="s">
        <v>11325</v>
      </c>
      <c r="N2044" s="45">
        <v>5655</v>
      </c>
      <c r="O2044" s="4" t="s">
        <v>15</v>
      </c>
      <c r="Q2044" s="45">
        <f t="shared" si="244"/>
        <v>5655</v>
      </c>
      <c r="R2044" s="25">
        <f t="shared" si="243"/>
        <v>0</v>
      </c>
    </row>
    <row r="2045" spans="2:18" hidden="1" x14ac:dyDescent="0.25">
      <c r="C2045" s="4" t="s">
        <v>2450</v>
      </c>
      <c r="E2045" s="5" t="s">
        <v>0</v>
      </c>
      <c r="F2045" s="5" t="s">
        <v>9773</v>
      </c>
      <c r="G2045" s="146" t="s">
        <v>9509</v>
      </c>
      <c r="H2045" s="7" t="s">
        <v>11479</v>
      </c>
      <c r="I2045" s="7" t="s">
        <v>11329</v>
      </c>
      <c r="J2045" s="5" t="s">
        <v>11330</v>
      </c>
      <c r="N2045" s="45">
        <v>10466.64</v>
      </c>
      <c r="O2045" s="4" t="s">
        <v>225</v>
      </c>
      <c r="Q2045" s="3">
        <f t="shared" si="244"/>
        <v>10466.64</v>
      </c>
      <c r="R2045" s="3">
        <f t="shared" si="243"/>
        <v>0</v>
      </c>
    </row>
    <row r="2046" spans="2:18" hidden="1" x14ac:dyDescent="0.25">
      <c r="C2046" s="4" t="s">
        <v>2450</v>
      </c>
      <c r="E2046" s="5" t="s">
        <v>0</v>
      </c>
      <c r="F2046" s="5" t="s">
        <v>9773</v>
      </c>
      <c r="G2046" s="146" t="s">
        <v>9509</v>
      </c>
      <c r="H2046" s="58" t="s">
        <v>11331</v>
      </c>
      <c r="I2046" s="7" t="s">
        <v>11331</v>
      </c>
      <c r="J2046" s="5" t="s">
        <v>11332</v>
      </c>
      <c r="N2046" s="45">
        <v>4370</v>
      </c>
      <c r="O2046" s="4" t="s">
        <v>225</v>
      </c>
      <c r="Q2046" s="45">
        <f t="shared" si="244"/>
        <v>4370</v>
      </c>
      <c r="R2046" s="3">
        <f t="shared" si="243"/>
        <v>0</v>
      </c>
    </row>
    <row r="2047" spans="2:18" hidden="1" x14ac:dyDescent="0.25">
      <c r="B2047" s="21" t="s">
        <v>395</v>
      </c>
      <c r="C2047" s="22" t="s">
        <v>2450</v>
      </c>
      <c r="D2047" s="22"/>
      <c r="E2047" s="21" t="s">
        <v>0</v>
      </c>
      <c r="F2047" s="21" t="s">
        <v>9823</v>
      </c>
      <c r="G2047" s="147" t="s">
        <v>8633</v>
      </c>
      <c r="H2047" s="23" t="s">
        <v>11334</v>
      </c>
      <c r="I2047" s="23" t="s">
        <v>11335</v>
      </c>
      <c r="J2047" s="21" t="s">
        <v>11336</v>
      </c>
      <c r="K2047" s="21"/>
      <c r="L2047" s="21" t="s">
        <v>11707</v>
      </c>
      <c r="M2047" s="26" t="s">
        <v>11708</v>
      </c>
      <c r="N2047" s="44">
        <v>226330.93</v>
      </c>
      <c r="O2047" s="22" t="s">
        <v>15</v>
      </c>
      <c r="P2047" s="44">
        <f>67899.28+158431.65</f>
        <v>226330.93</v>
      </c>
      <c r="Q2047" s="24">
        <f t="shared" si="244"/>
        <v>0</v>
      </c>
      <c r="R2047" s="24">
        <f t="shared" si="243"/>
        <v>226330.93</v>
      </c>
    </row>
    <row r="2048" spans="2:18" hidden="1" x14ac:dyDescent="0.25">
      <c r="C2048" s="4" t="s">
        <v>2450</v>
      </c>
      <c r="E2048" s="5" t="s">
        <v>729</v>
      </c>
      <c r="F2048" s="5" t="s">
        <v>11338</v>
      </c>
      <c r="G2048" s="146" t="s">
        <v>846</v>
      </c>
      <c r="H2048" s="7" t="s">
        <v>11339</v>
      </c>
      <c r="I2048" s="7" t="s">
        <v>11340</v>
      </c>
      <c r="J2048" s="5" t="s">
        <v>11341</v>
      </c>
      <c r="L2048" s="5" t="s">
        <v>13756</v>
      </c>
      <c r="M2048" s="12" t="s">
        <v>13636</v>
      </c>
      <c r="N2048" s="45">
        <v>55250</v>
      </c>
      <c r="O2048" s="4" t="s">
        <v>15</v>
      </c>
      <c r="P2048" s="45">
        <f>663+(637+2600+5931.25+731.25+317.81)+21084.21</f>
        <v>31964.519999999997</v>
      </c>
      <c r="Q2048" s="45">
        <f t="shared" si="244"/>
        <v>23285.480000000003</v>
      </c>
      <c r="R2048" s="25">
        <f>IF(P2048="OK",N2048-Q2048,IF(P2048="en cours",N2048-Q2048,P2048))</f>
        <v>31964.519999999997</v>
      </c>
    </row>
    <row r="2049" spans="2:19" hidden="1" x14ac:dyDescent="0.25">
      <c r="B2049" s="21" t="s">
        <v>395</v>
      </c>
      <c r="C2049" s="22" t="s">
        <v>158</v>
      </c>
      <c r="D2049" s="22"/>
      <c r="E2049" s="21" t="s">
        <v>729</v>
      </c>
      <c r="F2049" s="21" t="s">
        <v>11338</v>
      </c>
      <c r="G2049" s="147" t="s">
        <v>9722</v>
      </c>
      <c r="H2049" s="23" t="s">
        <v>11342</v>
      </c>
      <c r="I2049" s="23" t="s">
        <v>11343</v>
      </c>
      <c r="J2049" s="21" t="s">
        <v>11344</v>
      </c>
      <c r="K2049" s="21"/>
      <c r="L2049" s="21" t="s">
        <v>11762</v>
      </c>
      <c r="M2049" s="26">
        <v>45777</v>
      </c>
      <c r="N2049" s="44">
        <v>199834</v>
      </c>
      <c r="O2049" s="22" t="s">
        <v>15</v>
      </c>
      <c r="P2049" s="44">
        <v>199834</v>
      </c>
      <c r="Q2049" s="44">
        <f t="shared" si="244"/>
        <v>0</v>
      </c>
      <c r="R2049" s="24">
        <f>IF(P2049="OK",N2049-Q2049,IF(P2049="en cours",N2049-Q2049,P2049))</f>
        <v>199834</v>
      </c>
    </row>
    <row r="2050" spans="2:19" hidden="1" x14ac:dyDescent="0.25">
      <c r="B2050" s="21" t="s">
        <v>395</v>
      </c>
      <c r="C2050" s="22" t="s">
        <v>2450</v>
      </c>
      <c r="D2050" s="22"/>
      <c r="E2050" s="21" t="s">
        <v>0</v>
      </c>
      <c r="F2050" s="21" t="s">
        <v>9773</v>
      </c>
      <c r="G2050" s="147" t="s">
        <v>10225</v>
      </c>
      <c r="H2050" s="23" t="s">
        <v>11471</v>
      </c>
      <c r="I2050" s="23" t="s">
        <v>11420</v>
      </c>
      <c r="J2050" s="21" t="s">
        <v>11356</v>
      </c>
      <c r="K2050" s="497">
        <v>25000</v>
      </c>
      <c r="L2050" s="21" t="s">
        <v>11459</v>
      </c>
      <c r="M2050" s="26">
        <v>45352</v>
      </c>
      <c r="N2050" s="44">
        <v>25000</v>
      </c>
      <c r="O2050" s="22" t="s">
        <v>276</v>
      </c>
      <c r="P2050" s="44">
        <v>25000</v>
      </c>
      <c r="Q2050" s="44">
        <f t="shared" si="244"/>
        <v>0</v>
      </c>
      <c r="R2050" s="24">
        <f t="shared" ref="R2050:R2079" si="245">IF(P2050="OK",N2050-Q2050,IF(P2050="en cours",M2050-Q2050,P2050))</f>
        <v>25000</v>
      </c>
    </row>
    <row r="2051" spans="2:19" hidden="1" x14ac:dyDescent="0.25">
      <c r="B2051" s="21" t="s">
        <v>395</v>
      </c>
      <c r="C2051" s="22" t="s">
        <v>2450</v>
      </c>
      <c r="D2051" s="22"/>
      <c r="E2051" s="21" t="s">
        <v>0</v>
      </c>
      <c r="F2051" s="21" t="s">
        <v>9773</v>
      </c>
      <c r="G2051" s="147" t="s">
        <v>10225</v>
      </c>
      <c r="H2051" s="23" t="s">
        <v>11471</v>
      </c>
      <c r="I2051" s="23" t="s">
        <v>11420</v>
      </c>
      <c r="J2051" s="165" t="s">
        <v>11357</v>
      </c>
      <c r="K2051" s="497">
        <v>44292</v>
      </c>
      <c r="L2051" s="21" t="s">
        <v>11460</v>
      </c>
      <c r="M2051" s="26">
        <v>45407</v>
      </c>
      <c r="N2051" s="44">
        <v>44292</v>
      </c>
      <c r="O2051" s="22" t="s">
        <v>276</v>
      </c>
      <c r="P2051" s="44">
        <v>44292</v>
      </c>
      <c r="Q2051" s="44">
        <f t="shared" si="244"/>
        <v>0</v>
      </c>
      <c r="R2051" s="24">
        <f t="shared" si="245"/>
        <v>44292</v>
      </c>
    </row>
    <row r="2052" spans="2:19" hidden="1" x14ac:dyDescent="0.25">
      <c r="B2052" s="21" t="s">
        <v>395</v>
      </c>
      <c r="C2052" s="22" t="s">
        <v>2450</v>
      </c>
      <c r="D2052" s="22"/>
      <c r="E2052" s="21" t="s">
        <v>0</v>
      </c>
      <c r="F2052" s="21" t="s">
        <v>9773</v>
      </c>
      <c r="G2052" s="147" t="s">
        <v>10225</v>
      </c>
      <c r="H2052" s="23" t="s">
        <v>11471</v>
      </c>
      <c r="I2052" s="23" t="s">
        <v>11420</v>
      </c>
      <c r="J2052" s="165" t="s">
        <v>11371</v>
      </c>
      <c r="K2052" s="497">
        <v>4534</v>
      </c>
      <c r="L2052" s="21" t="s">
        <v>11467</v>
      </c>
      <c r="M2052" s="26">
        <v>45716</v>
      </c>
      <c r="N2052" s="44">
        <v>4534</v>
      </c>
      <c r="O2052" s="22" t="s">
        <v>276</v>
      </c>
      <c r="P2052" s="44">
        <v>4534</v>
      </c>
      <c r="Q2052" s="44">
        <f t="shared" si="244"/>
        <v>0</v>
      </c>
      <c r="R2052" s="24">
        <f t="shared" si="245"/>
        <v>4534</v>
      </c>
    </row>
    <row r="2053" spans="2:19" hidden="1" x14ac:dyDescent="0.25">
      <c r="B2053" s="21" t="s">
        <v>395</v>
      </c>
      <c r="C2053" s="22" t="s">
        <v>2450</v>
      </c>
      <c r="D2053" s="22"/>
      <c r="E2053" s="21" t="s">
        <v>0</v>
      </c>
      <c r="F2053" s="21" t="s">
        <v>9773</v>
      </c>
      <c r="G2053" s="147" t="s">
        <v>10225</v>
      </c>
      <c r="H2053" s="23" t="s">
        <v>11475</v>
      </c>
      <c r="I2053" s="23" t="s">
        <v>11457</v>
      </c>
      <c r="J2053" s="165" t="s">
        <v>11470</v>
      </c>
      <c r="K2053" s="497">
        <v>18193</v>
      </c>
      <c r="L2053" s="21"/>
      <c r="M2053" s="23"/>
      <c r="N2053" s="44">
        <v>0</v>
      </c>
      <c r="O2053" s="22" t="s">
        <v>276</v>
      </c>
      <c r="P2053" s="44">
        <v>0</v>
      </c>
      <c r="Q2053" s="44">
        <f t="shared" si="244"/>
        <v>0</v>
      </c>
      <c r="R2053" s="24">
        <f t="shared" si="245"/>
        <v>0</v>
      </c>
      <c r="S2053" s="5" t="s">
        <v>11482</v>
      </c>
    </row>
    <row r="2054" spans="2:19" hidden="1" x14ac:dyDescent="0.25">
      <c r="C2054" s="4" t="s">
        <v>2450</v>
      </c>
      <c r="E2054" s="5" t="s">
        <v>0</v>
      </c>
      <c r="F2054" s="5" t="s">
        <v>9773</v>
      </c>
      <c r="G2054" s="146" t="s">
        <v>10225</v>
      </c>
      <c r="H2054" s="7" t="s">
        <v>11471</v>
      </c>
      <c r="I2054" s="7" t="s">
        <v>11420</v>
      </c>
      <c r="J2054" t="s">
        <v>11372</v>
      </c>
      <c r="K2054" s="496">
        <v>11902</v>
      </c>
      <c r="N2054" s="45">
        <v>11902</v>
      </c>
      <c r="O2054" s="4" t="s">
        <v>276</v>
      </c>
      <c r="Q2054" s="45">
        <f t="shared" si="244"/>
        <v>11902</v>
      </c>
      <c r="R2054" s="3">
        <f t="shared" si="245"/>
        <v>0</v>
      </c>
    </row>
    <row r="2055" spans="2:19" hidden="1" x14ac:dyDescent="0.25">
      <c r="B2055" s="21" t="s">
        <v>395</v>
      </c>
      <c r="C2055" s="22" t="s">
        <v>2450</v>
      </c>
      <c r="D2055" s="22"/>
      <c r="E2055" s="21" t="s">
        <v>0</v>
      </c>
      <c r="F2055" s="21" t="s">
        <v>9773</v>
      </c>
      <c r="G2055" s="147" t="s">
        <v>10225</v>
      </c>
      <c r="H2055" s="23" t="s">
        <v>11471</v>
      </c>
      <c r="I2055" s="23" t="s">
        <v>11420</v>
      </c>
      <c r="J2055" s="165" t="s">
        <v>11373</v>
      </c>
      <c r="K2055" s="497">
        <v>11902</v>
      </c>
      <c r="L2055" s="21" t="s">
        <v>11493</v>
      </c>
      <c r="M2055" s="26">
        <v>45733</v>
      </c>
      <c r="N2055" s="44">
        <v>11902</v>
      </c>
      <c r="O2055" s="22" t="s">
        <v>276</v>
      </c>
      <c r="P2055" s="44">
        <v>11902</v>
      </c>
      <c r="Q2055" s="44">
        <f t="shared" si="244"/>
        <v>0</v>
      </c>
      <c r="R2055" s="24">
        <f t="shared" si="245"/>
        <v>11902</v>
      </c>
    </row>
    <row r="2056" spans="2:19" hidden="1" x14ac:dyDescent="0.25">
      <c r="B2056" s="21" t="s">
        <v>395</v>
      </c>
      <c r="C2056" s="22" t="s">
        <v>2450</v>
      </c>
      <c r="D2056" s="22"/>
      <c r="E2056" s="21" t="s">
        <v>0</v>
      </c>
      <c r="F2056" s="21" t="s">
        <v>9773</v>
      </c>
      <c r="G2056" s="147" t="s">
        <v>10225</v>
      </c>
      <c r="H2056" s="23" t="s">
        <v>11471</v>
      </c>
      <c r="I2056" s="23" t="s">
        <v>11420</v>
      </c>
      <c r="J2056" s="165" t="s">
        <v>11374</v>
      </c>
      <c r="K2056" s="497">
        <v>10014</v>
      </c>
      <c r="L2056" s="21" t="s">
        <v>12706</v>
      </c>
      <c r="M2056" s="26">
        <v>45926</v>
      </c>
      <c r="N2056" s="44">
        <v>10014</v>
      </c>
      <c r="O2056" s="22" t="s">
        <v>276</v>
      </c>
      <c r="P2056" s="44">
        <v>10014</v>
      </c>
      <c r="Q2056" s="44">
        <f t="shared" si="244"/>
        <v>0</v>
      </c>
      <c r="R2056" s="24">
        <f t="shared" si="245"/>
        <v>10014</v>
      </c>
    </row>
    <row r="2057" spans="2:19" hidden="1" x14ac:dyDescent="0.25">
      <c r="B2057" s="21" t="s">
        <v>395</v>
      </c>
      <c r="C2057" s="22" t="s">
        <v>2450</v>
      </c>
      <c r="D2057" s="22"/>
      <c r="E2057" s="21" t="s">
        <v>0</v>
      </c>
      <c r="F2057" s="21" t="s">
        <v>9773</v>
      </c>
      <c r="G2057" s="147" t="s">
        <v>10225</v>
      </c>
      <c r="H2057" s="23" t="s">
        <v>11471</v>
      </c>
      <c r="I2057" s="23" t="s">
        <v>11420</v>
      </c>
      <c r="J2057" s="165" t="s">
        <v>11375</v>
      </c>
      <c r="K2057" s="497">
        <v>5179</v>
      </c>
      <c r="L2057" s="21" t="s">
        <v>11465</v>
      </c>
      <c r="M2057" s="26">
        <v>45689</v>
      </c>
      <c r="N2057" s="44">
        <v>5179</v>
      </c>
      <c r="O2057" s="22" t="s">
        <v>276</v>
      </c>
      <c r="P2057" s="44">
        <v>5179</v>
      </c>
      <c r="Q2057" s="44">
        <f t="shared" si="244"/>
        <v>0</v>
      </c>
      <c r="R2057" s="24">
        <f t="shared" si="245"/>
        <v>5179</v>
      </c>
    </row>
    <row r="2058" spans="2:19" hidden="1" x14ac:dyDescent="0.25">
      <c r="B2058" s="21" t="s">
        <v>395</v>
      </c>
      <c r="C2058" s="22" t="s">
        <v>2450</v>
      </c>
      <c r="D2058" s="22"/>
      <c r="E2058" s="21" t="s">
        <v>0</v>
      </c>
      <c r="F2058" s="21" t="s">
        <v>9773</v>
      </c>
      <c r="G2058" s="147" t="s">
        <v>10225</v>
      </c>
      <c r="H2058" s="23" t="s">
        <v>11471</v>
      </c>
      <c r="I2058" s="23" t="s">
        <v>11420</v>
      </c>
      <c r="J2058" s="165" t="s">
        <v>11376</v>
      </c>
      <c r="K2058" s="497" t="s">
        <v>11359</v>
      </c>
      <c r="L2058" s="21"/>
      <c r="M2058" s="23"/>
      <c r="N2058" s="44" t="s">
        <v>11359</v>
      </c>
      <c r="O2058" s="22" t="s">
        <v>276</v>
      </c>
      <c r="P2058" s="44"/>
      <c r="Q2058" s="44"/>
      <c r="R2058" s="24">
        <f t="shared" si="245"/>
        <v>0</v>
      </c>
    </row>
    <row r="2059" spans="2:19" hidden="1" x14ac:dyDescent="0.25">
      <c r="B2059" s="21" t="s">
        <v>395</v>
      </c>
      <c r="C2059" s="22" t="s">
        <v>2450</v>
      </c>
      <c r="D2059" s="22"/>
      <c r="E2059" s="21" t="s">
        <v>0</v>
      </c>
      <c r="F2059" s="21" t="s">
        <v>9773</v>
      </c>
      <c r="G2059" s="147" t="s">
        <v>10225</v>
      </c>
      <c r="H2059" s="23" t="s">
        <v>11471</v>
      </c>
      <c r="I2059" s="23" t="s">
        <v>11420</v>
      </c>
      <c r="J2059" s="165" t="s">
        <v>11377</v>
      </c>
      <c r="K2059" s="497" t="s">
        <v>11359</v>
      </c>
      <c r="L2059" s="21"/>
      <c r="M2059" s="23"/>
      <c r="N2059" s="44" t="s">
        <v>11359</v>
      </c>
      <c r="O2059" s="22" t="s">
        <v>276</v>
      </c>
      <c r="P2059" s="44"/>
      <c r="Q2059" s="44"/>
      <c r="R2059" s="24">
        <f t="shared" si="245"/>
        <v>0</v>
      </c>
    </row>
    <row r="2060" spans="2:19" hidden="1" x14ac:dyDescent="0.25">
      <c r="B2060" s="21" t="s">
        <v>395</v>
      </c>
      <c r="C2060" s="22" t="s">
        <v>2450</v>
      </c>
      <c r="D2060" s="22"/>
      <c r="E2060" s="21" t="s">
        <v>0</v>
      </c>
      <c r="F2060" s="21" t="s">
        <v>9773</v>
      </c>
      <c r="G2060" s="147" t="s">
        <v>10225</v>
      </c>
      <c r="H2060" s="23" t="s">
        <v>11471</v>
      </c>
      <c r="I2060" s="23" t="s">
        <v>11420</v>
      </c>
      <c r="J2060" s="165" t="s">
        <v>11366</v>
      </c>
      <c r="K2060" s="497">
        <v>5851</v>
      </c>
      <c r="L2060" s="21" t="s">
        <v>11463</v>
      </c>
      <c r="M2060" s="26">
        <v>45689</v>
      </c>
      <c r="N2060" s="44">
        <v>5851</v>
      </c>
      <c r="O2060" s="22" t="s">
        <v>276</v>
      </c>
      <c r="P2060" s="44">
        <v>5851</v>
      </c>
      <c r="Q2060" s="44">
        <f t="shared" ref="Q2060:Q2065" si="246">IF(P2060="en cours",N2060,IF(P2060="OK",0,IF(N2060-P2060&lt;0,0,N2060-P2060)))</f>
        <v>0</v>
      </c>
      <c r="R2060" s="24">
        <f t="shared" si="245"/>
        <v>5851</v>
      </c>
    </row>
    <row r="2061" spans="2:19" hidden="1" x14ac:dyDescent="0.25">
      <c r="B2061" s="21" t="s">
        <v>395</v>
      </c>
      <c r="C2061" s="22" t="s">
        <v>2450</v>
      </c>
      <c r="D2061" s="22"/>
      <c r="E2061" s="21" t="s">
        <v>0</v>
      </c>
      <c r="F2061" s="21" t="s">
        <v>9773</v>
      </c>
      <c r="G2061" s="147" t="s">
        <v>10225</v>
      </c>
      <c r="H2061" s="23" t="s">
        <v>11471</v>
      </c>
      <c r="I2061" s="23" t="s">
        <v>11420</v>
      </c>
      <c r="J2061" s="165" t="s">
        <v>11358</v>
      </c>
      <c r="K2061" s="497">
        <v>22436</v>
      </c>
      <c r="L2061" s="21" t="s">
        <v>11461</v>
      </c>
      <c r="M2061" s="26">
        <v>45470</v>
      </c>
      <c r="N2061" s="44">
        <v>22436</v>
      </c>
      <c r="O2061" s="22" t="s">
        <v>276</v>
      </c>
      <c r="P2061" s="44">
        <v>22436</v>
      </c>
      <c r="Q2061" s="44">
        <f t="shared" si="246"/>
        <v>0</v>
      </c>
      <c r="R2061" s="24">
        <f t="shared" si="245"/>
        <v>22436</v>
      </c>
    </row>
    <row r="2062" spans="2:19" hidden="1" x14ac:dyDescent="0.25">
      <c r="B2062" s="21" t="s">
        <v>395</v>
      </c>
      <c r="C2062" s="22" t="s">
        <v>2450</v>
      </c>
      <c r="D2062" s="22"/>
      <c r="E2062" s="21" t="s">
        <v>0</v>
      </c>
      <c r="F2062" s="21" t="s">
        <v>9773</v>
      </c>
      <c r="G2062" s="147" t="s">
        <v>10225</v>
      </c>
      <c r="H2062" s="23" t="s">
        <v>11471</v>
      </c>
      <c r="I2062" s="23" t="s">
        <v>11420</v>
      </c>
      <c r="J2062" s="165" t="s">
        <v>11367</v>
      </c>
      <c r="K2062" s="497">
        <v>24916</v>
      </c>
      <c r="L2062" s="21" t="s">
        <v>11461</v>
      </c>
      <c r="M2062" s="26">
        <v>45470</v>
      </c>
      <c r="N2062" s="44">
        <v>24916</v>
      </c>
      <c r="O2062" s="22" t="s">
        <v>276</v>
      </c>
      <c r="P2062" s="44">
        <v>24916</v>
      </c>
      <c r="Q2062" s="44">
        <f t="shared" si="246"/>
        <v>0</v>
      </c>
      <c r="R2062" s="24">
        <f t="shared" si="245"/>
        <v>24916</v>
      </c>
    </row>
    <row r="2063" spans="2:19" hidden="1" x14ac:dyDescent="0.25">
      <c r="C2063" s="4" t="s">
        <v>2450</v>
      </c>
      <c r="E2063" s="5" t="s">
        <v>0</v>
      </c>
      <c r="F2063" s="5" t="s">
        <v>9773</v>
      </c>
      <c r="G2063" s="146" t="s">
        <v>10225</v>
      </c>
      <c r="H2063" s="7" t="s">
        <v>11471</v>
      </c>
      <c r="I2063" s="7" t="s">
        <v>11420</v>
      </c>
      <c r="J2063" t="s">
        <v>11368</v>
      </c>
      <c r="K2063" s="496">
        <v>5179</v>
      </c>
      <c r="N2063" s="45">
        <v>5179</v>
      </c>
      <c r="O2063" s="4" t="s">
        <v>276</v>
      </c>
      <c r="Q2063" s="45">
        <f t="shared" si="246"/>
        <v>5179</v>
      </c>
      <c r="R2063" s="3">
        <f t="shared" si="245"/>
        <v>0</v>
      </c>
    </row>
    <row r="2064" spans="2:19" hidden="1" x14ac:dyDescent="0.25">
      <c r="C2064" s="4" t="s">
        <v>2450</v>
      </c>
      <c r="E2064" s="5" t="s">
        <v>0</v>
      </c>
      <c r="F2064" s="5" t="s">
        <v>9773</v>
      </c>
      <c r="G2064" s="146" t="s">
        <v>10225</v>
      </c>
      <c r="H2064" s="7" t="s">
        <v>11471</v>
      </c>
      <c r="I2064" s="7" t="s">
        <v>11420</v>
      </c>
      <c r="J2064" t="s">
        <v>11369</v>
      </c>
      <c r="K2064" s="496">
        <v>51935</v>
      </c>
      <c r="N2064" s="45">
        <v>51935</v>
      </c>
      <c r="O2064" s="4" t="s">
        <v>276</v>
      </c>
      <c r="Q2064" s="45">
        <f t="shared" si="246"/>
        <v>51935</v>
      </c>
      <c r="R2064" s="3">
        <f t="shared" si="245"/>
        <v>0</v>
      </c>
    </row>
    <row r="2065" spans="2:19" hidden="1" x14ac:dyDescent="0.25">
      <c r="B2065" s="21" t="s">
        <v>395</v>
      </c>
      <c r="C2065" s="22" t="s">
        <v>2450</v>
      </c>
      <c r="D2065" s="22"/>
      <c r="E2065" s="21" t="s">
        <v>0</v>
      </c>
      <c r="F2065" s="21" t="s">
        <v>9773</v>
      </c>
      <c r="G2065" s="147" t="s">
        <v>10225</v>
      </c>
      <c r="H2065" s="23" t="s">
        <v>11471</v>
      </c>
      <c r="I2065" s="23" t="s">
        <v>11420</v>
      </c>
      <c r="J2065" s="165" t="s">
        <v>11370</v>
      </c>
      <c r="K2065" s="497">
        <v>13718</v>
      </c>
      <c r="L2065" s="21" t="s">
        <v>12916</v>
      </c>
      <c r="M2065" s="26">
        <v>45947</v>
      </c>
      <c r="N2065" s="44">
        <v>13718</v>
      </c>
      <c r="O2065" s="22" t="s">
        <v>276</v>
      </c>
      <c r="P2065" s="44">
        <f>13718</f>
        <v>13718</v>
      </c>
      <c r="Q2065" s="44">
        <f t="shared" si="246"/>
        <v>0</v>
      </c>
      <c r="R2065" s="24">
        <f t="shared" si="245"/>
        <v>13718</v>
      </c>
    </row>
    <row r="2066" spans="2:19" hidden="1" x14ac:dyDescent="0.25">
      <c r="B2066" s="21" t="s">
        <v>395</v>
      </c>
      <c r="C2066" s="22" t="s">
        <v>2450</v>
      </c>
      <c r="D2066" s="22"/>
      <c r="E2066" s="21" t="s">
        <v>0</v>
      </c>
      <c r="F2066" s="21" t="s">
        <v>9773</v>
      </c>
      <c r="G2066" s="147" t="s">
        <v>10225</v>
      </c>
      <c r="H2066" s="23" t="s">
        <v>11471</v>
      </c>
      <c r="I2066" s="23" t="s">
        <v>11420</v>
      </c>
      <c r="J2066" s="21" t="s">
        <v>11378</v>
      </c>
      <c r="K2066" s="497" t="s">
        <v>11359</v>
      </c>
      <c r="L2066" s="21"/>
      <c r="M2066" s="23"/>
      <c r="N2066" s="44" t="s">
        <v>11359</v>
      </c>
      <c r="O2066" s="22" t="s">
        <v>276</v>
      </c>
      <c r="P2066" s="44"/>
      <c r="Q2066" s="44"/>
      <c r="R2066" s="24">
        <f t="shared" si="245"/>
        <v>0</v>
      </c>
    </row>
    <row r="2067" spans="2:19" hidden="1" x14ac:dyDescent="0.25">
      <c r="B2067" s="21" t="s">
        <v>395</v>
      </c>
      <c r="C2067" s="22" t="s">
        <v>2450</v>
      </c>
      <c r="D2067" s="22"/>
      <c r="E2067" s="21" t="s">
        <v>0</v>
      </c>
      <c r="F2067" s="21" t="s">
        <v>9773</v>
      </c>
      <c r="G2067" s="147" t="s">
        <v>10225</v>
      </c>
      <c r="H2067" s="23" t="s">
        <v>11471</v>
      </c>
      <c r="I2067" s="23" t="s">
        <v>11420</v>
      </c>
      <c r="J2067" s="165" t="s">
        <v>11379</v>
      </c>
      <c r="K2067" s="497">
        <v>3584</v>
      </c>
      <c r="L2067" s="21" t="s">
        <v>12248</v>
      </c>
      <c r="M2067" s="26">
        <v>45860</v>
      </c>
      <c r="N2067" s="44">
        <v>3584</v>
      </c>
      <c r="O2067" s="22" t="s">
        <v>276</v>
      </c>
      <c r="P2067" s="44">
        <v>3584</v>
      </c>
      <c r="Q2067" s="44">
        <f t="shared" ref="Q2067:Q2101" si="247">IF(P2067="en cours",N2067,IF(P2067="OK",0,IF(N2067-P2067&lt;0,0,N2067-P2067)))</f>
        <v>0</v>
      </c>
      <c r="R2067" s="24">
        <f t="shared" si="245"/>
        <v>3584</v>
      </c>
    </row>
    <row r="2068" spans="2:19" hidden="1" x14ac:dyDescent="0.25">
      <c r="B2068" s="21" t="s">
        <v>395</v>
      </c>
      <c r="C2068" s="22" t="s">
        <v>2450</v>
      </c>
      <c r="D2068" s="22"/>
      <c r="E2068" s="21" t="s">
        <v>0</v>
      </c>
      <c r="F2068" s="21" t="s">
        <v>9773</v>
      </c>
      <c r="G2068" s="147" t="s">
        <v>10225</v>
      </c>
      <c r="H2068" s="23" t="s">
        <v>11471</v>
      </c>
      <c r="I2068" s="23" t="s">
        <v>11420</v>
      </c>
      <c r="J2068" s="165" t="s">
        <v>11360</v>
      </c>
      <c r="K2068" s="497">
        <v>7418</v>
      </c>
      <c r="L2068" s="21" t="s">
        <v>11758</v>
      </c>
      <c r="M2068" s="26">
        <v>45780</v>
      </c>
      <c r="N2068" s="44">
        <v>7418</v>
      </c>
      <c r="O2068" s="22" t="s">
        <v>276</v>
      </c>
      <c r="P2068" s="44">
        <v>7418</v>
      </c>
      <c r="Q2068" s="44">
        <f t="shared" si="247"/>
        <v>0</v>
      </c>
      <c r="R2068" s="24">
        <f t="shared" si="245"/>
        <v>7418</v>
      </c>
    </row>
    <row r="2069" spans="2:19" hidden="1" x14ac:dyDescent="0.25">
      <c r="B2069" s="21" t="s">
        <v>395</v>
      </c>
      <c r="C2069" s="22" t="s">
        <v>2450</v>
      </c>
      <c r="D2069" s="22"/>
      <c r="E2069" s="21" t="s">
        <v>0</v>
      </c>
      <c r="F2069" s="21" t="s">
        <v>9773</v>
      </c>
      <c r="G2069" s="147" t="s">
        <v>10225</v>
      </c>
      <c r="H2069" s="23" t="s">
        <v>11476</v>
      </c>
      <c r="I2069" s="23" t="s">
        <v>10916</v>
      </c>
      <c r="J2069" s="165" t="s">
        <v>11469</v>
      </c>
      <c r="K2069" s="497">
        <v>248599</v>
      </c>
      <c r="L2069" s="21"/>
      <c r="M2069" s="23"/>
      <c r="N2069" s="44">
        <v>0</v>
      </c>
      <c r="O2069" s="22" t="s">
        <v>276</v>
      </c>
      <c r="P2069" s="44">
        <v>0</v>
      </c>
      <c r="Q2069" s="44">
        <f t="shared" si="247"/>
        <v>0</v>
      </c>
      <c r="R2069" s="24">
        <f t="shared" si="245"/>
        <v>0</v>
      </c>
      <c r="S2069" s="5" t="s">
        <v>11481</v>
      </c>
    </row>
    <row r="2070" spans="2:19" hidden="1" x14ac:dyDescent="0.25">
      <c r="B2070" s="21" t="s">
        <v>395</v>
      </c>
      <c r="C2070" s="22" t="s">
        <v>2450</v>
      </c>
      <c r="D2070" s="22"/>
      <c r="E2070" s="21" t="s">
        <v>0</v>
      </c>
      <c r="F2070" s="21" t="s">
        <v>9773</v>
      </c>
      <c r="G2070" s="147" t="s">
        <v>10225</v>
      </c>
      <c r="H2070" s="23" t="s">
        <v>11471</v>
      </c>
      <c r="I2070" s="23" t="s">
        <v>11420</v>
      </c>
      <c r="J2070" s="165" t="s">
        <v>11361</v>
      </c>
      <c r="K2070" s="498">
        <v>24945</v>
      </c>
      <c r="L2070" s="21" t="s">
        <v>11464</v>
      </c>
      <c r="M2070" s="26">
        <v>45689</v>
      </c>
      <c r="N2070" s="44">
        <v>24945</v>
      </c>
      <c r="O2070" s="22" t="s">
        <v>276</v>
      </c>
      <c r="P2070" s="44">
        <v>24945</v>
      </c>
      <c r="Q2070" s="44">
        <f t="shared" si="247"/>
        <v>0</v>
      </c>
      <c r="R2070" s="24">
        <f t="shared" si="245"/>
        <v>24945</v>
      </c>
    </row>
    <row r="2071" spans="2:19" hidden="1" x14ac:dyDescent="0.25">
      <c r="B2071" s="21" t="s">
        <v>395</v>
      </c>
      <c r="C2071" s="22" t="s">
        <v>2450</v>
      </c>
      <c r="D2071" s="22"/>
      <c r="E2071" s="21" t="s">
        <v>0</v>
      </c>
      <c r="F2071" s="21" t="s">
        <v>9773</v>
      </c>
      <c r="G2071" s="147" t="s">
        <v>10225</v>
      </c>
      <c r="H2071" s="23" t="s">
        <v>11471</v>
      </c>
      <c r="I2071" s="23" t="s">
        <v>11420</v>
      </c>
      <c r="J2071" s="165" t="s">
        <v>11362</v>
      </c>
      <c r="K2071" s="498">
        <v>24945</v>
      </c>
      <c r="L2071" s="21" t="s">
        <v>11468</v>
      </c>
      <c r="M2071" s="26">
        <v>45717</v>
      </c>
      <c r="N2071" s="44">
        <v>24945</v>
      </c>
      <c r="O2071" s="22" t="s">
        <v>276</v>
      </c>
      <c r="P2071" s="44">
        <v>24945</v>
      </c>
      <c r="Q2071" s="44">
        <f t="shared" si="247"/>
        <v>0</v>
      </c>
      <c r="R2071" s="24">
        <f t="shared" si="245"/>
        <v>24945</v>
      </c>
    </row>
    <row r="2072" spans="2:19" hidden="1" x14ac:dyDescent="0.25">
      <c r="B2072" s="21" t="s">
        <v>395</v>
      </c>
      <c r="C2072" s="22" t="s">
        <v>2450</v>
      </c>
      <c r="D2072" s="22"/>
      <c r="E2072" s="21" t="s">
        <v>0</v>
      </c>
      <c r="F2072" s="21" t="s">
        <v>9773</v>
      </c>
      <c r="G2072" s="147" t="s">
        <v>10225</v>
      </c>
      <c r="H2072" s="23" t="s">
        <v>11471</v>
      </c>
      <c r="I2072" s="23" t="s">
        <v>11420</v>
      </c>
      <c r="J2072" s="165" t="s">
        <v>11363</v>
      </c>
      <c r="K2072" s="498">
        <v>134132</v>
      </c>
      <c r="L2072" s="21" t="s">
        <v>11458</v>
      </c>
      <c r="M2072" s="26">
        <v>45657</v>
      </c>
      <c r="N2072" s="44">
        <v>134132</v>
      </c>
      <c r="O2072" s="22" t="s">
        <v>276</v>
      </c>
      <c r="P2072" s="44">
        <v>134132</v>
      </c>
      <c r="Q2072" s="44">
        <f t="shared" si="247"/>
        <v>0</v>
      </c>
      <c r="R2072" s="24">
        <f t="shared" si="245"/>
        <v>134132</v>
      </c>
    </row>
    <row r="2073" spans="2:19" hidden="1" x14ac:dyDescent="0.25">
      <c r="B2073" s="21" t="s">
        <v>395</v>
      </c>
      <c r="C2073" s="22" t="s">
        <v>2450</v>
      </c>
      <c r="D2073" s="22"/>
      <c r="E2073" s="21" t="s">
        <v>0</v>
      </c>
      <c r="F2073" s="21" t="s">
        <v>9773</v>
      </c>
      <c r="G2073" s="147" t="s">
        <v>10225</v>
      </c>
      <c r="H2073" s="23" t="s">
        <v>11471</v>
      </c>
      <c r="I2073" s="23" t="s">
        <v>11420</v>
      </c>
      <c r="J2073" s="165" t="s">
        <v>11364</v>
      </c>
      <c r="K2073" s="498">
        <v>134132</v>
      </c>
      <c r="L2073" s="21" t="s">
        <v>11466</v>
      </c>
      <c r="M2073" s="26">
        <v>45706</v>
      </c>
      <c r="N2073" s="44">
        <v>134132</v>
      </c>
      <c r="O2073" s="22" t="s">
        <v>276</v>
      </c>
      <c r="P2073" s="44">
        <v>134132</v>
      </c>
      <c r="Q2073" s="44">
        <f t="shared" si="247"/>
        <v>0</v>
      </c>
      <c r="R2073" s="24">
        <f t="shared" si="245"/>
        <v>134132</v>
      </c>
    </row>
    <row r="2074" spans="2:19" hidden="1" x14ac:dyDescent="0.25">
      <c r="B2074" s="21" t="s">
        <v>395</v>
      </c>
      <c r="C2074" s="22" t="s">
        <v>2450</v>
      </c>
      <c r="D2074" s="22"/>
      <c r="E2074" s="21" t="s">
        <v>0</v>
      </c>
      <c r="F2074" s="21" t="s">
        <v>9773</v>
      </c>
      <c r="G2074" s="147" t="s">
        <v>10225</v>
      </c>
      <c r="H2074" s="23" t="s">
        <v>11471</v>
      </c>
      <c r="I2074" s="23" t="s">
        <v>11420</v>
      </c>
      <c r="J2074" s="165" t="s">
        <v>11365</v>
      </c>
      <c r="K2074" s="498">
        <v>17248</v>
      </c>
      <c r="L2074" s="21" t="s">
        <v>12711</v>
      </c>
      <c r="M2074" s="26">
        <v>45927</v>
      </c>
      <c r="N2074" s="44">
        <v>17248</v>
      </c>
      <c r="O2074" s="22" t="s">
        <v>276</v>
      </c>
      <c r="P2074" s="44">
        <v>17248</v>
      </c>
      <c r="Q2074" s="44">
        <f t="shared" si="247"/>
        <v>0</v>
      </c>
      <c r="R2074" s="24">
        <f t="shared" si="245"/>
        <v>17248</v>
      </c>
    </row>
    <row r="2075" spans="2:19" hidden="1" x14ac:dyDescent="0.25">
      <c r="C2075" s="4" t="s">
        <v>2450</v>
      </c>
      <c r="E2075" s="5" t="s">
        <v>0</v>
      </c>
      <c r="F2075" s="5" t="s">
        <v>9773</v>
      </c>
      <c r="G2075" s="146" t="s">
        <v>10225</v>
      </c>
      <c r="H2075" s="7" t="s">
        <v>11471</v>
      </c>
      <c r="I2075" s="7" t="s">
        <v>11420</v>
      </c>
      <c r="J2075" s="5" t="s">
        <v>11380</v>
      </c>
      <c r="K2075" s="496">
        <f>284712+3704</f>
        <v>288416</v>
      </c>
      <c r="N2075" s="45">
        <f>284712+3704</f>
        <v>288416</v>
      </c>
      <c r="O2075" s="4" t="s">
        <v>276</v>
      </c>
      <c r="Q2075" s="45">
        <f t="shared" si="247"/>
        <v>288416</v>
      </c>
      <c r="R2075" s="3">
        <f t="shared" si="245"/>
        <v>0</v>
      </c>
    </row>
    <row r="2076" spans="2:19" hidden="1" x14ac:dyDescent="0.25">
      <c r="C2076" s="4" t="s">
        <v>2450</v>
      </c>
      <c r="E2076" s="5" t="s">
        <v>0</v>
      </c>
      <c r="F2076" s="5" t="s">
        <v>9773</v>
      </c>
      <c r="G2076" s="146" t="s">
        <v>10225</v>
      </c>
      <c r="H2076" s="7" t="s">
        <v>11471</v>
      </c>
      <c r="I2076" s="7" t="s">
        <v>11420</v>
      </c>
      <c r="J2076" s="5" t="s">
        <v>11381</v>
      </c>
      <c r="K2076" s="496">
        <f>157526+17248</f>
        <v>174774</v>
      </c>
      <c r="N2076" s="45">
        <f>157526+17248</f>
        <v>174774</v>
      </c>
      <c r="O2076" s="4" t="s">
        <v>276</v>
      </c>
      <c r="Q2076" s="45">
        <f t="shared" si="247"/>
        <v>174774</v>
      </c>
      <c r="R2076" s="3">
        <f t="shared" si="245"/>
        <v>0</v>
      </c>
    </row>
    <row r="2077" spans="2:19" hidden="1" x14ac:dyDescent="0.25">
      <c r="B2077" s="21" t="s">
        <v>395</v>
      </c>
      <c r="C2077" s="22" t="s">
        <v>2450</v>
      </c>
      <c r="D2077" s="22"/>
      <c r="E2077" s="21" t="s">
        <v>0</v>
      </c>
      <c r="F2077" s="21" t="s">
        <v>9773</v>
      </c>
      <c r="G2077" s="147" t="s">
        <v>10225</v>
      </c>
      <c r="H2077" s="23" t="s">
        <v>11471</v>
      </c>
      <c r="I2077" s="23" t="s">
        <v>11798</v>
      </c>
      <c r="J2077" s="165" t="s">
        <v>11386</v>
      </c>
      <c r="K2077" s="498">
        <v>118713</v>
      </c>
      <c r="L2077" s="21"/>
      <c r="M2077" s="23"/>
      <c r="N2077" s="44">
        <v>0</v>
      </c>
      <c r="O2077" s="22" t="s">
        <v>276</v>
      </c>
      <c r="P2077" s="44"/>
      <c r="Q2077" s="44">
        <f t="shared" si="247"/>
        <v>0</v>
      </c>
      <c r="R2077" s="24">
        <f t="shared" si="245"/>
        <v>0</v>
      </c>
      <c r="S2077" s="5" t="s">
        <v>11799</v>
      </c>
    </row>
    <row r="2078" spans="2:19" hidden="1" x14ac:dyDescent="0.25">
      <c r="B2078" s="21" t="s">
        <v>395</v>
      </c>
      <c r="C2078" s="22" t="s">
        <v>2450</v>
      </c>
      <c r="D2078" s="22"/>
      <c r="E2078" s="21" t="s">
        <v>0</v>
      </c>
      <c r="F2078" s="21" t="s">
        <v>9773</v>
      </c>
      <c r="G2078" s="147" t="s">
        <v>10225</v>
      </c>
      <c r="H2078" s="23" t="s">
        <v>11471</v>
      </c>
      <c r="I2078" s="23" t="s">
        <v>11798</v>
      </c>
      <c r="J2078" s="165" t="s">
        <v>11387</v>
      </c>
      <c r="K2078" s="498">
        <v>17334</v>
      </c>
      <c r="L2078" s="21"/>
      <c r="M2078" s="23"/>
      <c r="N2078" s="44">
        <v>0</v>
      </c>
      <c r="O2078" s="22" t="s">
        <v>276</v>
      </c>
      <c r="P2078" s="44"/>
      <c r="Q2078" s="44">
        <f t="shared" si="247"/>
        <v>0</v>
      </c>
      <c r="R2078" s="24">
        <f t="shared" si="245"/>
        <v>0</v>
      </c>
      <c r="S2078" s="5" t="s">
        <v>11799</v>
      </c>
    </row>
    <row r="2079" spans="2:19" hidden="1" x14ac:dyDescent="0.25">
      <c r="B2079" s="21" t="s">
        <v>395</v>
      </c>
      <c r="C2079" s="22" t="s">
        <v>2450</v>
      </c>
      <c r="D2079" s="22"/>
      <c r="E2079" s="21" t="s">
        <v>0</v>
      </c>
      <c r="F2079" s="21" t="s">
        <v>9773</v>
      </c>
      <c r="G2079" s="147" t="s">
        <v>10225</v>
      </c>
      <c r="H2079" s="23" t="s">
        <v>11471</v>
      </c>
      <c r="I2079" s="23" t="s">
        <v>11798</v>
      </c>
      <c r="J2079" s="165" t="s">
        <v>11382</v>
      </c>
      <c r="K2079" s="498">
        <v>23311</v>
      </c>
      <c r="L2079" s="21"/>
      <c r="M2079" s="23"/>
      <c r="N2079" s="44">
        <v>0</v>
      </c>
      <c r="O2079" s="22" t="s">
        <v>276</v>
      </c>
      <c r="P2079" s="44"/>
      <c r="Q2079" s="44">
        <f t="shared" si="247"/>
        <v>0</v>
      </c>
      <c r="R2079" s="24">
        <f t="shared" si="245"/>
        <v>0</v>
      </c>
      <c r="S2079" s="5" t="s">
        <v>11799</v>
      </c>
    </row>
    <row r="2080" spans="2:19" hidden="1" x14ac:dyDescent="0.25">
      <c r="B2080" s="21" t="s">
        <v>395</v>
      </c>
      <c r="C2080" s="22" t="s">
        <v>2450</v>
      </c>
      <c r="D2080" s="22"/>
      <c r="E2080" s="21" t="s">
        <v>0</v>
      </c>
      <c r="F2080" s="21" t="s">
        <v>9773</v>
      </c>
      <c r="G2080" s="147" t="s">
        <v>10225</v>
      </c>
      <c r="H2080" s="23" t="s">
        <v>11471</v>
      </c>
      <c r="I2080" s="23" t="s">
        <v>11798</v>
      </c>
      <c r="J2080" s="165" t="s">
        <v>11384</v>
      </c>
      <c r="K2080" s="498">
        <v>96386</v>
      </c>
      <c r="L2080" s="21"/>
      <c r="M2080" s="23"/>
      <c r="N2080" s="44">
        <v>0</v>
      </c>
      <c r="O2080" s="22" t="s">
        <v>276</v>
      </c>
      <c r="P2080" s="44"/>
      <c r="Q2080" s="44">
        <f t="shared" si="247"/>
        <v>0</v>
      </c>
      <c r="R2080" s="24">
        <f t="shared" ref="R2080:R2111" si="248">IF(P2080="OK",N2080-Q2080,IF(P2080="en cours",M2080-Q2080,P2080))</f>
        <v>0</v>
      </c>
      <c r="S2080" s="5" t="s">
        <v>11799</v>
      </c>
    </row>
    <row r="2081" spans="2:19" hidden="1" x14ac:dyDescent="0.25">
      <c r="B2081" s="21" t="s">
        <v>395</v>
      </c>
      <c r="C2081" s="22" t="s">
        <v>2450</v>
      </c>
      <c r="D2081" s="22"/>
      <c r="E2081" s="21" t="s">
        <v>0</v>
      </c>
      <c r="F2081" s="21" t="s">
        <v>9773</v>
      </c>
      <c r="G2081" s="147" t="s">
        <v>10225</v>
      </c>
      <c r="H2081" s="23" t="s">
        <v>11471</v>
      </c>
      <c r="I2081" s="23" t="s">
        <v>11798</v>
      </c>
      <c r="J2081" s="165" t="s">
        <v>11385</v>
      </c>
      <c r="K2081" s="498">
        <v>14124</v>
      </c>
      <c r="L2081" s="21"/>
      <c r="M2081" s="23"/>
      <c r="N2081" s="44">
        <v>0</v>
      </c>
      <c r="O2081" s="22" t="s">
        <v>276</v>
      </c>
      <c r="P2081" s="44"/>
      <c r="Q2081" s="44">
        <f t="shared" si="247"/>
        <v>0</v>
      </c>
      <c r="R2081" s="24">
        <f t="shared" si="248"/>
        <v>0</v>
      </c>
      <c r="S2081" s="5" t="s">
        <v>11799</v>
      </c>
    </row>
    <row r="2082" spans="2:19" hidden="1" x14ac:dyDescent="0.25">
      <c r="B2082" s="21" t="s">
        <v>395</v>
      </c>
      <c r="C2082" s="22" t="s">
        <v>2450</v>
      </c>
      <c r="D2082" s="22"/>
      <c r="E2082" s="21" t="s">
        <v>0</v>
      </c>
      <c r="F2082" s="21" t="s">
        <v>9773</v>
      </c>
      <c r="G2082" s="147" t="s">
        <v>10225</v>
      </c>
      <c r="H2082" s="23" t="s">
        <v>11471</v>
      </c>
      <c r="I2082" s="23" t="s">
        <v>11798</v>
      </c>
      <c r="J2082" s="165" t="s">
        <v>11383</v>
      </c>
      <c r="K2082" s="498">
        <v>23311</v>
      </c>
      <c r="L2082" s="21"/>
      <c r="M2082" s="23"/>
      <c r="N2082" s="44">
        <v>0</v>
      </c>
      <c r="O2082" s="22" t="s">
        <v>276</v>
      </c>
      <c r="P2082" s="44"/>
      <c r="Q2082" s="44">
        <f t="shared" si="247"/>
        <v>0</v>
      </c>
      <c r="R2082" s="24">
        <f t="shared" si="248"/>
        <v>0</v>
      </c>
      <c r="S2082" s="5" t="s">
        <v>11799</v>
      </c>
    </row>
    <row r="2083" spans="2:19" hidden="1" x14ac:dyDescent="0.25">
      <c r="B2083" s="21" t="s">
        <v>395</v>
      </c>
      <c r="C2083" s="22" t="s">
        <v>2450</v>
      </c>
      <c r="D2083" s="22"/>
      <c r="E2083" s="21" t="s">
        <v>0</v>
      </c>
      <c r="F2083" s="21" t="s">
        <v>9773</v>
      </c>
      <c r="G2083" s="147" t="s">
        <v>10225</v>
      </c>
      <c r="H2083" s="23" t="s">
        <v>11471</v>
      </c>
      <c r="I2083" s="23" t="s">
        <v>11798</v>
      </c>
      <c r="J2083" s="165" t="s">
        <v>11388</v>
      </c>
      <c r="K2083" s="498">
        <v>17248</v>
      </c>
      <c r="L2083" s="21"/>
      <c r="M2083" s="23"/>
      <c r="N2083" s="44">
        <v>0</v>
      </c>
      <c r="O2083" s="22" t="s">
        <v>276</v>
      </c>
      <c r="P2083" s="44"/>
      <c r="Q2083" s="44">
        <f t="shared" si="247"/>
        <v>0</v>
      </c>
      <c r="R2083" s="24">
        <f t="shared" si="248"/>
        <v>0</v>
      </c>
      <c r="S2083" s="5" t="s">
        <v>11799</v>
      </c>
    </row>
    <row r="2084" spans="2:19" hidden="1" x14ac:dyDescent="0.25">
      <c r="B2084" s="21" t="s">
        <v>395</v>
      </c>
      <c r="C2084" s="22" t="s">
        <v>2450</v>
      </c>
      <c r="D2084" s="22"/>
      <c r="E2084" s="21" t="s">
        <v>0</v>
      </c>
      <c r="F2084" s="21" t="s">
        <v>9773</v>
      </c>
      <c r="G2084" s="147" t="s">
        <v>10225</v>
      </c>
      <c r="H2084" s="23" t="s">
        <v>11471</v>
      </c>
      <c r="I2084" s="23" t="s">
        <v>11798</v>
      </c>
      <c r="J2084" s="165" t="s">
        <v>11389</v>
      </c>
      <c r="K2084" s="498">
        <v>1454</v>
      </c>
      <c r="L2084" s="21"/>
      <c r="M2084" s="23"/>
      <c r="N2084" s="44">
        <v>0</v>
      </c>
      <c r="O2084" s="22" t="s">
        <v>276</v>
      </c>
      <c r="P2084" s="44"/>
      <c r="Q2084" s="44">
        <f t="shared" si="247"/>
        <v>0</v>
      </c>
      <c r="R2084" s="24">
        <f t="shared" si="248"/>
        <v>0</v>
      </c>
      <c r="S2084" s="5" t="s">
        <v>11799</v>
      </c>
    </row>
    <row r="2085" spans="2:19" hidden="1" x14ac:dyDescent="0.25">
      <c r="B2085" s="21" t="s">
        <v>395</v>
      </c>
      <c r="C2085" s="22" t="s">
        <v>2450</v>
      </c>
      <c r="D2085" s="22"/>
      <c r="E2085" s="21" t="s">
        <v>0</v>
      </c>
      <c r="F2085" s="21" t="s">
        <v>9773</v>
      </c>
      <c r="G2085" s="147" t="s">
        <v>10225</v>
      </c>
      <c r="H2085" s="23" t="s">
        <v>11471</v>
      </c>
      <c r="I2085" s="23" t="s">
        <v>11798</v>
      </c>
      <c r="J2085" s="165" t="s">
        <v>11390</v>
      </c>
      <c r="K2085" s="498">
        <v>2078</v>
      </c>
      <c r="L2085" s="21"/>
      <c r="M2085" s="23"/>
      <c r="N2085" s="44">
        <v>0</v>
      </c>
      <c r="O2085" s="22" t="s">
        <v>276</v>
      </c>
      <c r="P2085" s="44"/>
      <c r="Q2085" s="44">
        <f t="shared" si="247"/>
        <v>0</v>
      </c>
      <c r="R2085" s="24">
        <f t="shared" si="248"/>
        <v>0</v>
      </c>
      <c r="S2085" s="5" t="s">
        <v>11799</v>
      </c>
    </row>
    <row r="2086" spans="2:19" hidden="1" x14ac:dyDescent="0.25">
      <c r="B2086" s="21" t="s">
        <v>395</v>
      </c>
      <c r="C2086" s="22" t="s">
        <v>2450</v>
      </c>
      <c r="D2086" s="22"/>
      <c r="E2086" s="21" t="s">
        <v>0</v>
      </c>
      <c r="F2086" s="21" t="s">
        <v>9773</v>
      </c>
      <c r="G2086" s="147" t="s">
        <v>10225</v>
      </c>
      <c r="H2086" s="23" t="s">
        <v>11471</v>
      </c>
      <c r="I2086" s="23" t="s">
        <v>11798</v>
      </c>
      <c r="J2086" s="165" t="s">
        <v>11391</v>
      </c>
      <c r="K2086" s="498">
        <v>11939</v>
      </c>
      <c r="L2086" s="21"/>
      <c r="M2086" s="23"/>
      <c r="N2086" s="44">
        <v>0</v>
      </c>
      <c r="O2086" s="22" t="s">
        <v>276</v>
      </c>
      <c r="P2086" s="44"/>
      <c r="Q2086" s="44">
        <f t="shared" si="247"/>
        <v>0</v>
      </c>
      <c r="R2086" s="24">
        <f t="shared" si="248"/>
        <v>0</v>
      </c>
      <c r="S2086" s="5" t="s">
        <v>11799</v>
      </c>
    </row>
    <row r="2087" spans="2:19" hidden="1" x14ac:dyDescent="0.25">
      <c r="B2087" s="21" t="s">
        <v>395</v>
      </c>
      <c r="C2087" s="22" t="s">
        <v>2450</v>
      </c>
      <c r="D2087" s="22"/>
      <c r="E2087" s="21" t="s">
        <v>0</v>
      </c>
      <c r="F2087" s="21" t="s">
        <v>9773</v>
      </c>
      <c r="G2087" s="147" t="s">
        <v>10225</v>
      </c>
      <c r="H2087" s="23" t="s">
        <v>11471</v>
      </c>
      <c r="I2087" s="23" t="s">
        <v>11798</v>
      </c>
      <c r="J2087" s="165" t="s">
        <v>11393</v>
      </c>
      <c r="K2087" s="498">
        <v>12089</v>
      </c>
      <c r="L2087" s="21"/>
      <c r="M2087" s="23"/>
      <c r="N2087" s="44">
        <v>0</v>
      </c>
      <c r="O2087" s="22" t="s">
        <v>276</v>
      </c>
      <c r="P2087" s="44"/>
      <c r="Q2087" s="44">
        <f t="shared" si="247"/>
        <v>0</v>
      </c>
      <c r="R2087" s="24">
        <f t="shared" si="248"/>
        <v>0</v>
      </c>
      <c r="S2087" s="5" t="s">
        <v>11799</v>
      </c>
    </row>
    <row r="2088" spans="2:19" hidden="1" x14ac:dyDescent="0.25">
      <c r="B2088" s="21" t="s">
        <v>395</v>
      </c>
      <c r="C2088" s="22" t="s">
        <v>2450</v>
      </c>
      <c r="D2088" s="22"/>
      <c r="E2088" s="21" t="s">
        <v>0</v>
      </c>
      <c r="F2088" s="21" t="s">
        <v>9773</v>
      </c>
      <c r="G2088" s="147" t="s">
        <v>10225</v>
      </c>
      <c r="H2088" s="23" t="s">
        <v>11471</v>
      </c>
      <c r="I2088" s="23" t="s">
        <v>11798</v>
      </c>
      <c r="J2088" s="165" t="s">
        <v>11394</v>
      </c>
      <c r="K2088" s="498">
        <v>12239</v>
      </c>
      <c r="L2088" s="21"/>
      <c r="M2088" s="23"/>
      <c r="N2088" s="44">
        <v>0</v>
      </c>
      <c r="O2088" s="22" t="s">
        <v>276</v>
      </c>
      <c r="P2088" s="44"/>
      <c r="Q2088" s="44">
        <f t="shared" si="247"/>
        <v>0</v>
      </c>
      <c r="R2088" s="24">
        <f t="shared" si="248"/>
        <v>0</v>
      </c>
      <c r="S2088" s="5" t="s">
        <v>11799</v>
      </c>
    </row>
    <row r="2089" spans="2:19" hidden="1" x14ac:dyDescent="0.25">
      <c r="B2089" s="21" t="s">
        <v>395</v>
      </c>
      <c r="C2089" s="22" t="s">
        <v>2450</v>
      </c>
      <c r="D2089" s="22"/>
      <c r="E2089" s="21" t="s">
        <v>0</v>
      </c>
      <c r="F2089" s="21" t="s">
        <v>9773</v>
      </c>
      <c r="G2089" s="147" t="s">
        <v>10225</v>
      </c>
      <c r="H2089" s="23" t="s">
        <v>11471</v>
      </c>
      <c r="I2089" s="23" t="s">
        <v>11798</v>
      </c>
      <c r="J2089" s="165" t="s">
        <v>11395</v>
      </c>
      <c r="K2089" s="498">
        <v>9899</v>
      </c>
      <c r="L2089" s="21"/>
      <c r="M2089" s="23"/>
      <c r="N2089" s="44">
        <v>0</v>
      </c>
      <c r="O2089" s="22" t="s">
        <v>276</v>
      </c>
      <c r="P2089" s="44"/>
      <c r="Q2089" s="44">
        <f t="shared" si="247"/>
        <v>0</v>
      </c>
      <c r="R2089" s="24">
        <f t="shared" si="248"/>
        <v>0</v>
      </c>
      <c r="S2089" s="5" t="s">
        <v>11799</v>
      </c>
    </row>
    <row r="2090" spans="2:19" hidden="1" x14ac:dyDescent="0.25">
      <c r="B2090" s="21" t="s">
        <v>395</v>
      </c>
      <c r="C2090" s="22" t="s">
        <v>2450</v>
      </c>
      <c r="D2090" s="22"/>
      <c r="E2090" s="21" t="s">
        <v>0</v>
      </c>
      <c r="F2090" s="21" t="s">
        <v>9773</v>
      </c>
      <c r="G2090" s="147" t="s">
        <v>10225</v>
      </c>
      <c r="H2090" s="23" t="s">
        <v>11471</v>
      </c>
      <c r="I2090" s="23" t="s">
        <v>11798</v>
      </c>
      <c r="J2090" s="165" t="s">
        <v>11396</v>
      </c>
      <c r="K2090" s="498">
        <v>10199</v>
      </c>
      <c r="L2090" s="21"/>
      <c r="M2090" s="23"/>
      <c r="N2090" s="44">
        <v>0</v>
      </c>
      <c r="O2090" s="22" t="s">
        <v>276</v>
      </c>
      <c r="P2090" s="44"/>
      <c r="Q2090" s="44">
        <f t="shared" si="247"/>
        <v>0</v>
      </c>
      <c r="R2090" s="24">
        <f t="shared" si="248"/>
        <v>0</v>
      </c>
      <c r="S2090" s="5" t="s">
        <v>11799</v>
      </c>
    </row>
    <row r="2091" spans="2:19" hidden="1" x14ac:dyDescent="0.25">
      <c r="B2091" s="21" t="s">
        <v>395</v>
      </c>
      <c r="C2091" s="22" t="s">
        <v>2450</v>
      </c>
      <c r="D2091" s="22"/>
      <c r="E2091" s="21" t="s">
        <v>0</v>
      </c>
      <c r="F2091" s="21" t="s">
        <v>9773</v>
      </c>
      <c r="G2091" s="147" t="s">
        <v>10225</v>
      </c>
      <c r="H2091" s="23" t="s">
        <v>11471</v>
      </c>
      <c r="I2091" s="23" t="s">
        <v>11798</v>
      </c>
      <c r="J2091" s="165" t="s">
        <v>11392</v>
      </c>
      <c r="K2091" s="498">
        <v>10499</v>
      </c>
      <c r="L2091" s="21"/>
      <c r="M2091" s="23"/>
      <c r="N2091" s="44">
        <v>0</v>
      </c>
      <c r="O2091" s="22" t="s">
        <v>276</v>
      </c>
      <c r="P2091" s="44"/>
      <c r="Q2091" s="44">
        <f t="shared" si="247"/>
        <v>0</v>
      </c>
      <c r="R2091" s="24">
        <f t="shared" si="248"/>
        <v>0</v>
      </c>
      <c r="S2091" s="5" t="s">
        <v>11799</v>
      </c>
    </row>
    <row r="2092" spans="2:19" hidden="1" x14ac:dyDescent="0.25">
      <c r="B2092" s="21" t="s">
        <v>395</v>
      </c>
      <c r="C2092" s="22" t="s">
        <v>2450</v>
      </c>
      <c r="D2092" s="22"/>
      <c r="E2092" s="21" t="s">
        <v>0</v>
      </c>
      <c r="F2092" s="21" t="s">
        <v>9773</v>
      </c>
      <c r="G2092" s="147" t="s">
        <v>10225</v>
      </c>
      <c r="H2092" s="23" t="s">
        <v>11862</v>
      </c>
      <c r="I2092" s="23" t="s">
        <v>11863</v>
      </c>
      <c r="J2092" s="165" t="s">
        <v>11398</v>
      </c>
      <c r="K2092" s="498">
        <v>7187</v>
      </c>
      <c r="L2092" s="21"/>
      <c r="M2092" s="23"/>
      <c r="N2092" s="44">
        <v>0</v>
      </c>
      <c r="O2092" s="22" t="s">
        <v>276</v>
      </c>
      <c r="P2092" s="44"/>
      <c r="Q2092" s="44">
        <f t="shared" si="247"/>
        <v>0</v>
      </c>
      <c r="R2092" s="24">
        <f t="shared" si="248"/>
        <v>0</v>
      </c>
      <c r="S2092" s="5" t="s">
        <v>11876</v>
      </c>
    </row>
    <row r="2093" spans="2:19" hidden="1" x14ac:dyDescent="0.25">
      <c r="B2093" s="21" t="s">
        <v>395</v>
      </c>
      <c r="C2093" s="22" t="s">
        <v>2450</v>
      </c>
      <c r="D2093" s="22"/>
      <c r="E2093" s="21" t="s">
        <v>0</v>
      </c>
      <c r="F2093" s="21" t="s">
        <v>9773</v>
      </c>
      <c r="G2093" s="147" t="s">
        <v>10225</v>
      </c>
      <c r="H2093" s="23" t="s">
        <v>11862</v>
      </c>
      <c r="I2093" s="23" t="s">
        <v>11863</v>
      </c>
      <c r="J2093" s="165" t="s">
        <v>11399</v>
      </c>
      <c r="K2093" s="497">
        <v>119736</v>
      </c>
      <c r="L2093" s="21"/>
      <c r="M2093" s="23"/>
      <c r="N2093" s="44">
        <v>0</v>
      </c>
      <c r="O2093" s="22" t="s">
        <v>276</v>
      </c>
      <c r="P2093" s="44"/>
      <c r="Q2093" s="44">
        <f t="shared" si="247"/>
        <v>0</v>
      </c>
      <c r="R2093" s="24">
        <f t="shared" si="248"/>
        <v>0</v>
      </c>
    </row>
    <row r="2094" spans="2:19" hidden="1" x14ac:dyDescent="0.25">
      <c r="B2094" s="21" t="s">
        <v>395</v>
      </c>
      <c r="C2094" s="22" t="s">
        <v>2450</v>
      </c>
      <c r="D2094" s="22"/>
      <c r="E2094" s="21" t="s">
        <v>0</v>
      </c>
      <c r="F2094" s="21" t="s">
        <v>9773</v>
      </c>
      <c r="G2094" s="147" t="s">
        <v>10225</v>
      </c>
      <c r="H2094" s="23" t="s">
        <v>11862</v>
      </c>
      <c r="I2094" s="23" t="s">
        <v>11863</v>
      </c>
      <c r="J2094" s="165" t="s">
        <v>11400</v>
      </c>
      <c r="K2094" s="497">
        <v>17334</v>
      </c>
      <c r="L2094" s="21"/>
      <c r="M2094" s="23"/>
      <c r="N2094" s="44">
        <v>0</v>
      </c>
      <c r="O2094" s="22" t="s">
        <v>276</v>
      </c>
      <c r="P2094" s="44"/>
      <c r="Q2094" s="44">
        <f t="shared" si="247"/>
        <v>0</v>
      </c>
      <c r="R2094" s="24">
        <f t="shared" si="248"/>
        <v>0</v>
      </c>
    </row>
    <row r="2095" spans="2:19" hidden="1" x14ac:dyDescent="0.25">
      <c r="B2095" s="21" t="s">
        <v>395</v>
      </c>
      <c r="C2095" s="22" t="s">
        <v>2450</v>
      </c>
      <c r="D2095" s="22"/>
      <c r="E2095" s="21" t="s">
        <v>0</v>
      </c>
      <c r="F2095" s="21" t="s">
        <v>9773</v>
      </c>
      <c r="G2095" s="147" t="s">
        <v>10225</v>
      </c>
      <c r="H2095" s="23" t="s">
        <v>11862</v>
      </c>
      <c r="I2095" s="23" t="s">
        <v>11863</v>
      </c>
      <c r="J2095" s="165" t="s">
        <v>11401</v>
      </c>
      <c r="K2095" s="497">
        <v>23339</v>
      </c>
      <c r="L2095" s="21"/>
      <c r="M2095" s="23"/>
      <c r="N2095" s="44">
        <v>0</v>
      </c>
      <c r="O2095" s="22" t="s">
        <v>276</v>
      </c>
      <c r="P2095" s="44"/>
      <c r="Q2095" s="44">
        <f t="shared" si="247"/>
        <v>0</v>
      </c>
      <c r="R2095" s="24">
        <f t="shared" si="248"/>
        <v>0</v>
      </c>
    </row>
    <row r="2096" spans="2:19" hidden="1" x14ac:dyDescent="0.25">
      <c r="B2096" s="21" t="s">
        <v>395</v>
      </c>
      <c r="C2096" s="22" t="s">
        <v>2450</v>
      </c>
      <c r="D2096" s="22"/>
      <c r="E2096" s="21" t="s">
        <v>0</v>
      </c>
      <c r="F2096" s="21" t="s">
        <v>9773</v>
      </c>
      <c r="G2096" s="147" t="s">
        <v>10225</v>
      </c>
      <c r="H2096" s="23" t="s">
        <v>11862</v>
      </c>
      <c r="I2096" s="23" t="s">
        <v>11863</v>
      </c>
      <c r="J2096" s="165" t="s">
        <v>11397</v>
      </c>
      <c r="K2096" s="497">
        <v>97409</v>
      </c>
      <c r="L2096" s="21"/>
      <c r="M2096" s="23"/>
      <c r="N2096" s="44">
        <v>0</v>
      </c>
      <c r="O2096" s="22" t="s">
        <v>276</v>
      </c>
      <c r="P2096" s="44"/>
      <c r="Q2096" s="44">
        <f t="shared" si="247"/>
        <v>0</v>
      </c>
      <c r="R2096" s="24">
        <f t="shared" si="248"/>
        <v>0</v>
      </c>
    </row>
    <row r="2097" spans="2:18" hidden="1" x14ac:dyDescent="0.25">
      <c r="B2097" s="21" t="s">
        <v>395</v>
      </c>
      <c r="C2097" s="22" t="s">
        <v>2450</v>
      </c>
      <c r="D2097" s="22"/>
      <c r="E2097" s="21" t="s">
        <v>0</v>
      </c>
      <c r="F2097" s="21" t="s">
        <v>9773</v>
      </c>
      <c r="G2097" s="147" t="s">
        <v>10225</v>
      </c>
      <c r="H2097" s="23" t="s">
        <v>11862</v>
      </c>
      <c r="I2097" s="23" t="s">
        <v>11863</v>
      </c>
      <c r="J2097" s="165" t="s">
        <v>11402</v>
      </c>
      <c r="K2097" s="497">
        <v>15729</v>
      </c>
      <c r="L2097" s="21"/>
      <c r="M2097" s="23"/>
      <c r="N2097" s="44">
        <v>0</v>
      </c>
      <c r="O2097" s="22" t="s">
        <v>276</v>
      </c>
      <c r="P2097" s="44"/>
      <c r="Q2097" s="44">
        <f t="shared" si="247"/>
        <v>0</v>
      </c>
      <c r="R2097" s="24">
        <f t="shared" si="248"/>
        <v>0</v>
      </c>
    </row>
    <row r="2098" spans="2:18" hidden="1" x14ac:dyDescent="0.25">
      <c r="B2098" s="21" t="s">
        <v>395</v>
      </c>
      <c r="C2098" s="22" t="s">
        <v>2450</v>
      </c>
      <c r="D2098" s="22"/>
      <c r="E2098" s="21" t="s">
        <v>0</v>
      </c>
      <c r="F2098" s="21" t="s">
        <v>9773</v>
      </c>
      <c r="G2098" s="147" t="s">
        <v>10225</v>
      </c>
      <c r="H2098" s="23" t="s">
        <v>11862</v>
      </c>
      <c r="I2098" s="23" t="s">
        <v>11863</v>
      </c>
      <c r="J2098" s="165" t="s">
        <v>11403</v>
      </c>
      <c r="K2098" s="497">
        <v>23339</v>
      </c>
      <c r="L2098" s="21"/>
      <c r="M2098" s="23"/>
      <c r="N2098" s="44">
        <v>0</v>
      </c>
      <c r="O2098" s="22" t="s">
        <v>276</v>
      </c>
      <c r="P2098" s="44"/>
      <c r="Q2098" s="44">
        <f t="shared" si="247"/>
        <v>0</v>
      </c>
      <c r="R2098" s="24">
        <f t="shared" si="248"/>
        <v>0</v>
      </c>
    </row>
    <row r="2099" spans="2:18" hidden="1" x14ac:dyDescent="0.25">
      <c r="B2099" s="21" t="s">
        <v>395</v>
      </c>
      <c r="C2099" s="22" t="s">
        <v>2450</v>
      </c>
      <c r="D2099" s="22"/>
      <c r="E2099" s="21" t="s">
        <v>0</v>
      </c>
      <c r="F2099" s="21" t="s">
        <v>9773</v>
      </c>
      <c r="G2099" s="147" t="s">
        <v>10225</v>
      </c>
      <c r="H2099" s="23" t="s">
        <v>11862</v>
      </c>
      <c r="I2099" s="23" t="s">
        <v>11863</v>
      </c>
      <c r="J2099" s="165" t="s">
        <v>11404</v>
      </c>
      <c r="K2099" s="497">
        <f>97409*4</f>
        <v>389636</v>
      </c>
      <c r="L2099" s="21"/>
      <c r="M2099" s="23"/>
      <c r="N2099" s="44">
        <v>0</v>
      </c>
      <c r="O2099" s="22" t="s">
        <v>276</v>
      </c>
      <c r="P2099" s="44"/>
      <c r="Q2099" s="44">
        <f t="shared" si="247"/>
        <v>0</v>
      </c>
      <c r="R2099" s="24">
        <f t="shared" si="248"/>
        <v>0</v>
      </c>
    </row>
    <row r="2100" spans="2:18" hidden="1" x14ac:dyDescent="0.25">
      <c r="B2100" s="21" t="s">
        <v>395</v>
      </c>
      <c r="C2100" s="22" t="s">
        <v>2450</v>
      </c>
      <c r="D2100" s="22"/>
      <c r="E2100" s="21" t="s">
        <v>0</v>
      </c>
      <c r="F2100" s="21" t="s">
        <v>9773</v>
      </c>
      <c r="G2100" s="147" t="s">
        <v>10225</v>
      </c>
      <c r="H2100" s="23" t="s">
        <v>11862</v>
      </c>
      <c r="I2100" s="23" t="s">
        <v>11863</v>
      </c>
      <c r="J2100" s="165" t="s">
        <v>11404</v>
      </c>
      <c r="K2100" s="497">
        <f>15729*4</f>
        <v>62916</v>
      </c>
      <c r="L2100" s="21"/>
      <c r="M2100" s="23"/>
      <c r="N2100" s="44">
        <v>0</v>
      </c>
      <c r="O2100" s="22" t="s">
        <v>276</v>
      </c>
      <c r="P2100" s="44"/>
      <c r="Q2100" s="44">
        <f t="shared" si="247"/>
        <v>0</v>
      </c>
      <c r="R2100" s="24">
        <f t="shared" si="248"/>
        <v>0</v>
      </c>
    </row>
    <row r="2101" spans="2:18" hidden="1" x14ac:dyDescent="0.25">
      <c r="B2101" s="21" t="s">
        <v>395</v>
      </c>
      <c r="C2101" s="22" t="s">
        <v>2450</v>
      </c>
      <c r="D2101" s="22"/>
      <c r="E2101" s="21" t="s">
        <v>0</v>
      </c>
      <c r="F2101" s="21" t="s">
        <v>9773</v>
      </c>
      <c r="G2101" s="147" t="s">
        <v>10225</v>
      </c>
      <c r="H2101" s="23" t="s">
        <v>11862</v>
      </c>
      <c r="I2101" s="23" t="s">
        <v>11863</v>
      </c>
      <c r="J2101" s="165" t="s">
        <v>11404</v>
      </c>
      <c r="K2101" s="497">
        <f>23339*4</f>
        <v>93356</v>
      </c>
      <c r="L2101" s="21"/>
      <c r="M2101" s="23"/>
      <c r="N2101" s="44">
        <v>0</v>
      </c>
      <c r="O2101" s="22" t="s">
        <v>276</v>
      </c>
      <c r="P2101" s="44"/>
      <c r="Q2101" s="44">
        <f t="shared" si="247"/>
        <v>0</v>
      </c>
      <c r="R2101" s="24">
        <f t="shared" si="248"/>
        <v>0</v>
      </c>
    </row>
    <row r="2102" spans="2:18" hidden="1" x14ac:dyDescent="0.25">
      <c r="B2102" s="21" t="s">
        <v>395</v>
      </c>
      <c r="C2102" s="22" t="s">
        <v>2450</v>
      </c>
      <c r="D2102" s="22"/>
      <c r="E2102" s="21" t="s">
        <v>0</v>
      </c>
      <c r="F2102" s="21" t="s">
        <v>9773</v>
      </c>
      <c r="G2102" s="147" t="s">
        <v>10225</v>
      </c>
      <c r="H2102" s="23" t="s">
        <v>11862</v>
      </c>
      <c r="I2102" s="23" t="s">
        <v>11863</v>
      </c>
      <c r="J2102" s="165" t="s">
        <v>11405</v>
      </c>
      <c r="K2102" s="497">
        <v>17248</v>
      </c>
      <c r="L2102" s="21"/>
      <c r="M2102" s="23"/>
      <c r="N2102" s="44">
        <v>0</v>
      </c>
      <c r="O2102" s="22" t="s">
        <v>276</v>
      </c>
      <c r="P2102" s="44"/>
      <c r="Q2102" s="44">
        <f>IF(P2102="en cours",N2102,IF(P2102="OK",0,IF(N2102-P2102&lt;0,0,N2102-P2102)))</f>
        <v>0</v>
      </c>
      <c r="R2102" s="24">
        <f t="shared" si="248"/>
        <v>0</v>
      </c>
    </row>
    <row r="2103" spans="2:18" hidden="1" x14ac:dyDescent="0.25">
      <c r="B2103" s="21" t="s">
        <v>395</v>
      </c>
      <c r="C2103" s="22" t="s">
        <v>2450</v>
      </c>
      <c r="D2103" s="22"/>
      <c r="E2103" s="21" t="s">
        <v>0</v>
      </c>
      <c r="F2103" s="21" t="s">
        <v>9773</v>
      </c>
      <c r="G2103" s="147" t="s">
        <v>10225</v>
      </c>
      <c r="H2103" s="23" t="s">
        <v>11862</v>
      </c>
      <c r="I2103" s="23" t="s">
        <v>11863</v>
      </c>
      <c r="J2103" s="165" t="s">
        <v>11406</v>
      </c>
      <c r="K2103" s="497">
        <f>-276818</f>
        <v>-276818</v>
      </c>
      <c r="L2103" s="21"/>
      <c r="M2103" s="23"/>
      <c r="N2103" s="44">
        <v>0</v>
      </c>
      <c r="O2103" s="22" t="s">
        <v>276</v>
      </c>
      <c r="P2103" s="44"/>
      <c r="Q2103" s="44">
        <f>IF(P2103="en cours",N2103,IF(P2103="OK",0,IF(N2103-P2103&lt;0,0,N2103-P2103)))</f>
        <v>0</v>
      </c>
      <c r="R2103" s="24">
        <f t="shared" si="248"/>
        <v>0</v>
      </c>
    </row>
    <row r="2104" spans="2:18" hidden="1" x14ac:dyDescent="0.25">
      <c r="B2104" s="21" t="s">
        <v>395</v>
      </c>
      <c r="C2104" s="22" t="s">
        <v>2450</v>
      </c>
      <c r="D2104" s="22"/>
      <c r="E2104" s="21" t="s">
        <v>0</v>
      </c>
      <c r="F2104" s="21" t="s">
        <v>9773</v>
      </c>
      <c r="G2104" s="147" t="s">
        <v>10225</v>
      </c>
      <c r="H2104" s="23" t="s">
        <v>11862</v>
      </c>
      <c r="I2104" s="23" t="s">
        <v>11863</v>
      </c>
      <c r="J2104" s="21" t="s">
        <v>11407</v>
      </c>
      <c r="K2104" s="497">
        <v>1454</v>
      </c>
      <c r="L2104" s="21"/>
      <c r="M2104" s="23"/>
      <c r="N2104" s="44">
        <v>0</v>
      </c>
      <c r="O2104" s="22" t="s">
        <v>276</v>
      </c>
      <c r="P2104" s="44"/>
      <c r="Q2104" s="44">
        <f t="shared" ref="Q2104:Q2135" si="249">IF(P2104="en cours",N2104,IF(P2104="OK",0,IF(N2104-P2104&lt;0,0,N2104-P2104)))</f>
        <v>0</v>
      </c>
      <c r="R2104" s="24">
        <f t="shared" si="248"/>
        <v>0</v>
      </c>
    </row>
    <row r="2105" spans="2:18" hidden="1" x14ac:dyDescent="0.25">
      <c r="B2105" s="21" t="s">
        <v>395</v>
      </c>
      <c r="C2105" s="22" t="s">
        <v>2450</v>
      </c>
      <c r="D2105" s="22"/>
      <c r="E2105" s="21" t="s">
        <v>0</v>
      </c>
      <c r="F2105" s="21" t="s">
        <v>9773</v>
      </c>
      <c r="G2105" s="147" t="s">
        <v>10225</v>
      </c>
      <c r="H2105" s="23" t="s">
        <v>11862</v>
      </c>
      <c r="I2105" s="23" t="s">
        <v>11863</v>
      </c>
      <c r="J2105" s="21" t="s">
        <v>11408</v>
      </c>
      <c r="K2105" s="497">
        <v>21439</v>
      </c>
      <c r="L2105" s="21"/>
      <c r="M2105" s="23"/>
      <c r="N2105" s="44">
        <v>0</v>
      </c>
      <c r="O2105" s="22" t="s">
        <v>276</v>
      </c>
      <c r="P2105" s="44"/>
      <c r="Q2105" s="44">
        <f t="shared" si="249"/>
        <v>0</v>
      </c>
      <c r="R2105" s="24">
        <f t="shared" si="248"/>
        <v>0</v>
      </c>
    </row>
    <row r="2106" spans="2:18" hidden="1" x14ac:dyDescent="0.25">
      <c r="B2106" s="21" t="s">
        <v>395</v>
      </c>
      <c r="C2106" s="22" t="s">
        <v>2450</v>
      </c>
      <c r="D2106" s="22"/>
      <c r="E2106" s="21" t="s">
        <v>0</v>
      </c>
      <c r="F2106" s="21" t="s">
        <v>9773</v>
      </c>
      <c r="G2106" s="147" t="s">
        <v>10225</v>
      </c>
      <c r="H2106" s="23" t="s">
        <v>11862</v>
      </c>
      <c r="I2106" s="23" t="s">
        <v>11863</v>
      </c>
      <c r="J2106" s="21" t="s">
        <v>11409</v>
      </c>
      <c r="K2106" s="497">
        <v>21619</v>
      </c>
      <c r="L2106" s="21"/>
      <c r="M2106" s="23"/>
      <c r="N2106" s="44">
        <v>0</v>
      </c>
      <c r="O2106" s="22" t="s">
        <v>276</v>
      </c>
      <c r="P2106" s="44"/>
      <c r="Q2106" s="44">
        <f t="shared" si="249"/>
        <v>0</v>
      </c>
      <c r="R2106" s="24">
        <f t="shared" si="248"/>
        <v>0</v>
      </c>
    </row>
    <row r="2107" spans="2:18" hidden="1" x14ac:dyDescent="0.25">
      <c r="B2107" s="21" t="s">
        <v>395</v>
      </c>
      <c r="C2107" s="22" t="s">
        <v>2450</v>
      </c>
      <c r="D2107" s="22"/>
      <c r="E2107" s="21" t="s">
        <v>0</v>
      </c>
      <c r="F2107" s="21" t="s">
        <v>9773</v>
      </c>
      <c r="G2107" s="147" t="s">
        <v>10225</v>
      </c>
      <c r="H2107" s="23" t="s">
        <v>11862</v>
      </c>
      <c r="I2107" s="23" t="s">
        <v>11863</v>
      </c>
      <c r="J2107" s="21" t="s">
        <v>11410</v>
      </c>
      <c r="K2107" s="497">
        <v>24454</v>
      </c>
      <c r="L2107" s="21"/>
      <c r="M2107" s="23"/>
      <c r="N2107" s="44">
        <v>0</v>
      </c>
      <c r="O2107" s="22" t="s">
        <v>276</v>
      </c>
      <c r="P2107" s="44"/>
      <c r="Q2107" s="44">
        <f t="shared" si="249"/>
        <v>0</v>
      </c>
      <c r="R2107" s="24">
        <f t="shared" si="248"/>
        <v>0</v>
      </c>
    </row>
    <row r="2108" spans="2:18" hidden="1" x14ac:dyDescent="0.25">
      <c r="B2108" s="21" t="s">
        <v>395</v>
      </c>
      <c r="C2108" s="22" t="s">
        <v>2450</v>
      </c>
      <c r="D2108" s="22"/>
      <c r="E2108" s="21" t="s">
        <v>0</v>
      </c>
      <c r="F2108" s="21" t="s">
        <v>9773</v>
      </c>
      <c r="G2108" s="147" t="s">
        <v>10225</v>
      </c>
      <c r="H2108" s="23" t="s">
        <v>11862</v>
      </c>
      <c r="I2108" s="23" t="s">
        <v>11863</v>
      </c>
      <c r="J2108" s="21" t="s">
        <v>11411</v>
      </c>
      <c r="K2108" s="497">
        <v>15675</v>
      </c>
      <c r="L2108" s="21"/>
      <c r="M2108" s="23"/>
      <c r="N2108" s="44">
        <v>0</v>
      </c>
      <c r="O2108" s="22" t="s">
        <v>276</v>
      </c>
      <c r="P2108" s="44"/>
      <c r="Q2108" s="44">
        <f t="shared" si="249"/>
        <v>0</v>
      </c>
      <c r="R2108" s="24">
        <f t="shared" si="248"/>
        <v>0</v>
      </c>
    </row>
    <row r="2109" spans="2:18" hidden="1" x14ac:dyDescent="0.25">
      <c r="B2109" s="21" t="s">
        <v>395</v>
      </c>
      <c r="C2109" s="22" t="s">
        <v>2450</v>
      </c>
      <c r="D2109" s="22"/>
      <c r="E2109" s="21" t="s">
        <v>0</v>
      </c>
      <c r="F2109" s="21" t="s">
        <v>9773</v>
      </c>
      <c r="G2109" s="147" t="s">
        <v>10225</v>
      </c>
      <c r="H2109" s="23" t="s">
        <v>11862</v>
      </c>
      <c r="I2109" s="23" t="s">
        <v>11863</v>
      </c>
      <c r="J2109" s="21" t="s">
        <v>11412</v>
      </c>
      <c r="K2109" s="497">
        <v>16035</v>
      </c>
      <c r="L2109" s="21"/>
      <c r="M2109" s="23"/>
      <c r="N2109" s="44">
        <v>0</v>
      </c>
      <c r="O2109" s="22" t="s">
        <v>276</v>
      </c>
      <c r="P2109" s="44"/>
      <c r="Q2109" s="44">
        <f t="shared" si="249"/>
        <v>0</v>
      </c>
      <c r="R2109" s="24">
        <f t="shared" si="248"/>
        <v>0</v>
      </c>
    </row>
    <row r="2110" spans="2:18" hidden="1" x14ac:dyDescent="0.25">
      <c r="B2110" s="21" t="s">
        <v>395</v>
      </c>
      <c r="C2110" s="22" t="s">
        <v>2450</v>
      </c>
      <c r="D2110" s="22"/>
      <c r="E2110" s="21" t="s">
        <v>0</v>
      </c>
      <c r="F2110" s="21" t="s">
        <v>9773</v>
      </c>
      <c r="G2110" s="147" t="s">
        <v>10225</v>
      </c>
      <c r="H2110" s="23" t="s">
        <v>11862</v>
      </c>
      <c r="I2110" s="23" t="s">
        <v>11863</v>
      </c>
      <c r="J2110" s="21" t="s">
        <v>11413</v>
      </c>
      <c r="K2110" s="497">
        <v>16395</v>
      </c>
      <c r="L2110" s="21"/>
      <c r="M2110" s="23"/>
      <c r="N2110" s="44">
        <v>0</v>
      </c>
      <c r="O2110" s="22" t="s">
        <v>276</v>
      </c>
      <c r="P2110" s="44"/>
      <c r="Q2110" s="44">
        <f t="shared" si="249"/>
        <v>0</v>
      </c>
      <c r="R2110" s="24">
        <f t="shared" si="248"/>
        <v>0</v>
      </c>
    </row>
    <row r="2111" spans="2:18" hidden="1" x14ac:dyDescent="0.25">
      <c r="B2111" s="21" t="s">
        <v>395</v>
      </c>
      <c r="C2111" s="22" t="s">
        <v>2450</v>
      </c>
      <c r="D2111" s="22"/>
      <c r="E2111" s="21" t="s">
        <v>0</v>
      </c>
      <c r="F2111" s="21" t="s">
        <v>9773</v>
      </c>
      <c r="G2111" s="147" t="s">
        <v>10225</v>
      </c>
      <c r="H2111" s="23" t="s">
        <v>11862</v>
      </c>
      <c r="I2111" s="23" t="s">
        <v>11863</v>
      </c>
      <c r="J2111" s="21" t="s">
        <v>11414</v>
      </c>
      <c r="K2111" s="497">
        <v>17115</v>
      </c>
      <c r="L2111" s="21"/>
      <c r="M2111" s="23"/>
      <c r="N2111" s="44">
        <v>0</v>
      </c>
      <c r="O2111" s="22" t="s">
        <v>276</v>
      </c>
      <c r="P2111" s="44"/>
      <c r="Q2111" s="44">
        <f t="shared" si="249"/>
        <v>0</v>
      </c>
      <c r="R2111" s="24">
        <f t="shared" si="248"/>
        <v>0</v>
      </c>
    </row>
    <row r="2112" spans="2:18" hidden="1" x14ac:dyDescent="0.25">
      <c r="B2112" s="21" t="s">
        <v>395</v>
      </c>
      <c r="C2112" s="22" t="s">
        <v>2450</v>
      </c>
      <c r="D2112" s="22"/>
      <c r="E2112" s="21" t="s">
        <v>0</v>
      </c>
      <c r="F2112" s="21" t="s">
        <v>9773</v>
      </c>
      <c r="G2112" s="147" t="s">
        <v>10225</v>
      </c>
      <c r="H2112" s="23" t="s">
        <v>11862</v>
      </c>
      <c r="I2112" s="23" t="s">
        <v>11863</v>
      </c>
      <c r="J2112" s="21" t="s">
        <v>11415</v>
      </c>
      <c r="K2112" s="497">
        <v>17835</v>
      </c>
      <c r="L2112" s="21"/>
      <c r="M2112" s="23"/>
      <c r="N2112" s="44">
        <v>0</v>
      </c>
      <c r="O2112" s="22" t="s">
        <v>276</v>
      </c>
      <c r="P2112" s="44"/>
      <c r="Q2112" s="44">
        <f t="shared" si="249"/>
        <v>0</v>
      </c>
      <c r="R2112" s="24">
        <f t="shared" ref="R2112:R2143" si="250">IF(P2112="OK",N2112-Q2112,IF(P2112="en cours",M2112-Q2112,P2112))</f>
        <v>0</v>
      </c>
    </row>
    <row r="2113" spans="2:18" hidden="1" x14ac:dyDescent="0.25">
      <c r="B2113" s="21" t="s">
        <v>395</v>
      </c>
      <c r="C2113" s="22" t="s">
        <v>2450</v>
      </c>
      <c r="D2113" s="22"/>
      <c r="E2113" s="21" t="s">
        <v>0</v>
      </c>
      <c r="F2113" s="21" t="s">
        <v>9773</v>
      </c>
      <c r="G2113" s="147" t="s">
        <v>10225</v>
      </c>
      <c r="H2113" s="23" t="s">
        <v>11862</v>
      </c>
      <c r="I2113" s="23" t="s">
        <v>11863</v>
      </c>
      <c r="J2113" s="21" t="s">
        <v>11416</v>
      </c>
      <c r="K2113" s="497">
        <v>19275</v>
      </c>
      <c r="L2113" s="21"/>
      <c r="M2113" s="23"/>
      <c r="N2113" s="44">
        <v>0</v>
      </c>
      <c r="O2113" s="22" t="s">
        <v>276</v>
      </c>
      <c r="P2113" s="44"/>
      <c r="Q2113" s="44">
        <f t="shared" si="249"/>
        <v>0</v>
      </c>
      <c r="R2113" s="24">
        <f t="shared" si="250"/>
        <v>0</v>
      </c>
    </row>
    <row r="2114" spans="2:18" hidden="1" x14ac:dyDescent="0.25">
      <c r="B2114" s="21" t="s">
        <v>395</v>
      </c>
      <c r="C2114" s="22" t="s">
        <v>2450</v>
      </c>
      <c r="D2114" s="22"/>
      <c r="E2114" s="21" t="s">
        <v>0</v>
      </c>
      <c r="F2114" s="21" t="s">
        <v>9773</v>
      </c>
      <c r="G2114" s="147" t="s">
        <v>10225</v>
      </c>
      <c r="H2114" s="23" t="s">
        <v>11862</v>
      </c>
      <c r="I2114" s="23" t="s">
        <v>11863</v>
      </c>
      <c r="J2114" s="21" t="s">
        <v>11417</v>
      </c>
      <c r="K2114" s="497">
        <v>26026</v>
      </c>
      <c r="L2114" s="21"/>
      <c r="M2114" s="23"/>
      <c r="N2114" s="44">
        <v>0</v>
      </c>
      <c r="O2114" s="22" t="s">
        <v>276</v>
      </c>
      <c r="P2114" s="44"/>
      <c r="Q2114" s="44">
        <f t="shared" si="249"/>
        <v>0</v>
      </c>
      <c r="R2114" s="24">
        <f t="shared" si="250"/>
        <v>0</v>
      </c>
    </row>
    <row r="2115" spans="2:18" hidden="1" x14ac:dyDescent="0.25">
      <c r="B2115" s="21" t="s">
        <v>395</v>
      </c>
      <c r="C2115" s="22" t="s">
        <v>2450</v>
      </c>
      <c r="D2115" s="22"/>
      <c r="E2115" s="21" t="s">
        <v>0</v>
      </c>
      <c r="F2115" s="21" t="s">
        <v>9773</v>
      </c>
      <c r="G2115" s="147" t="s">
        <v>10225</v>
      </c>
      <c r="H2115" s="23" t="s">
        <v>11862</v>
      </c>
      <c r="I2115" s="23" t="s">
        <v>11863</v>
      </c>
      <c r="J2115" s="21" t="s">
        <v>11418</v>
      </c>
      <c r="K2115" s="497">
        <v>7483</v>
      </c>
      <c r="L2115" s="21"/>
      <c r="M2115" s="23"/>
      <c r="N2115" s="44">
        <v>0</v>
      </c>
      <c r="O2115" s="22" t="s">
        <v>276</v>
      </c>
      <c r="P2115" s="44"/>
      <c r="Q2115" s="44">
        <f t="shared" si="249"/>
        <v>0</v>
      </c>
      <c r="R2115" s="24">
        <f t="shared" si="250"/>
        <v>0</v>
      </c>
    </row>
    <row r="2116" spans="2:18" hidden="1" x14ac:dyDescent="0.25">
      <c r="B2116" s="21" t="s">
        <v>395</v>
      </c>
      <c r="C2116" s="22" t="s">
        <v>2450</v>
      </c>
      <c r="D2116" s="22"/>
      <c r="E2116" s="21" t="s">
        <v>0</v>
      </c>
      <c r="F2116" s="21" t="s">
        <v>9773</v>
      </c>
      <c r="G2116" s="147" t="s">
        <v>10225</v>
      </c>
      <c r="H2116" s="23" t="s">
        <v>11862</v>
      </c>
      <c r="I2116" s="23" t="s">
        <v>11863</v>
      </c>
      <c r="J2116" s="21" t="s">
        <v>11419</v>
      </c>
      <c r="K2116" s="497">
        <v>2078</v>
      </c>
      <c r="L2116" s="21"/>
      <c r="M2116" s="23"/>
      <c r="N2116" s="44">
        <v>0</v>
      </c>
      <c r="O2116" s="22" t="s">
        <v>276</v>
      </c>
      <c r="P2116" s="44"/>
      <c r="Q2116" s="44">
        <f t="shared" si="249"/>
        <v>0</v>
      </c>
      <c r="R2116" s="24">
        <f t="shared" si="250"/>
        <v>0</v>
      </c>
    </row>
    <row r="2117" spans="2:18" hidden="1" x14ac:dyDescent="0.25">
      <c r="B2117" s="21" t="s">
        <v>395</v>
      </c>
      <c r="C2117" s="22" t="s">
        <v>2450</v>
      </c>
      <c r="D2117" s="22"/>
      <c r="E2117" s="21" t="s">
        <v>0</v>
      </c>
      <c r="F2117" s="21" t="s">
        <v>9773</v>
      </c>
      <c r="G2117" s="147" t="s">
        <v>10225</v>
      </c>
      <c r="H2117" s="23" t="s">
        <v>11472</v>
      </c>
      <c r="I2117" s="23" t="s">
        <v>11426</v>
      </c>
      <c r="J2117" s="165" t="s">
        <v>11421</v>
      </c>
      <c r="K2117" s="498">
        <v>5358</v>
      </c>
      <c r="L2117" s="21" t="s">
        <v>11462</v>
      </c>
      <c r="M2117" s="26">
        <v>45637</v>
      </c>
      <c r="N2117" s="44">
        <v>5358</v>
      </c>
      <c r="O2117" s="22" t="s">
        <v>276</v>
      </c>
      <c r="P2117" s="114">
        <v>5358</v>
      </c>
      <c r="Q2117" s="44">
        <f t="shared" si="249"/>
        <v>0</v>
      </c>
      <c r="R2117" s="24">
        <f t="shared" si="250"/>
        <v>5358</v>
      </c>
    </row>
    <row r="2118" spans="2:18" hidden="1" x14ac:dyDescent="0.25">
      <c r="B2118" s="21" t="s">
        <v>395</v>
      </c>
      <c r="C2118" s="22" t="s">
        <v>2450</v>
      </c>
      <c r="D2118" s="22"/>
      <c r="E2118" s="21" t="s">
        <v>0</v>
      </c>
      <c r="F2118" s="21" t="s">
        <v>9773</v>
      </c>
      <c r="G2118" s="147" t="s">
        <v>10225</v>
      </c>
      <c r="H2118" s="23" t="s">
        <v>11472</v>
      </c>
      <c r="I2118" s="23" t="s">
        <v>11426</v>
      </c>
      <c r="J2118" s="165" t="s">
        <v>11422</v>
      </c>
      <c r="K2118" s="498">
        <v>15413</v>
      </c>
      <c r="L2118" s="21" t="s">
        <v>11462</v>
      </c>
      <c r="M2118" s="26">
        <v>45637</v>
      </c>
      <c r="N2118" s="44">
        <v>15413</v>
      </c>
      <c r="O2118" s="22" t="s">
        <v>276</v>
      </c>
      <c r="P2118" s="114">
        <v>15413</v>
      </c>
      <c r="Q2118" s="44">
        <f t="shared" si="249"/>
        <v>0</v>
      </c>
      <c r="R2118" s="24">
        <f t="shared" si="250"/>
        <v>15413</v>
      </c>
    </row>
    <row r="2119" spans="2:18" hidden="1" x14ac:dyDescent="0.25">
      <c r="B2119" s="21" t="s">
        <v>395</v>
      </c>
      <c r="C2119" s="22" t="s">
        <v>2450</v>
      </c>
      <c r="D2119" s="22"/>
      <c r="E2119" s="21" t="s">
        <v>0</v>
      </c>
      <c r="F2119" s="21" t="s">
        <v>9773</v>
      </c>
      <c r="G2119" s="147" t="s">
        <v>10225</v>
      </c>
      <c r="H2119" s="23" t="s">
        <v>11472</v>
      </c>
      <c r="I2119" s="23" t="s">
        <v>11426</v>
      </c>
      <c r="J2119" s="165" t="s">
        <v>11423</v>
      </c>
      <c r="K2119" s="498">
        <v>661</v>
      </c>
      <c r="L2119" s="21" t="s">
        <v>11462</v>
      </c>
      <c r="M2119" s="26">
        <v>45637</v>
      </c>
      <c r="N2119" s="44">
        <v>661</v>
      </c>
      <c r="O2119" s="22" t="s">
        <v>276</v>
      </c>
      <c r="P2119" s="114">
        <v>661</v>
      </c>
      <c r="Q2119" s="44">
        <f t="shared" si="249"/>
        <v>0</v>
      </c>
      <c r="R2119" s="24">
        <f t="shared" si="250"/>
        <v>661</v>
      </c>
    </row>
    <row r="2120" spans="2:18" hidden="1" x14ac:dyDescent="0.25">
      <c r="B2120" s="21" t="s">
        <v>395</v>
      </c>
      <c r="C2120" s="22" t="s">
        <v>2450</v>
      </c>
      <c r="D2120" s="22"/>
      <c r="E2120" s="21" t="s">
        <v>0</v>
      </c>
      <c r="F2120" s="21" t="s">
        <v>9773</v>
      </c>
      <c r="G2120" s="147" t="s">
        <v>10225</v>
      </c>
      <c r="H2120" s="23" t="s">
        <v>11472</v>
      </c>
      <c r="I2120" s="23" t="s">
        <v>11426</v>
      </c>
      <c r="J2120" s="165" t="s">
        <v>11424</v>
      </c>
      <c r="K2120" s="498">
        <v>4023</v>
      </c>
      <c r="L2120" s="21" t="s">
        <v>11462</v>
      </c>
      <c r="M2120" s="26">
        <v>45637</v>
      </c>
      <c r="N2120" s="44">
        <v>4023</v>
      </c>
      <c r="O2120" s="22" t="s">
        <v>276</v>
      </c>
      <c r="P2120" s="114">
        <v>4023</v>
      </c>
      <c r="Q2120" s="44">
        <f t="shared" si="249"/>
        <v>0</v>
      </c>
      <c r="R2120" s="24">
        <f t="shared" si="250"/>
        <v>4023</v>
      </c>
    </row>
    <row r="2121" spans="2:18" hidden="1" x14ac:dyDescent="0.25">
      <c r="B2121" s="21" t="s">
        <v>395</v>
      </c>
      <c r="C2121" s="22" t="s">
        <v>2450</v>
      </c>
      <c r="D2121" s="22"/>
      <c r="E2121" s="21" t="s">
        <v>0</v>
      </c>
      <c r="F2121" s="21" t="s">
        <v>9773</v>
      </c>
      <c r="G2121" s="147" t="s">
        <v>10225</v>
      </c>
      <c r="H2121" s="23" t="s">
        <v>11472</v>
      </c>
      <c r="I2121" s="23" t="s">
        <v>11426</v>
      </c>
      <c r="J2121" s="165" t="s">
        <v>11425</v>
      </c>
      <c r="K2121" s="498">
        <v>9062</v>
      </c>
      <c r="L2121" s="21" t="s">
        <v>11462</v>
      </c>
      <c r="M2121" s="26">
        <v>45637</v>
      </c>
      <c r="N2121" s="44">
        <v>9062</v>
      </c>
      <c r="O2121" s="22" t="s">
        <v>276</v>
      </c>
      <c r="P2121" s="114">
        <v>9062</v>
      </c>
      <c r="Q2121" s="44">
        <f t="shared" si="249"/>
        <v>0</v>
      </c>
      <c r="R2121" s="24">
        <f t="shared" si="250"/>
        <v>9062</v>
      </c>
    </row>
    <row r="2122" spans="2:18" hidden="1" x14ac:dyDescent="0.25">
      <c r="B2122" s="21" t="s">
        <v>395</v>
      </c>
      <c r="C2122" s="22" t="s">
        <v>2450</v>
      </c>
      <c r="D2122" s="22"/>
      <c r="E2122" s="21" t="s">
        <v>0</v>
      </c>
      <c r="F2122" s="21" t="s">
        <v>9773</v>
      </c>
      <c r="G2122" s="147" t="s">
        <v>10225</v>
      </c>
      <c r="H2122" s="23" t="s">
        <v>11472</v>
      </c>
      <c r="I2122" s="23" t="s">
        <v>11426</v>
      </c>
      <c r="J2122" s="165" t="s">
        <v>11427</v>
      </c>
      <c r="K2122" s="498">
        <v>67474</v>
      </c>
      <c r="L2122" s="21" t="s">
        <v>11462</v>
      </c>
      <c r="M2122" s="26">
        <v>45637</v>
      </c>
      <c r="N2122" s="44">
        <v>67474</v>
      </c>
      <c r="O2122" s="22" t="s">
        <v>276</v>
      </c>
      <c r="P2122" s="114">
        <v>67474</v>
      </c>
      <c r="Q2122" s="44">
        <f t="shared" si="249"/>
        <v>0</v>
      </c>
      <c r="R2122" s="24">
        <f t="shared" si="250"/>
        <v>67474</v>
      </c>
    </row>
    <row r="2123" spans="2:18" hidden="1" x14ac:dyDescent="0.25">
      <c r="B2123" s="21" t="s">
        <v>395</v>
      </c>
      <c r="C2123" s="22" t="s">
        <v>2450</v>
      </c>
      <c r="D2123" s="22"/>
      <c r="E2123" s="21" t="s">
        <v>0</v>
      </c>
      <c r="F2123" s="21" t="s">
        <v>9773</v>
      </c>
      <c r="G2123" s="147" t="s">
        <v>10225</v>
      </c>
      <c r="H2123" s="23" t="s">
        <v>11472</v>
      </c>
      <c r="I2123" s="23" t="s">
        <v>11426</v>
      </c>
      <c r="J2123" s="165" t="s">
        <v>11428</v>
      </c>
      <c r="K2123" s="498">
        <v>116198</v>
      </c>
      <c r="L2123" s="21" t="s">
        <v>11462</v>
      </c>
      <c r="M2123" s="26">
        <v>45637</v>
      </c>
      <c r="N2123" s="44">
        <v>116198</v>
      </c>
      <c r="O2123" s="22" t="s">
        <v>276</v>
      </c>
      <c r="P2123" s="114">
        <v>116198</v>
      </c>
      <c r="Q2123" s="44">
        <f t="shared" si="249"/>
        <v>0</v>
      </c>
      <c r="R2123" s="24">
        <f t="shared" si="250"/>
        <v>116198</v>
      </c>
    </row>
    <row r="2124" spans="2:18" hidden="1" x14ac:dyDescent="0.25">
      <c r="B2124" s="21" t="s">
        <v>395</v>
      </c>
      <c r="C2124" s="22" t="s">
        <v>2450</v>
      </c>
      <c r="D2124" s="22"/>
      <c r="E2124" s="21" t="s">
        <v>0</v>
      </c>
      <c r="F2124" s="21" t="s">
        <v>9773</v>
      </c>
      <c r="G2124" s="147" t="s">
        <v>10225</v>
      </c>
      <c r="H2124" s="23" t="s">
        <v>11472</v>
      </c>
      <c r="I2124" s="23" t="s">
        <v>11426</v>
      </c>
      <c r="J2124" s="165" t="s">
        <v>11429</v>
      </c>
      <c r="K2124" s="498">
        <v>3704</v>
      </c>
      <c r="L2124" s="21" t="s">
        <v>11462</v>
      </c>
      <c r="M2124" s="26">
        <v>45637</v>
      </c>
      <c r="N2124" s="44">
        <v>3704</v>
      </c>
      <c r="O2124" s="22" t="s">
        <v>276</v>
      </c>
      <c r="P2124" s="114">
        <v>3704</v>
      </c>
      <c r="Q2124" s="44">
        <f t="shared" si="249"/>
        <v>0</v>
      </c>
      <c r="R2124" s="24">
        <f t="shared" si="250"/>
        <v>3704</v>
      </c>
    </row>
    <row r="2125" spans="2:18" hidden="1" x14ac:dyDescent="0.25">
      <c r="B2125" s="21" t="s">
        <v>395</v>
      </c>
      <c r="C2125" s="22" t="s">
        <v>2450</v>
      </c>
      <c r="D2125" s="22"/>
      <c r="E2125" s="21" t="s">
        <v>0</v>
      </c>
      <c r="F2125" s="21" t="s">
        <v>9773</v>
      </c>
      <c r="G2125" s="147" t="s">
        <v>10225</v>
      </c>
      <c r="H2125" s="23" t="s">
        <v>11473</v>
      </c>
      <c r="I2125" s="23" t="s">
        <v>11337</v>
      </c>
      <c r="J2125" s="165" t="s">
        <v>11430</v>
      </c>
      <c r="K2125" s="499">
        <v>9219</v>
      </c>
      <c r="L2125" s="21" t="s">
        <v>11478</v>
      </c>
      <c r="M2125" s="26">
        <v>45727</v>
      </c>
      <c r="N2125" s="44">
        <v>9219</v>
      </c>
      <c r="O2125" s="22" t="s">
        <v>276</v>
      </c>
      <c r="P2125" s="44">
        <v>9219</v>
      </c>
      <c r="Q2125" s="44">
        <f t="shared" si="249"/>
        <v>0</v>
      </c>
      <c r="R2125" s="24">
        <f t="shared" si="250"/>
        <v>9219</v>
      </c>
    </row>
    <row r="2126" spans="2:18" hidden="1" x14ac:dyDescent="0.25">
      <c r="B2126" s="21" t="s">
        <v>395</v>
      </c>
      <c r="C2126" s="22" t="s">
        <v>2450</v>
      </c>
      <c r="D2126" s="22"/>
      <c r="E2126" s="21" t="s">
        <v>0</v>
      </c>
      <c r="F2126" s="21" t="s">
        <v>9773</v>
      </c>
      <c r="G2126" s="147" t="s">
        <v>10225</v>
      </c>
      <c r="H2126" s="23" t="s">
        <v>11473</v>
      </c>
      <c r="I2126" s="23" t="s">
        <v>11337</v>
      </c>
      <c r="J2126" s="165" t="s">
        <v>11431</v>
      </c>
      <c r="K2126" s="499">
        <v>9219</v>
      </c>
      <c r="L2126" s="21" t="s">
        <v>11478</v>
      </c>
      <c r="M2126" s="26">
        <v>45727</v>
      </c>
      <c r="N2126" s="44">
        <v>9219</v>
      </c>
      <c r="O2126" s="22" t="s">
        <v>276</v>
      </c>
      <c r="P2126" s="44">
        <v>9219</v>
      </c>
      <c r="Q2126" s="44">
        <f t="shared" si="249"/>
        <v>0</v>
      </c>
      <c r="R2126" s="24">
        <f t="shared" si="250"/>
        <v>9219</v>
      </c>
    </row>
    <row r="2127" spans="2:18" hidden="1" x14ac:dyDescent="0.25">
      <c r="B2127" s="21" t="s">
        <v>395</v>
      </c>
      <c r="C2127" s="22" t="s">
        <v>2450</v>
      </c>
      <c r="D2127" s="22"/>
      <c r="E2127" s="21" t="s">
        <v>0</v>
      </c>
      <c r="F2127" s="21" t="s">
        <v>9773</v>
      </c>
      <c r="G2127" s="147" t="s">
        <v>10225</v>
      </c>
      <c r="H2127" s="23" t="s">
        <v>11473</v>
      </c>
      <c r="I2127" s="23" t="s">
        <v>11337</v>
      </c>
      <c r="J2127" s="165" t="s">
        <v>11432</v>
      </c>
      <c r="K2127" s="499">
        <v>9219</v>
      </c>
      <c r="L2127" s="21" t="s">
        <v>11568</v>
      </c>
      <c r="M2127" s="26">
        <v>45744</v>
      </c>
      <c r="N2127" s="44">
        <v>9219</v>
      </c>
      <c r="O2127" s="22" t="s">
        <v>276</v>
      </c>
      <c r="P2127" s="44">
        <v>9219</v>
      </c>
      <c r="Q2127" s="44">
        <f t="shared" si="249"/>
        <v>0</v>
      </c>
      <c r="R2127" s="24">
        <f t="shared" si="250"/>
        <v>9219</v>
      </c>
    </row>
    <row r="2128" spans="2:18" hidden="1" x14ac:dyDescent="0.25">
      <c r="B2128" s="21" t="s">
        <v>395</v>
      </c>
      <c r="C2128" s="22" t="s">
        <v>2450</v>
      </c>
      <c r="D2128" s="22"/>
      <c r="E2128" s="21" t="s">
        <v>0</v>
      </c>
      <c r="F2128" s="21" t="s">
        <v>9773</v>
      </c>
      <c r="G2128" s="147" t="s">
        <v>10225</v>
      </c>
      <c r="H2128" s="23" t="s">
        <v>11473</v>
      </c>
      <c r="I2128" s="23" t="s">
        <v>11337</v>
      </c>
      <c r="J2128" s="165" t="s">
        <v>11433</v>
      </c>
      <c r="K2128" s="499">
        <v>9219</v>
      </c>
      <c r="L2128" s="21" t="s">
        <v>11568</v>
      </c>
      <c r="M2128" s="26">
        <v>45744</v>
      </c>
      <c r="N2128" s="44">
        <v>9219</v>
      </c>
      <c r="O2128" s="22" t="s">
        <v>276</v>
      </c>
      <c r="P2128" s="44">
        <v>9219</v>
      </c>
      <c r="Q2128" s="44">
        <f t="shared" si="249"/>
        <v>0</v>
      </c>
      <c r="R2128" s="24">
        <f t="shared" si="250"/>
        <v>9219</v>
      </c>
    </row>
    <row r="2129" spans="2:19" hidden="1" x14ac:dyDescent="0.25">
      <c r="B2129" s="21" t="s">
        <v>395</v>
      </c>
      <c r="C2129" s="22" t="s">
        <v>2450</v>
      </c>
      <c r="D2129" s="22"/>
      <c r="E2129" s="21" t="s">
        <v>0</v>
      </c>
      <c r="F2129" s="21" t="s">
        <v>9773</v>
      </c>
      <c r="G2129" s="147" t="s">
        <v>10225</v>
      </c>
      <c r="H2129" s="23" t="s">
        <v>11473</v>
      </c>
      <c r="I2129" s="23" t="s">
        <v>11337</v>
      </c>
      <c r="J2129" s="165" t="s">
        <v>11438</v>
      </c>
      <c r="K2129" s="499">
        <v>113994</v>
      </c>
      <c r="L2129" s="21" t="s">
        <v>11492</v>
      </c>
      <c r="M2129" s="26">
        <v>45733</v>
      </c>
      <c r="N2129" s="44">
        <v>113994</v>
      </c>
      <c r="O2129" s="22" t="s">
        <v>276</v>
      </c>
      <c r="P2129" s="44">
        <v>113994</v>
      </c>
      <c r="Q2129" s="44">
        <f t="shared" si="249"/>
        <v>0</v>
      </c>
      <c r="R2129" s="24">
        <f t="shared" si="250"/>
        <v>113994</v>
      </c>
    </row>
    <row r="2130" spans="2:19" hidden="1" x14ac:dyDescent="0.25">
      <c r="B2130" s="21" t="s">
        <v>395</v>
      </c>
      <c r="C2130" s="22" t="s">
        <v>2450</v>
      </c>
      <c r="D2130" s="22"/>
      <c r="E2130" s="21" t="s">
        <v>0</v>
      </c>
      <c r="F2130" s="21" t="s">
        <v>9773</v>
      </c>
      <c r="G2130" s="147" t="s">
        <v>10225</v>
      </c>
      <c r="H2130" s="23" t="s">
        <v>11473</v>
      </c>
      <c r="I2130" s="23" t="s">
        <v>11337</v>
      </c>
      <c r="J2130" s="165" t="s">
        <v>11439</v>
      </c>
      <c r="K2130" s="499">
        <v>63283</v>
      </c>
      <c r="L2130" s="21" t="s">
        <v>11913</v>
      </c>
      <c r="M2130" s="26">
        <v>45805</v>
      </c>
      <c r="N2130" s="44">
        <v>63283</v>
      </c>
      <c r="O2130" s="22" t="s">
        <v>276</v>
      </c>
      <c r="P2130" s="44">
        <v>63283</v>
      </c>
      <c r="Q2130" s="44">
        <f t="shared" si="249"/>
        <v>0</v>
      </c>
      <c r="R2130" s="24">
        <f t="shared" si="250"/>
        <v>63283</v>
      </c>
    </row>
    <row r="2131" spans="2:19" hidden="1" x14ac:dyDescent="0.25">
      <c r="B2131" s="21" t="s">
        <v>395</v>
      </c>
      <c r="C2131" s="22" t="s">
        <v>2450</v>
      </c>
      <c r="D2131" s="22"/>
      <c r="E2131" s="21" t="s">
        <v>0</v>
      </c>
      <c r="F2131" s="21" t="s">
        <v>9773</v>
      </c>
      <c r="G2131" s="147" t="s">
        <v>10225</v>
      </c>
      <c r="H2131" s="23" t="s">
        <v>11473</v>
      </c>
      <c r="I2131" s="23" t="s">
        <v>11337</v>
      </c>
      <c r="J2131" s="165" t="s">
        <v>11437</v>
      </c>
      <c r="K2131" s="499">
        <v>27373</v>
      </c>
      <c r="L2131" s="21" t="s">
        <v>11568</v>
      </c>
      <c r="M2131" s="26">
        <v>45744</v>
      </c>
      <c r="N2131" s="44">
        <v>27373</v>
      </c>
      <c r="O2131" s="22" t="s">
        <v>276</v>
      </c>
      <c r="P2131" s="44">
        <v>27373</v>
      </c>
      <c r="Q2131" s="44">
        <f t="shared" si="249"/>
        <v>0</v>
      </c>
      <c r="R2131" s="24">
        <f t="shared" si="250"/>
        <v>27373</v>
      </c>
    </row>
    <row r="2132" spans="2:19" hidden="1" x14ac:dyDescent="0.25">
      <c r="B2132" s="21" t="s">
        <v>395</v>
      </c>
      <c r="C2132" s="22" t="s">
        <v>2450</v>
      </c>
      <c r="D2132" s="22"/>
      <c r="E2132" s="21" t="s">
        <v>0</v>
      </c>
      <c r="F2132" s="21" t="s">
        <v>9773</v>
      </c>
      <c r="G2132" s="147" t="s">
        <v>10225</v>
      </c>
      <c r="H2132" s="23" t="s">
        <v>11473</v>
      </c>
      <c r="I2132" s="23" t="s">
        <v>11337</v>
      </c>
      <c r="J2132" s="165" t="s">
        <v>11435</v>
      </c>
      <c r="K2132" s="499">
        <v>90123</v>
      </c>
      <c r="L2132" s="21" t="s">
        <v>11492</v>
      </c>
      <c r="M2132" s="26">
        <v>45733</v>
      </c>
      <c r="N2132" s="44">
        <v>90123</v>
      </c>
      <c r="O2132" s="22" t="s">
        <v>276</v>
      </c>
      <c r="P2132" s="44">
        <v>90123</v>
      </c>
      <c r="Q2132" s="44">
        <f t="shared" si="249"/>
        <v>0</v>
      </c>
      <c r="R2132" s="24">
        <f t="shared" si="250"/>
        <v>90123</v>
      </c>
    </row>
    <row r="2133" spans="2:19" hidden="1" x14ac:dyDescent="0.25">
      <c r="B2133" s="21" t="s">
        <v>395</v>
      </c>
      <c r="C2133" s="22" t="s">
        <v>2450</v>
      </c>
      <c r="D2133" s="22"/>
      <c r="E2133" s="21" t="s">
        <v>0</v>
      </c>
      <c r="F2133" s="21" t="s">
        <v>9773</v>
      </c>
      <c r="G2133" s="147" t="s">
        <v>10225</v>
      </c>
      <c r="H2133" s="23" t="s">
        <v>11473</v>
      </c>
      <c r="I2133" s="23" t="s">
        <v>11337</v>
      </c>
      <c r="J2133" s="165" t="s">
        <v>11436</v>
      </c>
      <c r="K2133" s="499">
        <v>56543</v>
      </c>
      <c r="L2133" s="21" t="s">
        <v>11757</v>
      </c>
      <c r="M2133" s="26">
        <v>45780</v>
      </c>
      <c r="N2133" s="44">
        <v>56543</v>
      </c>
      <c r="O2133" s="22" t="s">
        <v>276</v>
      </c>
      <c r="P2133" s="44">
        <v>56543</v>
      </c>
      <c r="Q2133" s="44">
        <f t="shared" si="249"/>
        <v>0</v>
      </c>
      <c r="R2133" s="24">
        <f t="shared" si="250"/>
        <v>56543</v>
      </c>
    </row>
    <row r="2134" spans="2:19" hidden="1" x14ac:dyDescent="0.25">
      <c r="B2134" s="21" t="s">
        <v>395</v>
      </c>
      <c r="C2134" s="22" t="s">
        <v>2450</v>
      </c>
      <c r="D2134" s="22"/>
      <c r="E2134" s="21" t="s">
        <v>0</v>
      </c>
      <c r="F2134" s="21" t="s">
        <v>9773</v>
      </c>
      <c r="G2134" s="147" t="s">
        <v>10225</v>
      </c>
      <c r="H2134" s="23" t="s">
        <v>11473</v>
      </c>
      <c r="I2134" s="23" t="s">
        <v>11337</v>
      </c>
      <c r="J2134" s="165" t="s">
        <v>11434</v>
      </c>
      <c r="K2134" s="499">
        <v>27373</v>
      </c>
      <c r="L2134" s="21" t="s">
        <v>11568</v>
      </c>
      <c r="M2134" s="26">
        <v>45744</v>
      </c>
      <c r="N2134" s="44">
        <v>27373</v>
      </c>
      <c r="O2134" s="22" t="s">
        <v>276</v>
      </c>
      <c r="P2134" s="44">
        <v>27373</v>
      </c>
      <c r="Q2134" s="44">
        <f t="shared" si="249"/>
        <v>0</v>
      </c>
      <c r="R2134" s="24">
        <f t="shared" si="250"/>
        <v>27373</v>
      </c>
    </row>
    <row r="2135" spans="2:19" hidden="1" x14ac:dyDescent="0.25">
      <c r="B2135" s="21" t="s">
        <v>395</v>
      </c>
      <c r="C2135" s="22" t="s">
        <v>2450</v>
      </c>
      <c r="D2135" s="22"/>
      <c r="E2135" s="21" t="s">
        <v>0</v>
      </c>
      <c r="F2135" s="21" t="s">
        <v>9773</v>
      </c>
      <c r="G2135" s="147" t="s">
        <v>10225</v>
      </c>
      <c r="H2135" s="23" t="s">
        <v>11473</v>
      </c>
      <c r="I2135" s="23" t="s">
        <v>11337</v>
      </c>
      <c r="J2135" s="165" t="s">
        <v>11440</v>
      </c>
      <c r="K2135" s="499">
        <v>1467</v>
      </c>
      <c r="L2135" s="21" t="s">
        <v>11491</v>
      </c>
      <c r="M2135" s="26">
        <v>45736</v>
      </c>
      <c r="N2135" s="44">
        <v>1467</v>
      </c>
      <c r="O2135" s="22" t="s">
        <v>276</v>
      </c>
      <c r="P2135" s="44">
        <v>1467</v>
      </c>
      <c r="Q2135" s="44">
        <f t="shared" si="249"/>
        <v>0</v>
      </c>
      <c r="R2135" s="24">
        <f t="shared" si="250"/>
        <v>1467</v>
      </c>
    </row>
    <row r="2136" spans="2:19" hidden="1" x14ac:dyDescent="0.25">
      <c r="B2136" s="21" t="s">
        <v>395</v>
      </c>
      <c r="C2136" s="22" t="s">
        <v>2450</v>
      </c>
      <c r="D2136" s="22"/>
      <c r="E2136" s="21" t="s">
        <v>0</v>
      </c>
      <c r="F2136" s="21" t="s">
        <v>9773</v>
      </c>
      <c r="G2136" s="147" t="s">
        <v>10225</v>
      </c>
      <c r="H2136" s="23" t="s">
        <v>11473</v>
      </c>
      <c r="I2136" s="23" t="s">
        <v>11337</v>
      </c>
      <c r="J2136" s="165" t="s">
        <v>11442</v>
      </c>
      <c r="K2136" s="499">
        <v>19195</v>
      </c>
      <c r="L2136" s="21" t="s">
        <v>12247</v>
      </c>
      <c r="M2136" s="26">
        <v>45860</v>
      </c>
      <c r="N2136" s="44">
        <v>9421</v>
      </c>
      <c r="O2136" s="22" t="s">
        <v>276</v>
      </c>
      <c r="P2136" s="44">
        <v>9421</v>
      </c>
      <c r="Q2136" s="44">
        <f t="shared" ref="Q2136:Q2161" si="251">IF(P2136="en cours",N2136,IF(P2136="OK",0,IF(N2136-P2136&lt;0,0,N2136-P2136)))</f>
        <v>0</v>
      </c>
      <c r="R2136" s="24">
        <f t="shared" si="250"/>
        <v>9421</v>
      </c>
      <c r="S2136" s="5" t="s">
        <v>13703</v>
      </c>
    </row>
    <row r="2137" spans="2:19" hidden="1" x14ac:dyDescent="0.25">
      <c r="B2137" s="21" t="s">
        <v>395</v>
      </c>
      <c r="C2137" s="22" t="s">
        <v>2450</v>
      </c>
      <c r="D2137" s="22"/>
      <c r="E2137" s="21" t="s">
        <v>0</v>
      </c>
      <c r="F2137" s="21" t="s">
        <v>9773</v>
      </c>
      <c r="G2137" s="147" t="s">
        <v>10225</v>
      </c>
      <c r="H2137" s="23" t="s">
        <v>11473</v>
      </c>
      <c r="I2137" s="23" t="s">
        <v>11337</v>
      </c>
      <c r="J2137" s="165" t="s">
        <v>11445</v>
      </c>
      <c r="K2137" s="499">
        <v>19362</v>
      </c>
      <c r="L2137" s="21" t="s">
        <v>12413</v>
      </c>
      <c r="M2137" s="26">
        <v>45890</v>
      </c>
      <c r="N2137" s="44">
        <v>9462</v>
      </c>
      <c r="O2137" s="22" t="s">
        <v>276</v>
      </c>
      <c r="P2137" s="44">
        <f>9462</f>
        <v>9462</v>
      </c>
      <c r="Q2137" s="44">
        <f t="shared" si="251"/>
        <v>0</v>
      </c>
      <c r="R2137" s="24">
        <f t="shared" si="250"/>
        <v>9462</v>
      </c>
      <c r="S2137" s="5" t="s">
        <v>13703</v>
      </c>
    </row>
    <row r="2138" spans="2:19" hidden="1" x14ac:dyDescent="0.25">
      <c r="B2138" s="21" t="s">
        <v>395</v>
      </c>
      <c r="C2138" s="22" t="s">
        <v>2450</v>
      </c>
      <c r="D2138" s="22"/>
      <c r="E2138" s="21" t="s">
        <v>0</v>
      </c>
      <c r="F2138" s="21" t="s">
        <v>9773</v>
      </c>
      <c r="G2138" s="147" t="s">
        <v>10225</v>
      </c>
      <c r="H2138" s="23" t="s">
        <v>11473</v>
      </c>
      <c r="I2138" s="23" t="s">
        <v>11337</v>
      </c>
      <c r="J2138" s="165" t="s">
        <v>11447</v>
      </c>
      <c r="K2138" s="499">
        <v>19528</v>
      </c>
      <c r="L2138" s="21" t="s">
        <v>12416</v>
      </c>
      <c r="M2138" s="26">
        <v>45899</v>
      </c>
      <c r="N2138" s="44">
        <v>19528</v>
      </c>
      <c r="O2138" s="22" t="s">
        <v>276</v>
      </c>
      <c r="P2138" s="44">
        <v>19528</v>
      </c>
      <c r="Q2138" s="44">
        <f t="shared" si="251"/>
        <v>0</v>
      </c>
      <c r="R2138" s="24">
        <f t="shared" si="250"/>
        <v>19528</v>
      </c>
      <c r="S2138" s="5" t="s">
        <v>13703</v>
      </c>
    </row>
    <row r="2139" spans="2:19" hidden="1" x14ac:dyDescent="0.25">
      <c r="B2139" s="21" t="s">
        <v>395</v>
      </c>
      <c r="C2139" s="22" t="s">
        <v>2450</v>
      </c>
      <c r="D2139" s="22"/>
      <c r="E2139" s="21" t="s">
        <v>0</v>
      </c>
      <c r="F2139" s="21" t="s">
        <v>9773</v>
      </c>
      <c r="G2139" s="147" t="s">
        <v>10225</v>
      </c>
      <c r="H2139" s="23" t="s">
        <v>11473</v>
      </c>
      <c r="I2139" s="23" t="s">
        <v>11337</v>
      </c>
      <c r="J2139" s="165" t="s">
        <v>11450</v>
      </c>
      <c r="K2139" s="499">
        <v>14915</v>
      </c>
      <c r="L2139" s="21" t="s">
        <v>13702</v>
      </c>
      <c r="M2139" s="26">
        <v>46015</v>
      </c>
      <c r="N2139" s="44">
        <v>28621</v>
      </c>
      <c r="O2139" s="22" t="s">
        <v>276</v>
      </c>
      <c r="P2139" s="44">
        <f>28621</f>
        <v>28621</v>
      </c>
      <c r="Q2139" s="44">
        <f t="shared" si="251"/>
        <v>0</v>
      </c>
      <c r="R2139" s="24">
        <f t="shared" si="250"/>
        <v>28621</v>
      </c>
      <c r="S2139" s="5" t="s">
        <v>13703</v>
      </c>
    </row>
    <row r="2140" spans="2:19" hidden="1" x14ac:dyDescent="0.25">
      <c r="B2140" s="21" t="s">
        <v>395</v>
      </c>
      <c r="C2140" s="22" t="s">
        <v>2450</v>
      </c>
      <c r="D2140" s="22"/>
      <c r="E2140" s="21" t="s">
        <v>0</v>
      </c>
      <c r="F2140" s="21" t="s">
        <v>9773</v>
      </c>
      <c r="G2140" s="147" t="s">
        <v>10225</v>
      </c>
      <c r="H2140" s="23" t="s">
        <v>11473</v>
      </c>
      <c r="I2140" s="23" t="s">
        <v>11337</v>
      </c>
      <c r="J2140" s="165" t="s">
        <v>11451</v>
      </c>
      <c r="K2140" s="499">
        <v>15289</v>
      </c>
      <c r="L2140" s="21" t="s">
        <v>14323</v>
      </c>
      <c r="M2140" s="26">
        <v>46078</v>
      </c>
      <c r="N2140" s="44">
        <v>15289</v>
      </c>
      <c r="O2140" s="22" t="s">
        <v>276</v>
      </c>
      <c r="P2140" s="44">
        <v>15289</v>
      </c>
      <c r="Q2140" s="44">
        <f t="shared" si="251"/>
        <v>0</v>
      </c>
      <c r="R2140" s="24">
        <f t="shared" si="250"/>
        <v>15289</v>
      </c>
      <c r="S2140" s="5" t="s">
        <v>13703</v>
      </c>
    </row>
    <row r="2141" spans="2:19" hidden="1" x14ac:dyDescent="0.25">
      <c r="C2141" s="4" t="s">
        <v>2450</v>
      </c>
      <c r="E2141" s="5" t="s">
        <v>0</v>
      </c>
      <c r="F2141" s="5" t="s">
        <v>9773</v>
      </c>
      <c r="G2141" s="146" t="s">
        <v>10225</v>
      </c>
      <c r="H2141" s="7" t="s">
        <v>11473</v>
      </c>
      <c r="I2141" s="7" t="s">
        <v>11337</v>
      </c>
      <c r="J2141" t="s">
        <v>11443</v>
      </c>
      <c r="K2141" s="495">
        <v>15664</v>
      </c>
      <c r="N2141" s="45">
        <v>15664</v>
      </c>
      <c r="O2141" s="4" t="s">
        <v>276</v>
      </c>
      <c r="Q2141" s="45">
        <f t="shared" si="251"/>
        <v>15664</v>
      </c>
      <c r="R2141" s="3">
        <f t="shared" si="250"/>
        <v>0</v>
      </c>
      <c r="S2141" s="5" t="s">
        <v>13703</v>
      </c>
    </row>
    <row r="2142" spans="2:19" hidden="1" x14ac:dyDescent="0.25">
      <c r="C2142" s="4" t="s">
        <v>2450</v>
      </c>
      <c r="E2142" s="5" t="s">
        <v>0</v>
      </c>
      <c r="F2142" s="5" t="s">
        <v>9773</v>
      </c>
      <c r="G2142" s="146" t="s">
        <v>10225</v>
      </c>
      <c r="H2142" s="7" t="s">
        <v>11473</v>
      </c>
      <c r="I2142" s="7" t="s">
        <v>11337</v>
      </c>
      <c r="J2142" t="s">
        <v>11444</v>
      </c>
      <c r="K2142" s="495">
        <v>14166</v>
      </c>
      <c r="N2142" s="45">
        <v>14166</v>
      </c>
      <c r="O2142" s="4" t="s">
        <v>276</v>
      </c>
      <c r="Q2142" s="45">
        <f t="shared" si="251"/>
        <v>14166</v>
      </c>
      <c r="R2142" s="3">
        <f t="shared" si="250"/>
        <v>0</v>
      </c>
      <c r="S2142" s="5" t="s">
        <v>13703</v>
      </c>
    </row>
    <row r="2143" spans="2:19" hidden="1" x14ac:dyDescent="0.25">
      <c r="C2143" s="4" t="s">
        <v>2450</v>
      </c>
      <c r="E2143" s="5" t="s">
        <v>0</v>
      </c>
      <c r="F2143" s="5" t="s">
        <v>9773</v>
      </c>
      <c r="G2143" s="146" t="s">
        <v>10225</v>
      </c>
      <c r="H2143" s="7" t="s">
        <v>11473</v>
      </c>
      <c r="I2143" s="7" t="s">
        <v>11337</v>
      </c>
      <c r="J2143" t="s">
        <v>11446</v>
      </c>
      <c r="K2143" s="495">
        <v>14166</v>
      </c>
      <c r="N2143" s="45">
        <v>14166</v>
      </c>
      <c r="O2143" s="4" t="s">
        <v>276</v>
      </c>
      <c r="Q2143" s="45">
        <f t="shared" si="251"/>
        <v>14166</v>
      </c>
      <c r="R2143" s="3">
        <f t="shared" si="250"/>
        <v>0</v>
      </c>
      <c r="S2143" s="5" t="s">
        <v>13703</v>
      </c>
    </row>
    <row r="2144" spans="2:19" hidden="1" x14ac:dyDescent="0.25">
      <c r="C2144" s="4" t="s">
        <v>2450</v>
      </c>
      <c r="E2144" s="5" t="s">
        <v>0</v>
      </c>
      <c r="F2144" s="5" t="s">
        <v>9773</v>
      </c>
      <c r="G2144" s="146" t="s">
        <v>10225</v>
      </c>
      <c r="H2144" s="7" t="s">
        <v>11473</v>
      </c>
      <c r="I2144" s="7" t="s">
        <v>11337</v>
      </c>
      <c r="J2144" t="s">
        <v>11448</v>
      </c>
      <c r="K2144">
        <v>286</v>
      </c>
      <c r="N2144" s="45">
        <v>286</v>
      </c>
      <c r="O2144" s="4" t="s">
        <v>276</v>
      </c>
      <c r="Q2144" s="45">
        <f t="shared" si="251"/>
        <v>286</v>
      </c>
      <c r="R2144" s="3">
        <f t="shared" ref="R2144:R2152" si="252">IF(P2144="OK",N2144-Q2144,IF(P2144="en cours",M2144-Q2144,P2144))</f>
        <v>0</v>
      </c>
    </row>
    <row r="2145" spans="2:19" hidden="1" x14ac:dyDescent="0.25">
      <c r="C2145" s="4" t="s">
        <v>2450</v>
      </c>
      <c r="E2145" s="5" t="s">
        <v>0</v>
      </c>
      <c r="F2145" s="5" t="s">
        <v>9773</v>
      </c>
      <c r="G2145" s="146" t="s">
        <v>10225</v>
      </c>
      <c r="H2145" s="7" t="s">
        <v>11473</v>
      </c>
      <c r="I2145" s="7" t="s">
        <v>11337</v>
      </c>
      <c r="J2145" t="s">
        <v>11449</v>
      </c>
      <c r="K2145">
        <v>286</v>
      </c>
      <c r="N2145" s="45">
        <v>286</v>
      </c>
      <c r="O2145" s="4" t="s">
        <v>276</v>
      </c>
      <c r="Q2145" s="45">
        <f t="shared" si="251"/>
        <v>286</v>
      </c>
      <c r="R2145" s="3">
        <f t="shared" si="252"/>
        <v>0</v>
      </c>
    </row>
    <row r="2146" spans="2:19" hidden="1" x14ac:dyDescent="0.25">
      <c r="C2146" s="4" t="s">
        <v>2450</v>
      </c>
      <c r="E2146" s="5" t="s">
        <v>0</v>
      </c>
      <c r="F2146" s="5" t="s">
        <v>9773</v>
      </c>
      <c r="G2146" s="146" t="s">
        <v>10225</v>
      </c>
      <c r="H2146" s="7" t="s">
        <v>11473</v>
      </c>
      <c r="I2146" s="7" t="s">
        <v>11337</v>
      </c>
      <c r="J2146" t="s">
        <v>11441</v>
      </c>
      <c r="K2146" s="495">
        <v>2096</v>
      </c>
      <c r="N2146" s="45">
        <v>2096</v>
      </c>
      <c r="O2146" s="4" t="s">
        <v>276</v>
      </c>
      <c r="Q2146" s="45">
        <f t="shared" si="251"/>
        <v>2096</v>
      </c>
      <c r="R2146" s="3">
        <f t="shared" si="252"/>
        <v>0</v>
      </c>
    </row>
    <row r="2147" spans="2:19" hidden="1" x14ac:dyDescent="0.25">
      <c r="B2147" s="21" t="s">
        <v>395</v>
      </c>
      <c r="C2147" s="22" t="s">
        <v>2450</v>
      </c>
      <c r="D2147" s="22"/>
      <c r="E2147" s="21" t="s">
        <v>0</v>
      </c>
      <c r="F2147" s="21" t="s">
        <v>9773</v>
      </c>
      <c r="G2147" s="147" t="s">
        <v>10225</v>
      </c>
      <c r="H2147" s="23" t="s">
        <v>11474</v>
      </c>
      <c r="I2147" s="23" t="s">
        <v>11333</v>
      </c>
      <c r="J2147" s="165" t="s">
        <v>11453</v>
      </c>
      <c r="K2147" s="499">
        <v>14978</v>
      </c>
      <c r="L2147" s="21" t="s">
        <v>11477</v>
      </c>
      <c r="M2147" s="26">
        <v>45727</v>
      </c>
      <c r="N2147" s="44">
        <v>14978</v>
      </c>
      <c r="O2147" s="22" t="s">
        <v>276</v>
      </c>
      <c r="P2147" s="44">
        <v>14978</v>
      </c>
      <c r="Q2147" s="44">
        <f t="shared" si="251"/>
        <v>0</v>
      </c>
      <c r="R2147" s="24">
        <f t="shared" si="252"/>
        <v>14978</v>
      </c>
    </row>
    <row r="2148" spans="2:19" hidden="1" x14ac:dyDescent="0.25">
      <c r="B2148" s="21" t="s">
        <v>395</v>
      </c>
      <c r="C2148" s="22" t="s">
        <v>2450</v>
      </c>
      <c r="D2148" s="22"/>
      <c r="E2148" s="21" t="s">
        <v>0</v>
      </c>
      <c r="F2148" s="21" t="s">
        <v>9773</v>
      </c>
      <c r="G2148" s="147" t="s">
        <v>10225</v>
      </c>
      <c r="H2148" s="23" t="s">
        <v>11474</v>
      </c>
      <c r="I2148" s="23" t="s">
        <v>11333</v>
      </c>
      <c r="J2148" s="165" t="s">
        <v>11455</v>
      </c>
      <c r="K2148" s="499">
        <v>15824</v>
      </c>
      <c r="L2148" s="21" t="s">
        <v>11477</v>
      </c>
      <c r="M2148" s="26">
        <v>45727</v>
      </c>
      <c r="N2148" s="44">
        <v>15824</v>
      </c>
      <c r="O2148" s="22" t="s">
        <v>276</v>
      </c>
      <c r="P2148" s="44">
        <v>15824</v>
      </c>
      <c r="Q2148" s="44">
        <f t="shared" si="251"/>
        <v>0</v>
      </c>
      <c r="R2148" s="24">
        <f t="shared" si="252"/>
        <v>15824</v>
      </c>
    </row>
    <row r="2149" spans="2:19" hidden="1" x14ac:dyDescent="0.25">
      <c r="B2149" s="21" t="s">
        <v>395</v>
      </c>
      <c r="C2149" s="22" t="s">
        <v>2450</v>
      </c>
      <c r="D2149" s="22"/>
      <c r="E2149" s="21" t="s">
        <v>0</v>
      </c>
      <c r="F2149" s="21" t="s">
        <v>9773</v>
      </c>
      <c r="G2149" s="147" t="s">
        <v>10225</v>
      </c>
      <c r="H2149" s="23" t="s">
        <v>11474</v>
      </c>
      <c r="I2149" s="23" t="s">
        <v>11333</v>
      </c>
      <c r="J2149" s="165" t="s">
        <v>11452</v>
      </c>
      <c r="K2149" s="499">
        <v>15824</v>
      </c>
      <c r="L2149" s="21" t="s">
        <v>11714</v>
      </c>
      <c r="M2149" s="26">
        <v>45771</v>
      </c>
      <c r="N2149" s="44">
        <v>15824</v>
      </c>
      <c r="O2149" s="22" t="s">
        <v>276</v>
      </c>
      <c r="P2149" s="44">
        <v>15824</v>
      </c>
      <c r="Q2149" s="44">
        <f t="shared" si="251"/>
        <v>0</v>
      </c>
      <c r="R2149" s="24">
        <f t="shared" si="252"/>
        <v>15824</v>
      </c>
    </row>
    <row r="2150" spans="2:19" hidden="1" x14ac:dyDescent="0.25">
      <c r="B2150" s="21" t="s">
        <v>395</v>
      </c>
      <c r="C2150" s="22" t="s">
        <v>2450</v>
      </c>
      <c r="D2150" s="22"/>
      <c r="E2150" s="21" t="s">
        <v>0</v>
      </c>
      <c r="F2150" s="21" t="s">
        <v>9773</v>
      </c>
      <c r="G2150" s="147" t="s">
        <v>10225</v>
      </c>
      <c r="H2150" s="23" t="s">
        <v>11474</v>
      </c>
      <c r="I2150" s="23" t="s">
        <v>11333</v>
      </c>
      <c r="J2150" s="165" t="s">
        <v>11454</v>
      </c>
      <c r="K2150" s="499">
        <v>7439</v>
      </c>
      <c r="L2150" s="21" t="s">
        <v>11477</v>
      </c>
      <c r="M2150" s="26">
        <v>45727</v>
      </c>
      <c r="N2150" s="44">
        <v>7439</v>
      </c>
      <c r="O2150" s="22" t="s">
        <v>276</v>
      </c>
      <c r="P2150" s="44">
        <v>7439</v>
      </c>
      <c r="Q2150" s="44">
        <f t="shared" si="251"/>
        <v>0</v>
      </c>
      <c r="R2150" s="24">
        <f t="shared" si="252"/>
        <v>7439</v>
      </c>
    </row>
    <row r="2151" spans="2:19" hidden="1" x14ac:dyDescent="0.25">
      <c r="B2151" s="21" t="s">
        <v>395</v>
      </c>
      <c r="C2151" s="22" t="s">
        <v>2450</v>
      </c>
      <c r="D2151" s="22"/>
      <c r="E2151" s="21" t="s">
        <v>0</v>
      </c>
      <c r="F2151" s="21" t="s">
        <v>9773</v>
      </c>
      <c r="G2151" s="147" t="s">
        <v>10225</v>
      </c>
      <c r="H2151" s="23" t="s">
        <v>11474</v>
      </c>
      <c r="I2151" s="23" t="s">
        <v>11333</v>
      </c>
      <c r="J2151" s="165" t="s">
        <v>11456</v>
      </c>
      <c r="K2151" s="499">
        <v>9570</v>
      </c>
      <c r="L2151" s="21" t="s">
        <v>11569</v>
      </c>
      <c r="M2151" s="26">
        <v>45716</v>
      </c>
      <c r="N2151" s="44">
        <v>9570</v>
      </c>
      <c r="O2151" s="22" t="s">
        <v>276</v>
      </c>
      <c r="P2151" s="44">
        <v>9570</v>
      </c>
      <c r="Q2151" s="44">
        <f t="shared" si="251"/>
        <v>0</v>
      </c>
      <c r="R2151" s="24">
        <f t="shared" si="252"/>
        <v>9570</v>
      </c>
    </row>
    <row r="2152" spans="2:19" hidden="1" x14ac:dyDescent="0.25">
      <c r="C2152" s="4" t="s">
        <v>2450</v>
      </c>
      <c r="E2152" s="5" t="s">
        <v>0</v>
      </c>
      <c r="F2152" s="5" t="s">
        <v>9773</v>
      </c>
      <c r="G2152" s="146" t="s">
        <v>10225</v>
      </c>
      <c r="H2152" s="7" t="s">
        <v>11515</v>
      </c>
      <c r="I2152" s="7" t="s">
        <v>11516</v>
      </c>
      <c r="J2152" s="5" t="s">
        <v>11517</v>
      </c>
      <c r="N2152" s="45">
        <v>35954</v>
      </c>
      <c r="O2152" s="4" t="s">
        <v>225</v>
      </c>
      <c r="Q2152" s="45">
        <f t="shared" si="251"/>
        <v>35954</v>
      </c>
      <c r="R2152" s="3">
        <f t="shared" si="252"/>
        <v>0</v>
      </c>
    </row>
    <row r="2153" spans="2:19" hidden="1" x14ac:dyDescent="0.25">
      <c r="B2153" s="21" t="s">
        <v>395</v>
      </c>
      <c r="C2153" s="22" t="s">
        <v>6267</v>
      </c>
      <c r="D2153" s="22"/>
      <c r="E2153" s="21" t="s">
        <v>75</v>
      </c>
      <c r="F2153" s="21" t="s">
        <v>9767</v>
      </c>
      <c r="G2153" s="147" t="s">
        <v>7453</v>
      </c>
      <c r="H2153" s="23" t="s">
        <v>11518</v>
      </c>
      <c r="I2153" s="23" t="s">
        <v>11519</v>
      </c>
      <c r="J2153" s="21" t="s">
        <v>12053</v>
      </c>
      <c r="K2153" s="21"/>
      <c r="L2153" s="21" t="s">
        <v>12054</v>
      </c>
      <c r="M2153" s="26">
        <v>45835</v>
      </c>
      <c r="N2153" s="44">
        <f>1448</f>
        <v>1448</v>
      </c>
      <c r="O2153" s="22" t="s">
        <v>15</v>
      </c>
      <c r="P2153" s="44">
        <v>1448</v>
      </c>
      <c r="Q2153" s="44">
        <f t="shared" si="251"/>
        <v>0</v>
      </c>
      <c r="R2153" s="24">
        <f t="shared" ref="R2153:R2160" si="253">IF(P2153="OK",N2153-Q2153,IF(P2153="en cours",N2153-Q2153,P2153))</f>
        <v>1448</v>
      </c>
      <c r="S2153" s="21"/>
    </row>
    <row r="2154" spans="2:19" hidden="1" x14ac:dyDescent="0.25">
      <c r="B2154" s="21" t="s">
        <v>395</v>
      </c>
      <c r="C2154" s="22" t="s">
        <v>2450</v>
      </c>
      <c r="D2154" s="22"/>
      <c r="E2154" s="21" t="s">
        <v>0</v>
      </c>
      <c r="F2154" s="21" t="s">
        <v>9823</v>
      </c>
      <c r="G2154" s="147" t="s">
        <v>8757</v>
      </c>
      <c r="H2154" s="23" t="s">
        <v>11523</v>
      </c>
      <c r="I2154" s="23" t="s">
        <v>11524</v>
      </c>
      <c r="J2154" s="21" t="s">
        <v>11520</v>
      </c>
      <c r="K2154" s="21"/>
      <c r="L2154" s="21" t="s">
        <v>11744</v>
      </c>
      <c r="M2154" s="26">
        <v>45777</v>
      </c>
      <c r="N2154" s="44">
        <v>5400</v>
      </c>
      <c r="O2154" s="22" t="s">
        <v>337</v>
      </c>
      <c r="P2154" s="44">
        <v>5400</v>
      </c>
      <c r="Q2154" s="24">
        <f t="shared" si="251"/>
        <v>0</v>
      </c>
      <c r="R2154" s="24">
        <f t="shared" si="253"/>
        <v>5400</v>
      </c>
    </row>
    <row r="2155" spans="2:19" hidden="1" x14ac:dyDescent="0.25">
      <c r="B2155" s="21" t="s">
        <v>395</v>
      </c>
      <c r="C2155" s="22" t="s">
        <v>2450</v>
      </c>
      <c r="D2155" s="22"/>
      <c r="E2155" s="21" t="s">
        <v>0</v>
      </c>
      <c r="F2155" s="21" t="s">
        <v>9823</v>
      </c>
      <c r="G2155" s="147" t="s">
        <v>8757</v>
      </c>
      <c r="H2155" s="23" t="s">
        <v>11525</v>
      </c>
      <c r="I2155" s="23" t="s">
        <v>11526</v>
      </c>
      <c r="J2155" s="21" t="s">
        <v>11521</v>
      </c>
      <c r="K2155" s="21"/>
      <c r="L2155" s="21" t="s">
        <v>11563</v>
      </c>
      <c r="M2155" s="26">
        <v>45747</v>
      </c>
      <c r="N2155" s="44">
        <v>7360</v>
      </c>
      <c r="O2155" s="22" t="s">
        <v>337</v>
      </c>
      <c r="P2155" s="44">
        <v>7360</v>
      </c>
      <c r="Q2155" s="24">
        <f t="shared" si="251"/>
        <v>0</v>
      </c>
      <c r="R2155" s="24">
        <f t="shared" si="253"/>
        <v>7360</v>
      </c>
    </row>
    <row r="2156" spans="2:19" hidden="1" x14ac:dyDescent="0.25">
      <c r="C2156" s="4" t="s">
        <v>2450</v>
      </c>
      <c r="E2156" s="5" t="s">
        <v>0</v>
      </c>
      <c r="F2156" s="5" t="s">
        <v>9823</v>
      </c>
      <c r="G2156" s="146" t="s">
        <v>8757</v>
      </c>
      <c r="H2156" s="7" t="s">
        <v>11527</v>
      </c>
      <c r="I2156" s="7" t="s">
        <v>11528</v>
      </c>
      <c r="J2156" s="5" t="s">
        <v>11522</v>
      </c>
      <c r="L2156" s="5" t="s">
        <v>12334</v>
      </c>
      <c r="M2156" s="12" t="s">
        <v>12335</v>
      </c>
      <c r="N2156" s="45">
        <v>11000</v>
      </c>
      <c r="O2156" s="4" t="s">
        <v>337</v>
      </c>
      <c r="P2156" s="45">
        <f>3850+550+550+4400+550</f>
        <v>9900</v>
      </c>
      <c r="Q2156" s="45">
        <f t="shared" si="251"/>
        <v>1100</v>
      </c>
      <c r="R2156" s="3">
        <f t="shared" si="253"/>
        <v>9900</v>
      </c>
    </row>
    <row r="2157" spans="2:19" hidden="1" x14ac:dyDescent="0.25">
      <c r="B2157" s="21" t="s">
        <v>395</v>
      </c>
      <c r="C2157" s="22" t="s">
        <v>2450</v>
      </c>
      <c r="D2157" s="22"/>
      <c r="E2157" s="21" t="s">
        <v>0</v>
      </c>
      <c r="F2157" s="21" t="s">
        <v>9823</v>
      </c>
      <c r="G2157" s="147" t="s">
        <v>3687</v>
      </c>
      <c r="H2157" s="23" t="s">
        <v>11529</v>
      </c>
      <c r="I2157" s="23" t="s">
        <v>11530</v>
      </c>
      <c r="J2157" s="21" t="s">
        <v>11531</v>
      </c>
      <c r="K2157" s="21"/>
      <c r="L2157" s="21" t="s">
        <v>11722</v>
      </c>
      <c r="M2157" s="26">
        <v>45763</v>
      </c>
      <c r="N2157" s="44">
        <v>11000</v>
      </c>
      <c r="O2157" s="22" t="s">
        <v>15</v>
      </c>
      <c r="P2157" s="44">
        <v>11000</v>
      </c>
      <c r="Q2157" s="24">
        <f t="shared" si="251"/>
        <v>0</v>
      </c>
      <c r="R2157" s="24">
        <f t="shared" si="253"/>
        <v>11000</v>
      </c>
    </row>
    <row r="2158" spans="2:19" hidden="1" x14ac:dyDescent="0.25">
      <c r="B2158" s="21" t="s">
        <v>395</v>
      </c>
      <c r="C2158" s="22" t="s">
        <v>2450</v>
      </c>
      <c r="D2158" s="22"/>
      <c r="E2158" s="21" t="s">
        <v>10</v>
      </c>
      <c r="F2158" s="21" t="s">
        <v>9721</v>
      </c>
      <c r="G2158" s="147" t="s">
        <v>11294</v>
      </c>
      <c r="H2158" s="23" t="s">
        <v>11532</v>
      </c>
      <c r="I2158" s="23" t="s">
        <v>11533</v>
      </c>
      <c r="J2158" s="21" t="s">
        <v>6557</v>
      </c>
      <c r="K2158" s="21"/>
      <c r="L2158" s="21" t="s">
        <v>11597</v>
      </c>
      <c r="M2158" s="26">
        <v>45757</v>
      </c>
      <c r="N2158" s="44">
        <v>1139.76</v>
      </c>
      <c r="O2158" s="22" t="s">
        <v>15</v>
      </c>
      <c r="P2158" s="44">
        <v>1139.76</v>
      </c>
      <c r="Q2158" s="44">
        <f t="shared" si="251"/>
        <v>0</v>
      </c>
      <c r="R2158" s="24">
        <f t="shared" si="253"/>
        <v>1139.76</v>
      </c>
    </row>
    <row r="2159" spans="2:19" hidden="1" x14ac:dyDescent="0.25">
      <c r="B2159" s="21" t="s">
        <v>395</v>
      </c>
      <c r="C2159" s="22" t="s">
        <v>2450</v>
      </c>
      <c r="D2159" s="22"/>
      <c r="E2159" s="21" t="s">
        <v>10</v>
      </c>
      <c r="F2159" s="21" t="s">
        <v>9721</v>
      </c>
      <c r="G2159" s="147" t="s">
        <v>11294</v>
      </c>
      <c r="H2159" s="23" t="s">
        <v>11534</v>
      </c>
      <c r="I2159" s="23" t="s">
        <v>11535</v>
      </c>
      <c r="J2159" s="21" t="s">
        <v>6557</v>
      </c>
      <c r="K2159" s="21"/>
      <c r="L2159" s="21" t="s">
        <v>11594</v>
      </c>
      <c r="M2159" s="26">
        <v>45750</v>
      </c>
      <c r="N2159" s="44">
        <v>1519.68</v>
      </c>
      <c r="O2159" s="22" t="s">
        <v>15</v>
      </c>
      <c r="P2159" s="44">
        <v>1519.68</v>
      </c>
      <c r="Q2159" s="44">
        <f t="shared" si="251"/>
        <v>0</v>
      </c>
      <c r="R2159" s="24">
        <f t="shared" si="253"/>
        <v>1519.68</v>
      </c>
    </row>
    <row r="2160" spans="2:19" hidden="1" x14ac:dyDescent="0.25">
      <c r="B2160" s="21" t="s">
        <v>395</v>
      </c>
      <c r="C2160" s="22" t="s">
        <v>2450</v>
      </c>
      <c r="D2160" s="22"/>
      <c r="E2160" s="21" t="s">
        <v>10</v>
      </c>
      <c r="F2160" s="21" t="s">
        <v>9721</v>
      </c>
      <c r="G2160" s="147" t="s">
        <v>11294</v>
      </c>
      <c r="H2160" s="23" t="s">
        <v>11536</v>
      </c>
      <c r="I2160" s="23" t="s">
        <v>11537</v>
      </c>
      <c r="J2160" s="21" t="s">
        <v>6557</v>
      </c>
      <c r="K2160" s="21"/>
      <c r="L2160" s="21" t="s">
        <v>11746</v>
      </c>
      <c r="M2160" s="26">
        <v>45784</v>
      </c>
      <c r="N2160" s="44">
        <v>1139.76</v>
      </c>
      <c r="O2160" s="22" t="s">
        <v>15</v>
      </c>
      <c r="P2160" s="44">
        <v>1139.76</v>
      </c>
      <c r="Q2160" s="44">
        <f t="shared" si="251"/>
        <v>0</v>
      </c>
      <c r="R2160" s="24">
        <f t="shared" si="253"/>
        <v>1139.76</v>
      </c>
    </row>
    <row r="2161" spans="2:19" hidden="1" x14ac:dyDescent="0.25">
      <c r="B2161" s="21" t="s">
        <v>395</v>
      </c>
      <c r="C2161" s="22" t="s">
        <v>158</v>
      </c>
      <c r="D2161" s="22"/>
      <c r="E2161" s="21" t="s">
        <v>159</v>
      </c>
      <c r="F2161" s="21" t="s">
        <v>9837</v>
      </c>
      <c r="G2161" s="147" t="s">
        <v>9722</v>
      </c>
      <c r="H2161" s="23" t="s">
        <v>11543</v>
      </c>
      <c r="I2161" s="23" t="s">
        <v>11544</v>
      </c>
      <c r="J2161" s="21" t="s">
        <v>11542</v>
      </c>
      <c r="K2161" s="21"/>
      <c r="L2161" s="21"/>
      <c r="M2161" s="26"/>
      <c r="N2161" s="44">
        <v>0</v>
      </c>
      <c r="O2161" s="22" t="s">
        <v>15</v>
      </c>
      <c r="P2161" s="44"/>
      <c r="Q2161" s="24">
        <f t="shared" si="251"/>
        <v>0</v>
      </c>
      <c r="R2161" s="24">
        <f>IF(P2161="OK",N2161-Q2161,IF(P2161="en cours",N2161-Q2161,P2161))</f>
        <v>0</v>
      </c>
    </row>
    <row r="2162" spans="2:19" hidden="1" x14ac:dyDescent="0.25">
      <c r="C2162" s="4" t="s">
        <v>158</v>
      </c>
      <c r="E2162" s="5" t="s">
        <v>729</v>
      </c>
      <c r="F2162" s="5" t="s">
        <v>11545</v>
      </c>
      <c r="G2162" s="146" t="s">
        <v>8950</v>
      </c>
      <c r="H2162" s="7" t="s">
        <v>11546</v>
      </c>
      <c r="I2162" s="7" t="s">
        <v>11547</v>
      </c>
      <c r="J2162" s="5" t="s">
        <v>11548</v>
      </c>
      <c r="L2162" s="5" t="s">
        <v>12326</v>
      </c>
      <c r="M2162" s="12" t="s">
        <v>12327</v>
      </c>
      <c r="N2162" s="45">
        <v>20740</v>
      </c>
      <c r="O2162" s="4" t="s">
        <v>276</v>
      </c>
      <c r="P2162" s="45">
        <f>3610+8695+370+740</f>
        <v>13415</v>
      </c>
      <c r="Q2162" s="45">
        <f t="shared" ref="Q2162:Q2164" si="254">IF(P2162="en cours",N2162,IF(P2162="OK",0,IF(N2162-P2162&lt;0,0,N2162-P2162)))</f>
        <v>7325</v>
      </c>
      <c r="R2162" s="3">
        <f t="shared" ref="R2162:R2164" si="255">IF(P2162="OK",N2162-Q2162,IF(P2162="en cours",N2162-Q2162,P2162))</f>
        <v>13415</v>
      </c>
    </row>
    <row r="2163" spans="2:19" hidden="1" x14ac:dyDescent="0.25">
      <c r="B2163" s="21" t="s">
        <v>395</v>
      </c>
      <c r="C2163" s="22" t="s">
        <v>2450</v>
      </c>
      <c r="D2163" s="22"/>
      <c r="E2163" s="21" t="s">
        <v>7137</v>
      </c>
      <c r="F2163" s="21" t="s">
        <v>11545</v>
      </c>
      <c r="G2163" s="147" t="s">
        <v>8555</v>
      </c>
      <c r="H2163" s="23" t="s">
        <v>11549</v>
      </c>
      <c r="I2163" s="23" t="s">
        <v>11550</v>
      </c>
      <c r="J2163" s="21" t="s">
        <v>11551</v>
      </c>
      <c r="K2163" s="21"/>
      <c r="L2163" s="21" t="s">
        <v>12317</v>
      </c>
      <c r="M2163" s="26">
        <v>45869</v>
      </c>
      <c r="N2163" s="44">
        <v>7526.25</v>
      </c>
      <c r="O2163" s="22" t="s">
        <v>15</v>
      </c>
      <c r="P2163" s="44">
        <v>4913.3</v>
      </c>
      <c r="Q2163" s="44">
        <v>0</v>
      </c>
      <c r="R2163" s="24">
        <f t="shared" si="255"/>
        <v>4913.3</v>
      </c>
      <c r="S2163" s="5" t="s">
        <v>12370</v>
      </c>
    </row>
    <row r="2164" spans="2:19" hidden="1" x14ac:dyDescent="0.25">
      <c r="B2164" s="21" t="s">
        <v>395</v>
      </c>
      <c r="C2164" s="22" t="s">
        <v>2450</v>
      </c>
      <c r="D2164" s="22" t="s">
        <v>1451</v>
      </c>
      <c r="E2164" s="21" t="s">
        <v>10</v>
      </c>
      <c r="F2164" s="21" t="s">
        <v>9830</v>
      </c>
      <c r="G2164" s="147" t="s">
        <v>5061</v>
      </c>
      <c r="H2164" s="23" t="s">
        <v>11552</v>
      </c>
      <c r="I2164" s="23" t="s">
        <v>11553</v>
      </c>
      <c r="J2164" s="21" t="s">
        <v>11583</v>
      </c>
      <c r="K2164" s="21"/>
      <c r="L2164" s="21" t="s">
        <v>11731</v>
      </c>
      <c r="M2164" s="26">
        <v>45755</v>
      </c>
      <c r="N2164" s="44">
        <v>20624</v>
      </c>
      <c r="O2164" s="22" t="s">
        <v>15</v>
      </c>
      <c r="P2164" s="44">
        <v>20624</v>
      </c>
      <c r="Q2164" s="44">
        <f t="shared" si="254"/>
        <v>0</v>
      </c>
      <c r="R2164" s="24">
        <f t="shared" si="255"/>
        <v>20624</v>
      </c>
    </row>
    <row r="2165" spans="2:19" hidden="1" x14ac:dyDescent="0.25">
      <c r="B2165" s="21" t="s">
        <v>395</v>
      </c>
      <c r="C2165" s="22" t="s">
        <v>2450</v>
      </c>
      <c r="D2165" s="22"/>
      <c r="E2165" s="21" t="s">
        <v>10</v>
      </c>
      <c r="F2165" s="21" t="s">
        <v>9721</v>
      </c>
      <c r="G2165" s="147" t="s">
        <v>7313</v>
      </c>
      <c r="H2165" s="23" t="s">
        <v>11566</v>
      </c>
      <c r="I2165" s="23" t="s">
        <v>11567</v>
      </c>
      <c r="J2165" s="21" t="s">
        <v>6557</v>
      </c>
      <c r="K2165" s="21"/>
      <c r="L2165" s="21" t="s">
        <v>11572</v>
      </c>
      <c r="M2165" s="26">
        <v>45740</v>
      </c>
      <c r="N2165" s="44">
        <v>769</v>
      </c>
      <c r="O2165" s="22" t="s">
        <v>15</v>
      </c>
      <c r="P2165" s="44">
        <v>769.65</v>
      </c>
      <c r="Q2165" s="44">
        <f t="shared" ref="Q2165:Q2166" si="256">IF(P2165="en cours",N2165,IF(P2165="OK",0,IF(N2165-P2165&lt;0,0,N2165-P2165)))</f>
        <v>0</v>
      </c>
      <c r="R2165" s="24">
        <f t="shared" ref="R2165:R2166" si="257">IF(P2165="OK",N2165-Q2165,IF(P2165="en cours",N2165-Q2165,P2165))</f>
        <v>769.65</v>
      </c>
    </row>
    <row r="2166" spans="2:19" hidden="1" x14ac:dyDescent="0.25">
      <c r="B2166" s="21" t="s">
        <v>395</v>
      </c>
      <c r="C2166" s="22" t="s">
        <v>2450</v>
      </c>
      <c r="D2166" s="22"/>
      <c r="E2166" s="21" t="s">
        <v>10</v>
      </c>
      <c r="F2166" s="21" t="s">
        <v>9721</v>
      </c>
      <c r="G2166" s="147" t="s">
        <v>9319</v>
      </c>
      <c r="H2166" s="23" t="s">
        <v>11602</v>
      </c>
      <c r="I2166" s="23" t="s">
        <v>11603</v>
      </c>
      <c r="J2166" s="21" t="s">
        <v>6557</v>
      </c>
      <c r="K2166" s="21"/>
      <c r="L2166" s="21" t="s">
        <v>11629</v>
      </c>
      <c r="M2166" s="26">
        <v>45749</v>
      </c>
      <c r="N2166" s="44">
        <v>936.32</v>
      </c>
      <c r="O2166" s="22" t="s">
        <v>15</v>
      </c>
      <c r="P2166" s="44">
        <v>936.32</v>
      </c>
      <c r="Q2166" s="44">
        <f t="shared" si="256"/>
        <v>0</v>
      </c>
      <c r="R2166" s="24">
        <f t="shared" si="257"/>
        <v>936.32</v>
      </c>
    </row>
    <row r="2167" spans="2:19" hidden="1" x14ac:dyDescent="0.25">
      <c r="B2167" s="21" t="s">
        <v>395</v>
      </c>
      <c r="C2167" s="22" t="s">
        <v>158</v>
      </c>
      <c r="D2167" s="22"/>
      <c r="E2167" s="21" t="s">
        <v>159</v>
      </c>
      <c r="F2167" s="21" t="s">
        <v>9837</v>
      </c>
      <c r="G2167" s="147" t="s">
        <v>9722</v>
      </c>
      <c r="H2167" s="23" t="s">
        <v>11604</v>
      </c>
      <c r="I2167" s="23" t="s">
        <v>11605</v>
      </c>
      <c r="J2167" s="21" t="s">
        <v>11542</v>
      </c>
      <c r="K2167" s="21"/>
      <c r="L2167" s="21" t="s">
        <v>11761</v>
      </c>
      <c r="M2167" s="26">
        <v>45777</v>
      </c>
      <c r="N2167" s="44">
        <v>96309</v>
      </c>
      <c r="O2167" s="22" t="s">
        <v>15</v>
      </c>
      <c r="P2167" s="44">
        <v>96309</v>
      </c>
      <c r="Q2167" s="44">
        <f t="shared" ref="Q2167:Q2175" si="258">IF(P2167="en cours",N2167,IF(P2167="OK",0,IF(N2167-P2167&lt;0,0,N2167-P2167)))</f>
        <v>0</v>
      </c>
      <c r="R2167" s="24">
        <f>IF(P2167="OK",N2167-Q2167,IF(P2167="en cours",N2167-Q2167,P2167))</f>
        <v>96309</v>
      </c>
    </row>
    <row r="2168" spans="2:19" hidden="1" x14ac:dyDescent="0.25">
      <c r="B2168" s="21" t="s">
        <v>395</v>
      </c>
      <c r="C2168" s="22" t="s">
        <v>2450</v>
      </c>
      <c r="D2168" s="22"/>
      <c r="E2168" s="21" t="s">
        <v>0</v>
      </c>
      <c r="F2168" s="21" t="s">
        <v>9823</v>
      </c>
      <c r="G2168" s="147" t="s">
        <v>8757</v>
      </c>
      <c r="H2168" s="23" t="s">
        <v>11606</v>
      </c>
      <c r="I2168" s="23" t="s">
        <v>11607</v>
      </c>
      <c r="J2168" s="21" t="s">
        <v>11608</v>
      </c>
      <c r="K2168" s="21"/>
      <c r="L2168" s="21" t="s">
        <v>11845</v>
      </c>
      <c r="M2168" s="26" t="s">
        <v>11846</v>
      </c>
      <c r="N2168" s="44">
        <v>37100</v>
      </c>
      <c r="O2168" s="22" t="s">
        <v>337</v>
      </c>
      <c r="P2168" s="44">
        <f>19348+1400+17087-(848+587.1)+700</f>
        <v>37099.9</v>
      </c>
      <c r="Q2168" s="44">
        <v>0</v>
      </c>
      <c r="R2168" s="24">
        <f t="shared" ref="R2168:R2175" si="259">IF(P2168="OK",N2168-Q2168,IF(P2168="en cours",N2168-Q2168,P2168))</f>
        <v>37099.9</v>
      </c>
    </row>
    <row r="2169" spans="2:19" ht="19.5" hidden="1" customHeight="1" x14ac:dyDescent="0.25">
      <c r="B2169" s="21" t="s">
        <v>395</v>
      </c>
      <c r="C2169" s="22" t="s">
        <v>2450</v>
      </c>
      <c r="D2169" s="22"/>
      <c r="E2169" s="21" t="s">
        <v>0</v>
      </c>
      <c r="F2169" s="22" t="s">
        <v>9823</v>
      </c>
      <c r="G2169" s="147" t="s">
        <v>5405</v>
      </c>
      <c r="H2169" s="23" t="s">
        <v>11609</v>
      </c>
      <c r="I2169" s="23" t="s">
        <v>11610</v>
      </c>
      <c r="J2169" s="21" t="s">
        <v>11611</v>
      </c>
      <c r="K2169" s="21"/>
      <c r="L2169" s="21" t="s">
        <v>11666</v>
      </c>
      <c r="M2169" s="26">
        <v>45751</v>
      </c>
      <c r="N2169" s="44">
        <v>362.96</v>
      </c>
      <c r="O2169" s="22" t="s">
        <v>15</v>
      </c>
      <c r="P2169" s="44">
        <v>362.96</v>
      </c>
      <c r="Q2169" s="44">
        <f t="shared" si="258"/>
        <v>0</v>
      </c>
      <c r="R2169" s="116">
        <f t="shared" si="259"/>
        <v>362.96</v>
      </c>
    </row>
    <row r="2170" spans="2:19" hidden="1" x14ac:dyDescent="0.25">
      <c r="B2170" s="21" t="s">
        <v>395</v>
      </c>
      <c r="C2170" s="22" t="s">
        <v>158</v>
      </c>
      <c r="D2170" s="22"/>
      <c r="E2170" s="21" t="s">
        <v>10</v>
      </c>
      <c r="F2170" s="21" t="s">
        <v>9721</v>
      </c>
      <c r="G2170" s="147" t="s">
        <v>9319</v>
      </c>
      <c r="H2170" s="23" t="s">
        <v>11612</v>
      </c>
      <c r="I2170" s="23" t="s">
        <v>11613</v>
      </c>
      <c r="J2170" s="21" t="s">
        <v>11614</v>
      </c>
      <c r="K2170" s="21"/>
      <c r="L2170" s="21" t="s">
        <v>12369</v>
      </c>
      <c r="M2170" s="26">
        <v>45827</v>
      </c>
      <c r="N2170" s="44">
        <v>946.99</v>
      </c>
      <c r="O2170" s="22" t="s">
        <v>15</v>
      </c>
      <c r="P2170" s="44">
        <v>946.99</v>
      </c>
      <c r="Q2170" s="44">
        <f t="shared" si="258"/>
        <v>0</v>
      </c>
      <c r="R2170" s="24">
        <f t="shared" si="259"/>
        <v>946.99</v>
      </c>
    </row>
    <row r="2171" spans="2:19" ht="19.5" hidden="1" customHeight="1" x14ac:dyDescent="0.25">
      <c r="B2171" s="21" t="s">
        <v>395</v>
      </c>
      <c r="C2171" s="22" t="s">
        <v>2450</v>
      </c>
      <c r="D2171" s="22"/>
      <c r="E2171" s="21" t="s">
        <v>10</v>
      </c>
      <c r="F2171" s="22" t="s">
        <v>9721</v>
      </c>
      <c r="G2171" s="147" t="s">
        <v>10313</v>
      </c>
      <c r="H2171" s="23" t="s">
        <v>11615</v>
      </c>
      <c r="I2171" s="23" t="s">
        <v>11616</v>
      </c>
      <c r="J2171" s="21" t="s">
        <v>11617</v>
      </c>
      <c r="K2171" s="21"/>
      <c r="L2171" s="21" t="s">
        <v>11719</v>
      </c>
      <c r="M2171" s="26">
        <v>45769</v>
      </c>
      <c r="N2171" s="44">
        <v>534.29999999999995</v>
      </c>
      <c r="O2171" s="22" t="s">
        <v>15</v>
      </c>
      <c r="P2171" s="44">
        <v>534.29999999999995</v>
      </c>
      <c r="Q2171" s="44">
        <f t="shared" si="258"/>
        <v>0</v>
      </c>
      <c r="R2171" s="116">
        <f t="shared" si="259"/>
        <v>534.29999999999995</v>
      </c>
    </row>
    <row r="2172" spans="2:19" hidden="1" x14ac:dyDescent="0.25">
      <c r="B2172" s="21" t="s">
        <v>395</v>
      </c>
      <c r="C2172" s="22" t="s">
        <v>2450</v>
      </c>
      <c r="D2172" s="22"/>
      <c r="E2172" s="21" t="s">
        <v>0</v>
      </c>
      <c r="F2172" s="21" t="s">
        <v>9807</v>
      </c>
      <c r="G2172" s="147" t="s">
        <v>6474</v>
      </c>
      <c r="H2172" s="23" t="s">
        <v>11937</v>
      </c>
      <c r="I2172" s="23" t="s">
        <v>11618</v>
      </c>
      <c r="J2172" s="21" t="s">
        <v>11619</v>
      </c>
      <c r="K2172" s="21"/>
      <c r="L2172" s="21"/>
      <c r="M2172" s="23"/>
      <c r="N2172" s="44">
        <v>0</v>
      </c>
      <c r="O2172" s="22" t="s">
        <v>15</v>
      </c>
      <c r="P2172" s="44"/>
      <c r="Q2172" s="44">
        <f t="shared" si="258"/>
        <v>0</v>
      </c>
      <c r="R2172" s="24">
        <f t="shared" si="259"/>
        <v>0</v>
      </c>
      <c r="S2172" s="21" t="s">
        <v>11936</v>
      </c>
    </row>
    <row r="2173" spans="2:19" hidden="1" x14ac:dyDescent="0.25">
      <c r="B2173" s="21" t="s">
        <v>395</v>
      </c>
      <c r="C2173" s="22" t="s">
        <v>2450</v>
      </c>
      <c r="D2173" s="22"/>
      <c r="E2173" s="21" t="s">
        <v>0</v>
      </c>
      <c r="F2173" s="21" t="s">
        <v>9823</v>
      </c>
      <c r="G2173" s="147" t="s">
        <v>8757</v>
      </c>
      <c r="H2173" s="23" t="s">
        <v>11620</v>
      </c>
      <c r="I2173" s="23" t="s">
        <v>11621</v>
      </c>
      <c r="J2173" s="21" t="s">
        <v>11622</v>
      </c>
      <c r="K2173" s="21"/>
      <c r="L2173" s="21" t="s">
        <v>11630</v>
      </c>
      <c r="M2173" s="26">
        <v>45757</v>
      </c>
      <c r="N2173" s="44">
        <v>986.64</v>
      </c>
      <c r="O2173" s="22" t="s">
        <v>337</v>
      </c>
      <c r="P2173" s="44">
        <v>986.64</v>
      </c>
      <c r="Q2173" s="44">
        <f t="shared" si="258"/>
        <v>0</v>
      </c>
      <c r="R2173" s="24">
        <f t="shared" si="259"/>
        <v>986.64</v>
      </c>
    </row>
    <row r="2174" spans="2:19" hidden="1" x14ac:dyDescent="0.25">
      <c r="B2174" s="21" t="s">
        <v>395</v>
      </c>
      <c r="C2174" s="22" t="s">
        <v>2450</v>
      </c>
      <c r="D2174" s="22"/>
      <c r="E2174" s="21" t="s">
        <v>0</v>
      </c>
      <c r="F2174" s="21" t="s">
        <v>9773</v>
      </c>
      <c r="G2174" s="147" t="s">
        <v>9509</v>
      </c>
      <c r="H2174" s="23" t="s">
        <v>11623</v>
      </c>
      <c r="I2174" s="23" t="s">
        <v>11624</v>
      </c>
      <c r="J2174" s="21" t="s">
        <v>11625</v>
      </c>
      <c r="K2174" s="21"/>
      <c r="L2174" s="21" t="s">
        <v>12833</v>
      </c>
      <c r="M2174" s="26">
        <v>45939</v>
      </c>
      <c r="N2174" s="44">
        <v>21062.25</v>
      </c>
      <c r="O2174" s="22" t="s">
        <v>276</v>
      </c>
      <c r="P2174" s="44">
        <f>22655.11</f>
        <v>22655.11</v>
      </c>
      <c r="Q2174" s="24">
        <f t="shared" si="258"/>
        <v>0</v>
      </c>
      <c r="R2174" s="24">
        <f t="shared" si="259"/>
        <v>22655.11</v>
      </c>
    </row>
    <row r="2175" spans="2:19" hidden="1" x14ac:dyDescent="0.25">
      <c r="C2175" s="4" t="s">
        <v>2450</v>
      </c>
      <c r="E2175" s="5" t="s">
        <v>0</v>
      </c>
      <c r="F2175" s="5" t="s">
        <v>9807</v>
      </c>
      <c r="G2175" s="146" t="s">
        <v>7266</v>
      </c>
      <c r="H2175" s="7" t="s">
        <v>11626</v>
      </c>
      <c r="I2175" s="7" t="s">
        <v>11627</v>
      </c>
      <c r="J2175" s="5" t="s">
        <v>11628</v>
      </c>
      <c r="L2175" s="5" t="s">
        <v>13256</v>
      </c>
      <c r="M2175" s="12">
        <v>45964</v>
      </c>
      <c r="N2175" s="45">
        <v>215800</v>
      </c>
      <c r="O2175" s="4" t="s">
        <v>15</v>
      </c>
      <c r="P2175" s="45">
        <f>15100</f>
        <v>15100</v>
      </c>
      <c r="Q2175" s="45">
        <f t="shared" si="258"/>
        <v>200700</v>
      </c>
      <c r="R2175" s="25">
        <f t="shared" si="259"/>
        <v>15100</v>
      </c>
    </row>
    <row r="2176" spans="2:19" hidden="1" x14ac:dyDescent="0.25">
      <c r="B2176" s="21" t="s">
        <v>395</v>
      </c>
      <c r="C2176" s="22" t="s">
        <v>2450</v>
      </c>
      <c r="D2176" s="22"/>
      <c r="E2176" s="21" t="s">
        <v>0</v>
      </c>
      <c r="F2176" s="21" t="s">
        <v>11538</v>
      </c>
      <c r="G2176" s="147" t="s">
        <v>11668</v>
      </c>
      <c r="H2176" s="23" t="s">
        <v>11631</v>
      </c>
      <c r="I2176" s="23" t="s">
        <v>11632</v>
      </c>
      <c r="J2176" s="21" t="s">
        <v>11704</v>
      </c>
      <c r="K2176" s="21"/>
      <c r="L2176" s="21" t="s">
        <v>11706</v>
      </c>
      <c r="M2176" s="26">
        <v>45765</v>
      </c>
      <c r="N2176" s="44">
        <v>7862</v>
      </c>
      <c r="O2176" s="22" t="s">
        <v>341</v>
      </c>
      <c r="P2176" s="44">
        <v>7862</v>
      </c>
      <c r="Q2176" s="44">
        <f t="shared" ref="Q2176:Q2187" si="260">IF(P2176="en cours",N2176,IF(P2176="OK",0,IF(N2176-P2176&lt;0,0,N2176-P2176)))</f>
        <v>0</v>
      </c>
      <c r="R2176" s="116">
        <f t="shared" ref="R2176:R2187" si="261">IF(P2176="OK",N2176-Q2176,IF(P2176="en cours",N2176-Q2176,P2176))</f>
        <v>7862</v>
      </c>
      <c r="S2176" s="5" t="s">
        <v>11705</v>
      </c>
    </row>
    <row r="2177" spans="1:19" x14ac:dyDescent="0.25">
      <c r="C2177" s="4" t="s">
        <v>2450</v>
      </c>
      <c r="E2177" s="5" t="s">
        <v>0</v>
      </c>
      <c r="F2177" s="5" t="s">
        <v>9807</v>
      </c>
      <c r="G2177" s="146" t="s">
        <v>6365</v>
      </c>
      <c r="H2177" s="7" t="s">
        <v>11633</v>
      </c>
      <c r="I2177" s="7" t="s">
        <v>11634</v>
      </c>
      <c r="J2177" s="5" t="s">
        <v>11635</v>
      </c>
      <c r="L2177" s="5" t="s">
        <v>11830</v>
      </c>
      <c r="M2177" s="12">
        <v>45798</v>
      </c>
      <c r="N2177" s="45">
        <v>5841</v>
      </c>
      <c r="O2177" s="4" t="s">
        <v>15</v>
      </c>
      <c r="P2177" s="45">
        <v>4380.75</v>
      </c>
      <c r="Q2177" s="45">
        <f t="shared" si="260"/>
        <v>1460.25</v>
      </c>
      <c r="R2177" s="25">
        <f t="shared" si="261"/>
        <v>4380.75</v>
      </c>
    </row>
    <row r="2178" spans="1:19" hidden="1" x14ac:dyDescent="0.25">
      <c r="B2178" s="21" t="s">
        <v>395</v>
      </c>
      <c r="C2178" s="22" t="s">
        <v>158</v>
      </c>
      <c r="D2178" s="22"/>
      <c r="E2178" s="21" t="s">
        <v>10</v>
      </c>
      <c r="F2178" s="21" t="s">
        <v>9721</v>
      </c>
      <c r="G2178" s="147" t="s">
        <v>7313</v>
      </c>
      <c r="H2178" s="23" t="s">
        <v>11636</v>
      </c>
      <c r="I2178" s="23" t="s">
        <v>11637</v>
      </c>
      <c r="J2178" s="21" t="s">
        <v>6557</v>
      </c>
      <c r="K2178" s="21"/>
      <c r="L2178" s="21" t="s">
        <v>11718</v>
      </c>
      <c r="M2178" s="26">
        <v>45769</v>
      </c>
      <c r="N2178" s="44">
        <v>523.76</v>
      </c>
      <c r="O2178" s="22" t="s">
        <v>15</v>
      </c>
      <c r="P2178" s="44">
        <v>523.76</v>
      </c>
      <c r="Q2178" s="44">
        <f t="shared" si="260"/>
        <v>0</v>
      </c>
      <c r="R2178" s="24">
        <f t="shared" si="261"/>
        <v>523.76</v>
      </c>
    </row>
    <row r="2179" spans="1:19" hidden="1" x14ac:dyDescent="0.25">
      <c r="A2179" t="s">
        <v>6753</v>
      </c>
      <c r="B2179" s="21" t="s">
        <v>395</v>
      </c>
      <c r="C2179" s="22" t="s">
        <v>2450</v>
      </c>
      <c r="D2179" s="22"/>
      <c r="E2179" s="21" t="s">
        <v>10</v>
      </c>
      <c r="F2179" s="21" t="s">
        <v>9721</v>
      </c>
      <c r="G2179" s="147" t="s">
        <v>7315</v>
      </c>
      <c r="H2179" s="23" t="s">
        <v>11638</v>
      </c>
      <c r="I2179" s="23" t="s">
        <v>11639</v>
      </c>
      <c r="J2179" s="21" t="s">
        <v>6557</v>
      </c>
      <c r="K2179" s="21"/>
      <c r="L2179" s="21" t="s">
        <v>12391</v>
      </c>
      <c r="M2179" s="26" t="s">
        <v>12392</v>
      </c>
      <c r="N2179" s="44">
        <v>3068</v>
      </c>
      <c r="O2179" s="22" t="s">
        <v>15</v>
      </c>
      <c r="P2179" s="44">
        <f>2444.8+473.6+149.6</f>
        <v>3068</v>
      </c>
      <c r="Q2179" s="44">
        <f t="shared" si="260"/>
        <v>0</v>
      </c>
      <c r="R2179" s="116">
        <f t="shared" si="261"/>
        <v>3068</v>
      </c>
    </row>
    <row r="2180" spans="1:19" hidden="1" x14ac:dyDescent="0.25">
      <c r="B2180" s="21" t="s">
        <v>395</v>
      </c>
      <c r="C2180" s="22" t="s">
        <v>2450</v>
      </c>
      <c r="D2180" s="22"/>
      <c r="E2180" s="21" t="s">
        <v>0</v>
      </c>
      <c r="F2180" s="21" t="s">
        <v>9823</v>
      </c>
      <c r="G2180" s="147" t="s">
        <v>5405</v>
      </c>
      <c r="H2180" s="23" t="s">
        <v>11640</v>
      </c>
      <c r="I2180" s="23" t="s">
        <v>11641</v>
      </c>
      <c r="J2180" s="21" t="s">
        <v>11642</v>
      </c>
      <c r="K2180" s="21"/>
      <c r="L2180" s="21" t="s">
        <v>4280</v>
      </c>
      <c r="M2180" s="26">
        <v>45777</v>
      </c>
      <c r="N2180" s="44">
        <v>7760</v>
      </c>
      <c r="O2180" s="22" t="s">
        <v>15</v>
      </c>
      <c r="P2180" s="44">
        <v>7760</v>
      </c>
      <c r="Q2180" s="44">
        <f t="shared" si="260"/>
        <v>0</v>
      </c>
      <c r="R2180" s="24">
        <f t="shared" si="261"/>
        <v>7760</v>
      </c>
    </row>
    <row r="2181" spans="1:19" hidden="1" x14ac:dyDescent="0.25">
      <c r="B2181" s="21" t="s">
        <v>395</v>
      </c>
      <c r="C2181" s="22" t="s">
        <v>2450</v>
      </c>
      <c r="D2181" s="22"/>
      <c r="E2181" s="21" t="s">
        <v>10</v>
      </c>
      <c r="F2181" s="21" t="s">
        <v>9721</v>
      </c>
      <c r="G2181" s="147" t="s">
        <v>11065</v>
      </c>
      <c r="H2181" s="23" t="s">
        <v>11643</v>
      </c>
      <c r="I2181" s="23" t="s">
        <v>11644</v>
      </c>
      <c r="J2181" s="21" t="s">
        <v>6557</v>
      </c>
      <c r="K2181" s="21"/>
      <c r="L2181" s="21" t="s">
        <v>11717</v>
      </c>
      <c r="M2181" s="26">
        <v>45764</v>
      </c>
      <c r="N2181" s="44">
        <v>321</v>
      </c>
      <c r="O2181" s="22" t="s">
        <v>15</v>
      </c>
      <c r="P2181" s="44">
        <v>321</v>
      </c>
      <c r="Q2181" s="44">
        <f t="shared" si="260"/>
        <v>0</v>
      </c>
      <c r="R2181" s="24">
        <f t="shared" si="261"/>
        <v>321</v>
      </c>
    </row>
    <row r="2182" spans="1:19" hidden="1" x14ac:dyDescent="0.25">
      <c r="B2182" s="21" t="s">
        <v>395</v>
      </c>
      <c r="C2182" s="22" t="s">
        <v>2450</v>
      </c>
      <c r="D2182" s="22"/>
      <c r="E2182" s="21" t="s">
        <v>10</v>
      </c>
      <c r="F2182" s="22" t="s">
        <v>9721</v>
      </c>
      <c r="G2182" s="147" t="s">
        <v>8639</v>
      </c>
      <c r="H2182" s="23" t="s">
        <v>11645</v>
      </c>
      <c r="I2182" s="23" t="s">
        <v>11646</v>
      </c>
      <c r="J2182" s="21" t="s">
        <v>6557</v>
      </c>
      <c r="K2182" s="21"/>
      <c r="L2182" s="21" t="s">
        <v>11723</v>
      </c>
      <c r="M2182" s="26">
        <v>45763</v>
      </c>
      <c r="N2182" s="44">
        <v>3231</v>
      </c>
      <c r="O2182" s="22" t="s">
        <v>15</v>
      </c>
      <c r="P2182" s="44">
        <v>3231</v>
      </c>
      <c r="Q2182" s="44">
        <f t="shared" si="260"/>
        <v>0</v>
      </c>
      <c r="R2182" s="116">
        <f t="shared" si="261"/>
        <v>3231</v>
      </c>
    </row>
    <row r="2183" spans="1:19" hidden="1" x14ac:dyDescent="0.25">
      <c r="B2183" s="21" t="s">
        <v>395</v>
      </c>
      <c r="C2183" s="22" t="s">
        <v>2450</v>
      </c>
      <c r="D2183" s="22"/>
      <c r="E2183" s="21" t="s">
        <v>10</v>
      </c>
      <c r="F2183" s="21" t="s">
        <v>9721</v>
      </c>
      <c r="G2183" s="147" t="s">
        <v>8639</v>
      </c>
      <c r="H2183" s="23" t="s">
        <v>11647</v>
      </c>
      <c r="I2183" s="23" t="s">
        <v>11648</v>
      </c>
      <c r="J2183" s="21" t="s">
        <v>6557</v>
      </c>
      <c r="K2183" s="21"/>
      <c r="L2183" s="21" t="s">
        <v>11732</v>
      </c>
      <c r="M2183" s="26">
        <v>45771</v>
      </c>
      <c r="N2183" s="44">
        <v>642</v>
      </c>
      <c r="O2183" s="22" t="s">
        <v>15</v>
      </c>
      <c r="P2183" s="44">
        <v>642</v>
      </c>
      <c r="Q2183" s="44">
        <f t="shared" si="260"/>
        <v>0</v>
      </c>
      <c r="R2183" s="116">
        <f t="shared" si="261"/>
        <v>642</v>
      </c>
    </row>
    <row r="2184" spans="1:19" hidden="1" x14ac:dyDescent="0.25">
      <c r="B2184" s="21" t="s">
        <v>395</v>
      </c>
      <c r="C2184" s="22" t="s">
        <v>2450</v>
      </c>
      <c r="D2184" s="22"/>
      <c r="E2184" s="21" t="s">
        <v>0</v>
      </c>
      <c r="F2184" s="21" t="s">
        <v>9823</v>
      </c>
      <c r="G2184" s="147" t="s">
        <v>8757</v>
      </c>
      <c r="H2184" s="23" t="s">
        <v>11649</v>
      </c>
      <c r="I2184" s="23" t="s">
        <v>11650</v>
      </c>
      <c r="J2184" s="21" t="s">
        <v>11608</v>
      </c>
      <c r="K2184" s="21"/>
      <c r="L2184" s="21" t="s">
        <v>11741</v>
      </c>
      <c r="M2184" s="26" t="s">
        <v>11740</v>
      </c>
      <c r="N2184" s="44">
        <v>4550</v>
      </c>
      <c r="O2184" s="22" t="s">
        <v>337</v>
      </c>
      <c r="P2184" s="44">
        <f>3500+1050</f>
        <v>4550</v>
      </c>
      <c r="Q2184" s="44">
        <f t="shared" si="260"/>
        <v>0</v>
      </c>
      <c r="R2184" s="116">
        <f t="shared" si="261"/>
        <v>4550</v>
      </c>
      <c r="S2184"/>
    </row>
    <row r="2185" spans="1:19" hidden="1" x14ac:dyDescent="0.25">
      <c r="B2185" s="21" t="s">
        <v>395</v>
      </c>
      <c r="C2185" s="22" t="s">
        <v>2450</v>
      </c>
      <c r="D2185" s="22"/>
      <c r="E2185" s="21" t="s">
        <v>0</v>
      </c>
      <c r="F2185" s="21" t="s">
        <v>9823</v>
      </c>
      <c r="G2185" s="147" t="s">
        <v>8757</v>
      </c>
      <c r="H2185" s="23" t="s">
        <v>11651</v>
      </c>
      <c r="I2185" s="23" t="s">
        <v>11652</v>
      </c>
      <c r="J2185" s="21" t="s">
        <v>11653</v>
      </c>
      <c r="K2185" s="21"/>
      <c r="L2185" s="21" t="s">
        <v>11742</v>
      </c>
      <c r="M2185" s="26">
        <v>45777</v>
      </c>
      <c r="N2185" s="44">
        <v>3800</v>
      </c>
      <c r="O2185" s="22" t="s">
        <v>337</v>
      </c>
      <c r="P2185" s="44">
        <v>3800</v>
      </c>
      <c r="Q2185" s="44">
        <f t="shared" si="260"/>
        <v>0</v>
      </c>
      <c r="R2185" s="116">
        <f t="shared" si="261"/>
        <v>3800</v>
      </c>
      <c r="S2185"/>
    </row>
    <row r="2186" spans="1:19" hidden="1" x14ac:dyDescent="0.25">
      <c r="B2186" s="21" t="s">
        <v>395</v>
      </c>
      <c r="C2186" s="22" t="s">
        <v>158</v>
      </c>
      <c r="D2186" s="22"/>
      <c r="E2186" s="21" t="s">
        <v>10</v>
      </c>
      <c r="F2186" s="21" t="s">
        <v>9721</v>
      </c>
      <c r="G2186" s="147" t="s">
        <v>1201</v>
      </c>
      <c r="H2186" s="23" t="s">
        <v>11654</v>
      </c>
      <c r="I2186" s="23" t="s">
        <v>11655</v>
      </c>
      <c r="J2186" s="21" t="s">
        <v>11656</v>
      </c>
      <c r="K2186" s="21"/>
      <c r="L2186" s="21" t="s">
        <v>11960</v>
      </c>
      <c r="M2186" s="26" t="s">
        <v>11961</v>
      </c>
      <c r="N2186" s="44">
        <v>1945.8</v>
      </c>
      <c r="O2186" s="22" t="s">
        <v>15</v>
      </c>
      <c r="P2186" s="44">
        <f>1818.8+127</f>
        <v>1945.8</v>
      </c>
      <c r="Q2186" s="44">
        <f t="shared" si="260"/>
        <v>0</v>
      </c>
      <c r="R2186" s="116">
        <f t="shared" si="261"/>
        <v>1945.8</v>
      </c>
    </row>
    <row r="2187" spans="1:19" hidden="1" x14ac:dyDescent="0.25">
      <c r="B2187" s="21" t="s">
        <v>395</v>
      </c>
      <c r="C2187" s="22" t="s">
        <v>2450</v>
      </c>
      <c r="D2187" s="22"/>
      <c r="E2187" s="21" t="s">
        <v>10</v>
      </c>
      <c r="F2187" s="21" t="s">
        <v>9721</v>
      </c>
      <c r="G2187" s="147" t="s">
        <v>10340</v>
      </c>
      <c r="H2187" s="23" t="s">
        <v>11657</v>
      </c>
      <c r="I2187" s="23" t="s">
        <v>11658</v>
      </c>
      <c r="J2187" s="21" t="s">
        <v>6557</v>
      </c>
      <c r="K2187" s="21"/>
      <c r="L2187" s="21" t="s">
        <v>11715</v>
      </c>
      <c r="M2187" s="26">
        <v>45761</v>
      </c>
      <c r="N2187" s="44">
        <v>580</v>
      </c>
      <c r="O2187" s="22" t="s">
        <v>15</v>
      </c>
      <c r="P2187" s="44">
        <v>580</v>
      </c>
      <c r="Q2187" s="44">
        <f t="shared" si="260"/>
        <v>0</v>
      </c>
      <c r="R2187" s="116">
        <f t="shared" si="261"/>
        <v>580</v>
      </c>
    </row>
    <row r="2188" spans="1:19" ht="16.5" hidden="1" customHeight="1" x14ac:dyDescent="0.25">
      <c r="B2188" s="21" t="s">
        <v>395</v>
      </c>
      <c r="C2188" s="22" t="s">
        <v>2450</v>
      </c>
      <c r="D2188" s="22"/>
      <c r="E2188" s="21" t="s">
        <v>75</v>
      </c>
      <c r="F2188" s="21" t="s">
        <v>9558</v>
      </c>
      <c r="G2188" s="147" t="s">
        <v>12101</v>
      </c>
      <c r="H2188" s="23" t="s">
        <v>13162</v>
      </c>
      <c r="I2188" s="23" t="s">
        <v>11673</v>
      </c>
      <c r="J2188" s="21" t="s">
        <v>11674</v>
      </c>
      <c r="K2188" s="21"/>
      <c r="L2188" s="21" t="s">
        <v>12097</v>
      </c>
      <c r="M2188" s="23" t="s">
        <v>12098</v>
      </c>
      <c r="N2188" s="44">
        <v>5870</v>
      </c>
      <c r="O2188" s="22" t="s">
        <v>276</v>
      </c>
      <c r="P2188" s="44">
        <v>5870</v>
      </c>
      <c r="Q2188" s="44">
        <f t="shared" ref="Q2188:Q2199" si="262">IF(P2188="en cours",N2188,IF(P2188="OK",0,IF(N2188-P2188&lt;0,0,N2188-P2188)))</f>
        <v>0</v>
      </c>
      <c r="R2188" s="116">
        <f t="shared" ref="R2188:R2198" si="263">IF(P2188="OK",N2188-Q2188,IF(P2188="en cours",N2188-Q2188,P2188))</f>
        <v>5870</v>
      </c>
    </row>
    <row r="2189" spans="1:19" hidden="1" x14ac:dyDescent="0.25">
      <c r="C2189" s="4" t="s">
        <v>2450</v>
      </c>
      <c r="E2189" s="5" t="s">
        <v>0</v>
      </c>
      <c r="F2189" s="5" t="s">
        <v>9807</v>
      </c>
      <c r="G2189" s="146" t="s">
        <v>10333</v>
      </c>
      <c r="H2189" s="7" t="s">
        <v>11675</v>
      </c>
      <c r="I2189" s="7" t="s">
        <v>11676</v>
      </c>
      <c r="J2189" s="5" t="s">
        <v>11677</v>
      </c>
      <c r="L2189" s="5" t="s">
        <v>11916</v>
      </c>
      <c r="M2189" s="12">
        <v>45775</v>
      </c>
      <c r="N2189" s="45">
        <v>28630</v>
      </c>
      <c r="O2189" s="4" t="s">
        <v>15</v>
      </c>
      <c r="P2189" s="45">
        <v>12336.5</v>
      </c>
      <c r="Q2189" s="3">
        <f t="shared" si="262"/>
        <v>16293.5</v>
      </c>
      <c r="R2189" s="3">
        <f t="shared" si="263"/>
        <v>12336.5</v>
      </c>
    </row>
    <row r="2190" spans="1:19" hidden="1" x14ac:dyDescent="0.25">
      <c r="B2190" s="21" t="s">
        <v>395</v>
      </c>
      <c r="C2190" s="22" t="s">
        <v>2450</v>
      </c>
      <c r="D2190" s="22"/>
      <c r="E2190" s="21" t="s">
        <v>0</v>
      </c>
      <c r="F2190" s="21" t="s">
        <v>9807</v>
      </c>
      <c r="G2190" s="147" t="s">
        <v>6365</v>
      </c>
      <c r="H2190" s="23" t="s">
        <v>11678</v>
      </c>
      <c r="I2190" s="23" t="s">
        <v>11679</v>
      </c>
      <c r="J2190" s="21" t="s">
        <v>11680</v>
      </c>
      <c r="K2190" s="21"/>
      <c r="L2190" s="21" t="s">
        <v>11730</v>
      </c>
      <c r="M2190" s="26">
        <v>45775</v>
      </c>
      <c r="N2190" s="44">
        <v>53585</v>
      </c>
      <c r="O2190" s="22" t="s">
        <v>15</v>
      </c>
      <c r="P2190" s="44">
        <v>53585</v>
      </c>
      <c r="Q2190" s="24">
        <f t="shared" si="262"/>
        <v>0</v>
      </c>
      <c r="R2190" s="24">
        <f t="shared" si="263"/>
        <v>53585</v>
      </c>
    </row>
    <row r="2191" spans="1:19" hidden="1" x14ac:dyDescent="0.25">
      <c r="B2191" s="421" t="s">
        <v>395</v>
      </c>
      <c r="C2191" s="22" t="s">
        <v>2450</v>
      </c>
      <c r="D2191" s="22"/>
      <c r="E2191" s="21" t="s">
        <v>0</v>
      </c>
      <c r="F2191" s="21" t="s">
        <v>9807</v>
      </c>
      <c r="G2191" s="147" t="s">
        <v>7266</v>
      </c>
      <c r="H2191" s="23" t="s">
        <v>11681</v>
      </c>
      <c r="I2191" s="23" t="s">
        <v>11682</v>
      </c>
      <c r="J2191" s="21" t="s">
        <v>11683</v>
      </c>
      <c r="K2191" s="21"/>
      <c r="L2191" s="21" t="s">
        <v>12572</v>
      </c>
      <c r="M2191" s="26">
        <v>45929</v>
      </c>
      <c r="N2191" s="44">
        <v>37300</v>
      </c>
      <c r="O2191" s="22" t="s">
        <v>15</v>
      </c>
      <c r="P2191" s="44">
        <v>37300</v>
      </c>
      <c r="Q2191" s="44">
        <f t="shared" si="262"/>
        <v>0</v>
      </c>
      <c r="R2191" s="116">
        <f t="shared" si="263"/>
        <v>37300</v>
      </c>
    </row>
    <row r="2192" spans="1:19" hidden="1" x14ac:dyDescent="0.25">
      <c r="B2192" s="21" t="s">
        <v>395</v>
      </c>
      <c r="C2192" s="22" t="s">
        <v>2450</v>
      </c>
      <c r="D2192" s="22"/>
      <c r="E2192" s="21" t="s">
        <v>0</v>
      </c>
      <c r="F2192" s="21" t="s">
        <v>9823</v>
      </c>
      <c r="G2192" s="147" t="s">
        <v>8757</v>
      </c>
      <c r="H2192" s="23" t="s">
        <v>11684</v>
      </c>
      <c r="I2192" s="23" t="s">
        <v>11685</v>
      </c>
      <c r="J2192" s="21" t="s">
        <v>11686</v>
      </c>
      <c r="K2192" s="21"/>
      <c r="L2192" s="21" t="s">
        <v>11743</v>
      </c>
      <c r="M2192" s="26">
        <v>45777</v>
      </c>
      <c r="N2192" s="44">
        <v>2610</v>
      </c>
      <c r="O2192" s="22" t="s">
        <v>337</v>
      </c>
      <c r="P2192" s="44">
        <v>2610</v>
      </c>
      <c r="Q2192" s="44">
        <f t="shared" si="262"/>
        <v>0</v>
      </c>
      <c r="R2192" s="116">
        <f t="shared" si="263"/>
        <v>2610</v>
      </c>
      <c r="S2192"/>
    </row>
    <row r="2193" spans="2:18" hidden="1" x14ac:dyDescent="0.25">
      <c r="B2193" s="21" t="s">
        <v>395</v>
      </c>
      <c r="C2193" s="22" t="s">
        <v>2450</v>
      </c>
      <c r="D2193" s="22"/>
      <c r="E2193" s="21" t="s">
        <v>10</v>
      </c>
      <c r="F2193" s="21" t="s">
        <v>9721</v>
      </c>
      <c r="G2193" s="147" t="s">
        <v>6393</v>
      </c>
      <c r="H2193" s="107" t="s">
        <v>11692</v>
      </c>
      <c r="I2193" s="23" t="s">
        <v>11687</v>
      </c>
      <c r="J2193" s="21" t="s">
        <v>11698</v>
      </c>
      <c r="K2193" s="47"/>
      <c r="L2193" s="21" t="s">
        <v>12372</v>
      </c>
      <c r="M2193" s="26">
        <v>45869</v>
      </c>
      <c r="N2193" s="44">
        <v>976.56</v>
      </c>
      <c r="O2193" s="22" t="s">
        <v>15</v>
      </c>
      <c r="P2193" s="44">
        <f>244.14+244.14+488.28</f>
        <v>976.56</v>
      </c>
      <c r="Q2193" s="24">
        <f t="shared" si="262"/>
        <v>0</v>
      </c>
      <c r="R2193" s="24">
        <f t="shared" si="263"/>
        <v>976.56</v>
      </c>
    </row>
    <row r="2194" spans="2:18" hidden="1" x14ac:dyDescent="0.25">
      <c r="B2194" s="21" t="s">
        <v>395</v>
      </c>
      <c r="C2194" s="22" t="s">
        <v>2450</v>
      </c>
      <c r="D2194" s="22"/>
      <c r="E2194" s="21" t="s">
        <v>10</v>
      </c>
      <c r="F2194" s="21" t="s">
        <v>9721</v>
      </c>
      <c r="G2194" s="147" t="s">
        <v>6393</v>
      </c>
      <c r="H2194" s="107" t="s">
        <v>11693</v>
      </c>
      <c r="I2194" s="23" t="s">
        <v>11687</v>
      </c>
      <c r="J2194" s="21" t="s">
        <v>11699</v>
      </c>
      <c r="K2194" s="47"/>
      <c r="L2194" s="21" t="s">
        <v>12503</v>
      </c>
      <c r="M2194" s="26">
        <v>45900</v>
      </c>
      <c r="N2194" s="44">
        <v>488.28</v>
      </c>
      <c r="O2194" s="22" t="s">
        <v>15</v>
      </c>
      <c r="P2194" s="44">
        <f>488.28</f>
        <v>488.28</v>
      </c>
      <c r="Q2194" s="24">
        <f t="shared" si="262"/>
        <v>0</v>
      </c>
      <c r="R2194" s="24">
        <f t="shared" si="263"/>
        <v>488.28</v>
      </c>
    </row>
    <row r="2195" spans="2:18" hidden="1" x14ac:dyDescent="0.25">
      <c r="B2195" s="21" t="s">
        <v>395</v>
      </c>
      <c r="C2195" s="22" t="s">
        <v>2450</v>
      </c>
      <c r="D2195" s="22"/>
      <c r="E2195" s="21" t="s">
        <v>10</v>
      </c>
      <c r="F2195" s="21" t="s">
        <v>9721</v>
      </c>
      <c r="G2195" s="147" t="s">
        <v>6393</v>
      </c>
      <c r="H2195" s="107" t="s">
        <v>11694</v>
      </c>
      <c r="I2195" s="23" t="s">
        <v>11688</v>
      </c>
      <c r="J2195" s="21" t="s">
        <v>11700</v>
      </c>
      <c r="K2195" s="47"/>
      <c r="L2195" s="21" t="s">
        <v>12838</v>
      </c>
      <c r="M2195" s="26">
        <v>45930</v>
      </c>
      <c r="N2195" s="44">
        <v>976.56</v>
      </c>
      <c r="O2195" s="22" t="s">
        <v>15</v>
      </c>
      <c r="P2195" s="44">
        <f>488.28</f>
        <v>488.28</v>
      </c>
      <c r="Q2195" s="24">
        <v>0</v>
      </c>
      <c r="R2195" s="24">
        <f t="shared" si="263"/>
        <v>488.28</v>
      </c>
    </row>
    <row r="2196" spans="2:18" hidden="1" x14ac:dyDescent="0.25">
      <c r="B2196" s="21" t="s">
        <v>395</v>
      </c>
      <c r="C2196" s="22" t="s">
        <v>2450</v>
      </c>
      <c r="D2196" s="22"/>
      <c r="E2196" s="21" t="s">
        <v>10</v>
      </c>
      <c r="F2196" s="21" t="s">
        <v>9721</v>
      </c>
      <c r="G2196" s="147" t="s">
        <v>6393</v>
      </c>
      <c r="H2196" s="107" t="s">
        <v>11695</v>
      </c>
      <c r="I2196" s="23" t="s">
        <v>11689</v>
      </c>
      <c r="J2196" s="21" t="s">
        <v>11701</v>
      </c>
      <c r="K2196" s="47"/>
      <c r="L2196" s="21" t="s">
        <v>13259</v>
      </c>
      <c r="M2196" s="26">
        <v>45961</v>
      </c>
      <c r="N2196" s="44">
        <v>1220.7</v>
      </c>
      <c r="O2196" s="22" t="s">
        <v>15</v>
      </c>
      <c r="P2196" s="44">
        <f>976.56</f>
        <v>976.56</v>
      </c>
      <c r="Q2196" s="24">
        <v>0</v>
      </c>
      <c r="R2196" s="24">
        <f t="shared" si="263"/>
        <v>976.56</v>
      </c>
    </row>
    <row r="2197" spans="2:18" hidden="1" x14ac:dyDescent="0.25">
      <c r="B2197" s="21" t="s">
        <v>395</v>
      </c>
      <c r="C2197" s="22" t="s">
        <v>2450</v>
      </c>
      <c r="D2197" s="22"/>
      <c r="E2197" s="21" t="s">
        <v>10</v>
      </c>
      <c r="F2197" s="21" t="s">
        <v>9721</v>
      </c>
      <c r="G2197" s="147" t="s">
        <v>6393</v>
      </c>
      <c r="H2197" s="107" t="s">
        <v>11696</v>
      </c>
      <c r="I2197" s="23" t="s">
        <v>11690</v>
      </c>
      <c r="J2197" s="21" t="s">
        <v>11702</v>
      </c>
      <c r="K2197" s="47"/>
      <c r="L2197" s="21" t="s">
        <v>13454</v>
      </c>
      <c r="M2197" s="26" t="s">
        <v>13455</v>
      </c>
      <c r="N2197" s="44">
        <v>732.42</v>
      </c>
      <c r="O2197" s="22" t="s">
        <v>15</v>
      </c>
      <c r="P2197" s="44">
        <f>244.14+244.14+123.79</f>
        <v>612.06999999999994</v>
      </c>
      <c r="Q2197" s="24">
        <v>0</v>
      </c>
      <c r="R2197" s="24">
        <f t="shared" si="263"/>
        <v>612.06999999999994</v>
      </c>
    </row>
    <row r="2198" spans="2:18" hidden="1" x14ac:dyDescent="0.25">
      <c r="B2198" s="21" t="s">
        <v>395</v>
      </c>
      <c r="C2198" s="22" t="s">
        <v>2450</v>
      </c>
      <c r="D2198" s="22"/>
      <c r="E2198" s="21" t="s">
        <v>10</v>
      </c>
      <c r="F2198" s="21" t="s">
        <v>9721</v>
      </c>
      <c r="G2198" s="147" t="s">
        <v>6393</v>
      </c>
      <c r="H2198" s="107" t="s">
        <v>11697</v>
      </c>
      <c r="I2198" s="23" t="s">
        <v>11691</v>
      </c>
      <c r="J2198" s="21" t="s">
        <v>11703</v>
      </c>
      <c r="K2198" s="47"/>
      <c r="L2198" s="21" t="s">
        <v>13836</v>
      </c>
      <c r="M2198" s="26" t="s">
        <v>13829</v>
      </c>
      <c r="N2198" s="44">
        <v>732.42</v>
      </c>
      <c r="O2198" s="22" t="s">
        <v>15</v>
      </c>
      <c r="P2198" s="44">
        <f>488.28+244.14</f>
        <v>732.42</v>
      </c>
      <c r="Q2198" s="24">
        <f>IF(P2198="en cours",N2198,IF(P2198="OK",0,IF(N2198-P2198&lt;0,0,N2198-P2198)))</f>
        <v>0</v>
      </c>
      <c r="R2198" s="24">
        <f t="shared" si="263"/>
        <v>732.42</v>
      </c>
    </row>
    <row r="2199" spans="2:18" hidden="1" x14ac:dyDescent="0.25">
      <c r="B2199" s="21" t="s">
        <v>395</v>
      </c>
      <c r="C2199" s="22" t="s">
        <v>2450</v>
      </c>
      <c r="D2199" s="22"/>
      <c r="E2199" s="21" t="s">
        <v>75</v>
      </c>
      <c r="F2199" s="21"/>
      <c r="G2199" s="147" t="s">
        <v>4531</v>
      </c>
      <c r="H2199" s="23" t="s">
        <v>11751</v>
      </c>
      <c r="I2199" s="23"/>
      <c r="J2199" s="21" t="s">
        <v>8544</v>
      </c>
      <c r="K2199" s="21"/>
      <c r="L2199" s="21" t="s">
        <v>11754</v>
      </c>
      <c r="M2199" s="26" t="s">
        <v>11755</v>
      </c>
      <c r="N2199" s="44">
        <v>105842.6</v>
      </c>
      <c r="O2199" s="22" t="s">
        <v>15</v>
      </c>
      <c r="P2199" s="44">
        <f>47629.17+58213.43</f>
        <v>105842.6</v>
      </c>
      <c r="Q2199" s="24">
        <f t="shared" si="262"/>
        <v>0</v>
      </c>
      <c r="R2199" s="24">
        <f>IF(P2199="OK",N2199-Q2199,IF(P2199="en cours",N2199-Q2199,P2199))</f>
        <v>105842.6</v>
      </c>
    </row>
    <row r="2200" spans="2:18" hidden="1" x14ac:dyDescent="0.25">
      <c r="B2200" s="21" t="s">
        <v>395</v>
      </c>
      <c r="C2200" s="22" t="s">
        <v>2450</v>
      </c>
      <c r="D2200" s="22"/>
      <c r="E2200" s="21" t="s">
        <v>75</v>
      </c>
      <c r="F2200" s="21"/>
      <c r="G2200" s="147" t="s">
        <v>4531</v>
      </c>
      <c r="H2200" s="23" t="s">
        <v>11752</v>
      </c>
      <c r="I2200" s="23"/>
      <c r="J2200" s="21" t="s">
        <v>8544</v>
      </c>
      <c r="K2200" s="21"/>
      <c r="L2200" s="21" t="s">
        <v>11753</v>
      </c>
      <c r="M2200" s="26">
        <v>45560</v>
      </c>
      <c r="N2200" s="44">
        <v>113696.3</v>
      </c>
      <c r="O2200" s="22" t="s">
        <v>15</v>
      </c>
      <c r="P2200" s="44">
        <f>113969.3</f>
        <v>113969.3</v>
      </c>
      <c r="Q2200" s="24">
        <f t="shared" ref="Q2200:Q2201" si="264">IF(P2200="en cours",N2200,IF(P2200="OK",0,IF(N2200-P2200&lt;0,0,N2200-P2200)))</f>
        <v>0</v>
      </c>
      <c r="R2200" s="24">
        <f>IF(P2200="OK",N2200-Q2200,IF(P2200="en cours",N2200-Q2200,P2200))</f>
        <v>113969.3</v>
      </c>
    </row>
    <row r="2201" spans="2:18" hidden="1" x14ac:dyDescent="0.25">
      <c r="B2201" s="21" t="s">
        <v>395</v>
      </c>
      <c r="C2201" s="22" t="s">
        <v>2450</v>
      </c>
      <c r="D2201" s="22"/>
      <c r="E2201" s="21" t="s">
        <v>0</v>
      </c>
      <c r="F2201" s="21" t="s">
        <v>9823</v>
      </c>
      <c r="G2201" s="147" t="s">
        <v>92</v>
      </c>
      <c r="H2201" s="23" t="s">
        <v>11763</v>
      </c>
      <c r="I2201" s="23" t="s">
        <v>11764</v>
      </c>
      <c r="J2201" s="21" t="s">
        <v>11765</v>
      </c>
      <c r="K2201" s="21"/>
      <c r="L2201" s="21" t="s">
        <v>11839</v>
      </c>
      <c r="M2201" s="26">
        <v>45792</v>
      </c>
      <c r="N2201" s="44">
        <v>465</v>
      </c>
      <c r="O2201" s="22" t="s">
        <v>15</v>
      </c>
      <c r="P2201" s="44">
        <v>465</v>
      </c>
      <c r="Q2201" s="24">
        <f t="shared" si="264"/>
        <v>0</v>
      </c>
      <c r="R2201" s="24">
        <f t="shared" ref="R2201" si="265">IF(P2201="OK",N2201-Q2201,IF(P2201="en cours",N2201-Q2201,P2201))</f>
        <v>465</v>
      </c>
    </row>
    <row r="2202" spans="2:18" hidden="1" x14ac:dyDescent="0.25">
      <c r="C2202" s="4" t="s">
        <v>2450</v>
      </c>
      <c r="E2202" s="5" t="s">
        <v>0</v>
      </c>
      <c r="F2202" s="5" t="s">
        <v>9823</v>
      </c>
      <c r="G2202" s="146" t="s">
        <v>5405</v>
      </c>
      <c r="H2202" s="7" t="s">
        <v>11766</v>
      </c>
      <c r="I2202" s="7" t="s">
        <v>11767</v>
      </c>
      <c r="J2202" s="5" t="s">
        <v>11642</v>
      </c>
      <c r="L2202" s="5" t="s">
        <v>13979</v>
      </c>
      <c r="M2202" s="12" t="s">
        <v>13980</v>
      </c>
      <c r="N2202" s="45">
        <v>49440</v>
      </c>
      <c r="O2202" s="4" t="s">
        <v>15</v>
      </c>
      <c r="P2202" s="45">
        <f>13080+13080+15380+1580+1580</f>
        <v>44700</v>
      </c>
      <c r="Q2202" s="3">
        <f t="shared" ref="Q2202:Q2223" si="266">IF(P2202="en cours",N2202,IF(P2202="OK",0,IF(N2202-P2202&lt;0,0,N2202-P2202)))</f>
        <v>4740</v>
      </c>
      <c r="R2202" s="3">
        <f t="shared" ref="R2202:R2223" si="267">IF(P2202="OK",N2202-Q2202,IF(P2202="en cours",N2202-Q2202,P2202))</f>
        <v>44700</v>
      </c>
    </row>
    <row r="2203" spans="2:18" hidden="1" x14ac:dyDescent="0.25">
      <c r="B2203" s="21" t="s">
        <v>395</v>
      </c>
      <c r="C2203" s="22" t="s">
        <v>2450</v>
      </c>
      <c r="D2203" s="22"/>
      <c r="E2203" s="21" t="s">
        <v>75</v>
      </c>
      <c r="F2203" s="21" t="s">
        <v>9558</v>
      </c>
      <c r="G2203" s="147" t="s">
        <v>12100</v>
      </c>
      <c r="H2203" s="23" t="s">
        <v>13163</v>
      </c>
      <c r="I2203" s="23" t="s">
        <v>11768</v>
      </c>
      <c r="J2203" s="21" t="s">
        <v>11769</v>
      </c>
      <c r="K2203" s="21"/>
      <c r="L2203" s="21" t="s">
        <v>12099</v>
      </c>
      <c r="M2203" s="26">
        <v>45845</v>
      </c>
      <c r="N2203" s="44">
        <v>7500</v>
      </c>
      <c r="O2203" s="22" t="s">
        <v>276</v>
      </c>
      <c r="P2203" s="44">
        <v>7500</v>
      </c>
      <c r="Q2203" s="24">
        <f t="shared" si="266"/>
        <v>0</v>
      </c>
      <c r="R2203" s="24">
        <f t="shared" si="267"/>
        <v>7500</v>
      </c>
    </row>
    <row r="2204" spans="2:18" hidden="1" x14ac:dyDescent="0.25">
      <c r="B2204" s="21" t="s">
        <v>395</v>
      </c>
      <c r="C2204" s="22" t="s">
        <v>2450</v>
      </c>
      <c r="D2204" s="22"/>
      <c r="E2204" s="21" t="s">
        <v>0</v>
      </c>
      <c r="F2204" s="21" t="s">
        <v>11538</v>
      </c>
      <c r="G2204" s="147" t="s">
        <v>11668</v>
      </c>
      <c r="H2204" s="23" t="s">
        <v>11771</v>
      </c>
      <c r="I2204" s="23" t="s">
        <v>11770</v>
      </c>
      <c r="J2204" s="21" t="s">
        <v>11772</v>
      </c>
      <c r="K2204" s="21"/>
      <c r="L2204" s="21" t="s">
        <v>11880</v>
      </c>
      <c r="M2204" s="26">
        <v>45792</v>
      </c>
      <c r="N2204" s="44">
        <v>10152</v>
      </c>
      <c r="O2204" s="22" t="s">
        <v>341</v>
      </c>
      <c r="P2204" s="44">
        <v>10152</v>
      </c>
      <c r="Q2204" s="44">
        <f t="shared" si="266"/>
        <v>0</v>
      </c>
      <c r="R2204" s="116">
        <f t="shared" si="267"/>
        <v>10152</v>
      </c>
    </row>
    <row r="2205" spans="2:18" hidden="1" x14ac:dyDescent="0.25">
      <c r="B2205" s="21" t="s">
        <v>395</v>
      </c>
      <c r="C2205" s="22" t="s">
        <v>2450</v>
      </c>
      <c r="D2205" s="22"/>
      <c r="E2205" s="21" t="s">
        <v>0</v>
      </c>
      <c r="F2205" s="21" t="s">
        <v>9823</v>
      </c>
      <c r="G2205" s="147" t="s">
        <v>8757</v>
      </c>
      <c r="H2205" s="23" t="s">
        <v>11773</v>
      </c>
      <c r="I2205" s="23" t="s">
        <v>11774</v>
      </c>
      <c r="J2205" s="21" t="s">
        <v>11775</v>
      </c>
      <c r="K2205" s="21"/>
      <c r="L2205" s="21" t="s">
        <v>11844</v>
      </c>
      <c r="M2205" s="26">
        <v>45785</v>
      </c>
      <c r="N2205" s="44">
        <v>7600</v>
      </c>
      <c r="O2205" s="22" t="s">
        <v>337</v>
      </c>
      <c r="P2205" s="44">
        <v>7600</v>
      </c>
      <c r="Q2205" s="24">
        <f t="shared" si="266"/>
        <v>0</v>
      </c>
      <c r="R2205" s="24">
        <f t="shared" si="267"/>
        <v>7600</v>
      </c>
    </row>
    <row r="2206" spans="2:18" hidden="1" x14ac:dyDescent="0.25">
      <c r="B2206" s="21" t="s">
        <v>395</v>
      </c>
      <c r="C2206" s="22" t="s">
        <v>158</v>
      </c>
      <c r="D2206" s="22"/>
      <c r="E2206" s="21" t="s">
        <v>10</v>
      </c>
      <c r="F2206" s="21" t="s">
        <v>9721</v>
      </c>
      <c r="G2206" s="147" t="s">
        <v>1090</v>
      </c>
      <c r="H2206" s="23" t="s">
        <v>11776</v>
      </c>
      <c r="I2206" s="23" t="s">
        <v>11777</v>
      </c>
      <c r="J2206" s="21" t="s">
        <v>6557</v>
      </c>
      <c r="K2206" s="21"/>
      <c r="L2206" s="21" t="s">
        <v>11842</v>
      </c>
      <c r="M2206" s="26" t="s">
        <v>11843</v>
      </c>
      <c r="N2206" s="44">
        <v>4109.6000000000004</v>
      </c>
      <c r="O2206" s="22" t="s">
        <v>15</v>
      </c>
      <c r="P2206" s="44">
        <f>4020+89.6</f>
        <v>4109.6000000000004</v>
      </c>
      <c r="Q2206" s="24">
        <f t="shared" si="266"/>
        <v>0</v>
      </c>
      <c r="R2206" s="24">
        <f t="shared" si="267"/>
        <v>4109.6000000000004</v>
      </c>
    </row>
    <row r="2207" spans="2:18" hidden="1" x14ac:dyDescent="0.25">
      <c r="B2207" s="21" t="s">
        <v>395</v>
      </c>
      <c r="C2207" s="22" t="s">
        <v>2450</v>
      </c>
      <c r="D2207" s="22"/>
      <c r="E2207" s="21" t="s">
        <v>10</v>
      </c>
      <c r="F2207" s="21" t="s">
        <v>9721</v>
      </c>
      <c r="G2207" s="147" t="s">
        <v>8639</v>
      </c>
      <c r="H2207" s="23" t="s">
        <v>11778</v>
      </c>
      <c r="I2207" s="23" t="s">
        <v>11779</v>
      </c>
      <c r="J2207" s="21" t="s">
        <v>6557</v>
      </c>
      <c r="K2207" s="21"/>
      <c r="L2207" s="21" t="s">
        <v>11841</v>
      </c>
      <c r="M2207" s="26">
        <v>45783</v>
      </c>
      <c r="N2207" s="44">
        <v>1751</v>
      </c>
      <c r="O2207" s="22" t="s">
        <v>15</v>
      </c>
      <c r="P2207" s="44">
        <v>1751</v>
      </c>
      <c r="Q2207" s="24">
        <f t="shared" si="266"/>
        <v>0</v>
      </c>
      <c r="R2207" s="24">
        <f t="shared" si="267"/>
        <v>1751</v>
      </c>
    </row>
    <row r="2208" spans="2:18" hidden="1" x14ac:dyDescent="0.25">
      <c r="B2208" s="21" t="s">
        <v>395</v>
      </c>
      <c r="C2208" s="22" t="s">
        <v>2450</v>
      </c>
      <c r="D2208" s="22"/>
      <c r="E2208" s="21" t="s">
        <v>0</v>
      </c>
      <c r="F2208" s="21" t="s">
        <v>9823</v>
      </c>
      <c r="G2208" s="147" t="s">
        <v>3687</v>
      </c>
      <c r="H2208" s="23" t="s">
        <v>11780</v>
      </c>
      <c r="I2208" s="23" t="s">
        <v>11781</v>
      </c>
      <c r="J2208" s="21" t="s">
        <v>11782</v>
      </c>
      <c r="K2208" s="21"/>
      <c r="L2208" s="21" t="s">
        <v>11834</v>
      </c>
      <c r="M2208" s="26">
        <v>45775</v>
      </c>
      <c r="N2208" s="44">
        <v>1500</v>
      </c>
      <c r="O2208" s="22" t="s">
        <v>15</v>
      </c>
      <c r="P2208" s="44">
        <v>1500</v>
      </c>
      <c r="Q2208" s="24">
        <f t="shared" si="266"/>
        <v>0</v>
      </c>
      <c r="R2208" s="24">
        <f t="shared" si="267"/>
        <v>1500</v>
      </c>
    </row>
    <row r="2209" spans="2:19" hidden="1" x14ac:dyDescent="0.25">
      <c r="B2209" s="21" t="s">
        <v>395</v>
      </c>
      <c r="C2209" s="22" t="s">
        <v>158</v>
      </c>
      <c r="D2209" s="22"/>
      <c r="E2209" s="21" t="s">
        <v>10</v>
      </c>
      <c r="F2209" s="21" t="s">
        <v>9721</v>
      </c>
      <c r="G2209" s="147" t="s">
        <v>9319</v>
      </c>
      <c r="H2209" s="23" t="s">
        <v>11783</v>
      </c>
      <c r="I2209" s="23" t="s">
        <v>11784</v>
      </c>
      <c r="J2209" s="21" t="s">
        <v>11785</v>
      </c>
      <c r="K2209" s="21"/>
      <c r="L2209" s="21" t="s">
        <v>11838</v>
      </c>
      <c r="M2209" s="26">
        <v>45777</v>
      </c>
      <c r="N2209" s="44">
        <v>4060.8</v>
      </c>
      <c r="O2209" s="22" t="s">
        <v>15</v>
      </c>
      <c r="P2209" s="44">
        <v>4060.8</v>
      </c>
      <c r="Q2209" s="24">
        <f t="shared" si="266"/>
        <v>0</v>
      </c>
      <c r="R2209" s="24">
        <f t="shared" si="267"/>
        <v>4060.8</v>
      </c>
    </row>
    <row r="2210" spans="2:19" hidden="1" x14ac:dyDescent="0.25">
      <c r="B2210" s="21" t="s">
        <v>395</v>
      </c>
      <c r="C2210" s="22" t="s">
        <v>2450</v>
      </c>
      <c r="D2210" s="22"/>
      <c r="E2210" s="21" t="s">
        <v>0</v>
      </c>
      <c r="F2210" s="21" t="s">
        <v>9823</v>
      </c>
      <c r="G2210" s="147" t="s">
        <v>6365</v>
      </c>
      <c r="H2210" s="23" t="s">
        <v>11786</v>
      </c>
      <c r="I2210" s="23" t="s">
        <v>11787</v>
      </c>
      <c r="J2210" s="21" t="s">
        <v>11788</v>
      </c>
      <c r="K2210" s="21"/>
      <c r="L2210" s="21" t="s">
        <v>11833</v>
      </c>
      <c r="M2210" s="26">
        <v>45776</v>
      </c>
      <c r="N2210" s="44">
        <v>8920</v>
      </c>
      <c r="O2210" s="22" t="s">
        <v>15</v>
      </c>
      <c r="P2210" s="44">
        <v>8920</v>
      </c>
      <c r="Q2210" s="24">
        <f t="shared" si="266"/>
        <v>0</v>
      </c>
      <c r="R2210" s="24">
        <f t="shared" si="267"/>
        <v>8920</v>
      </c>
    </row>
    <row r="2211" spans="2:19" hidden="1" x14ac:dyDescent="0.25">
      <c r="B2211" s="21" t="s">
        <v>395</v>
      </c>
      <c r="C2211" s="22" t="s">
        <v>2450</v>
      </c>
      <c r="D2211" s="22"/>
      <c r="E2211" s="21" t="s">
        <v>0</v>
      </c>
      <c r="F2211" s="21" t="s">
        <v>9823</v>
      </c>
      <c r="G2211" s="147" t="s">
        <v>3687</v>
      </c>
      <c r="H2211" s="23" t="s">
        <v>11789</v>
      </c>
      <c r="I2211" s="23" t="s">
        <v>11790</v>
      </c>
      <c r="J2211" s="21" t="s">
        <v>11791</v>
      </c>
      <c r="K2211" s="21"/>
      <c r="L2211" s="21" t="s">
        <v>11898</v>
      </c>
      <c r="M2211" s="26">
        <v>45804</v>
      </c>
      <c r="N2211" s="44">
        <v>1500</v>
      </c>
      <c r="O2211" s="22" t="s">
        <v>15</v>
      </c>
      <c r="P2211" s="44">
        <v>1500</v>
      </c>
      <c r="Q2211" s="24">
        <f t="shared" si="266"/>
        <v>0</v>
      </c>
      <c r="R2211" s="24">
        <f t="shared" si="267"/>
        <v>1500</v>
      </c>
      <c r="S2211" s="5" t="s">
        <v>11792</v>
      </c>
    </row>
    <row r="2212" spans="2:19" hidden="1" x14ac:dyDescent="0.25">
      <c r="B2212" s="21" t="s">
        <v>395</v>
      </c>
      <c r="C2212" s="22" t="s">
        <v>2450</v>
      </c>
      <c r="D2212" s="22"/>
      <c r="E2212" s="21" t="s">
        <v>0</v>
      </c>
      <c r="F2212" s="21" t="s">
        <v>9823</v>
      </c>
      <c r="G2212" s="147" t="s">
        <v>8757</v>
      </c>
      <c r="H2212" s="23" t="s">
        <v>11793</v>
      </c>
      <c r="I2212" s="23" t="s">
        <v>11794</v>
      </c>
      <c r="J2212" s="21" t="s">
        <v>11795</v>
      </c>
      <c r="K2212" s="21"/>
      <c r="L2212" s="21" t="s">
        <v>13397</v>
      </c>
      <c r="M2212" s="26" t="s">
        <v>13398</v>
      </c>
      <c r="N2212" s="44">
        <v>5505</v>
      </c>
      <c r="O2212" s="22" t="s">
        <v>337</v>
      </c>
      <c r="P2212" s="44">
        <f>105+600+600+600+600+600+600+1174.5+625.5</f>
        <v>5505</v>
      </c>
      <c r="Q2212" s="24">
        <f t="shared" si="266"/>
        <v>0</v>
      </c>
      <c r="R2212" s="24">
        <f t="shared" si="267"/>
        <v>5505</v>
      </c>
    </row>
    <row r="2213" spans="2:19" hidden="1" x14ac:dyDescent="0.25">
      <c r="B2213" s="21" t="s">
        <v>395</v>
      </c>
      <c r="C2213" s="22" t="s">
        <v>158</v>
      </c>
      <c r="D2213" s="22"/>
      <c r="E2213" s="21" t="s">
        <v>10</v>
      </c>
      <c r="F2213" s="21" t="s">
        <v>9721</v>
      </c>
      <c r="G2213" s="147" t="s">
        <v>1201</v>
      </c>
      <c r="H2213" s="23" t="s">
        <v>11796</v>
      </c>
      <c r="I2213" s="23" t="s">
        <v>11797</v>
      </c>
      <c r="J2213" s="21" t="s">
        <v>6557</v>
      </c>
      <c r="K2213" s="21"/>
      <c r="L2213" s="21" t="s">
        <v>11835</v>
      </c>
      <c r="M2213" s="26" t="s">
        <v>11836</v>
      </c>
      <c r="N2213" s="44">
        <v>121.2</v>
      </c>
      <c r="O2213" s="22" t="s">
        <v>15</v>
      </c>
      <c r="P2213" s="44">
        <f>26.1+95.1</f>
        <v>121.19999999999999</v>
      </c>
      <c r="Q2213" s="24">
        <f t="shared" si="266"/>
        <v>1.4210854715202004E-14</v>
      </c>
      <c r="R2213" s="24">
        <f t="shared" si="267"/>
        <v>121.19999999999999</v>
      </c>
    </row>
    <row r="2214" spans="2:19" hidden="1" x14ac:dyDescent="0.25">
      <c r="B2214" s="21" t="s">
        <v>395</v>
      </c>
      <c r="C2214" s="22" t="s">
        <v>2450</v>
      </c>
      <c r="D2214" s="22"/>
      <c r="E2214" s="21" t="s">
        <v>0</v>
      </c>
      <c r="F2214" s="21" t="s">
        <v>9773</v>
      </c>
      <c r="G2214" s="147" t="s">
        <v>10225</v>
      </c>
      <c r="H2214" s="23" t="s">
        <v>11800</v>
      </c>
      <c r="I2214" s="23" t="s">
        <v>11798</v>
      </c>
      <c r="J2214" s="165" t="s">
        <v>11801</v>
      </c>
      <c r="K2214" s="499">
        <v>195023</v>
      </c>
      <c r="L2214" s="21" t="s">
        <v>12320</v>
      </c>
      <c r="M2214" s="26" t="s">
        <v>12321</v>
      </c>
      <c r="N2214" s="44">
        <v>195023</v>
      </c>
      <c r="O2214" s="22" t="s">
        <v>276</v>
      </c>
      <c r="P2214" s="44">
        <f>113896+36740+44387</f>
        <v>195023</v>
      </c>
      <c r="Q2214" s="24">
        <f t="shared" si="266"/>
        <v>0</v>
      </c>
      <c r="R2214" s="24">
        <f t="shared" si="267"/>
        <v>195023</v>
      </c>
    </row>
    <row r="2215" spans="2:19" hidden="1" x14ac:dyDescent="0.25">
      <c r="C2215" s="4" t="s">
        <v>2450</v>
      </c>
      <c r="E2215" s="5" t="s">
        <v>0</v>
      </c>
      <c r="F2215" s="5" t="s">
        <v>9773</v>
      </c>
      <c r="G2215" s="146" t="s">
        <v>10225</v>
      </c>
      <c r="H2215" s="7" t="s">
        <v>11800</v>
      </c>
      <c r="I2215" s="7" t="s">
        <v>11798</v>
      </c>
      <c r="J2215" t="s">
        <v>11802</v>
      </c>
      <c r="K2215" s="495">
        <v>160104</v>
      </c>
      <c r="L2215" s="5" t="s">
        <v>13696</v>
      </c>
      <c r="M2215" s="12" t="s">
        <v>13697</v>
      </c>
      <c r="N2215" s="45">
        <v>160104</v>
      </c>
      <c r="O2215" s="4" t="s">
        <v>276</v>
      </c>
      <c r="P2215" s="45">
        <f>1529+15353</f>
        <v>16882</v>
      </c>
      <c r="Q2215" s="3">
        <f t="shared" si="266"/>
        <v>143222</v>
      </c>
      <c r="R2215" s="3">
        <f t="shared" si="267"/>
        <v>16882</v>
      </c>
    </row>
    <row r="2216" spans="2:19" hidden="1" x14ac:dyDescent="0.25">
      <c r="B2216" s="21" t="s">
        <v>395</v>
      </c>
      <c r="C2216" s="22" t="s">
        <v>2450</v>
      </c>
      <c r="D2216" s="22"/>
      <c r="E2216" s="21" t="s">
        <v>0</v>
      </c>
      <c r="F2216" s="21" t="s">
        <v>9823</v>
      </c>
      <c r="G2216" s="147" t="s">
        <v>92</v>
      </c>
      <c r="H2216" s="23" t="s">
        <v>11803</v>
      </c>
      <c r="I2216" s="23" t="s">
        <v>11804</v>
      </c>
      <c r="J2216" s="21" t="s">
        <v>11805</v>
      </c>
      <c r="K2216" s="21"/>
      <c r="L2216" s="21" t="s">
        <v>11840</v>
      </c>
      <c r="M2216" s="26">
        <v>45796</v>
      </c>
      <c r="N2216" s="44">
        <v>200</v>
      </c>
      <c r="O2216" s="22" t="s">
        <v>15</v>
      </c>
      <c r="P2216" s="44">
        <v>200</v>
      </c>
      <c r="Q2216" s="24">
        <f t="shared" si="266"/>
        <v>0</v>
      </c>
      <c r="R2216" s="24">
        <f t="shared" si="267"/>
        <v>200</v>
      </c>
    </row>
    <row r="2217" spans="2:19" hidden="1" x14ac:dyDescent="0.25">
      <c r="B2217" s="21" t="s">
        <v>395</v>
      </c>
      <c r="C2217" s="22" t="s">
        <v>2450</v>
      </c>
      <c r="D2217" s="22"/>
      <c r="E2217" s="21" t="s">
        <v>10</v>
      </c>
      <c r="F2217" s="21" t="s">
        <v>9830</v>
      </c>
      <c r="G2217" s="147" t="s">
        <v>7162</v>
      </c>
      <c r="H2217" s="23" t="s">
        <v>11806</v>
      </c>
      <c r="I2217" s="23" t="s">
        <v>11806</v>
      </c>
      <c r="J2217" s="21" t="s">
        <v>11807</v>
      </c>
      <c r="K2217" s="21"/>
      <c r="L2217" s="21" t="s">
        <v>11881</v>
      </c>
      <c r="M2217" s="23">
        <v>45800</v>
      </c>
      <c r="N2217" s="44">
        <v>1025</v>
      </c>
      <c r="O2217" s="22" t="s">
        <v>341</v>
      </c>
      <c r="P2217" s="44">
        <v>1025</v>
      </c>
      <c r="Q2217" s="44">
        <f t="shared" si="266"/>
        <v>0</v>
      </c>
      <c r="R2217" s="24">
        <f t="shared" si="267"/>
        <v>1025</v>
      </c>
    </row>
    <row r="2218" spans="2:19" hidden="1" x14ac:dyDescent="0.25">
      <c r="B2218" s="21" t="s">
        <v>395</v>
      </c>
      <c r="C2218" s="22" t="s">
        <v>2450</v>
      </c>
      <c r="D2218" s="22"/>
      <c r="E2218" s="21" t="s">
        <v>0</v>
      </c>
      <c r="F2218" s="21" t="s">
        <v>9807</v>
      </c>
      <c r="G2218" s="147" t="s">
        <v>522</v>
      </c>
      <c r="H2218" s="23" t="s">
        <v>11808</v>
      </c>
      <c r="I2218" s="23" t="s">
        <v>11809</v>
      </c>
      <c r="J2218" s="21" t="s">
        <v>11810</v>
      </c>
      <c r="K2218" s="21"/>
      <c r="L2218" s="21" t="s">
        <v>11882</v>
      </c>
      <c r="M2218" s="26">
        <v>45805</v>
      </c>
      <c r="N2218" s="44">
        <v>1100</v>
      </c>
      <c r="O2218" s="22" t="s">
        <v>15</v>
      </c>
      <c r="P2218" s="44">
        <v>1100</v>
      </c>
      <c r="Q2218" s="24">
        <f t="shared" si="266"/>
        <v>0</v>
      </c>
      <c r="R2218" s="24">
        <f t="shared" si="267"/>
        <v>1100</v>
      </c>
    </row>
    <row r="2219" spans="2:19" ht="15" hidden="1" customHeight="1" x14ac:dyDescent="0.25">
      <c r="B2219" s="21" t="s">
        <v>395</v>
      </c>
      <c r="C2219" s="22" t="s">
        <v>158</v>
      </c>
      <c r="D2219" s="22"/>
      <c r="E2219" s="21" t="s">
        <v>10</v>
      </c>
      <c r="F2219" s="21" t="s">
        <v>9721</v>
      </c>
      <c r="G2219" s="147" t="s">
        <v>11831</v>
      </c>
      <c r="H2219" s="23" t="s">
        <v>11811</v>
      </c>
      <c r="I2219" s="23" t="s">
        <v>11812</v>
      </c>
      <c r="J2219" s="21" t="s">
        <v>6557</v>
      </c>
      <c r="K2219" s="21"/>
      <c r="L2219" s="21" t="s">
        <v>11832</v>
      </c>
      <c r="M2219" s="26">
        <v>45793</v>
      </c>
      <c r="N2219" s="44">
        <v>153</v>
      </c>
      <c r="O2219" s="22" t="s">
        <v>15</v>
      </c>
      <c r="P2219" s="44">
        <v>153</v>
      </c>
      <c r="Q2219" s="24">
        <f t="shared" si="266"/>
        <v>0</v>
      </c>
      <c r="R2219" s="24">
        <f t="shared" si="267"/>
        <v>153</v>
      </c>
    </row>
    <row r="2220" spans="2:19" hidden="1" x14ac:dyDescent="0.25">
      <c r="B2220" s="21" t="s">
        <v>395</v>
      </c>
      <c r="C2220" s="22" t="s">
        <v>2450</v>
      </c>
      <c r="D2220" s="22"/>
      <c r="E2220" s="21" t="s">
        <v>10</v>
      </c>
      <c r="F2220" s="21" t="s">
        <v>9721</v>
      </c>
      <c r="G2220" s="147" t="s">
        <v>11294</v>
      </c>
      <c r="H2220" s="23" t="s">
        <v>11813</v>
      </c>
      <c r="I2220" s="23" t="s">
        <v>11814</v>
      </c>
      <c r="J2220" s="21" t="s">
        <v>6557</v>
      </c>
      <c r="K2220" s="21"/>
      <c r="L2220" s="21" t="s">
        <v>11903</v>
      </c>
      <c r="M2220" s="26">
        <v>45805</v>
      </c>
      <c r="N2220" s="44">
        <v>759.84</v>
      </c>
      <c r="O2220" s="22" t="s">
        <v>15</v>
      </c>
      <c r="P2220" s="44">
        <v>759.84</v>
      </c>
      <c r="Q2220" s="44">
        <f t="shared" si="266"/>
        <v>0</v>
      </c>
      <c r="R2220" s="24">
        <f t="shared" si="267"/>
        <v>759.84</v>
      </c>
    </row>
    <row r="2221" spans="2:19" hidden="1" x14ac:dyDescent="0.25">
      <c r="B2221" s="21" t="s">
        <v>395</v>
      </c>
      <c r="C2221" s="22" t="s">
        <v>2450</v>
      </c>
      <c r="D2221" s="22"/>
      <c r="E2221" s="21" t="s">
        <v>10</v>
      </c>
      <c r="F2221" s="21" t="s">
        <v>9721</v>
      </c>
      <c r="G2221" s="147" t="s">
        <v>11294</v>
      </c>
      <c r="H2221" s="23" t="s">
        <v>11815</v>
      </c>
      <c r="I2221" s="23" t="s">
        <v>11816</v>
      </c>
      <c r="J2221" s="21" t="s">
        <v>6557</v>
      </c>
      <c r="K2221" s="21"/>
      <c r="L2221" s="21" t="s">
        <v>11955</v>
      </c>
      <c r="M2221" s="26">
        <v>45813</v>
      </c>
      <c r="N2221" s="44">
        <v>2056.6</v>
      </c>
      <c r="O2221" s="22" t="s">
        <v>15</v>
      </c>
      <c r="P2221" s="44">
        <v>2056.6</v>
      </c>
      <c r="Q2221" s="24">
        <f t="shared" si="266"/>
        <v>0</v>
      </c>
      <c r="R2221" s="24">
        <f t="shared" si="267"/>
        <v>2056.6</v>
      </c>
    </row>
    <row r="2222" spans="2:19" hidden="1" x14ac:dyDescent="0.25">
      <c r="B2222" s="21" t="s">
        <v>395</v>
      </c>
      <c r="C2222" s="22" t="s">
        <v>2450</v>
      </c>
      <c r="D2222" s="22"/>
      <c r="E2222" s="21" t="s">
        <v>10</v>
      </c>
      <c r="F2222" s="21" t="s">
        <v>9721</v>
      </c>
      <c r="G2222" s="147" t="s">
        <v>6638</v>
      </c>
      <c r="H2222" s="23" t="s">
        <v>11817</v>
      </c>
      <c r="I2222" s="23" t="s">
        <v>11818</v>
      </c>
      <c r="J2222" s="21" t="s">
        <v>6557</v>
      </c>
      <c r="K2222" s="21"/>
      <c r="L2222" s="21" t="s">
        <v>11974</v>
      </c>
      <c r="M2222" s="26">
        <v>45807</v>
      </c>
      <c r="N2222" s="44">
        <v>10036.299999999999</v>
      </c>
      <c r="O2222" s="22" t="s">
        <v>15</v>
      </c>
      <c r="P2222" s="44">
        <v>10011.299999999999</v>
      </c>
      <c r="Q2222" s="24">
        <f t="shared" si="266"/>
        <v>25</v>
      </c>
      <c r="R2222" s="24">
        <f t="shared" si="267"/>
        <v>10011.299999999999</v>
      </c>
    </row>
    <row r="2223" spans="2:19" hidden="1" x14ac:dyDescent="0.25">
      <c r="B2223" s="21" t="s">
        <v>395</v>
      </c>
      <c r="C2223" s="22" t="s">
        <v>2450</v>
      </c>
      <c r="D2223" s="22"/>
      <c r="E2223" s="21" t="s">
        <v>0</v>
      </c>
      <c r="F2223" s="23" t="s">
        <v>9823</v>
      </c>
      <c r="G2223" s="147" t="s">
        <v>10296</v>
      </c>
      <c r="H2223" s="23" t="s">
        <v>11819</v>
      </c>
      <c r="I2223" s="23" t="s">
        <v>11820</v>
      </c>
      <c r="J2223" s="21" t="s">
        <v>11216</v>
      </c>
      <c r="K2223" s="21"/>
      <c r="L2223" s="21" t="s">
        <v>12036</v>
      </c>
      <c r="M2223" s="26" t="s">
        <v>12037</v>
      </c>
      <c r="N2223" s="44">
        <v>17137.900000000001</v>
      </c>
      <c r="O2223" s="22" t="s">
        <v>276</v>
      </c>
      <c r="P2223" s="44">
        <f>10187.1+6950.8</f>
        <v>17137.900000000001</v>
      </c>
      <c r="Q2223" s="44">
        <f t="shared" si="266"/>
        <v>0</v>
      </c>
      <c r="R2223" s="24">
        <f t="shared" si="267"/>
        <v>17137.900000000001</v>
      </c>
    </row>
    <row r="2224" spans="2:19" hidden="1" x14ac:dyDescent="0.25">
      <c r="B2224" s="21" t="s">
        <v>395</v>
      </c>
      <c r="C2224" s="22" t="s">
        <v>2450</v>
      </c>
      <c r="D2224" s="22"/>
      <c r="E2224" s="21" t="s">
        <v>0</v>
      </c>
      <c r="F2224" s="21" t="s">
        <v>9823</v>
      </c>
      <c r="G2224" s="147" t="s">
        <v>11823</v>
      </c>
      <c r="H2224" s="107" t="s">
        <v>11824</v>
      </c>
      <c r="I2224" s="23" t="s">
        <v>11824</v>
      </c>
      <c r="J2224" s="21" t="s">
        <v>11825</v>
      </c>
      <c r="K2224" s="21"/>
      <c r="L2224" s="21" t="s">
        <v>11826</v>
      </c>
      <c r="M2224" s="26">
        <v>45798</v>
      </c>
      <c r="N2224" s="44">
        <v>3815</v>
      </c>
      <c r="O2224" s="22" t="s">
        <v>15</v>
      </c>
      <c r="P2224" s="44">
        <v>3815</v>
      </c>
      <c r="Q2224" s="24">
        <f t="shared" ref="Q2224:Q2225" si="268">IF(P2224="en cours",N2224,IF(P2224="OK",0,IF(N2224-P2224&lt;0,0,N2224-P2224)))</f>
        <v>0</v>
      </c>
      <c r="R2224" s="24">
        <f t="shared" ref="R2224:R2225" si="269">IF(P2224="OK",N2224-Q2224,IF(P2224="en cours",N2224-Q2224,P2224))</f>
        <v>3815</v>
      </c>
    </row>
    <row r="2225" spans="2:19" hidden="1" x14ac:dyDescent="0.25">
      <c r="B2225" s="21" t="s">
        <v>395</v>
      </c>
      <c r="C2225" s="22" t="s">
        <v>2450</v>
      </c>
      <c r="D2225" s="22"/>
      <c r="E2225" s="21" t="s">
        <v>75</v>
      </c>
      <c r="F2225" s="21" t="s">
        <v>9558</v>
      </c>
      <c r="G2225" s="147" t="s">
        <v>11847</v>
      </c>
      <c r="H2225" s="23" t="s">
        <v>11848</v>
      </c>
      <c r="I2225" s="23" t="s">
        <v>11849</v>
      </c>
      <c r="J2225" s="21" t="s">
        <v>11850</v>
      </c>
      <c r="K2225" s="21"/>
      <c r="L2225" s="21" t="s">
        <v>12408</v>
      </c>
      <c r="M2225" s="26">
        <v>45888</v>
      </c>
      <c r="N2225" s="44">
        <v>5000</v>
      </c>
      <c r="O2225" s="22" t="s">
        <v>15</v>
      </c>
      <c r="P2225" s="44">
        <v>5000</v>
      </c>
      <c r="Q2225" s="24">
        <f t="shared" si="268"/>
        <v>0</v>
      </c>
      <c r="R2225" s="24">
        <f t="shared" si="269"/>
        <v>5000</v>
      </c>
    </row>
    <row r="2226" spans="2:19" hidden="1" x14ac:dyDescent="0.25">
      <c r="C2226" s="4" t="s">
        <v>2450</v>
      </c>
      <c r="E2226" s="5" t="s">
        <v>0</v>
      </c>
      <c r="F2226" s="5" t="s">
        <v>9807</v>
      </c>
      <c r="G2226" s="146" t="s">
        <v>10333</v>
      </c>
      <c r="H2226" s="7" t="s">
        <v>11851</v>
      </c>
      <c r="I2226" s="7" t="s">
        <v>11852</v>
      </c>
      <c r="J2226" s="5" t="s">
        <v>11853</v>
      </c>
      <c r="L2226" s="5" t="s">
        <v>11917</v>
      </c>
      <c r="M2226" s="12">
        <v>45803</v>
      </c>
      <c r="N2226" s="45">
        <v>5656</v>
      </c>
      <c r="O2226" s="4" t="s">
        <v>15</v>
      </c>
      <c r="P2226" s="45">
        <f>2225.3</f>
        <v>2225.3000000000002</v>
      </c>
      <c r="Q2226" s="3">
        <f t="shared" ref="Q2226:Q2227" si="270">IF(P2226="en cours",N2226,IF(P2226="OK",0,IF(N2226-P2226&lt;0,0,N2226-P2226)))</f>
        <v>3430.7</v>
      </c>
      <c r="R2226" s="3">
        <f t="shared" ref="R2226:R2227" si="271">IF(P2226="OK",N2226-Q2226,IF(P2226="en cours",N2226-Q2226,P2226))</f>
        <v>2225.3000000000002</v>
      </c>
    </row>
    <row r="2227" spans="2:19" hidden="1" x14ac:dyDescent="0.25">
      <c r="B2227" s="21" t="s">
        <v>395</v>
      </c>
      <c r="C2227" s="22" t="s">
        <v>2450</v>
      </c>
      <c r="D2227" s="22"/>
      <c r="E2227" s="21" t="s">
        <v>0</v>
      </c>
      <c r="F2227" s="21" t="s">
        <v>9773</v>
      </c>
      <c r="G2227" s="147" t="s">
        <v>10225</v>
      </c>
      <c r="H2227" s="23" t="s">
        <v>11938</v>
      </c>
      <c r="I2227" s="23" t="s">
        <v>11939</v>
      </c>
      <c r="J2227" s="21" t="s">
        <v>11940</v>
      </c>
      <c r="K2227" s="499">
        <v>95801</v>
      </c>
      <c r="L2227" s="21" t="s">
        <v>12324</v>
      </c>
      <c r="M2227" s="26" t="s">
        <v>12325</v>
      </c>
      <c r="N2227" s="44">
        <v>95801</v>
      </c>
      <c r="O2227" s="22" t="s">
        <v>276</v>
      </c>
      <c r="P2227" s="44">
        <f>8437+6294+8437+5979+52328+14326</f>
        <v>95801</v>
      </c>
      <c r="Q2227" s="24">
        <f t="shared" si="270"/>
        <v>0</v>
      </c>
      <c r="R2227" s="24">
        <f t="shared" si="271"/>
        <v>95801</v>
      </c>
    </row>
    <row r="2228" spans="2:19" hidden="1" x14ac:dyDescent="0.25">
      <c r="B2228" s="21" t="s">
        <v>395</v>
      </c>
      <c r="C2228" s="22" t="s">
        <v>2450</v>
      </c>
      <c r="D2228" s="22"/>
      <c r="E2228" s="21" t="s">
        <v>0</v>
      </c>
      <c r="F2228" s="21" t="s">
        <v>9773</v>
      </c>
      <c r="G2228" s="147" t="s">
        <v>10225</v>
      </c>
      <c r="H2228" s="23" t="s">
        <v>11938</v>
      </c>
      <c r="I2228" s="169" t="s">
        <v>12870</v>
      </c>
      <c r="J2228" s="208" t="s">
        <v>11941</v>
      </c>
      <c r="K2228" s="499">
        <v>110101</v>
      </c>
      <c r="L2228" s="21"/>
      <c r="M2228" s="26"/>
      <c r="N2228" s="44">
        <v>0</v>
      </c>
      <c r="O2228" s="22" t="s">
        <v>276</v>
      </c>
      <c r="P2228" s="44"/>
      <c r="Q2228" s="24">
        <f t="shared" ref="Q2228" si="272">IF(P2228="en cours",N2228,IF(P2228="OK",0,IF(N2228-P2228&lt;0,0,N2228-P2228)))</f>
        <v>0</v>
      </c>
      <c r="R2228" s="24">
        <f t="shared" ref="R2228" si="273">IF(P2228="OK",N2228-Q2228,IF(P2228="en cours",N2228-Q2228,P2228))</f>
        <v>0</v>
      </c>
      <c r="S2228" s="5" t="s">
        <v>12871</v>
      </c>
    </row>
    <row r="2229" spans="2:19" hidden="1" x14ac:dyDescent="0.25">
      <c r="C2229" s="4" t="s">
        <v>2450</v>
      </c>
      <c r="E2229" s="5" t="s">
        <v>0</v>
      </c>
      <c r="F2229" s="5" t="s">
        <v>9773</v>
      </c>
      <c r="G2229" s="146" t="s">
        <v>10225</v>
      </c>
      <c r="H2229" s="7" t="s">
        <v>11854</v>
      </c>
      <c r="I2229" s="7" t="s">
        <v>11856</v>
      </c>
      <c r="J2229" s="5" t="s">
        <v>11855</v>
      </c>
      <c r="K2229" s="5" t="s">
        <v>11860</v>
      </c>
      <c r="N2229" s="45">
        <v>0</v>
      </c>
      <c r="O2229" s="4" t="s">
        <v>276</v>
      </c>
      <c r="Q2229" s="3">
        <f t="shared" ref="Q2229:Q2234" si="274">IF(P2229="en cours",N2229,IF(P2229="OK",0,IF(N2229-P2229&lt;0,0,N2229-P2229)))</f>
        <v>0</v>
      </c>
      <c r="R2229" s="3">
        <f t="shared" ref="R2229:R2234" si="275">IF(P2229="OK",N2229-Q2229,IF(P2229="en cours",N2229-Q2229,P2229))</f>
        <v>0</v>
      </c>
    </row>
    <row r="2230" spans="2:19" hidden="1" x14ac:dyDescent="0.25">
      <c r="B2230" s="21" t="s">
        <v>395</v>
      </c>
      <c r="C2230" s="22" t="s">
        <v>2450</v>
      </c>
      <c r="D2230" s="22"/>
      <c r="E2230" s="21" t="s">
        <v>0</v>
      </c>
      <c r="F2230" s="21" t="s">
        <v>9773</v>
      </c>
      <c r="G2230" s="147" t="s">
        <v>10225</v>
      </c>
      <c r="H2230" s="23" t="s">
        <v>11854</v>
      </c>
      <c r="I2230" s="23" t="s">
        <v>11856</v>
      </c>
      <c r="J2230" s="21" t="s">
        <v>11857</v>
      </c>
      <c r="K2230" s="499">
        <v>38489</v>
      </c>
      <c r="L2230" s="21" t="s">
        <v>12089</v>
      </c>
      <c r="M2230" s="26" t="s">
        <v>12090</v>
      </c>
      <c r="N2230" s="44">
        <v>38489</v>
      </c>
      <c r="O2230" s="22" t="s">
        <v>276</v>
      </c>
      <c r="P2230" s="44">
        <f>26999+11490</f>
        <v>38489</v>
      </c>
      <c r="Q2230" s="24">
        <f t="shared" si="274"/>
        <v>0</v>
      </c>
      <c r="R2230" s="24">
        <f t="shared" si="275"/>
        <v>38489</v>
      </c>
    </row>
    <row r="2231" spans="2:19" hidden="1" x14ac:dyDescent="0.25">
      <c r="C2231" s="4" t="s">
        <v>2450</v>
      </c>
      <c r="E2231" s="5" t="s">
        <v>0</v>
      </c>
      <c r="F2231" s="5" t="s">
        <v>9773</v>
      </c>
      <c r="G2231" s="146" t="s">
        <v>10225</v>
      </c>
      <c r="H2231" s="7" t="s">
        <v>11854</v>
      </c>
      <c r="I2231" s="7" t="s">
        <v>11856</v>
      </c>
      <c r="J2231" s="5" t="s">
        <v>11858</v>
      </c>
      <c r="K2231" s="495">
        <v>64085</v>
      </c>
      <c r="N2231" s="45">
        <v>64085</v>
      </c>
      <c r="O2231" s="4" t="s">
        <v>276</v>
      </c>
      <c r="Q2231" s="3">
        <f t="shared" si="274"/>
        <v>64085</v>
      </c>
      <c r="R2231" s="3">
        <f t="shared" si="275"/>
        <v>0</v>
      </c>
    </row>
    <row r="2232" spans="2:19" hidden="1" x14ac:dyDescent="0.25">
      <c r="C2232" s="4" t="s">
        <v>2450</v>
      </c>
      <c r="E2232" s="5" t="s">
        <v>0</v>
      </c>
      <c r="F2232" s="5" t="s">
        <v>9773</v>
      </c>
      <c r="G2232" s="146" t="s">
        <v>10225</v>
      </c>
      <c r="H2232" s="7" t="s">
        <v>11854</v>
      </c>
      <c r="I2232" s="7" t="s">
        <v>11856</v>
      </c>
      <c r="J2232" s="5" t="s">
        <v>12418</v>
      </c>
      <c r="K2232" s="5" t="s">
        <v>11860</v>
      </c>
      <c r="L2232" s="5" t="s">
        <v>12417</v>
      </c>
      <c r="M2232" s="12">
        <v>45881</v>
      </c>
      <c r="N2232" s="45">
        <v>0</v>
      </c>
      <c r="O2232" s="4" t="s">
        <v>276</v>
      </c>
      <c r="P2232" s="45">
        <f>23373</f>
        <v>23373</v>
      </c>
      <c r="Q2232" s="3">
        <f t="shared" si="274"/>
        <v>0</v>
      </c>
      <c r="R2232" s="3">
        <f t="shared" si="275"/>
        <v>23373</v>
      </c>
    </row>
    <row r="2233" spans="2:19" hidden="1" x14ac:dyDescent="0.25">
      <c r="B2233" s="21" t="s">
        <v>395</v>
      </c>
      <c r="C2233" s="22" t="s">
        <v>2450</v>
      </c>
      <c r="D2233" s="22"/>
      <c r="E2233" s="21" t="s">
        <v>0</v>
      </c>
      <c r="F2233" s="21" t="s">
        <v>9773</v>
      </c>
      <c r="G2233" s="147" t="s">
        <v>10225</v>
      </c>
      <c r="H2233" s="23" t="s">
        <v>11854</v>
      </c>
      <c r="I2233" s="23" t="s">
        <v>11856</v>
      </c>
      <c r="J2233" s="21" t="s">
        <v>11859</v>
      </c>
      <c r="K2233" s="499">
        <v>117106</v>
      </c>
      <c r="L2233" s="21" t="s">
        <v>12414</v>
      </c>
      <c r="M2233" s="26" t="s">
        <v>12415</v>
      </c>
      <c r="N2233" s="44">
        <v>117106</v>
      </c>
      <c r="O2233" s="22" t="s">
        <v>276</v>
      </c>
      <c r="P2233" s="44">
        <f>71049+23683+22373</f>
        <v>117105</v>
      </c>
      <c r="Q2233" s="24">
        <f t="shared" si="274"/>
        <v>1</v>
      </c>
      <c r="R2233" s="24">
        <f t="shared" si="275"/>
        <v>117105</v>
      </c>
    </row>
    <row r="2234" spans="2:19" hidden="1" x14ac:dyDescent="0.25">
      <c r="B2234" s="21" t="s">
        <v>395</v>
      </c>
      <c r="C2234" s="22" t="s">
        <v>2450</v>
      </c>
      <c r="D2234" s="22"/>
      <c r="E2234" s="21" t="s">
        <v>0</v>
      </c>
      <c r="F2234" s="21" t="s">
        <v>9773</v>
      </c>
      <c r="G2234" s="147" t="s">
        <v>10225</v>
      </c>
      <c r="H2234" s="23" t="s">
        <v>11854</v>
      </c>
      <c r="I2234" s="23" t="s">
        <v>11987</v>
      </c>
      <c r="J2234" s="21" t="s">
        <v>11861</v>
      </c>
      <c r="K2234" s="499">
        <v>31174</v>
      </c>
      <c r="L2234" s="21"/>
      <c r="M2234" s="23"/>
      <c r="N2234" s="44">
        <v>0</v>
      </c>
      <c r="O2234" s="22" t="s">
        <v>276</v>
      </c>
      <c r="P2234" s="44"/>
      <c r="Q2234" s="24">
        <f t="shared" si="274"/>
        <v>0</v>
      </c>
      <c r="R2234" s="24">
        <f t="shared" si="275"/>
        <v>0</v>
      </c>
      <c r="S2234" s="5" t="s">
        <v>11988</v>
      </c>
    </row>
    <row r="2235" spans="2:19" hidden="1" x14ac:dyDescent="0.25">
      <c r="B2235" s="21" t="s">
        <v>395</v>
      </c>
      <c r="C2235" s="22" t="s">
        <v>2450</v>
      </c>
      <c r="D2235" s="22"/>
      <c r="E2235" s="21" t="s">
        <v>0</v>
      </c>
      <c r="F2235" s="21" t="s">
        <v>9773</v>
      </c>
      <c r="G2235" s="147" t="s">
        <v>10225</v>
      </c>
      <c r="H2235" s="23" t="s">
        <v>11862</v>
      </c>
      <c r="I2235" s="23" t="s">
        <v>11863</v>
      </c>
      <c r="J2235" s="21" t="s">
        <v>11864</v>
      </c>
      <c r="K2235" s="499">
        <v>412388</v>
      </c>
      <c r="L2235" s="21" t="s">
        <v>12708</v>
      </c>
      <c r="M2235" s="26" t="s">
        <v>12709</v>
      </c>
      <c r="N2235" s="44">
        <v>412388</v>
      </c>
      <c r="O2235" s="22" t="s">
        <v>276</v>
      </c>
      <c r="P2235" s="44">
        <f>7547+113896+91425+126040+73480</f>
        <v>412388</v>
      </c>
      <c r="Q2235" s="24">
        <f t="shared" ref="Q2235:Q2246" si="276">IF(P2235="en cours",N2235,IF(P2235="OK",0,IF(N2235-P2235&lt;0,0,N2235-P2235)))</f>
        <v>0</v>
      </c>
      <c r="R2235" s="24">
        <f t="shared" ref="R2235:R2246" si="277">IF(P2235="OK",N2235-Q2235,IF(P2235="en cours",N2235-Q2235,P2235))</f>
        <v>412388</v>
      </c>
    </row>
    <row r="2236" spans="2:19" hidden="1" x14ac:dyDescent="0.25">
      <c r="B2236" s="21" t="s">
        <v>395</v>
      </c>
      <c r="C2236" s="22" t="s">
        <v>2450</v>
      </c>
      <c r="D2236" s="22"/>
      <c r="E2236" s="21" t="s">
        <v>0</v>
      </c>
      <c r="F2236" s="21" t="s">
        <v>9773</v>
      </c>
      <c r="G2236" s="147" t="s">
        <v>10225</v>
      </c>
      <c r="H2236" s="23" t="s">
        <v>11862</v>
      </c>
      <c r="I2236" s="23" t="s">
        <v>11863</v>
      </c>
      <c r="J2236" s="21" t="s">
        <v>11865</v>
      </c>
      <c r="K2236" s="499">
        <v>404841</v>
      </c>
      <c r="L2236" s="21" t="s">
        <v>13986</v>
      </c>
      <c r="M2236" s="26" t="s">
        <v>13987</v>
      </c>
      <c r="N2236" s="44">
        <v>404841</v>
      </c>
      <c r="O2236" s="22" t="s">
        <v>276</v>
      </c>
      <c r="P2236" s="44">
        <f>205321+(36740+36740)+(59650+66390)</f>
        <v>404841</v>
      </c>
      <c r="Q2236" s="24">
        <f t="shared" si="276"/>
        <v>0</v>
      </c>
      <c r="R2236" s="24">
        <f t="shared" si="277"/>
        <v>404841</v>
      </c>
    </row>
    <row r="2237" spans="2:19" hidden="1" x14ac:dyDescent="0.25">
      <c r="B2237" s="21" t="s">
        <v>395</v>
      </c>
      <c r="C2237" s="22" t="s">
        <v>2450</v>
      </c>
      <c r="D2237" s="22"/>
      <c r="E2237" s="21" t="s">
        <v>0</v>
      </c>
      <c r="F2237" s="21" t="s">
        <v>9773</v>
      </c>
      <c r="G2237" s="147" t="s">
        <v>10225</v>
      </c>
      <c r="H2237" s="23" t="s">
        <v>11862</v>
      </c>
      <c r="I2237" s="23" t="s">
        <v>11863</v>
      </c>
      <c r="J2237" s="21" t="s">
        <v>11866</v>
      </c>
      <c r="K2237" s="499">
        <v>404841</v>
      </c>
      <c r="L2237" s="21" t="s">
        <v>13700</v>
      </c>
      <c r="M2237" s="26" t="s">
        <v>13701</v>
      </c>
      <c r="N2237" s="44">
        <v>404841</v>
      </c>
      <c r="O2237" s="22" t="s">
        <v>276</v>
      </c>
      <c r="P2237" s="44">
        <f>205321+(59650+66390)+73480</f>
        <v>404841</v>
      </c>
      <c r="Q2237" s="24">
        <f t="shared" si="276"/>
        <v>0</v>
      </c>
      <c r="R2237" s="24">
        <f t="shared" si="277"/>
        <v>404841</v>
      </c>
    </row>
    <row r="2238" spans="2:19" hidden="1" x14ac:dyDescent="0.25">
      <c r="B2238" s="21" t="s">
        <v>395</v>
      </c>
      <c r="C2238" s="22" t="s">
        <v>2450</v>
      </c>
      <c r="D2238" s="22"/>
      <c r="E2238" s="21" t="s">
        <v>0</v>
      </c>
      <c r="F2238" s="21" t="s">
        <v>9773</v>
      </c>
      <c r="G2238" s="147" t="s">
        <v>10225</v>
      </c>
      <c r="H2238" s="23" t="s">
        <v>11862</v>
      </c>
      <c r="I2238" s="23" t="s">
        <v>11863</v>
      </c>
      <c r="J2238" s="21" t="s">
        <v>11867</v>
      </c>
      <c r="K2238" s="499">
        <v>404841</v>
      </c>
      <c r="L2238" s="21" t="s">
        <v>13698</v>
      </c>
      <c r="M2238" s="26" t="s">
        <v>13699</v>
      </c>
      <c r="N2238" s="44">
        <v>404841</v>
      </c>
      <c r="O2238" s="22" t="s">
        <v>276</v>
      </c>
      <c r="P2238" s="44">
        <f>205321+(59650+66390)+36740+36740</f>
        <v>404841</v>
      </c>
      <c r="Q2238" s="24">
        <f t="shared" si="276"/>
        <v>0</v>
      </c>
      <c r="R2238" s="24">
        <f t="shared" si="277"/>
        <v>404841</v>
      </c>
    </row>
    <row r="2239" spans="2:19" hidden="1" x14ac:dyDescent="0.25">
      <c r="C2239" s="4" t="s">
        <v>2450</v>
      </c>
      <c r="E2239" s="5" t="s">
        <v>0</v>
      </c>
      <c r="F2239" s="5" t="s">
        <v>9773</v>
      </c>
      <c r="G2239" s="146" t="s">
        <v>10225</v>
      </c>
      <c r="H2239" s="7" t="s">
        <v>11862</v>
      </c>
      <c r="I2239" s="7" t="s">
        <v>11863</v>
      </c>
      <c r="J2239" s="5" t="s">
        <v>11868</v>
      </c>
      <c r="K2239" s="495">
        <v>404841</v>
      </c>
      <c r="N2239" s="45">
        <v>404841</v>
      </c>
      <c r="O2239" s="4" t="s">
        <v>276</v>
      </c>
      <c r="Q2239" s="3">
        <f t="shared" si="276"/>
        <v>404841</v>
      </c>
      <c r="R2239" s="3">
        <f t="shared" si="277"/>
        <v>0</v>
      </c>
    </row>
    <row r="2240" spans="2:19" hidden="1" x14ac:dyDescent="0.25">
      <c r="C2240" s="4" t="s">
        <v>2450</v>
      </c>
      <c r="E2240" s="5" t="s">
        <v>0</v>
      </c>
      <c r="F2240" s="5" t="s">
        <v>9773</v>
      </c>
      <c r="G2240" s="146" t="s">
        <v>10225</v>
      </c>
      <c r="H2240" s="7" t="s">
        <v>11862</v>
      </c>
      <c r="I2240" s="7" t="s">
        <v>11863</v>
      </c>
      <c r="J2240" s="5" t="s">
        <v>11869</v>
      </c>
      <c r="K2240" s="495">
        <v>146136</v>
      </c>
      <c r="N2240" s="45">
        <v>146136</v>
      </c>
      <c r="O2240" s="4" t="s">
        <v>276</v>
      </c>
      <c r="Q2240" s="3">
        <f t="shared" si="276"/>
        <v>146136</v>
      </c>
      <c r="R2240" s="3">
        <f t="shared" si="277"/>
        <v>0</v>
      </c>
    </row>
    <row r="2241" spans="2:19" hidden="1" x14ac:dyDescent="0.25">
      <c r="C2241" s="4" t="s">
        <v>2450</v>
      </c>
      <c r="E2241" s="5" t="s">
        <v>0</v>
      </c>
      <c r="F2241" s="5" t="s">
        <v>9773</v>
      </c>
      <c r="G2241" s="146" t="s">
        <v>10225</v>
      </c>
      <c r="H2241" s="7" t="s">
        <v>11862</v>
      </c>
      <c r="I2241" s="7" t="s">
        <v>11863</v>
      </c>
      <c r="J2241" s="5" t="s">
        <v>11870</v>
      </c>
      <c r="K2241" s="495">
        <v>382384</v>
      </c>
      <c r="L2241" s="5" t="s">
        <v>13988</v>
      </c>
      <c r="M2241" s="12" t="s">
        <v>13989</v>
      </c>
      <c r="N2241" s="45">
        <v>382384</v>
      </c>
      <c r="O2241" s="4" t="s">
        <v>276</v>
      </c>
      <c r="P2241" s="45">
        <f>1529+31197+36418</f>
        <v>69144</v>
      </c>
      <c r="Q2241" s="3">
        <f t="shared" si="276"/>
        <v>313240</v>
      </c>
      <c r="R2241" s="3">
        <f t="shared" si="277"/>
        <v>69144</v>
      </c>
    </row>
    <row r="2242" spans="2:19" hidden="1" x14ac:dyDescent="0.25">
      <c r="C2242" s="4" t="s">
        <v>2450</v>
      </c>
      <c r="E2242" s="5" t="s">
        <v>0</v>
      </c>
      <c r="F2242" s="5" t="s">
        <v>9773</v>
      </c>
      <c r="G2242" s="146" t="s">
        <v>10225</v>
      </c>
      <c r="H2242" s="7" t="s">
        <v>11862</v>
      </c>
      <c r="I2242" s="7" t="s">
        <v>11863</v>
      </c>
      <c r="J2242" s="5" t="s">
        <v>11871</v>
      </c>
      <c r="K2242" s="495">
        <v>382384</v>
      </c>
      <c r="L2242" s="5" t="s">
        <v>14325</v>
      </c>
      <c r="M2242" s="12" t="s">
        <v>14326</v>
      </c>
      <c r="N2242" s="45">
        <v>382384</v>
      </c>
      <c r="O2242" s="4" t="s">
        <v>276</v>
      </c>
      <c r="P2242" s="45">
        <f>1529+31197</f>
        <v>32726</v>
      </c>
      <c r="Q2242" s="3">
        <f t="shared" si="276"/>
        <v>349658</v>
      </c>
      <c r="R2242" s="3">
        <f t="shared" si="277"/>
        <v>32726</v>
      </c>
    </row>
    <row r="2243" spans="2:19" hidden="1" x14ac:dyDescent="0.25">
      <c r="C2243" s="4" t="s">
        <v>2450</v>
      </c>
      <c r="E2243" s="5" t="s">
        <v>0</v>
      </c>
      <c r="F2243" s="5" t="s">
        <v>9773</v>
      </c>
      <c r="G2243" s="146" t="s">
        <v>10225</v>
      </c>
      <c r="H2243" s="7" t="s">
        <v>11862</v>
      </c>
      <c r="I2243" s="7" t="s">
        <v>11863</v>
      </c>
      <c r="J2243" s="5" t="s">
        <v>11872</v>
      </c>
      <c r="K2243" s="495">
        <v>382384</v>
      </c>
      <c r="L2243" s="5" t="s">
        <v>13107</v>
      </c>
      <c r="M2243" s="12">
        <v>45958</v>
      </c>
      <c r="N2243" s="45">
        <v>382384</v>
      </c>
      <c r="O2243" s="4" t="s">
        <v>276</v>
      </c>
      <c r="P2243" s="45">
        <f>1529</f>
        <v>1529</v>
      </c>
      <c r="Q2243" s="3">
        <f t="shared" si="276"/>
        <v>380855</v>
      </c>
      <c r="R2243" s="3">
        <f t="shared" si="277"/>
        <v>1529</v>
      </c>
    </row>
    <row r="2244" spans="2:19" hidden="1" x14ac:dyDescent="0.25">
      <c r="C2244" s="4" t="s">
        <v>2450</v>
      </c>
      <c r="E2244" s="5" t="s">
        <v>0</v>
      </c>
      <c r="F2244" s="5" t="s">
        <v>9773</v>
      </c>
      <c r="G2244" s="146" t="s">
        <v>10225</v>
      </c>
      <c r="H2244" s="7" t="s">
        <v>11862</v>
      </c>
      <c r="I2244" s="7" t="s">
        <v>11863</v>
      </c>
      <c r="J2244" s="5" t="s">
        <v>11873</v>
      </c>
      <c r="K2244" s="495">
        <v>382384</v>
      </c>
      <c r="L2244" s="5" t="s">
        <v>14321</v>
      </c>
      <c r="M2244" s="12" t="s">
        <v>14322</v>
      </c>
      <c r="N2244" s="45">
        <v>382384</v>
      </c>
      <c r="O2244" s="4" t="s">
        <v>276</v>
      </c>
      <c r="P2244" s="45">
        <f>1529+31197</f>
        <v>32726</v>
      </c>
      <c r="Q2244" s="3">
        <f t="shared" si="276"/>
        <v>349658</v>
      </c>
      <c r="R2244" s="3">
        <f t="shared" si="277"/>
        <v>32726</v>
      </c>
    </row>
    <row r="2245" spans="2:19" hidden="1" x14ac:dyDescent="0.25">
      <c r="C2245" s="4" t="s">
        <v>2450</v>
      </c>
      <c r="E2245" s="5" t="s">
        <v>0</v>
      </c>
      <c r="F2245" s="5" t="s">
        <v>9773</v>
      </c>
      <c r="G2245" s="146" t="s">
        <v>10225</v>
      </c>
      <c r="H2245" s="7" t="s">
        <v>11862</v>
      </c>
      <c r="I2245" s="7" t="s">
        <v>11863</v>
      </c>
      <c r="J2245" s="5" t="s">
        <v>11874</v>
      </c>
      <c r="K2245" s="495">
        <v>382384</v>
      </c>
      <c r="L2245" s="5" t="s">
        <v>14324</v>
      </c>
      <c r="M2245" s="12">
        <v>46080</v>
      </c>
      <c r="N2245" s="45">
        <v>382384</v>
      </c>
      <c r="O2245" s="4" t="s">
        <v>276</v>
      </c>
      <c r="P2245" s="45">
        <f>1529</f>
        <v>1529</v>
      </c>
      <c r="Q2245" s="3">
        <f t="shared" si="276"/>
        <v>380855</v>
      </c>
      <c r="R2245" s="3">
        <f t="shared" si="277"/>
        <v>1529</v>
      </c>
    </row>
    <row r="2246" spans="2:19" hidden="1" x14ac:dyDescent="0.25">
      <c r="C2246" s="4" t="s">
        <v>2450</v>
      </c>
      <c r="E2246" s="5" t="s">
        <v>0</v>
      </c>
      <c r="F2246" s="5" t="s">
        <v>9773</v>
      </c>
      <c r="G2246" s="146" t="s">
        <v>10225</v>
      </c>
      <c r="H2246" s="7" t="s">
        <v>11862</v>
      </c>
      <c r="I2246" s="7" t="s">
        <v>11863</v>
      </c>
      <c r="J2246" s="5" t="s">
        <v>11875</v>
      </c>
      <c r="K2246" s="495">
        <v>382384</v>
      </c>
      <c r="L2246" s="5" t="s">
        <v>14324</v>
      </c>
      <c r="M2246" s="12">
        <v>46080</v>
      </c>
      <c r="N2246" s="45">
        <v>382384</v>
      </c>
      <c r="O2246" s="4" t="s">
        <v>276</v>
      </c>
      <c r="P2246" s="45">
        <f>1529</f>
        <v>1529</v>
      </c>
      <c r="Q2246" s="3">
        <f t="shared" si="276"/>
        <v>380855</v>
      </c>
      <c r="R2246" s="3">
        <f t="shared" si="277"/>
        <v>1529</v>
      </c>
    </row>
    <row r="2247" spans="2:19" hidden="1" x14ac:dyDescent="0.25">
      <c r="B2247" s="21" t="s">
        <v>395</v>
      </c>
      <c r="C2247" s="22" t="s">
        <v>2450</v>
      </c>
      <c r="D2247" s="22"/>
      <c r="E2247" s="21" t="s">
        <v>0</v>
      </c>
      <c r="F2247" s="21" t="s">
        <v>9807</v>
      </c>
      <c r="G2247" s="147" t="s">
        <v>6474</v>
      </c>
      <c r="H2247" s="23" t="s">
        <v>11877</v>
      </c>
      <c r="I2247" s="23" t="s">
        <v>11878</v>
      </c>
      <c r="J2247" s="21" t="s">
        <v>11879</v>
      </c>
      <c r="K2247" s="21"/>
      <c r="L2247" s="21" t="s">
        <v>12534</v>
      </c>
      <c r="M2247" s="23" t="s">
        <v>12535</v>
      </c>
      <c r="N2247" s="44">
        <v>6805</v>
      </c>
      <c r="O2247" s="22" t="s">
        <v>15</v>
      </c>
      <c r="P2247" s="44">
        <f>5103.75+1701.25</f>
        <v>6805</v>
      </c>
      <c r="Q2247" s="44">
        <f t="shared" ref="Q2247" si="278">IF(P2247="en cours",N2247,IF(P2247="OK",0,IF(N2247-P2247&lt;0,0,N2247-P2247)))</f>
        <v>0</v>
      </c>
      <c r="R2247" s="24">
        <f t="shared" ref="R2247" si="279">IF(P2247="OK",N2247-Q2247,IF(P2247="en cours",N2247-Q2247,P2247))</f>
        <v>6805</v>
      </c>
      <c r="S2247" s="21"/>
    </row>
    <row r="2248" spans="2:19" hidden="1" x14ac:dyDescent="0.25">
      <c r="C2248" s="4" t="s">
        <v>2450</v>
      </c>
      <c r="E2248" s="5" t="s">
        <v>0</v>
      </c>
      <c r="F2248" s="5" t="s">
        <v>9823</v>
      </c>
      <c r="G2248" s="146" t="s">
        <v>8757</v>
      </c>
      <c r="H2248" s="7" t="s">
        <v>11887</v>
      </c>
      <c r="I2248" s="7" t="s">
        <v>11888</v>
      </c>
      <c r="J2248" s="5" t="s">
        <v>11608</v>
      </c>
      <c r="L2248" s="5" t="s">
        <v>12060</v>
      </c>
      <c r="M2248" s="12">
        <v>45835</v>
      </c>
      <c r="N2248" s="45">
        <v>58600</v>
      </c>
      <c r="O2248" s="4" t="s">
        <v>337</v>
      </c>
      <c r="P2248" s="45">
        <v>44648.800000000003</v>
      </c>
      <c r="Q2248" s="3">
        <f t="shared" ref="Q2248:Q2252" si="280">IF(P2248="en cours",N2248,IF(P2248="OK",0,IF(N2248-P2248&lt;0,0,N2248-P2248)))</f>
        <v>13951.199999999997</v>
      </c>
      <c r="R2248" s="3">
        <f t="shared" ref="R2248:R2253" si="281">IF(P2248="OK",N2248-Q2248,IF(P2248="en cours",N2248-Q2248,P2248))</f>
        <v>44648.800000000003</v>
      </c>
    </row>
    <row r="2249" spans="2:19" hidden="1" x14ac:dyDescent="0.25">
      <c r="C2249" s="4" t="s">
        <v>2450</v>
      </c>
      <c r="E2249" s="5" t="s">
        <v>0</v>
      </c>
      <c r="F2249" s="5" t="s">
        <v>9823</v>
      </c>
      <c r="G2249" s="146" t="s">
        <v>8757</v>
      </c>
      <c r="H2249" s="7" t="s">
        <v>11889</v>
      </c>
      <c r="I2249" s="7" t="s">
        <v>11890</v>
      </c>
      <c r="J2249" s="5" t="s">
        <v>11891</v>
      </c>
      <c r="L2249" s="5" t="s">
        <v>13672</v>
      </c>
      <c r="M2249" s="12" t="s">
        <v>13673</v>
      </c>
      <c r="N2249" s="45">
        <v>49950</v>
      </c>
      <c r="O2249" s="4" t="s">
        <v>337</v>
      </c>
      <c r="P2249" s="45">
        <f>2676+8750+4910+380+10750+120+11380+4740+3960</f>
        <v>47666</v>
      </c>
      <c r="Q2249" s="3">
        <f t="shared" si="280"/>
        <v>2284</v>
      </c>
      <c r="R2249" s="3">
        <f t="shared" si="281"/>
        <v>47666</v>
      </c>
    </row>
    <row r="2250" spans="2:19" hidden="1" x14ac:dyDescent="0.25">
      <c r="B2250" s="21" t="s">
        <v>395</v>
      </c>
      <c r="C2250" s="22" t="s">
        <v>158</v>
      </c>
      <c r="D2250" s="22"/>
      <c r="E2250" s="21" t="s">
        <v>10</v>
      </c>
      <c r="F2250" s="21" t="s">
        <v>9721</v>
      </c>
      <c r="G2250" s="147" t="s">
        <v>7313</v>
      </c>
      <c r="H2250" s="23" t="s">
        <v>11892</v>
      </c>
      <c r="I2250" s="23" t="s">
        <v>11893</v>
      </c>
      <c r="J2250" s="21" t="s">
        <v>6557</v>
      </c>
      <c r="K2250" s="21"/>
      <c r="L2250" s="21" t="s">
        <v>11902</v>
      </c>
      <c r="M2250" s="26">
        <v>45804</v>
      </c>
      <c r="N2250" s="44">
        <v>1680.65</v>
      </c>
      <c r="O2250" s="22" t="s">
        <v>15</v>
      </c>
      <c r="P2250" s="44">
        <v>1680.65</v>
      </c>
      <c r="Q2250" s="44">
        <f t="shared" si="280"/>
        <v>0</v>
      </c>
      <c r="R2250" s="24">
        <f t="shared" si="281"/>
        <v>1680.65</v>
      </c>
    </row>
    <row r="2251" spans="2:19" hidden="1" x14ac:dyDescent="0.25">
      <c r="C2251" s="4" t="s">
        <v>4542</v>
      </c>
      <c r="E2251" s="5" t="s">
        <v>75</v>
      </c>
      <c r="F2251" s="5" t="s">
        <v>11253</v>
      </c>
      <c r="G2251" s="146" t="s">
        <v>10713</v>
      </c>
      <c r="H2251" s="7" t="s">
        <v>11894</v>
      </c>
      <c r="I2251" s="7" t="s">
        <v>11895</v>
      </c>
      <c r="J2251" s="5" t="s">
        <v>11046</v>
      </c>
      <c r="L2251" s="5" t="s">
        <v>13226</v>
      </c>
      <c r="M2251" s="12">
        <v>45966</v>
      </c>
      <c r="N2251" s="45">
        <v>8900</v>
      </c>
      <c r="O2251" s="4" t="s">
        <v>15</v>
      </c>
      <c r="P2251" s="45">
        <v>8900</v>
      </c>
      <c r="Q2251" s="3">
        <f t="shared" si="280"/>
        <v>0</v>
      </c>
      <c r="R2251" s="3">
        <f t="shared" si="281"/>
        <v>8900</v>
      </c>
    </row>
    <row r="2252" spans="2:19" hidden="1" x14ac:dyDescent="0.25">
      <c r="B2252" s="21" t="s">
        <v>395</v>
      </c>
      <c r="C2252" s="22" t="s">
        <v>2450</v>
      </c>
      <c r="D2252" s="22"/>
      <c r="E2252" s="21" t="s">
        <v>0</v>
      </c>
      <c r="F2252" s="21" t="s">
        <v>9807</v>
      </c>
      <c r="G2252" s="147" t="s">
        <v>6365</v>
      </c>
      <c r="H2252" s="23" t="s">
        <v>13098</v>
      </c>
      <c r="I2252" s="23" t="s">
        <v>13099</v>
      </c>
      <c r="J2252" s="21" t="s">
        <v>12025</v>
      </c>
      <c r="K2252" s="21"/>
      <c r="L2252" s="21" t="s">
        <v>12688</v>
      </c>
      <c r="M2252" s="23" t="s">
        <v>12689</v>
      </c>
      <c r="N2252" s="44">
        <v>0</v>
      </c>
      <c r="O2252" s="22" t="s">
        <v>15</v>
      </c>
      <c r="P2252" s="44"/>
      <c r="Q2252" s="24">
        <f t="shared" si="280"/>
        <v>0</v>
      </c>
      <c r="R2252" s="24">
        <f t="shared" si="281"/>
        <v>0</v>
      </c>
    </row>
    <row r="2253" spans="2:19" hidden="1" x14ac:dyDescent="0.25">
      <c r="B2253" s="21" t="s">
        <v>395</v>
      </c>
      <c r="C2253" s="22" t="s">
        <v>2450</v>
      </c>
      <c r="D2253" s="22"/>
      <c r="E2253" s="21" t="s">
        <v>10</v>
      </c>
      <c r="F2253" s="21" t="s">
        <v>9721</v>
      </c>
      <c r="G2253" s="147" t="s">
        <v>1090</v>
      </c>
      <c r="H2253" s="23" t="s">
        <v>11904</v>
      </c>
      <c r="I2253" s="23" t="s">
        <v>11905</v>
      </c>
      <c r="J2253" s="21" t="s">
        <v>6557</v>
      </c>
      <c r="K2253" s="21"/>
      <c r="L2253" s="21" t="s">
        <v>11973</v>
      </c>
      <c r="M2253" s="26">
        <v>45813</v>
      </c>
      <c r="N2253" s="44">
        <v>159.80000000000001</v>
      </c>
      <c r="O2253" s="22" t="s">
        <v>15</v>
      </c>
      <c r="P2253" s="44">
        <v>159.80000000000001</v>
      </c>
      <c r="Q2253" s="24">
        <f>IF(P2253="en cours",N2253,IF(P2253="OK",0,IF(N2253-P2253&lt;0,0,N2253-P2253)))</f>
        <v>0</v>
      </c>
      <c r="R2253" s="24">
        <f t="shared" si="281"/>
        <v>159.80000000000001</v>
      </c>
    </row>
    <row r="2254" spans="2:19" hidden="1" x14ac:dyDescent="0.25">
      <c r="B2254" s="21" t="s">
        <v>395</v>
      </c>
      <c r="C2254" s="22" t="s">
        <v>9747</v>
      </c>
      <c r="D2254" s="22"/>
      <c r="E2254" s="21" t="s">
        <v>75</v>
      </c>
      <c r="F2254" s="21" t="s">
        <v>9819</v>
      </c>
      <c r="G2254" s="147" t="s">
        <v>7453</v>
      </c>
      <c r="H2254" s="23" t="s">
        <v>11907</v>
      </c>
      <c r="I2254" s="23" t="s">
        <v>11906</v>
      </c>
      <c r="J2254" s="21" t="s">
        <v>11908</v>
      </c>
      <c r="K2254" s="21"/>
      <c r="L2254" s="21" t="s">
        <v>12055</v>
      </c>
      <c r="M2254" s="26">
        <v>45835</v>
      </c>
      <c r="N2254" s="44">
        <v>17550</v>
      </c>
      <c r="O2254" s="22" t="s">
        <v>15</v>
      </c>
      <c r="P2254" s="44">
        <v>17550</v>
      </c>
      <c r="Q2254" s="44">
        <f t="shared" ref="Q2254:Q2256" si="282">IF(P2254="en cours",N2254,IF(P2254="OK",0,IF(N2254-P2254&lt;0,0,N2254-P2254)))</f>
        <v>0</v>
      </c>
      <c r="R2254" s="24">
        <f>IF(P2254="OK",N2254-Q2254,IF(P2254="en cours",N2254-Q2254,P2254))</f>
        <v>17550</v>
      </c>
    </row>
    <row r="2255" spans="2:19" hidden="1" x14ac:dyDescent="0.25">
      <c r="B2255" s="21" t="s">
        <v>395</v>
      </c>
      <c r="C2255" s="22" t="s">
        <v>2450</v>
      </c>
      <c r="D2255" s="22"/>
      <c r="E2255" s="21" t="s">
        <v>10</v>
      </c>
      <c r="F2255" s="21" t="s">
        <v>9721</v>
      </c>
      <c r="G2255" s="147" t="s">
        <v>11909</v>
      </c>
      <c r="H2255" s="23" t="s">
        <v>11910</v>
      </c>
      <c r="I2255" s="23" t="s">
        <v>11911</v>
      </c>
      <c r="J2255" s="21" t="s">
        <v>11912</v>
      </c>
      <c r="K2255" s="21"/>
      <c r="L2255" s="21" t="s">
        <v>12091</v>
      </c>
      <c r="M2255" s="26">
        <v>45838</v>
      </c>
      <c r="N2255" s="44">
        <v>57600</v>
      </c>
      <c r="O2255" s="22" t="s">
        <v>15</v>
      </c>
      <c r="P2255" s="44">
        <v>59000</v>
      </c>
      <c r="Q2255" s="44">
        <f t="shared" si="282"/>
        <v>0</v>
      </c>
      <c r="R2255" s="24">
        <f t="shared" ref="R2255:R2256" si="283">IF(P2255="OK",N2255-Q2255,IF(P2255="en cours",N2255-Q2255,P2255))</f>
        <v>59000</v>
      </c>
      <c r="S2255" s="21"/>
    </row>
    <row r="2256" spans="2:19" hidden="1" x14ac:dyDescent="0.25">
      <c r="B2256" s="21" t="s">
        <v>395</v>
      </c>
      <c r="C2256" s="22" t="s">
        <v>158</v>
      </c>
      <c r="D2256" s="22"/>
      <c r="E2256" s="21" t="s">
        <v>0</v>
      </c>
      <c r="F2256" s="21" t="s">
        <v>9749</v>
      </c>
      <c r="G2256" s="147" t="s">
        <v>9750</v>
      </c>
      <c r="H2256" s="23" t="s">
        <v>11918</v>
      </c>
      <c r="I2256" s="23" t="s">
        <v>11919</v>
      </c>
      <c r="J2256" s="21" t="s">
        <v>11920</v>
      </c>
      <c r="K2256" s="21"/>
      <c r="L2256" s="21" t="s">
        <v>11922</v>
      </c>
      <c r="M2256" s="26">
        <v>45793</v>
      </c>
      <c r="N2256" s="44">
        <v>90000</v>
      </c>
      <c r="O2256" s="22" t="s">
        <v>276</v>
      </c>
      <c r="P2256" s="44">
        <v>90000</v>
      </c>
      <c r="Q2256" s="24">
        <f t="shared" si="282"/>
        <v>0</v>
      </c>
      <c r="R2256" s="24">
        <f t="shared" si="283"/>
        <v>90000</v>
      </c>
    </row>
    <row r="2257" spans="2:19" hidden="1" x14ac:dyDescent="0.25">
      <c r="C2257" s="4" t="s">
        <v>158</v>
      </c>
      <c r="E2257" s="5" t="s">
        <v>0</v>
      </c>
      <c r="F2257" s="5" t="s">
        <v>9749</v>
      </c>
      <c r="G2257" s="146" t="s">
        <v>9750</v>
      </c>
      <c r="H2257" s="7" t="s">
        <v>11918</v>
      </c>
      <c r="I2257" s="7" t="s">
        <v>11919</v>
      </c>
      <c r="J2257" s="5" t="s">
        <v>11921</v>
      </c>
      <c r="M2257" s="12"/>
      <c r="N2257" s="45">
        <v>90000</v>
      </c>
      <c r="O2257" s="4" t="s">
        <v>276</v>
      </c>
      <c r="Q2257" s="3">
        <f t="shared" ref="Q2257:Q2265" si="284">IF(P2257="en cours",N2257,IF(P2257="OK",0,IF(N2257-P2257&lt;0,0,N2257-P2257)))</f>
        <v>90000</v>
      </c>
      <c r="R2257" s="3">
        <f t="shared" ref="R2257:R2265" si="285">IF(P2257="OK",N2257-Q2257,IF(P2257="en cours",N2257-Q2257,P2257))</f>
        <v>0</v>
      </c>
    </row>
    <row r="2258" spans="2:19" hidden="1" x14ac:dyDescent="0.25">
      <c r="C2258" s="4" t="s">
        <v>2450</v>
      </c>
      <c r="E2258" s="5" t="s">
        <v>0</v>
      </c>
      <c r="F2258" s="5" t="s">
        <v>9807</v>
      </c>
      <c r="G2258" s="146" t="s">
        <v>10333</v>
      </c>
      <c r="H2258" s="7" t="s">
        <v>11923</v>
      </c>
      <c r="I2258" s="7" t="s">
        <v>11924</v>
      </c>
      <c r="J2258" s="5" t="s">
        <v>11853</v>
      </c>
      <c r="L2258" s="5" t="s">
        <v>12092</v>
      </c>
      <c r="M2258" s="12">
        <v>45828</v>
      </c>
      <c r="N2258" s="45">
        <v>5690</v>
      </c>
      <c r="O2258" s="4" t="s">
        <v>15</v>
      </c>
      <c r="P2258" s="45">
        <v>2189</v>
      </c>
      <c r="Q2258" s="3">
        <f t="shared" si="284"/>
        <v>3501</v>
      </c>
      <c r="R2258" s="3">
        <f t="shared" si="285"/>
        <v>2189</v>
      </c>
    </row>
    <row r="2259" spans="2:19" hidden="1" x14ac:dyDescent="0.25">
      <c r="B2259" s="21" t="s">
        <v>395</v>
      </c>
      <c r="C2259" s="22" t="s">
        <v>2450</v>
      </c>
      <c r="D2259" s="22"/>
      <c r="E2259" s="21" t="s">
        <v>0</v>
      </c>
      <c r="F2259" s="21" t="s">
        <v>9823</v>
      </c>
      <c r="G2259" s="147" t="s">
        <v>3687</v>
      </c>
      <c r="H2259" s="23" t="s">
        <v>11925</v>
      </c>
      <c r="I2259" s="23" t="s">
        <v>11926</v>
      </c>
      <c r="J2259" s="21" t="s">
        <v>11927</v>
      </c>
      <c r="K2259" s="21"/>
      <c r="L2259" s="21" t="s">
        <v>12173</v>
      </c>
      <c r="M2259" s="26" t="s">
        <v>12174</v>
      </c>
      <c r="N2259" s="44">
        <v>24100</v>
      </c>
      <c r="O2259" s="22" t="s">
        <v>15</v>
      </c>
      <c r="P2259" s="44">
        <f>7230+14070+2800</f>
        <v>24100</v>
      </c>
      <c r="Q2259" s="24">
        <f t="shared" si="284"/>
        <v>0</v>
      </c>
      <c r="R2259" s="24">
        <f t="shared" si="285"/>
        <v>24100</v>
      </c>
    </row>
    <row r="2260" spans="2:19" hidden="1" x14ac:dyDescent="0.25">
      <c r="B2260" s="21" t="s">
        <v>395</v>
      </c>
      <c r="C2260" s="22" t="s">
        <v>2450</v>
      </c>
      <c r="D2260" s="22"/>
      <c r="E2260" s="21" t="s">
        <v>0</v>
      </c>
      <c r="F2260" s="21" t="s">
        <v>9823</v>
      </c>
      <c r="G2260" s="147" t="s">
        <v>7266</v>
      </c>
      <c r="H2260" s="23" t="s">
        <v>11928</v>
      </c>
      <c r="I2260" s="23" t="s">
        <v>11929</v>
      </c>
      <c r="J2260" s="21" t="s">
        <v>11930</v>
      </c>
      <c r="K2260" s="21"/>
      <c r="L2260" s="21" t="s">
        <v>13437</v>
      </c>
      <c r="M2260" s="26">
        <v>45988</v>
      </c>
      <c r="N2260" s="44">
        <v>38025</v>
      </c>
      <c r="O2260" s="22" t="s">
        <v>15</v>
      </c>
      <c r="P2260" s="44">
        <v>38025</v>
      </c>
      <c r="Q2260" s="24">
        <f t="shared" si="284"/>
        <v>0</v>
      </c>
      <c r="R2260" s="24">
        <f t="shared" si="285"/>
        <v>38025</v>
      </c>
    </row>
    <row r="2261" spans="2:19" hidden="1" x14ac:dyDescent="0.25">
      <c r="B2261" s="21" t="s">
        <v>395</v>
      </c>
      <c r="C2261" s="22" t="s">
        <v>2450</v>
      </c>
      <c r="D2261" s="22"/>
      <c r="E2261" s="21" t="s">
        <v>0</v>
      </c>
      <c r="F2261" s="21" t="s">
        <v>9807</v>
      </c>
      <c r="G2261" s="147" t="s">
        <v>6474</v>
      </c>
      <c r="H2261" s="23" t="s">
        <v>11932</v>
      </c>
      <c r="I2261" s="23" t="s">
        <v>11931</v>
      </c>
      <c r="J2261" s="21" t="s">
        <v>11619</v>
      </c>
      <c r="K2261" s="21"/>
      <c r="L2261" s="21" t="s">
        <v>12337</v>
      </c>
      <c r="M2261" s="23" t="s">
        <v>12338</v>
      </c>
      <c r="N2261" s="44">
        <f>10205+3120</f>
        <v>13325</v>
      </c>
      <c r="O2261" s="22" t="s">
        <v>15</v>
      </c>
      <c r="P2261" s="44">
        <f>10205+3120</f>
        <v>13325</v>
      </c>
      <c r="Q2261" s="44">
        <f t="shared" si="284"/>
        <v>0</v>
      </c>
      <c r="R2261" s="24">
        <f t="shared" si="285"/>
        <v>13325</v>
      </c>
      <c r="S2261" s="21"/>
    </row>
    <row r="2262" spans="2:19" hidden="1" x14ac:dyDescent="0.25">
      <c r="B2262" s="21" t="s">
        <v>395</v>
      </c>
      <c r="C2262" s="22" t="s">
        <v>2450</v>
      </c>
      <c r="D2262" s="22"/>
      <c r="E2262" s="21" t="s">
        <v>0</v>
      </c>
      <c r="F2262" s="21" t="s">
        <v>9807</v>
      </c>
      <c r="G2262" s="147" t="s">
        <v>3687</v>
      </c>
      <c r="H2262" s="23" t="s">
        <v>11933</v>
      </c>
      <c r="I2262" s="23" t="s">
        <v>11934</v>
      </c>
      <c r="J2262" s="21" t="s">
        <v>11935</v>
      </c>
      <c r="K2262" s="21"/>
      <c r="L2262" s="21" t="s">
        <v>12061</v>
      </c>
      <c r="M2262" s="23" t="s">
        <v>12062</v>
      </c>
      <c r="N2262" s="44">
        <v>60600</v>
      </c>
      <c r="O2262" s="22" t="s">
        <v>15</v>
      </c>
      <c r="P2262" s="44">
        <f>18740+41860</f>
        <v>60600</v>
      </c>
      <c r="Q2262" s="24">
        <f t="shared" si="284"/>
        <v>0</v>
      </c>
      <c r="R2262" s="24">
        <f t="shared" si="285"/>
        <v>60600</v>
      </c>
    </row>
    <row r="2263" spans="2:19" hidden="1" x14ac:dyDescent="0.25">
      <c r="B2263" s="21" t="s">
        <v>395</v>
      </c>
      <c r="C2263" s="22" t="s">
        <v>2450</v>
      </c>
      <c r="D2263" s="22"/>
      <c r="E2263" s="21" t="s">
        <v>0</v>
      </c>
      <c r="F2263" s="21" t="s">
        <v>9773</v>
      </c>
      <c r="G2263" s="147" t="s">
        <v>10225</v>
      </c>
      <c r="H2263" s="23" t="s">
        <v>11942</v>
      </c>
      <c r="I2263" s="23" t="s">
        <v>11944</v>
      </c>
      <c r="J2263" s="21" t="s">
        <v>11943</v>
      </c>
      <c r="K2263" s="499"/>
      <c r="L2263" s="21" t="s">
        <v>12024</v>
      </c>
      <c r="M2263" s="26">
        <v>45826</v>
      </c>
      <c r="N2263" s="44">
        <v>31627</v>
      </c>
      <c r="O2263" s="22" t="s">
        <v>276</v>
      </c>
      <c r="P2263" s="44">
        <v>31627</v>
      </c>
      <c r="Q2263" s="24">
        <f t="shared" si="284"/>
        <v>0</v>
      </c>
      <c r="R2263" s="24">
        <f t="shared" si="285"/>
        <v>31627</v>
      </c>
    </row>
    <row r="2264" spans="2:19" hidden="1" x14ac:dyDescent="0.25">
      <c r="B2264" s="21" t="s">
        <v>395</v>
      </c>
      <c r="C2264" s="22" t="s">
        <v>2450</v>
      </c>
      <c r="D2264" s="22"/>
      <c r="E2264" s="21" t="s">
        <v>0</v>
      </c>
      <c r="F2264" s="21" t="s">
        <v>9823</v>
      </c>
      <c r="G2264" s="147" t="s">
        <v>8757</v>
      </c>
      <c r="H2264" s="23" t="s">
        <v>11945</v>
      </c>
      <c r="I2264" s="23" t="s">
        <v>11946</v>
      </c>
      <c r="J2264" s="21" t="s">
        <v>11947</v>
      </c>
      <c r="K2264" s="21"/>
      <c r="L2264" s="21" t="s">
        <v>12027</v>
      </c>
      <c r="M2264" s="26">
        <v>45824</v>
      </c>
      <c r="N2264" s="44">
        <v>27350</v>
      </c>
      <c r="O2264" s="22" t="s">
        <v>337</v>
      </c>
      <c r="P2264" s="44">
        <v>27350</v>
      </c>
      <c r="Q2264" s="24">
        <f t="shared" si="284"/>
        <v>0</v>
      </c>
      <c r="R2264" s="24">
        <f t="shared" si="285"/>
        <v>27350</v>
      </c>
    </row>
    <row r="2265" spans="2:19" hidden="1" x14ac:dyDescent="0.25">
      <c r="B2265" s="21" t="s">
        <v>395</v>
      </c>
      <c r="C2265" s="22" t="s">
        <v>2450</v>
      </c>
      <c r="D2265" s="22"/>
      <c r="E2265" s="21" t="s">
        <v>0</v>
      </c>
      <c r="F2265" s="21" t="s">
        <v>11538</v>
      </c>
      <c r="G2265" s="147" t="s">
        <v>11668</v>
      </c>
      <c r="H2265" s="23" t="s">
        <v>11948</v>
      </c>
      <c r="I2265" s="23" t="s">
        <v>11949</v>
      </c>
      <c r="J2265" s="21" t="s">
        <v>11956</v>
      </c>
      <c r="K2265" s="21"/>
      <c r="L2265" s="21" t="s">
        <v>11957</v>
      </c>
      <c r="M2265" s="26">
        <v>45813</v>
      </c>
      <c r="N2265" s="44">
        <v>7862</v>
      </c>
      <c r="O2265" s="22" t="s">
        <v>341</v>
      </c>
      <c r="P2265" s="44">
        <v>7862</v>
      </c>
      <c r="Q2265" s="44">
        <f t="shared" si="284"/>
        <v>0</v>
      </c>
      <c r="R2265" s="116">
        <f t="shared" si="285"/>
        <v>7862</v>
      </c>
      <c r="S2265" s="5" t="s">
        <v>11705</v>
      </c>
    </row>
    <row r="2266" spans="2:19" hidden="1" x14ac:dyDescent="0.25">
      <c r="B2266" s="21" t="s">
        <v>395</v>
      </c>
      <c r="C2266" s="22" t="s">
        <v>158</v>
      </c>
      <c r="D2266" s="22"/>
      <c r="E2266" s="21" t="s">
        <v>10</v>
      </c>
      <c r="F2266" s="21" t="s">
        <v>9721</v>
      </c>
      <c r="G2266" s="147" t="s">
        <v>7313</v>
      </c>
      <c r="H2266" s="23" t="s">
        <v>11950</v>
      </c>
      <c r="I2266" s="23" t="s">
        <v>11951</v>
      </c>
      <c r="J2266" s="21" t="s">
        <v>6557</v>
      </c>
      <c r="K2266" s="21"/>
      <c r="L2266" s="21" t="s">
        <v>11990</v>
      </c>
      <c r="M2266" s="26" t="s">
        <v>11991</v>
      </c>
      <c r="N2266" s="44">
        <v>660</v>
      </c>
      <c r="O2266" s="22" t="s">
        <v>15</v>
      </c>
      <c r="P2266" s="44">
        <f>291.2+380.8</f>
        <v>672</v>
      </c>
      <c r="Q2266" s="44">
        <f t="shared" ref="Q2266:Q2267" si="286">IF(P2266="en cours",N2266,IF(P2266="OK",0,IF(N2266-P2266&lt;0,0,N2266-P2266)))</f>
        <v>0</v>
      </c>
      <c r="R2266" s="24">
        <f t="shared" ref="R2266:R2267" si="287">IF(P2266="OK",N2266-Q2266,IF(P2266="en cours",N2266-Q2266,P2266))</f>
        <v>672</v>
      </c>
    </row>
    <row r="2267" spans="2:19" hidden="1" x14ac:dyDescent="0.25">
      <c r="B2267" s="21" t="s">
        <v>395</v>
      </c>
      <c r="C2267" s="22" t="s">
        <v>2450</v>
      </c>
      <c r="D2267" s="22"/>
      <c r="E2267" s="21" t="s">
        <v>0</v>
      </c>
      <c r="F2267" s="21" t="s">
        <v>9773</v>
      </c>
      <c r="G2267" s="147" t="s">
        <v>10225</v>
      </c>
      <c r="H2267" s="23" t="s">
        <v>11982</v>
      </c>
      <c r="I2267" s="23" t="s">
        <v>11987</v>
      </c>
      <c r="J2267" s="21" t="s">
        <v>11983</v>
      </c>
      <c r="K2267" s="499"/>
      <c r="L2267" s="21" t="s">
        <v>12322</v>
      </c>
      <c r="M2267" s="26" t="s">
        <v>12323</v>
      </c>
      <c r="N2267" s="44">
        <v>21620</v>
      </c>
      <c r="O2267" s="22" t="s">
        <v>276</v>
      </c>
      <c r="P2267" s="44">
        <f>17939+3681</f>
        <v>21620</v>
      </c>
      <c r="Q2267" s="24">
        <f t="shared" si="286"/>
        <v>0</v>
      </c>
      <c r="R2267" s="24">
        <f t="shared" si="287"/>
        <v>21620</v>
      </c>
    </row>
    <row r="2268" spans="2:19" hidden="1" x14ac:dyDescent="0.25">
      <c r="B2268" s="21" t="s">
        <v>395</v>
      </c>
      <c r="C2268" s="22" t="s">
        <v>2450</v>
      </c>
      <c r="D2268" s="22"/>
      <c r="E2268" s="21" t="s">
        <v>0</v>
      </c>
      <c r="F2268" s="21" t="s">
        <v>9773</v>
      </c>
      <c r="G2268" s="147" t="s">
        <v>10225</v>
      </c>
      <c r="H2268" s="23" t="s">
        <v>11982</v>
      </c>
      <c r="I2268" s="23" t="s">
        <v>11987</v>
      </c>
      <c r="J2268" s="21" t="s">
        <v>11984</v>
      </c>
      <c r="K2268" s="499"/>
      <c r="L2268" s="21" t="s">
        <v>12066</v>
      </c>
      <c r="M2268" s="26" t="s">
        <v>12067</v>
      </c>
      <c r="N2268" s="44">
        <v>117106</v>
      </c>
      <c r="O2268" s="22" t="s">
        <v>276</v>
      </c>
      <c r="P2268" s="44">
        <f>22373+94732</f>
        <v>117105</v>
      </c>
      <c r="Q2268" s="24">
        <v>0</v>
      </c>
      <c r="R2268" s="24">
        <f t="shared" ref="R2268:R2277" si="288">IF(P2268="OK",N2268-Q2268,IF(P2268="en cours",N2268-Q2268,P2268))</f>
        <v>117105</v>
      </c>
    </row>
    <row r="2269" spans="2:19" hidden="1" x14ac:dyDescent="0.25">
      <c r="B2269" s="21" t="s">
        <v>395</v>
      </c>
      <c r="C2269" s="22" t="s">
        <v>2450</v>
      </c>
      <c r="D2269" s="22"/>
      <c r="E2269" s="21" t="s">
        <v>0</v>
      </c>
      <c r="F2269" s="21" t="s">
        <v>9773</v>
      </c>
      <c r="G2269" s="147" t="s">
        <v>10225</v>
      </c>
      <c r="H2269" s="23" t="s">
        <v>11982</v>
      </c>
      <c r="I2269" s="23" t="s">
        <v>11987</v>
      </c>
      <c r="J2269" s="21" t="s">
        <v>11985</v>
      </c>
      <c r="K2269" s="499"/>
      <c r="L2269" s="21" t="s">
        <v>12023</v>
      </c>
      <c r="M2269" s="26">
        <v>45826</v>
      </c>
      <c r="N2269" s="44">
        <v>50935</v>
      </c>
      <c r="O2269" s="22" t="s">
        <v>276</v>
      </c>
      <c r="P2269" s="44">
        <f>50935</f>
        <v>50935</v>
      </c>
      <c r="Q2269" s="24">
        <f t="shared" ref="Q2269:Q2277" si="289">IF(P2269="en cours",N2269,IF(P2269="OK",0,IF(N2269-P2269&lt;0,0,N2269-P2269)))</f>
        <v>0</v>
      </c>
      <c r="R2269" s="24">
        <f t="shared" si="288"/>
        <v>50935</v>
      </c>
    </row>
    <row r="2270" spans="2:19" hidden="1" x14ac:dyDescent="0.25">
      <c r="B2270" s="21" t="s">
        <v>395</v>
      </c>
      <c r="C2270" s="22" t="s">
        <v>2450</v>
      </c>
      <c r="D2270" s="22"/>
      <c r="E2270" s="21" t="s">
        <v>0</v>
      </c>
      <c r="F2270" s="21" t="s">
        <v>9773</v>
      </c>
      <c r="G2270" s="147" t="s">
        <v>10225</v>
      </c>
      <c r="H2270" s="23" t="s">
        <v>11982</v>
      </c>
      <c r="I2270" s="23" t="s">
        <v>11987</v>
      </c>
      <c r="J2270" s="21" t="s">
        <v>11986</v>
      </c>
      <c r="K2270" s="499"/>
      <c r="L2270" s="21" t="s">
        <v>12707</v>
      </c>
      <c r="M2270" s="26">
        <v>45926</v>
      </c>
      <c r="N2270" s="44">
        <v>27332</v>
      </c>
      <c r="O2270" s="22" t="s">
        <v>276</v>
      </c>
      <c r="P2270" s="44">
        <v>27332</v>
      </c>
      <c r="Q2270" s="24">
        <f t="shared" si="289"/>
        <v>0</v>
      </c>
      <c r="R2270" s="24">
        <f t="shared" si="288"/>
        <v>27332</v>
      </c>
    </row>
    <row r="2271" spans="2:19" hidden="1" x14ac:dyDescent="0.25">
      <c r="B2271" s="21" t="s">
        <v>395</v>
      </c>
      <c r="C2271" s="22" t="s">
        <v>2450</v>
      </c>
      <c r="D2271" s="22"/>
      <c r="E2271" s="21" t="s">
        <v>0</v>
      </c>
      <c r="F2271" s="21" t="s">
        <v>9823</v>
      </c>
      <c r="G2271" s="147" t="s">
        <v>8757</v>
      </c>
      <c r="H2271" s="23" t="s">
        <v>11994</v>
      </c>
      <c r="I2271" s="23" t="s">
        <v>11995</v>
      </c>
      <c r="J2271" s="21" t="s">
        <v>11996</v>
      </c>
      <c r="K2271" s="21"/>
      <c r="L2271" s="21" t="s">
        <v>12059</v>
      </c>
      <c r="M2271" s="26">
        <v>45835</v>
      </c>
      <c r="N2271" s="44">
        <v>3850</v>
      </c>
      <c r="O2271" s="22" t="s">
        <v>337</v>
      </c>
      <c r="P2271" s="44">
        <v>4078.3</v>
      </c>
      <c r="Q2271" s="24">
        <f t="shared" si="289"/>
        <v>0</v>
      </c>
      <c r="R2271" s="24">
        <f t="shared" si="288"/>
        <v>4078.3</v>
      </c>
    </row>
    <row r="2272" spans="2:19" hidden="1" x14ac:dyDescent="0.25">
      <c r="B2272" s="21" t="s">
        <v>395</v>
      </c>
      <c r="C2272" s="22" t="s">
        <v>2450</v>
      </c>
      <c r="D2272" s="22"/>
      <c r="E2272" s="21" t="s">
        <v>0</v>
      </c>
      <c r="F2272" s="21" t="s">
        <v>9823</v>
      </c>
      <c r="G2272" s="147" t="s">
        <v>8757</v>
      </c>
      <c r="H2272" s="23" t="s">
        <v>11997</v>
      </c>
      <c r="I2272" s="23" t="s">
        <v>11998</v>
      </c>
      <c r="J2272" s="21" t="s">
        <v>11608</v>
      </c>
      <c r="K2272" s="499"/>
      <c r="L2272" s="21" t="s">
        <v>12329</v>
      </c>
      <c r="M2272" s="26">
        <v>45877</v>
      </c>
      <c r="N2272" s="44">
        <v>2100</v>
      </c>
      <c r="O2272" s="22" t="s">
        <v>337</v>
      </c>
      <c r="P2272" s="44">
        <v>2100</v>
      </c>
      <c r="Q2272" s="24">
        <f t="shared" si="289"/>
        <v>0</v>
      </c>
      <c r="R2272" s="24">
        <f t="shared" si="288"/>
        <v>2100</v>
      </c>
    </row>
    <row r="2273" spans="2:18" hidden="1" x14ac:dyDescent="0.25">
      <c r="B2273" s="21" t="s">
        <v>395</v>
      </c>
      <c r="C2273" s="22" t="s">
        <v>2450</v>
      </c>
      <c r="D2273" s="22"/>
      <c r="E2273" s="21" t="s">
        <v>11999</v>
      </c>
      <c r="F2273" s="21" t="s">
        <v>9807</v>
      </c>
      <c r="G2273" s="147" t="s">
        <v>12000</v>
      </c>
      <c r="H2273" s="23" t="s">
        <v>12001</v>
      </c>
      <c r="I2273" s="23" t="s">
        <v>12002</v>
      </c>
      <c r="J2273" s="21" t="s">
        <v>12003</v>
      </c>
      <c r="K2273" s="21"/>
      <c r="L2273" s="21" t="s">
        <v>12028</v>
      </c>
      <c r="M2273" s="26">
        <v>45825</v>
      </c>
      <c r="N2273" s="44">
        <v>19</v>
      </c>
      <c r="O2273" s="22" t="s">
        <v>15</v>
      </c>
      <c r="P2273" s="44">
        <v>19</v>
      </c>
      <c r="Q2273" s="24">
        <f t="shared" si="289"/>
        <v>0</v>
      </c>
      <c r="R2273" s="24">
        <f t="shared" si="288"/>
        <v>19</v>
      </c>
    </row>
    <row r="2274" spans="2:18" hidden="1" x14ac:dyDescent="0.25">
      <c r="B2274" s="21" t="s">
        <v>395</v>
      </c>
      <c r="C2274" s="22" t="s">
        <v>2450</v>
      </c>
      <c r="D2274" s="22"/>
      <c r="E2274" s="21" t="s">
        <v>11999</v>
      </c>
      <c r="F2274" s="21" t="s">
        <v>9807</v>
      </c>
      <c r="G2274" s="147" t="s">
        <v>3687</v>
      </c>
      <c r="H2274" s="23" t="s">
        <v>12004</v>
      </c>
      <c r="I2274" s="23" t="s">
        <v>12005</v>
      </c>
      <c r="J2274" s="21" t="s">
        <v>9927</v>
      </c>
      <c r="K2274" s="21"/>
      <c r="L2274" s="21" t="s">
        <v>12017</v>
      </c>
      <c r="M2274" s="23" t="s">
        <v>12018</v>
      </c>
      <c r="N2274" s="44">
        <v>3900</v>
      </c>
      <c r="O2274" s="22" t="s">
        <v>15</v>
      </c>
      <c r="P2274" s="44">
        <v>3900</v>
      </c>
      <c r="Q2274" s="24">
        <f t="shared" si="289"/>
        <v>0</v>
      </c>
      <c r="R2274" s="24">
        <f t="shared" si="288"/>
        <v>3900</v>
      </c>
    </row>
    <row r="2275" spans="2:18" hidden="1" x14ac:dyDescent="0.25">
      <c r="B2275" s="21" t="s">
        <v>395</v>
      </c>
      <c r="C2275" s="22" t="s">
        <v>2450</v>
      </c>
      <c r="D2275" s="22"/>
      <c r="E2275" s="21" t="s">
        <v>11999</v>
      </c>
      <c r="F2275" s="21" t="s">
        <v>9807</v>
      </c>
      <c r="G2275" s="147" t="s">
        <v>3687</v>
      </c>
      <c r="H2275" s="23" t="s">
        <v>12006</v>
      </c>
      <c r="I2275" s="23" t="s">
        <v>12007</v>
      </c>
      <c r="J2275" s="21" t="s">
        <v>12008</v>
      </c>
      <c r="K2275" s="21"/>
      <c r="L2275" s="21" t="s">
        <v>14107</v>
      </c>
      <c r="M2275" s="26" t="s">
        <v>14108</v>
      </c>
      <c r="N2275" s="44">
        <v>86100</v>
      </c>
      <c r="O2275" s="22" t="s">
        <v>15</v>
      </c>
      <c r="P2275" s="44">
        <f>10530+15300+8260+1215.5+27440+2575.43+18954+4100</f>
        <v>88374.93</v>
      </c>
      <c r="Q2275" s="24">
        <f t="shared" si="289"/>
        <v>0</v>
      </c>
      <c r="R2275" s="24">
        <f t="shared" si="288"/>
        <v>88374.93</v>
      </c>
    </row>
    <row r="2276" spans="2:18" hidden="1" x14ac:dyDescent="0.25">
      <c r="B2276" s="21" t="s">
        <v>395</v>
      </c>
      <c r="C2276" s="22" t="s">
        <v>2450</v>
      </c>
      <c r="D2276" s="22"/>
      <c r="E2276" s="21" t="s">
        <v>10</v>
      </c>
      <c r="F2276" s="21" t="s">
        <v>9721</v>
      </c>
      <c r="G2276" s="147" t="s">
        <v>7043</v>
      </c>
      <c r="H2276" s="23" t="s">
        <v>12009</v>
      </c>
      <c r="I2276" s="23" t="s">
        <v>12010</v>
      </c>
      <c r="J2276" s="21" t="s">
        <v>6557</v>
      </c>
      <c r="K2276" s="21"/>
      <c r="L2276" s="21" t="s">
        <v>12029</v>
      </c>
      <c r="M2276" s="26">
        <v>45825</v>
      </c>
      <c r="N2276" s="44">
        <v>600.79999999999995</v>
      </c>
      <c r="O2276" s="22" t="s">
        <v>15</v>
      </c>
      <c r="P2276" s="44">
        <v>600.79999999999995</v>
      </c>
      <c r="Q2276" s="24">
        <f t="shared" si="289"/>
        <v>0</v>
      </c>
      <c r="R2276" s="24">
        <f t="shared" si="288"/>
        <v>600.79999999999995</v>
      </c>
    </row>
    <row r="2277" spans="2:18" hidden="1" x14ac:dyDescent="0.25">
      <c r="B2277" s="21" t="s">
        <v>395</v>
      </c>
      <c r="C2277" s="22" t="s">
        <v>2450</v>
      </c>
      <c r="D2277" s="22"/>
      <c r="E2277" s="21" t="s">
        <v>0</v>
      </c>
      <c r="F2277" s="21" t="s">
        <v>9807</v>
      </c>
      <c r="G2277" s="147" t="s">
        <v>6365</v>
      </c>
      <c r="H2277" s="23" t="s">
        <v>13097</v>
      </c>
      <c r="I2277" s="23" t="s">
        <v>13100</v>
      </c>
      <c r="J2277" s="21" t="s">
        <v>12025</v>
      </c>
      <c r="K2277" s="21"/>
      <c r="L2277" s="21" t="s">
        <v>12574</v>
      </c>
      <c r="M2277" s="23" t="s">
        <v>12575</v>
      </c>
      <c r="N2277" s="44">
        <v>0</v>
      </c>
      <c r="O2277" s="22" t="s">
        <v>15</v>
      </c>
      <c r="P2277" s="44"/>
      <c r="Q2277" s="24">
        <f t="shared" si="289"/>
        <v>0</v>
      </c>
      <c r="R2277" s="24">
        <f t="shared" si="288"/>
        <v>0</v>
      </c>
    </row>
    <row r="2278" spans="2:18" hidden="1" x14ac:dyDescent="0.25">
      <c r="B2278" s="21" t="s">
        <v>395</v>
      </c>
      <c r="C2278" s="22" t="s">
        <v>2450</v>
      </c>
      <c r="D2278" s="22"/>
      <c r="E2278" s="21" t="s">
        <v>10</v>
      </c>
      <c r="F2278" s="21" t="s">
        <v>9721</v>
      </c>
      <c r="G2278" s="147" t="s">
        <v>6506</v>
      </c>
      <c r="H2278" s="23" t="s">
        <v>12013</v>
      </c>
      <c r="I2278" s="23" t="s">
        <v>12014</v>
      </c>
      <c r="J2278" s="21" t="s">
        <v>6557</v>
      </c>
      <c r="K2278" s="21"/>
      <c r="L2278" s="21" t="s">
        <v>12096</v>
      </c>
      <c r="M2278" s="26">
        <v>45841</v>
      </c>
      <c r="N2278" s="44">
        <v>10870.2</v>
      </c>
      <c r="O2278" s="22" t="s">
        <v>15</v>
      </c>
      <c r="P2278" s="44">
        <v>10870.2</v>
      </c>
      <c r="Q2278" s="24">
        <f t="shared" ref="Q2278" si="290">IF(P2278="en cours",N2278,IF(P2278="OK",0,IF(N2278-P2278&lt;0,0,N2278-P2278)))</f>
        <v>0</v>
      </c>
      <c r="R2278" s="24">
        <f t="shared" ref="R2278" si="291">IF(P2278="OK",N2278-Q2278,IF(P2278="en cours",N2278-Q2278,P2278))</f>
        <v>10870.2</v>
      </c>
    </row>
    <row r="2279" spans="2:18" hidden="1" x14ac:dyDescent="0.25">
      <c r="B2279" s="21" t="s">
        <v>395</v>
      </c>
      <c r="C2279" s="22" t="s">
        <v>2450</v>
      </c>
      <c r="D2279" s="22"/>
      <c r="E2279" s="21" t="s">
        <v>0</v>
      </c>
      <c r="F2279" s="21" t="s">
        <v>9807</v>
      </c>
      <c r="G2279" s="147" t="s">
        <v>132</v>
      </c>
      <c r="H2279" s="23" t="s">
        <v>12038</v>
      </c>
      <c r="I2279" s="23" t="s">
        <v>12039</v>
      </c>
      <c r="J2279" s="21" t="s">
        <v>12040</v>
      </c>
      <c r="K2279" s="120"/>
      <c r="L2279" s="21" t="s">
        <v>12155</v>
      </c>
      <c r="M2279" s="26">
        <v>45855</v>
      </c>
      <c r="N2279" s="44">
        <v>4630</v>
      </c>
      <c r="O2279" s="22" t="s">
        <v>15</v>
      </c>
      <c r="P2279" s="114">
        <v>4630</v>
      </c>
      <c r="Q2279" s="24">
        <f t="shared" ref="Q2279:Q2280" si="292">IF(P2279="en cours",N2279,IF(P2279="OK",0,IF(N2279-P2279&lt;0,0,N2279-P2279)))</f>
        <v>0</v>
      </c>
      <c r="R2279" s="24">
        <f t="shared" ref="R2279:R2280" si="293">IF(P2279="OK",N2279-Q2279,IF(P2279="en cours",N2279-Q2279,P2279))</f>
        <v>4630</v>
      </c>
    </row>
    <row r="2280" spans="2:18" hidden="1" x14ac:dyDescent="0.25">
      <c r="B2280" s="21" t="s">
        <v>395</v>
      </c>
      <c r="C2280" s="22" t="s">
        <v>2450</v>
      </c>
      <c r="D2280" s="22"/>
      <c r="E2280" s="21" t="s">
        <v>10</v>
      </c>
      <c r="F2280" s="21" t="s">
        <v>9721</v>
      </c>
      <c r="G2280" s="147" t="s">
        <v>9863</v>
      </c>
      <c r="H2280" s="23" t="s">
        <v>12041</v>
      </c>
      <c r="I2280" s="23" t="s">
        <v>12042</v>
      </c>
      <c r="J2280" s="21" t="s">
        <v>11614</v>
      </c>
      <c r="K2280" s="21"/>
      <c r="L2280" s="21" t="s">
        <v>12065</v>
      </c>
      <c r="M2280" s="26">
        <v>45835</v>
      </c>
      <c r="N2280" s="44">
        <v>543.6</v>
      </c>
      <c r="O2280" s="22" t="s">
        <v>15</v>
      </c>
      <c r="P2280" s="44">
        <v>543.6</v>
      </c>
      <c r="Q2280" s="24">
        <f t="shared" si="292"/>
        <v>0</v>
      </c>
      <c r="R2280" s="24">
        <f t="shared" si="293"/>
        <v>543.6</v>
      </c>
    </row>
    <row r="2281" spans="2:18" hidden="1" x14ac:dyDescent="0.25">
      <c r="B2281" s="21" t="s">
        <v>395</v>
      </c>
      <c r="C2281" s="22" t="s">
        <v>2450</v>
      </c>
      <c r="D2281" s="22"/>
      <c r="E2281" s="21" t="s">
        <v>0</v>
      </c>
      <c r="F2281" s="21" t="s">
        <v>9807</v>
      </c>
      <c r="G2281" s="147" t="s">
        <v>7266</v>
      </c>
      <c r="H2281" s="23" t="s">
        <v>12043</v>
      </c>
      <c r="I2281" s="23" t="s">
        <v>12044</v>
      </c>
      <c r="J2281" s="21" t="s">
        <v>12045</v>
      </c>
      <c r="K2281" s="21"/>
      <c r="L2281" s="21" t="s">
        <v>13463</v>
      </c>
      <c r="M2281" s="26">
        <v>45993</v>
      </c>
      <c r="N2281" s="44">
        <v>13600</v>
      </c>
      <c r="O2281" s="22" t="s">
        <v>15</v>
      </c>
      <c r="P2281" s="44">
        <v>13600</v>
      </c>
      <c r="Q2281" s="24">
        <f t="shared" ref="Q2281:Q2286" si="294">IF(P2281="en cours",N2281,IF(P2281="OK",0,IF(N2281-P2281&lt;0,0,N2281-P2281)))</f>
        <v>0</v>
      </c>
      <c r="R2281" s="24">
        <f t="shared" ref="R2281:R2286" si="295">IF(P2281="OK",N2281-Q2281,IF(P2281="en cours",N2281-Q2281,P2281))</f>
        <v>13600</v>
      </c>
    </row>
    <row r="2282" spans="2:18" hidden="1" x14ac:dyDescent="0.25">
      <c r="B2282" s="21" t="s">
        <v>395</v>
      </c>
      <c r="C2282" s="22" t="s">
        <v>2450</v>
      </c>
      <c r="D2282" s="22"/>
      <c r="E2282" s="21" t="s">
        <v>0</v>
      </c>
      <c r="F2282" s="21" t="s">
        <v>11538</v>
      </c>
      <c r="G2282" s="147" t="s">
        <v>11668</v>
      </c>
      <c r="H2282" s="23" t="s">
        <v>12046</v>
      </c>
      <c r="I2282" s="23" t="s">
        <v>12047</v>
      </c>
      <c r="J2282" s="21" t="s">
        <v>12048</v>
      </c>
      <c r="K2282" s="21"/>
      <c r="L2282" s="21" t="s">
        <v>12068</v>
      </c>
      <c r="M2282" s="26">
        <v>45834</v>
      </c>
      <c r="N2282" s="44">
        <v>133423</v>
      </c>
      <c r="O2282" s="22" t="s">
        <v>341</v>
      </c>
      <c r="P2282" s="44">
        <v>133423</v>
      </c>
      <c r="Q2282" s="24">
        <f t="shared" si="294"/>
        <v>0</v>
      </c>
      <c r="R2282" s="24">
        <f t="shared" si="295"/>
        <v>133423</v>
      </c>
    </row>
    <row r="2283" spans="2:18" hidden="1" x14ac:dyDescent="0.25">
      <c r="C2283" s="4" t="s">
        <v>2450</v>
      </c>
      <c r="E2283" s="5" t="s">
        <v>0</v>
      </c>
      <c r="F2283" s="5" t="s">
        <v>9766</v>
      </c>
      <c r="G2283" s="146" t="s">
        <v>8633</v>
      </c>
      <c r="H2283" s="7" t="s">
        <v>12135</v>
      </c>
      <c r="I2283" s="7" t="s">
        <v>12136</v>
      </c>
      <c r="J2283" s="5" t="s">
        <v>12077</v>
      </c>
      <c r="K2283" s="115">
        <v>46113</v>
      </c>
      <c r="N2283" s="45">
        <f>0.35*4322700</f>
        <v>1512945</v>
      </c>
      <c r="O2283" s="4" t="s">
        <v>15</v>
      </c>
      <c r="Q2283" s="3">
        <f t="shared" si="294"/>
        <v>1512945</v>
      </c>
      <c r="R2283" s="3">
        <f t="shared" si="295"/>
        <v>0</v>
      </c>
    </row>
    <row r="2284" spans="2:18" hidden="1" x14ac:dyDescent="0.25">
      <c r="C2284" s="4" t="s">
        <v>2450</v>
      </c>
      <c r="E2284" s="5" t="s">
        <v>0</v>
      </c>
      <c r="F2284" s="5" t="s">
        <v>9766</v>
      </c>
      <c r="G2284" s="146" t="s">
        <v>8633</v>
      </c>
      <c r="H2284" s="7" t="s">
        <v>12135</v>
      </c>
      <c r="I2284" s="7" t="s">
        <v>12136</v>
      </c>
      <c r="J2284" s="5" t="s">
        <v>12078</v>
      </c>
      <c r="N2284" s="45">
        <f>0.35*4322700</f>
        <v>1512945</v>
      </c>
      <c r="O2284" s="4" t="s">
        <v>15</v>
      </c>
      <c r="Q2284" s="3">
        <f t="shared" si="294"/>
        <v>1512945</v>
      </c>
      <c r="R2284" s="3">
        <f t="shared" si="295"/>
        <v>0</v>
      </c>
    </row>
    <row r="2285" spans="2:18" hidden="1" x14ac:dyDescent="0.25">
      <c r="C2285" s="4" t="s">
        <v>2450</v>
      </c>
      <c r="E2285" s="5" t="s">
        <v>0</v>
      </c>
      <c r="F2285" s="5" t="s">
        <v>9766</v>
      </c>
      <c r="G2285" s="146" t="s">
        <v>8633</v>
      </c>
      <c r="H2285" s="7" t="s">
        <v>12135</v>
      </c>
      <c r="I2285" s="7" t="s">
        <v>12136</v>
      </c>
      <c r="J2285" s="5" t="s">
        <v>12079</v>
      </c>
      <c r="N2285" s="45">
        <f>0.2*4322700</f>
        <v>864540</v>
      </c>
      <c r="O2285" s="4" t="s">
        <v>15</v>
      </c>
      <c r="Q2285" s="3">
        <f t="shared" si="294"/>
        <v>864540</v>
      </c>
      <c r="R2285" s="3">
        <f>IF(P2285="OK",N2285-Q2285,IF(P2285="en cours",N2285-Q2285,P2285))</f>
        <v>0</v>
      </c>
    </row>
    <row r="2286" spans="2:18" hidden="1" x14ac:dyDescent="0.25">
      <c r="C2286" s="4" t="s">
        <v>2450</v>
      </c>
      <c r="E2286" s="5" t="s">
        <v>0</v>
      </c>
      <c r="F2286" s="5" t="s">
        <v>9766</v>
      </c>
      <c r="G2286" s="146" t="s">
        <v>8633</v>
      </c>
      <c r="H2286" s="7" t="s">
        <v>12135</v>
      </c>
      <c r="I2286" s="7" t="s">
        <v>12136</v>
      </c>
      <c r="J2286" s="5" t="s">
        <v>12080</v>
      </c>
      <c r="N2286" s="45">
        <f>0.1*4322700</f>
        <v>432270</v>
      </c>
      <c r="O2286" s="4" t="s">
        <v>15</v>
      </c>
      <c r="Q2286" s="3">
        <f t="shared" si="294"/>
        <v>432270</v>
      </c>
      <c r="R2286" s="3">
        <f t="shared" si="295"/>
        <v>0</v>
      </c>
    </row>
    <row r="2287" spans="2:18" hidden="1" x14ac:dyDescent="0.25">
      <c r="B2287" s="21" t="s">
        <v>395</v>
      </c>
      <c r="C2287" s="22" t="s">
        <v>2450</v>
      </c>
      <c r="D2287" s="22"/>
      <c r="E2287" s="21" t="s">
        <v>10</v>
      </c>
      <c r="F2287" s="21" t="s">
        <v>9721</v>
      </c>
      <c r="G2287" s="147" t="s">
        <v>9319</v>
      </c>
      <c r="H2287" s="23" t="s">
        <v>12073</v>
      </c>
      <c r="I2287" s="23" t="s">
        <v>12074</v>
      </c>
      <c r="J2287" s="21" t="s">
        <v>12075</v>
      </c>
      <c r="K2287" s="21"/>
      <c r="L2287" s="21" t="s">
        <v>12076</v>
      </c>
      <c r="M2287" s="26">
        <v>45838</v>
      </c>
      <c r="N2287" s="44">
        <v>305.76</v>
      </c>
      <c r="O2287" s="22" t="s">
        <v>15</v>
      </c>
      <c r="P2287" s="44">
        <v>305.76</v>
      </c>
      <c r="Q2287" s="24">
        <f t="shared" ref="Q2287:Q2289" si="296">IF(P2287="en cours",N2287,IF(P2287="OK",0,IF(N2287-P2287&lt;0,0,N2287-P2287)))</f>
        <v>0</v>
      </c>
      <c r="R2287" s="24">
        <f t="shared" ref="R2287:R2290" si="297">IF(P2287="OK",N2287-Q2287,IF(P2287="en cours",N2287-Q2287,P2287))</f>
        <v>305.76</v>
      </c>
    </row>
    <row r="2288" spans="2:18" hidden="1" x14ac:dyDescent="0.25">
      <c r="B2288" s="21" t="s">
        <v>395</v>
      </c>
      <c r="C2288" s="22" t="s">
        <v>2450</v>
      </c>
      <c r="D2288" s="22"/>
      <c r="E2288" s="21" t="s">
        <v>0</v>
      </c>
      <c r="F2288" s="21" t="s">
        <v>9807</v>
      </c>
      <c r="G2288" s="147" t="s">
        <v>6365</v>
      </c>
      <c r="H2288" s="23" t="s">
        <v>12081</v>
      </c>
      <c r="I2288" s="23" t="s">
        <v>12082</v>
      </c>
      <c r="J2288" s="21" t="s">
        <v>12083</v>
      </c>
      <c r="K2288" s="21"/>
      <c r="L2288" s="21" t="s">
        <v>12199</v>
      </c>
      <c r="M2288" s="26" t="s">
        <v>12200</v>
      </c>
      <c r="N2288" s="44">
        <v>52080</v>
      </c>
      <c r="O2288" s="22" t="s">
        <v>15</v>
      </c>
      <c r="P2288" s="44">
        <f>12570+39510</f>
        <v>52080</v>
      </c>
      <c r="Q2288" s="24">
        <f t="shared" si="296"/>
        <v>0</v>
      </c>
      <c r="R2288" s="24">
        <f t="shared" si="297"/>
        <v>52080</v>
      </c>
    </row>
    <row r="2289" spans="2:18" hidden="1" x14ac:dyDescent="0.25">
      <c r="B2289" s="21" t="s">
        <v>395</v>
      </c>
      <c r="C2289" s="22" t="s">
        <v>2450</v>
      </c>
      <c r="D2289" s="22"/>
      <c r="E2289" s="21" t="s">
        <v>0</v>
      </c>
      <c r="F2289" s="21" t="s">
        <v>9807</v>
      </c>
      <c r="G2289" s="147" t="s">
        <v>6365</v>
      </c>
      <c r="H2289" s="23" t="s">
        <v>12084</v>
      </c>
      <c r="I2289" s="23" t="s">
        <v>12085</v>
      </c>
      <c r="J2289" s="21" t="s">
        <v>12086</v>
      </c>
      <c r="K2289" s="21"/>
      <c r="L2289" s="21" t="s">
        <v>12095</v>
      </c>
      <c r="M2289" s="26">
        <v>45842</v>
      </c>
      <c r="N2289" s="44">
        <v>21465</v>
      </c>
      <c r="O2289" s="22" t="s">
        <v>15</v>
      </c>
      <c r="P2289" s="44">
        <v>21465</v>
      </c>
      <c r="Q2289" s="24">
        <f t="shared" si="296"/>
        <v>0</v>
      </c>
      <c r="R2289" s="24">
        <f t="shared" si="297"/>
        <v>21465</v>
      </c>
    </row>
    <row r="2290" spans="2:18" hidden="1" x14ac:dyDescent="0.25">
      <c r="C2290" s="4" t="s">
        <v>6047</v>
      </c>
      <c r="E2290" s="5" t="s">
        <v>0</v>
      </c>
      <c r="G2290" s="146" t="s">
        <v>509</v>
      </c>
      <c r="H2290" s="7" t="s">
        <v>12087</v>
      </c>
      <c r="J2290" s="5" t="s">
        <v>12088</v>
      </c>
      <c r="N2290" s="45">
        <v>89315.82</v>
      </c>
      <c r="O2290" s="4" t="s">
        <v>15</v>
      </c>
      <c r="Q2290" s="3">
        <f>IF(P2290="en cours",N2290,IF(P2290="OK",0,IF(N2290-P2290&lt;0,0,N2290-P2290)))</f>
        <v>89315.82</v>
      </c>
      <c r="R2290" s="3">
        <f t="shared" si="297"/>
        <v>0</v>
      </c>
    </row>
    <row r="2291" spans="2:18" hidden="1" x14ac:dyDescent="0.25">
      <c r="C2291" s="4" t="s">
        <v>2450</v>
      </c>
      <c r="E2291" s="5" t="s">
        <v>7137</v>
      </c>
      <c r="F2291" s="5" t="s">
        <v>10561</v>
      </c>
      <c r="G2291" s="146" t="s">
        <v>8733</v>
      </c>
      <c r="H2291" s="7" t="s">
        <v>12108</v>
      </c>
      <c r="I2291" s="7" t="s">
        <v>12109</v>
      </c>
      <c r="J2291" s="5" t="s">
        <v>12110</v>
      </c>
      <c r="L2291" s="5" t="s">
        <v>13671</v>
      </c>
      <c r="M2291" s="12">
        <v>45947</v>
      </c>
      <c r="N2291" s="45">
        <v>11620</v>
      </c>
      <c r="O2291" s="4" t="s">
        <v>341</v>
      </c>
      <c r="P2291" s="45">
        <f>10497.4+960</f>
        <v>11457.4</v>
      </c>
      <c r="Q2291" s="3">
        <f t="shared" ref="Q2291:Q2301" si="298">IF(P2291="en cours",N2291,IF(P2291="OK",0,IF(N2291-P2291&lt;0,0,N2291-P2291)))</f>
        <v>162.60000000000036</v>
      </c>
      <c r="R2291" s="3">
        <f t="shared" ref="R2291:R2301" si="299">IF(P2291="OK",N2291-Q2291,IF(P2291="en cours",N2291-Q2291,P2291))</f>
        <v>11457.4</v>
      </c>
    </row>
    <row r="2292" spans="2:18" hidden="1" x14ac:dyDescent="0.25">
      <c r="C2292" s="4" t="s">
        <v>2450</v>
      </c>
      <c r="E2292" s="5" t="s">
        <v>0</v>
      </c>
      <c r="F2292" s="5" t="s">
        <v>9807</v>
      </c>
      <c r="G2292" s="146" t="s">
        <v>3687</v>
      </c>
      <c r="H2292" s="7" t="s">
        <v>12111</v>
      </c>
      <c r="I2292" s="7" t="s">
        <v>12112</v>
      </c>
      <c r="J2292" s="5" t="s">
        <v>12113</v>
      </c>
      <c r="L2292" s="5" t="s">
        <v>13338</v>
      </c>
      <c r="M2292" s="7" t="s">
        <v>13339</v>
      </c>
      <c r="N2292" s="45">
        <v>32300</v>
      </c>
      <c r="O2292" s="4" t="s">
        <v>15</v>
      </c>
      <c r="P2292" s="45">
        <f>8130+1320+800+1260+18970+1470</f>
        <v>31950</v>
      </c>
      <c r="Q2292" s="3">
        <f t="shared" si="298"/>
        <v>350</v>
      </c>
      <c r="R2292" s="3">
        <f t="shared" si="299"/>
        <v>31950</v>
      </c>
    </row>
    <row r="2293" spans="2:18" hidden="1" x14ac:dyDescent="0.25">
      <c r="B2293" s="21" t="s">
        <v>395</v>
      </c>
      <c r="C2293" s="22" t="s">
        <v>2450</v>
      </c>
      <c r="D2293" s="22"/>
      <c r="E2293" s="21" t="s">
        <v>0</v>
      </c>
      <c r="F2293" s="21" t="s">
        <v>9823</v>
      </c>
      <c r="G2293" s="147" t="s">
        <v>8757</v>
      </c>
      <c r="H2293" s="23" t="s">
        <v>12146</v>
      </c>
      <c r="I2293" s="23" t="s">
        <v>12145</v>
      </c>
      <c r="J2293" s="21" t="s">
        <v>11608</v>
      </c>
      <c r="K2293" s="21"/>
      <c r="L2293" s="21" t="s">
        <v>12330</v>
      </c>
      <c r="M2293" s="26" t="s">
        <v>12331</v>
      </c>
      <c r="N2293" s="44">
        <v>32850</v>
      </c>
      <c r="O2293" s="22" t="s">
        <v>337</v>
      </c>
      <c r="P2293" s="44">
        <f>105039574</f>
        <v>105039574</v>
      </c>
      <c r="Q2293" s="24">
        <f t="shared" si="298"/>
        <v>0</v>
      </c>
      <c r="R2293" s="24">
        <f t="shared" si="299"/>
        <v>105039574</v>
      </c>
    </row>
    <row r="2294" spans="2:18" hidden="1" x14ac:dyDescent="0.25">
      <c r="B2294" s="21" t="s">
        <v>395</v>
      </c>
      <c r="C2294" s="22" t="s">
        <v>2450</v>
      </c>
      <c r="D2294" s="22"/>
      <c r="E2294" s="21" t="s">
        <v>0</v>
      </c>
      <c r="F2294" s="21" t="s">
        <v>9823</v>
      </c>
      <c r="G2294" s="147" t="s">
        <v>7266</v>
      </c>
      <c r="H2294" s="23" t="s">
        <v>12114</v>
      </c>
      <c r="I2294" s="23" t="s">
        <v>12115</v>
      </c>
      <c r="J2294" s="21" t="s">
        <v>12116</v>
      </c>
      <c r="K2294" s="21"/>
      <c r="L2294" s="21" t="s">
        <v>12388</v>
      </c>
      <c r="M2294" s="26">
        <v>45896</v>
      </c>
      <c r="N2294" s="44">
        <v>1650</v>
      </c>
      <c r="O2294" s="22" t="s">
        <v>15</v>
      </c>
      <c r="P2294" s="44">
        <v>1650</v>
      </c>
      <c r="Q2294" s="24">
        <f t="shared" si="298"/>
        <v>0</v>
      </c>
      <c r="R2294" s="24">
        <f t="shared" si="299"/>
        <v>1650</v>
      </c>
    </row>
    <row r="2295" spans="2:18" hidden="1" x14ac:dyDescent="0.25">
      <c r="B2295" s="21" t="s">
        <v>395</v>
      </c>
      <c r="C2295" s="22" t="s">
        <v>158</v>
      </c>
      <c r="D2295" s="22"/>
      <c r="E2295" s="21" t="s">
        <v>10</v>
      </c>
      <c r="F2295" s="21" t="s">
        <v>9721</v>
      </c>
      <c r="G2295" s="147" t="s">
        <v>9319</v>
      </c>
      <c r="H2295" s="23" t="s">
        <v>12117</v>
      </c>
      <c r="I2295" s="23" t="s">
        <v>12118</v>
      </c>
      <c r="J2295" s="21" t="s">
        <v>12119</v>
      </c>
      <c r="K2295" s="21"/>
      <c r="L2295" s="21" t="s">
        <v>12210</v>
      </c>
      <c r="M2295" s="26">
        <v>45866</v>
      </c>
      <c r="N2295" s="44">
        <v>4339.9799999999996</v>
      </c>
      <c r="O2295" s="22" t="s">
        <v>15</v>
      </c>
      <c r="P2295" s="44">
        <v>4339.9799999999996</v>
      </c>
      <c r="Q2295" s="24">
        <f t="shared" si="298"/>
        <v>0</v>
      </c>
      <c r="R2295" s="24">
        <f t="shared" si="299"/>
        <v>4339.9799999999996</v>
      </c>
    </row>
    <row r="2296" spans="2:18" hidden="1" x14ac:dyDescent="0.25">
      <c r="C2296" s="4" t="s">
        <v>158</v>
      </c>
      <c r="E2296" s="5" t="s">
        <v>10</v>
      </c>
      <c r="F2296" s="5" t="s">
        <v>9721</v>
      </c>
      <c r="G2296" s="146" t="s">
        <v>12120</v>
      </c>
      <c r="H2296" s="7" t="s">
        <v>12121</v>
      </c>
      <c r="I2296" s="7" t="s">
        <v>12122</v>
      </c>
      <c r="J2296" s="5" t="s">
        <v>12123</v>
      </c>
      <c r="N2296" s="45">
        <v>16117.25</v>
      </c>
      <c r="O2296" s="4" t="s">
        <v>276</v>
      </c>
      <c r="Q2296" s="3">
        <f t="shared" si="298"/>
        <v>16117.25</v>
      </c>
      <c r="R2296" s="3">
        <f t="shared" si="299"/>
        <v>0</v>
      </c>
    </row>
    <row r="2297" spans="2:18" hidden="1" x14ac:dyDescent="0.25">
      <c r="B2297" s="21" t="s">
        <v>395</v>
      </c>
      <c r="C2297" s="22" t="s">
        <v>158</v>
      </c>
      <c r="D2297" s="22"/>
      <c r="E2297" s="21" t="s">
        <v>10</v>
      </c>
      <c r="F2297" s="21" t="s">
        <v>9721</v>
      </c>
      <c r="G2297" s="147" t="s">
        <v>8553</v>
      </c>
      <c r="H2297" s="23" t="s">
        <v>12124</v>
      </c>
      <c r="I2297" s="23" t="s">
        <v>12125</v>
      </c>
      <c r="J2297" s="21" t="s">
        <v>12126</v>
      </c>
      <c r="K2297" s="21"/>
      <c r="L2297" s="21" t="s">
        <v>12152</v>
      </c>
      <c r="M2297" s="26">
        <v>45849</v>
      </c>
      <c r="N2297" s="44">
        <v>8930</v>
      </c>
      <c r="O2297" s="22" t="s">
        <v>15</v>
      </c>
      <c r="P2297" s="44">
        <v>8930</v>
      </c>
      <c r="Q2297" s="24">
        <f t="shared" si="298"/>
        <v>0</v>
      </c>
      <c r="R2297" s="24">
        <f t="shared" si="299"/>
        <v>8930</v>
      </c>
    </row>
    <row r="2298" spans="2:18" hidden="1" x14ac:dyDescent="0.25">
      <c r="B2298" s="21" t="s">
        <v>395</v>
      </c>
      <c r="C2298" s="22" t="s">
        <v>158</v>
      </c>
      <c r="D2298" s="22"/>
      <c r="E2298" s="21" t="s">
        <v>10</v>
      </c>
      <c r="F2298" s="21" t="s">
        <v>9721</v>
      </c>
      <c r="G2298" s="147" t="s">
        <v>11065</v>
      </c>
      <c r="H2298" s="23" t="s">
        <v>12127</v>
      </c>
      <c r="I2298" s="23" t="s">
        <v>12128</v>
      </c>
      <c r="J2298" s="21" t="s">
        <v>6557</v>
      </c>
      <c r="K2298" s="21"/>
      <c r="L2298" s="21" t="s">
        <v>12153</v>
      </c>
      <c r="M2298" s="26" t="s">
        <v>12154</v>
      </c>
      <c r="N2298" s="44">
        <v>1642</v>
      </c>
      <c r="O2298" s="22" t="s">
        <v>15</v>
      </c>
      <c r="P2298" s="44">
        <f>1482+25+135</f>
        <v>1642</v>
      </c>
      <c r="Q2298" s="44">
        <f t="shared" si="298"/>
        <v>0</v>
      </c>
      <c r="R2298" s="24">
        <f t="shared" si="299"/>
        <v>1642</v>
      </c>
    </row>
    <row r="2299" spans="2:18" hidden="1" x14ac:dyDescent="0.25">
      <c r="B2299" s="21" t="s">
        <v>395</v>
      </c>
      <c r="C2299" s="22" t="s">
        <v>2450</v>
      </c>
      <c r="D2299" s="22"/>
      <c r="E2299" s="21" t="s">
        <v>10</v>
      </c>
      <c r="F2299" s="21" t="s">
        <v>9721</v>
      </c>
      <c r="G2299" s="147" t="s">
        <v>1090</v>
      </c>
      <c r="H2299" s="23" t="s">
        <v>12129</v>
      </c>
      <c r="I2299" s="23" t="s">
        <v>12130</v>
      </c>
      <c r="J2299" s="21" t="s">
        <v>6557</v>
      </c>
      <c r="K2299" s="21"/>
      <c r="L2299" s="21" t="s">
        <v>12141</v>
      </c>
      <c r="M2299" s="26">
        <v>45842</v>
      </c>
      <c r="N2299" s="44">
        <v>2319.65</v>
      </c>
      <c r="O2299" s="22" t="s">
        <v>15</v>
      </c>
      <c r="P2299" s="44">
        <v>2319.65</v>
      </c>
      <c r="Q2299" s="24">
        <f t="shared" si="298"/>
        <v>0</v>
      </c>
      <c r="R2299" s="24">
        <f t="shared" si="299"/>
        <v>2319.65</v>
      </c>
    </row>
    <row r="2300" spans="2:18" hidden="1" x14ac:dyDescent="0.25">
      <c r="B2300" s="21" t="s">
        <v>395</v>
      </c>
      <c r="C2300" s="22" t="s">
        <v>2450</v>
      </c>
      <c r="D2300" s="22"/>
      <c r="E2300" s="21" t="s">
        <v>10</v>
      </c>
      <c r="F2300" s="21" t="s">
        <v>9721</v>
      </c>
      <c r="G2300" s="147" t="s">
        <v>11121</v>
      </c>
      <c r="H2300" s="107" t="s">
        <v>12131</v>
      </c>
      <c r="I2300" s="23" t="s">
        <v>12131</v>
      </c>
      <c r="J2300" s="21" t="s">
        <v>6557</v>
      </c>
      <c r="K2300" s="21"/>
      <c r="L2300" s="21" t="s">
        <v>12138</v>
      </c>
      <c r="M2300" s="26">
        <v>45845</v>
      </c>
      <c r="N2300" s="44">
        <v>890</v>
      </c>
      <c r="O2300" s="22" t="s">
        <v>15</v>
      </c>
      <c r="P2300" s="44">
        <v>890</v>
      </c>
      <c r="Q2300" s="24">
        <f t="shared" si="298"/>
        <v>0</v>
      </c>
      <c r="R2300" s="24">
        <f t="shared" si="299"/>
        <v>890</v>
      </c>
    </row>
    <row r="2301" spans="2:18" hidden="1" x14ac:dyDescent="0.25">
      <c r="B2301" s="21" t="s">
        <v>395</v>
      </c>
      <c r="C2301" s="22" t="s">
        <v>2450</v>
      </c>
      <c r="D2301" s="22"/>
      <c r="E2301" s="21" t="s">
        <v>0</v>
      </c>
      <c r="F2301" s="21" t="s">
        <v>9766</v>
      </c>
      <c r="G2301" s="147" t="s">
        <v>8633</v>
      </c>
      <c r="H2301" s="23" t="s">
        <v>12132</v>
      </c>
      <c r="I2301" s="23" t="s">
        <v>12133</v>
      </c>
      <c r="J2301" s="21" t="s">
        <v>12134</v>
      </c>
      <c r="K2301" s="21"/>
      <c r="L2301" s="21" t="s">
        <v>12397</v>
      </c>
      <c r="M2301" s="26">
        <v>45887</v>
      </c>
      <c r="N2301" s="44">
        <v>118378</v>
      </c>
      <c r="O2301" s="22" t="s">
        <v>15</v>
      </c>
      <c r="P2301" s="44">
        <v>118378</v>
      </c>
      <c r="Q2301" s="44">
        <f t="shared" si="298"/>
        <v>0</v>
      </c>
      <c r="R2301" s="24">
        <f t="shared" si="299"/>
        <v>118378</v>
      </c>
    </row>
    <row r="2302" spans="2:18" hidden="1" x14ac:dyDescent="0.25">
      <c r="B2302" s="21" t="s">
        <v>395</v>
      </c>
      <c r="C2302" s="22" t="s">
        <v>2450</v>
      </c>
      <c r="D2302" s="22"/>
      <c r="E2302" s="21" t="s">
        <v>0</v>
      </c>
      <c r="F2302" s="21" t="s">
        <v>9823</v>
      </c>
      <c r="G2302" s="147" t="s">
        <v>10296</v>
      </c>
      <c r="H2302" s="23" t="s">
        <v>12147</v>
      </c>
      <c r="I2302" s="23" t="s">
        <v>12148</v>
      </c>
      <c r="J2302" s="21" t="s">
        <v>11216</v>
      </c>
      <c r="K2302" s="120"/>
      <c r="L2302" s="21" t="s">
        <v>12208</v>
      </c>
      <c r="M2302" s="26">
        <v>45862</v>
      </c>
      <c r="N2302" s="44">
        <v>15285.7</v>
      </c>
      <c r="O2302" s="22" t="s">
        <v>276</v>
      </c>
      <c r="P2302" s="22">
        <v>15285.7</v>
      </c>
      <c r="Q2302" s="44">
        <f>IF(P2302="en cours",N2302,IF(P2302="OK",0,IF(N2302-P2302&lt;0,0,N2302-P2302)))</f>
        <v>0</v>
      </c>
      <c r="R2302" s="24">
        <f t="shared" ref="R2302" si="300">IF(P2302="OK",N2302-Q2302,IF(P2302="en cours",N2302-Q2302,P2302))</f>
        <v>15285.7</v>
      </c>
    </row>
    <row r="2303" spans="2:18" hidden="1" x14ac:dyDescent="0.25">
      <c r="B2303" s="21" t="s">
        <v>395</v>
      </c>
      <c r="C2303" s="22" t="s">
        <v>2450</v>
      </c>
      <c r="D2303" s="22"/>
      <c r="E2303" s="21" t="s">
        <v>0</v>
      </c>
      <c r="F2303" s="21" t="s">
        <v>9823</v>
      </c>
      <c r="G2303" s="147" t="s">
        <v>6365</v>
      </c>
      <c r="H2303" s="23" t="s">
        <v>12149</v>
      </c>
      <c r="I2303" s="23" t="s">
        <v>12150</v>
      </c>
      <c r="J2303" s="21" t="s">
        <v>12151</v>
      </c>
      <c r="K2303" s="21"/>
      <c r="L2303" s="21" t="s">
        <v>12536</v>
      </c>
      <c r="M2303" s="26">
        <v>45916</v>
      </c>
      <c r="N2303" s="44">
        <v>5880</v>
      </c>
      <c r="O2303" s="22" t="s">
        <v>15</v>
      </c>
      <c r="P2303" s="44">
        <v>5880</v>
      </c>
      <c r="Q2303" s="24">
        <f t="shared" ref="Q2303:Q2306" si="301">IF(P2303="en cours",N2303,IF(P2303="OK",0,IF(N2303-P2303&lt;0,0,N2303-P2303)))</f>
        <v>0</v>
      </c>
      <c r="R2303" s="24">
        <f t="shared" ref="R2303:R2306" si="302">IF(P2303="OK",N2303-Q2303,IF(P2303="en cours",N2303-Q2303,P2303))</f>
        <v>5880</v>
      </c>
    </row>
    <row r="2304" spans="2:18" hidden="1" x14ac:dyDescent="0.25">
      <c r="B2304" s="21" t="s">
        <v>395</v>
      </c>
      <c r="C2304" s="22" t="s">
        <v>2450</v>
      </c>
      <c r="D2304" s="22"/>
      <c r="E2304" s="21" t="s">
        <v>0</v>
      </c>
      <c r="F2304" s="21" t="s">
        <v>9807</v>
      </c>
      <c r="G2304" s="147" t="s">
        <v>7266</v>
      </c>
      <c r="H2304" s="23" t="s">
        <v>12156</v>
      </c>
      <c r="I2304" s="23" t="s">
        <v>12157</v>
      </c>
      <c r="J2304" s="21" t="s">
        <v>12158</v>
      </c>
      <c r="K2304" s="21"/>
      <c r="L2304" s="21" t="s">
        <v>12827</v>
      </c>
      <c r="M2304" s="26">
        <v>45938</v>
      </c>
      <c r="N2304" s="44">
        <v>2400</v>
      </c>
      <c r="O2304" s="22" t="s">
        <v>15</v>
      </c>
      <c r="P2304" s="44">
        <v>2400</v>
      </c>
      <c r="Q2304" s="24">
        <f t="shared" si="301"/>
        <v>0</v>
      </c>
      <c r="R2304" s="24">
        <f t="shared" si="302"/>
        <v>2400</v>
      </c>
    </row>
    <row r="2305" spans="2:19" hidden="1" x14ac:dyDescent="0.25">
      <c r="B2305" s="21" t="s">
        <v>395</v>
      </c>
      <c r="C2305" s="22" t="s">
        <v>2450</v>
      </c>
      <c r="D2305" s="22"/>
      <c r="E2305" s="21" t="s">
        <v>0</v>
      </c>
      <c r="F2305" s="21" t="s">
        <v>9807</v>
      </c>
      <c r="G2305" s="147" t="s">
        <v>522</v>
      </c>
      <c r="H2305" s="23" t="s">
        <v>12159</v>
      </c>
      <c r="I2305" s="23" t="s">
        <v>12160</v>
      </c>
      <c r="J2305" s="21" t="s">
        <v>12161</v>
      </c>
      <c r="K2305" s="21"/>
      <c r="L2305" s="21" t="s">
        <v>12407</v>
      </c>
      <c r="M2305" s="26">
        <v>45887</v>
      </c>
      <c r="N2305" s="44">
        <v>600</v>
      </c>
      <c r="O2305" s="22" t="s">
        <v>15</v>
      </c>
      <c r="P2305" s="44">
        <v>600</v>
      </c>
      <c r="Q2305" s="24">
        <f t="shared" si="301"/>
        <v>0</v>
      </c>
      <c r="R2305" s="24">
        <f t="shared" si="302"/>
        <v>600</v>
      </c>
    </row>
    <row r="2306" spans="2:19" hidden="1" x14ac:dyDescent="0.25">
      <c r="C2306" s="4" t="s">
        <v>2450</v>
      </c>
      <c r="E2306" s="5" t="s">
        <v>0</v>
      </c>
      <c r="F2306" s="5" t="s">
        <v>9807</v>
      </c>
      <c r="G2306" s="146" t="s">
        <v>10333</v>
      </c>
      <c r="H2306" s="7" t="s">
        <v>12162</v>
      </c>
      <c r="I2306" s="7" t="s">
        <v>12163</v>
      </c>
      <c r="J2306" s="5" t="s">
        <v>11853</v>
      </c>
      <c r="L2306" s="5" t="s">
        <v>12205</v>
      </c>
      <c r="M2306" s="12">
        <v>45860</v>
      </c>
      <c r="N2306" s="45">
        <v>5652</v>
      </c>
      <c r="O2306" s="4" t="s">
        <v>15</v>
      </c>
      <c r="P2306" s="45">
        <v>2381.5</v>
      </c>
      <c r="Q2306" s="3">
        <f t="shared" si="301"/>
        <v>3270.5</v>
      </c>
      <c r="R2306" s="3">
        <f t="shared" si="302"/>
        <v>2381.5</v>
      </c>
    </row>
    <row r="2307" spans="2:19" hidden="1" x14ac:dyDescent="0.25">
      <c r="C2307" s="4" t="s">
        <v>2450</v>
      </c>
      <c r="E2307" s="5" t="s">
        <v>9707</v>
      </c>
      <c r="F2307" s="5" t="s">
        <v>9776</v>
      </c>
      <c r="G2307" s="146" t="s">
        <v>12164</v>
      </c>
      <c r="H2307" s="7" t="s">
        <v>12165</v>
      </c>
      <c r="J2307" s="5" t="s">
        <v>8544</v>
      </c>
      <c r="L2307" s="5" t="s">
        <v>13635</v>
      </c>
      <c r="M2307" s="12">
        <v>46008</v>
      </c>
      <c r="N2307" s="45">
        <v>162987.64000000001</v>
      </c>
      <c r="O2307" s="4" t="s">
        <v>15</v>
      </c>
      <c r="P2307" s="45">
        <f>78382.85</f>
        <v>78382.850000000006</v>
      </c>
      <c r="Q2307" s="3">
        <f t="shared" ref="Q2307" si="303">IF(P2307="en cours",N2307,IF(P2307="OK",0,IF(N2307-P2307&lt;0,0,N2307-P2307)))</f>
        <v>84604.790000000008</v>
      </c>
      <c r="R2307" s="3">
        <f t="shared" ref="R2307" si="304">IF(P2307="OK",N2307-Q2307,IF(P2307="en cours",N2307-Q2307,P2307))</f>
        <v>78382.850000000006</v>
      </c>
    </row>
    <row r="2308" spans="2:19" hidden="1" x14ac:dyDescent="0.25">
      <c r="B2308" s="21" t="s">
        <v>395</v>
      </c>
      <c r="C2308" s="22" t="s">
        <v>2450</v>
      </c>
      <c r="D2308" s="22"/>
      <c r="E2308" s="21" t="s">
        <v>10</v>
      </c>
      <c r="F2308" s="21" t="s">
        <v>9721</v>
      </c>
      <c r="G2308" s="147" t="s">
        <v>7313</v>
      </c>
      <c r="H2308" s="23" t="s">
        <v>12166</v>
      </c>
      <c r="I2308" s="23" t="s">
        <v>12167</v>
      </c>
      <c r="J2308" s="21" t="s">
        <v>6557</v>
      </c>
      <c r="K2308" s="21"/>
      <c r="L2308" s="21" t="s">
        <v>12201</v>
      </c>
      <c r="M2308" s="26" t="s">
        <v>12202</v>
      </c>
      <c r="N2308" s="44">
        <v>6264.52</v>
      </c>
      <c r="O2308" s="22" t="s">
        <v>15</v>
      </c>
      <c r="P2308" s="44">
        <f>3429.12+1525+655.2+655.2</f>
        <v>6264.5199999999995</v>
      </c>
      <c r="Q2308" s="44">
        <f t="shared" ref="Q2308:Q2310" si="305">IF(P2308="en cours",N2308,IF(P2308="OK",0,IF(N2308-P2308&lt;0,0,N2308-P2308)))</f>
        <v>9.0949470177292824E-13</v>
      </c>
      <c r="R2308" s="24">
        <f t="shared" ref="R2308:R2311" si="306">IF(P2308="OK",N2308-Q2308,IF(P2308="en cours",N2308-Q2308,P2308))</f>
        <v>6264.5199999999995</v>
      </c>
    </row>
    <row r="2309" spans="2:19" hidden="1" x14ac:dyDescent="0.25">
      <c r="B2309" s="21" t="s">
        <v>395</v>
      </c>
      <c r="C2309" s="22" t="s">
        <v>158</v>
      </c>
      <c r="D2309" s="22"/>
      <c r="E2309" s="21" t="s">
        <v>10</v>
      </c>
      <c r="F2309" s="21" t="s">
        <v>9721</v>
      </c>
      <c r="G2309" s="147" t="s">
        <v>10319</v>
      </c>
      <c r="H2309" s="23" t="s">
        <v>12168</v>
      </c>
      <c r="I2309" s="23" t="s">
        <v>12169</v>
      </c>
      <c r="J2309" s="21" t="s">
        <v>6557</v>
      </c>
      <c r="K2309" s="21"/>
      <c r="L2309" s="21" t="s">
        <v>12172</v>
      </c>
      <c r="M2309" s="26">
        <v>45855</v>
      </c>
      <c r="N2309" s="44">
        <v>321</v>
      </c>
      <c r="O2309" s="22" t="s">
        <v>15</v>
      </c>
      <c r="P2309" s="44">
        <f>296+25</f>
        <v>321</v>
      </c>
      <c r="Q2309" s="24">
        <f t="shared" si="305"/>
        <v>0</v>
      </c>
      <c r="R2309" s="24">
        <f t="shared" si="306"/>
        <v>321</v>
      </c>
    </row>
    <row r="2310" spans="2:19" hidden="1" x14ac:dyDescent="0.25">
      <c r="B2310" s="21" t="s">
        <v>395</v>
      </c>
      <c r="C2310" s="22" t="s">
        <v>158</v>
      </c>
      <c r="D2310" s="22"/>
      <c r="E2310" s="21" t="s">
        <v>10</v>
      </c>
      <c r="F2310" s="21" t="s">
        <v>9721</v>
      </c>
      <c r="G2310" s="147" t="s">
        <v>1201</v>
      </c>
      <c r="H2310" s="23" t="s">
        <v>12170</v>
      </c>
      <c r="I2310" s="23" t="s">
        <v>12171</v>
      </c>
      <c r="J2310" s="21" t="s">
        <v>6557</v>
      </c>
      <c r="K2310" s="21"/>
      <c r="L2310" s="21" t="s">
        <v>12211</v>
      </c>
      <c r="M2310" s="26" t="s">
        <v>12212</v>
      </c>
      <c r="N2310" s="44">
        <v>1287</v>
      </c>
      <c r="O2310" s="22" t="s">
        <v>15</v>
      </c>
      <c r="P2310" s="44">
        <f>928+430.8</f>
        <v>1358.8</v>
      </c>
      <c r="Q2310" s="24">
        <f t="shared" si="305"/>
        <v>0</v>
      </c>
      <c r="R2310" s="24">
        <f t="shared" si="306"/>
        <v>1358.8</v>
      </c>
    </row>
    <row r="2311" spans="2:19" hidden="1" x14ac:dyDescent="0.25">
      <c r="B2311" s="21" t="s">
        <v>395</v>
      </c>
      <c r="C2311" s="22" t="s">
        <v>2450</v>
      </c>
      <c r="D2311" s="22"/>
      <c r="E2311" s="21" t="s">
        <v>10</v>
      </c>
      <c r="F2311" s="21" t="s">
        <v>12177</v>
      </c>
      <c r="G2311" s="147" t="s">
        <v>7453</v>
      </c>
      <c r="H2311" s="23" t="s">
        <v>12175</v>
      </c>
      <c r="I2311" s="23" t="s">
        <v>12176</v>
      </c>
      <c r="J2311" s="21" t="s">
        <v>12178</v>
      </c>
      <c r="K2311" s="21"/>
      <c r="L2311" s="21" t="s">
        <v>12371</v>
      </c>
      <c r="M2311" s="26">
        <v>45896</v>
      </c>
      <c r="N2311" s="44">
        <f>34738/3</f>
        <v>11579.333333333334</v>
      </c>
      <c r="O2311" s="22" t="s">
        <v>15</v>
      </c>
      <c r="P2311" s="44">
        <v>114580</v>
      </c>
      <c r="Q2311" s="44">
        <f>IF(P2311="en cours",N2311,IF(P2311="OK",0,IF(N2311-P2311&lt;0,0,N2311-P2311)))</f>
        <v>0</v>
      </c>
      <c r="R2311" s="24">
        <f t="shared" si="306"/>
        <v>114580</v>
      </c>
      <c r="S2311" s="21"/>
    </row>
    <row r="2312" spans="2:19" hidden="1" x14ac:dyDescent="0.25">
      <c r="C2312" s="4" t="s">
        <v>2450</v>
      </c>
      <c r="E2312" s="5" t="s">
        <v>10</v>
      </c>
      <c r="F2312" s="5" t="s">
        <v>12177</v>
      </c>
      <c r="G2312" s="146" t="s">
        <v>7453</v>
      </c>
      <c r="H2312" s="7" t="s">
        <v>12175</v>
      </c>
      <c r="I2312" s="7" t="s">
        <v>12176</v>
      </c>
      <c r="J2312" s="5" t="s">
        <v>12179</v>
      </c>
      <c r="N2312" s="45">
        <f t="shared" ref="N2312:N2313" si="307">34738/3</f>
        <v>11579.333333333334</v>
      </c>
      <c r="O2312" s="4" t="s">
        <v>15</v>
      </c>
      <c r="Q2312" s="45">
        <f>IF(P2312="en cours",N2312,IF(P2312="OK",0,IF(N2312-P2312&lt;0,0,N2312-P2312)))</f>
        <v>11579.333333333334</v>
      </c>
      <c r="R2312" s="118">
        <f t="shared" ref="R2312:R2314" si="308">IF(P2312="OK",N2312-Q2312,IF(P2312="en cours",N2312-Q2312,P2312))</f>
        <v>0</v>
      </c>
    </row>
    <row r="2313" spans="2:19" hidden="1" x14ac:dyDescent="0.25">
      <c r="C2313" s="4" t="s">
        <v>2450</v>
      </c>
      <c r="E2313" s="5" t="s">
        <v>10</v>
      </c>
      <c r="F2313" s="5" t="s">
        <v>12177</v>
      </c>
      <c r="G2313" s="146" t="s">
        <v>7453</v>
      </c>
      <c r="H2313" s="7" t="s">
        <v>12175</v>
      </c>
      <c r="I2313" s="7" t="s">
        <v>12176</v>
      </c>
      <c r="J2313" s="5" t="s">
        <v>12180</v>
      </c>
      <c r="N2313" s="45">
        <f t="shared" si="307"/>
        <v>11579.333333333334</v>
      </c>
      <c r="O2313" s="4" t="s">
        <v>15</v>
      </c>
      <c r="Q2313" s="45">
        <f>IF(P2313="en cours",N2313,IF(P2313="OK",0,IF(N2313-P2313&lt;0,0,N2313-P2313)))</f>
        <v>11579.333333333334</v>
      </c>
      <c r="R2313" s="118">
        <f t="shared" si="308"/>
        <v>0</v>
      </c>
    </row>
    <row r="2314" spans="2:19" hidden="1" x14ac:dyDescent="0.25">
      <c r="B2314" s="21" t="s">
        <v>395</v>
      </c>
      <c r="C2314" s="22" t="s">
        <v>2450</v>
      </c>
      <c r="D2314" s="22"/>
      <c r="E2314" s="21" t="s">
        <v>10</v>
      </c>
      <c r="F2314" s="21" t="s">
        <v>12177</v>
      </c>
      <c r="G2314" s="147" t="s">
        <v>6474</v>
      </c>
      <c r="H2314" s="23" t="s">
        <v>12181</v>
      </c>
      <c r="I2314" s="23" t="s">
        <v>12182</v>
      </c>
      <c r="J2314" s="21" t="s">
        <v>12183</v>
      </c>
      <c r="K2314" s="21"/>
      <c r="L2314" s="21" t="s">
        <v>12845</v>
      </c>
      <c r="M2314" s="26">
        <v>45937</v>
      </c>
      <c r="N2314" s="44">
        <v>5097</v>
      </c>
      <c r="O2314" s="22" t="s">
        <v>15</v>
      </c>
      <c r="P2314" s="44">
        <v>5097</v>
      </c>
      <c r="Q2314" s="24">
        <f t="shared" ref="Q2314" si="309">IF(P2314="en cours",N2314,IF(P2314="OK",0,IF(N2314-P2314&lt;0,0,N2314-P2314)))</f>
        <v>0</v>
      </c>
      <c r="R2314" s="24">
        <f t="shared" si="308"/>
        <v>5097</v>
      </c>
    </row>
    <row r="2315" spans="2:19" hidden="1" x14ac:dyDescent="0.25">
      <c r="B2315" s="21" t="s">
        <v>395</v>
      </c>
      <c r="C2315" s="22" t="s">
        <v>2450</v>
      </c>
      <c r="D2315" s="22"/>
      <c r="E2315" s="21" t="s">
        <v>10</v>
      </c>
      <c r="F2315" s="21" t="s">
        <v>9721</v>
      </c>
      <c r="G2315" s="147" t="s">
        <v>7675</v>
      </c>
      <c r="H2315" s="23" t="s">
        <v>12184</v>
      </c>
      <c r="I2315" s="23" t="s">
        <v>12185</v>
      </c>
      <c r="J2315" s="21" t="s">
        <v>6557</v>
      </c>
      <c r="K2315" s="21"/>
      <c r="L2315" s="21" t="s">
        <v>12203</v>
      </c>
      <c r="M2315" s="26" t="s">
        <v>12204</v>
      </c>
      <c r="N2315" s="44">
        <v>530.4</v>
      </c>
      <c r="O2315" s="22" t="s">
        <v>15</v>
      </c>
      <c r="P2315" s="44">
        <v>530.4</v>
      </c>
      <c r="Q2315" s="44">
        <f t="shared" ref="Q2315" si="310">IF(P2315="en cours",N2315,IF(P2315="OK",0,IF(N2315-P2315&lt;0,0,N2315-P2315)))</f>
        <v>0</v>
      </c>
      <c r="R2315" s="24">
        <f t="shared" ref="R2315" si="311">IF(P2315="OK",N2315-Q2315,IF(P2315="en cours",N2315-Q2315,P2315))</f>
        <v>530.4</v>
      </c>
      <c r="S2315" s="21"/>
    </row>
    <row r="2316" spans="2:19" x14ac:dyDescent="0.25">
      <c r="C2316" s="4" t="s">
        <v>2450</v>
      </c>
      <c r="E2316" s="5" t="s">
        <v>0</v>
      </c>
      <c r="F2316" s="5" t="s">
        <v>9807</v>
      </c>
      <c r="G2316" s="146" t="s">
        <v>6365</v>
      </c>
      <c r="H2316" s="7" t="s">
        <v>12186</v>
      </c>
      <c r="I2316" s="7" t="s">
        <v>12187</v>
      </c>
      <c r="J2316" s="5" t="s">
        <v>12188</v>
      </c>
      <c r="N2316" s="45">
        <v>3486</v>
      </c>
      <c r="O2316" s="4" t="s">
        <v>15</v>
      </c>
      <c r="Q2316" s="3">
        <f t="shared" ref="Q2316:Q2332" si="312">IF(P2316="en cours",N2316,IF(P2316="OK",0,IF(N2316-P2316&lt;0,0,N2316-P2316)))</f>
        <v>3486</v>
      </c>
      <c r="R2316" s="3">
        <f t="shared" ref="R2316:R2332" si="313">IF(P2316="OK",N2316-Q2316,IF(P2316="en cours",N2316-Q2316,P2316))</f>
        <v>0</v>
      </c>
    </row>
    <row r="2317" spans="2:19" x14ac:dyDescent="0.25">
      <c r="C2317" s="4" t="s">
        <v>2450</v>
      </c>
      <c r="E2317" s="5" t="s">
        <v>0</v>
      </c>
      <c r="F2317" s="5" t="s">
        <v>9807</v>
      </c>
      <c r="G2317" s="146" t="s">
        <v>6365</v>
      </c>
      <c r="H2317" s="7" t="s">
        <v>12186</v>
      </c>
      <c r="I2317" s="7" t="s">
        <v>12187</v>
      </c>
      <c r="J2317" s="5" t="s">
        <v>12189</v>
      </c>
      <c r="N2317" s="45">
        <v>9001</v>
      </c>
      <c r="O2317" s="4" t="s">
        <v>15</v>
      </c>
      <c r="Q2317" s="3">
        <f t="shared" si="312"/>
        <v>9001</v>
      </c>
      <c r="R2317" s="3">
        <f t="shared" si="313"/>
        <v>0</v>
      </c>
    </row>
    <row r="2318" spans="2:19" x14ac:dyDescent="0.25">
      <c r="C2318" s="4" t="s">
        <v>2450</v>
      </c>
      <c r="E2318" s="5" t="s">
        <v>0</v>
      </c>
      <c r="F2318" s="5" t="s">
        <v>9807</v>
      </c>
      <c r="G2318" s="146" t="s">
        <v>6365</v>
      </c>
      <c r="H2318" s="7" t="s">
        <v>12186</v>
      </c>
      <c r="I2318" s="7" t="s">
        <v>12187</v>
      </c>
      <c r="J2318" s="5" t="s">
        <v>12190</v>
      </c>
      <c r="N2318" s="45">
        <v>11101</v>
      </c>
      <c r="O2318" s="4" t="s">
        <v>15</v>
      </c>
      <c r="Q2318" s="3">
        <f t="shared" si="312"/>
        <v>11101</v>
      </c>
      <c r="R2318" s="3">
        <f t="shared" si="313"/>
        <v>0</v>
      </c>
    </row>
    <row r="2319" spans="2:19" x14ac:dyDescent="0.25">
      <c r="C2319" s="4" t="s">
        <v>2450</v>
      </c>
      <c r="E2319" s="5" t="s">
        <v>0</v>
      </c>
      <c r="F2319" s="5" t="s">
        <v>9807</v>
      </c>
      <c r="G2319" s="146" t="s">
        <v>6365</v>
      </c>
      <c r="H2319" s="7" t="s">
        <v>12186</v>
      </c>
      <c r="I2319" s="7" t="s">
        <v>12187</v>
      </c>
      <c r="J2319" s="5" t="s">
        <v>12191</v>
      </c>
      <c r="N2319" s="45">
        <v>8481</v>
      </c>
      <c r="O2319" s="4" t="s">
        <v>15</v>
      </c>
      <c r="Q2319" s="3">
        <f t="shared" si="312"/>
        <v>8481</v>
      </c>
      <c r="R2319" s="3">
        <f t="shared" si="313"/>
        <v>0</v>
      </c>
    </row>
    <row r="2320" spans="2:19" x14ac:dyDescent="0.25">
      <c r="C2320" s="4" t="s">
        <v>2450</v>
      </c>
      <c r="E2320" s="5" t="s">
        <v>0</v>
      </c>
      <c r="F2320" s="5" t="s">
        <v>9807</v>
      </c>
      <c r="G2320" s="146" t="s">
        <v>6365</v>
      </c>
      <c r="H2320" s="7" t="s">
        <v>12186</v>
      </c>
      <c r="I2320" s="7" t="s">
        <v>12187</v>
      </c>
      <c r="J2320" s="5" t="s">
        <v>12192</v>
      </c>
      <c r="N2320" s="45">
        <v>8481</v>
      </c>
      <c r="O2320" s="4" t="s">
        <v>15</v>
      </c>
      <c r="Q2320" s="3">
        <f t="shared" si="312"/>
        <v>8481</v>
      </c>
      <c r="R2320" s="3">
        <f t="shared" si="313"/>
        <v>0</v>
      </c>
    </row>
    <row r="2321" spans="2:18" x14ac:dyDescent="0.25">
      <c r="C2321" s="4" t="s">
        <v>2450</v>
      </c>
      <c r="E2321" s="5" t="s">
        <v>0</v>
      </c>
      <c r="F2321" s="5" t="s">
        <v>9807</v>
      </c>
      <c r="G2321" s="146" t="s">
        <v>6365</v>
      </c>
      <c r="H2321" s="7" t="s">
        <v>12186</v>
      </c>
      <c r="I2321" s="7" t="s">
        <v>12187</v>
      </c>
      <c r="J2321" s="5" t="s">
        <v>12193</v>
      </c>
      <c r="N2321" s="45">
        <v>8481</v>
      </c>
      <c r="O2321" s="4" t="s">
        <v>15</v>
      </c>
      <c r="Q2321" s="3">
        <f t="shared" si="312"/>
        <v>8481</v>
      </c>
      <c r="R2321" s="3">
        <f t="shared" si="313"/>
        <v>0</v>
      </c>
    </row>
    <row r="2322" spans="2:18" x14ac:dyDescent="0.25">
      <c r="C2322" s="4" t="s">
        <v>2450</v>
      </c>
      <c r="E2322" s="5" t="s">
        <v>0</v>
      </c>
      <c r="F2322" s="5" t="s">
        <v>9807</v>
      </c>
      <c r="G2322" s="146" t="s">
        <v>6365</v>
      </c>
      <c r="H2322" s="7" t="s">
        <v>12186</v>
      </c>
      <c r="I2322" s="7" t="s">
        <v>12187</v>
      </c>
      <c r="J2322" s="5" t="s">
        <v>12194</v>
      </c>
      <c r="N2322" s="45">
        <v>8481</v>
      </c>
      <c r="O2322" s="4" t="s">
        <v>15</v>
      </c>
      <c r="Q2322" s="3">
        <f t="shared" si="312"/>
        <v>8481</v>
      </c>
      <c r="R2322" s="3">
        <f t="shared" si="313"/>
        <v>0</v>
      </c>
    </row>
    <row r="2323" spans="2:18" x14ac:dyDescent="0.25">
      <c r="C2323" s="4" t="s">
        <v>2450</v>
      </c>
      <c r="E2323" s="5" t="s">
        <v>0</v>
      </c>
      <c r="F2323" s="5" t="s">
        <v>9807</v>
      </c>
      <c r="G2323" s="146" t="s">
        <v>6365</v>
      </c>
      <c r="H2323" s="7" t="s">
        <v>12186</v>
      </c>
      <c r="I2323" s="7" t="s">
        <v>12187</v>
      </c>
      <c r="J2323" s="5" t="s">
        <v>12195</v>
      </c>
      <c r="N2323" s="45">
        <v>8481</v>
      </c>
      <c r="O2323" s="4" t="s">
        <v>15</v>
      </c>
      <c r="Q2323" s="3">
        <f t="shared" si="312"/>
        <v>8481</v>
      </c>
      <c r="R2323" s="3">
        <f t="shared" si="313"/>
        <v>0</v>
      </c>
    </row>
    <row r="2324" spans="2:18" x14ac:dyDescent="0.25">
      <c r="C2324" s="4" t="s">
        <v>2450</v>
      </c>
      <c r="E2324" s="5" t="s">
        <v>0</v>
      </c>
      <c r="F2324" s="5" t="s">
        <v>9807</v>
      </c>
      <c r="G2324" s="146" t="s">
        <v>6365</v>
      </c>
      <c r="H2324" s="7" t="s">
        <v>12186</v>
      </c>
      <c r="I2324" s="7" t="s">
        <v>12187</v>
      </c>
      <c r="J2324" s="5" t="s">
        <v>12196</v>
      </c>
      <c r="N2324" s="45">
        <v>8481</v>
      </c>
      <c r="O2324" s="4" t="s">
        <v>15</v>
      </c>
      <c r="Q2324" s="3">
        <f t="shared" si="312"/>
        <v>8481</v>
      </c>
      <c r="R2324" s="3">
        <f t="shared" si="313"/>
        <v>0</v>
      </c>
    </row>
    <row r="2325" spans="2:18" hidden="1" x14ac:dyDescent="0.25">
      <c r="B2325" s="21" t="s">
        <v>395</v>
      </c>
      <c r="C2325" s="22" t="s">
        <v>158</v>
      </c>
      <c r="D2325" s="22"/>
      <c r="E2325" s="21" t="s">
        <v>10</v>
      </c>
      <c r="F2325" s="21" t="s">
        <v>9721</v>
      </c>
      <c r="G2325" s="147" t="s">
        <v>11065</v>
      </c>
      <c r="H2325" s="23" t="s">
        <v>12213</v>
      </c>
      <c r="I2325" s="23" t="s">
        <v>12214</v>
      </c>
      <c r="J2325" s="21" t="s">
        <v>6557</v>
      </c>
      <c r="K2325" s="21"/>
      <c r="L2325" s="21" t="s">
        <v>12246</v>
      </c>
      <c r="M2325" s="26">
        <v>45860</v>
      </c>
      <c r="N2325" s="44">
        <v>965</v>
      </c>
      <c r="O2325" s="22" t="s">
        <v>15</v>
      </c>
      <c r="P2325" s="44">
        <v>965</v>
      </c>
      <c r="Q2325" s="24">
        <f t="shared" si="312"/>
        <v>0</v>
      </c>
      <c r="R2325" s="24">
        <f t="shared" si="313"/>
        <v>965</v>
      </c>
    </row>
    <row r="2326" spans="2:18" hidden="1" x14ac:dyDescent="0.25">
      <c r="B2326" s="21" t="s">
        <v>395</v>
      </c>
      <c r="C2326" s="22" t="s">
        <v>158</v>
      </c>
      <c r="D2326" s="22"/>
      <c r="E2326" s="21" t="s">
        <v>10</v>
      </c>
      <c r="F2326" s="21" t="s">
        <v>9721</v>
      </c>
      <c r="G2326" s="147" t="s">
        <v>11065</v>
      </c>
      <c r="H2326" s="23" t="s">
        <v>12215</v>
      </c>
      <c r="I2326" s="23" t="s">
        <v>12216</v>
      </c>
      <c r="J2326" s="21" t="s">
        <v>6557</v>
      </c>
      <c r="K2326" s="21"/>
      <c r="L2326" s="21" t="s">
        <v>12245</v>
      </c>
      <c r="M2326" s="26">
        <v>45862</v>
      </c>
      <c r="N2326" s="44">
        <v>495</v>
      </c>
      <c r="O2326" s="22" t="s">
        <v>15</v>
      </c>
      <c r="P2326" s="44">
        <v>495</v>
      </c>
      <c r="Q2326" s="24">
        <f t="shared" si="312"/>
        <v>0</v>
      </c>
      <c r="R2326" s="24">
        <f t="shared" si="313"/>
        <v>495</v>
      </c>
    </row>
    <row r="2327" spans="2:18" hidden="1" x14ac:dyDescent="0.25">
      <c r="B2327" s="21" t="s">
        <v>395</v>
      </c>
      <c r="C2327" s="22" t="s">
        <v>2450</v>
      </c>
      <c r="D2327" s="22"/>
      <c r="E2327" s="21" t="s">
        <v>0</v>
      </c>
      <c r="F2327" s="21" t="s">
        <v>9823</v>
      </c>
      <c r="G2327" s="147" t="s">
        <v>9160</v>
      </c>
      <c r="H2327" s="23" t="s">
        <v>12217</v>
      </c>
      <c r="I2327" s="23" t="s">
        <v>12218</v>
      </c>
      <c r="J2327" s="21" t="s">
        <v>12219</v>
      </c>
      <c r="K2327" s="21"/>
      <c r="L2327" s="21" t="s">
        <v>12373</v>
      </c>
      <c r="M2327" s="26">
        <v>45877</v>
      </c>
      <c r="N2327" s="44">
        <v>762.53</v>
      </c>
      <c r="O2327" s="22" t="s">
        <v>15</v>
      </c>
      <c r="P2327" s="44">
        <v>762.53</v>
      </c>
      <c r="Q2327" s="24">
        <f t="shared" si="312"/>
        <v>0</v>
      </c>
      <c r="R2327" s="24">
        <f t="shared" si="313"/>
        <v>762.53</v>
      </c>
    </row>
    <row r="2328" spans="2:18" hidden="1" x14ac:dyDescent="0.25">
      <c r="B2328" s="21" t="s">
        <v>395</v>
      </c>
      <c r="C2328" s="22" t="s">
        <v>2450</v>
      </c>
      <c r="D2328" s="22"/>
      <c r="E2328" s="21" t="s">
        <v>10</v>
      </c>
      <c r="F2328" s="21" t="s">
        <v>12220</v>
      </c>
      <c r="G2328" s="147" t="s">
        <v>5061</v>
      </c>
      <c r="H2328" s="23" t="s">
        <v>12374</v>
      </c>
      <c r="I2328" s="23" t="s">
        <v>12221</v>
      </c>
      <c r="J2328" s="21" t="s">
        <v>12224</v>
      </c>
      <c r="K2328" s="21"/>
      <c r="L2328" s="21" t="s">
        <v>12375</v>
      </c>
      <c r="M2328" s="26">
        <v>45874</v>
      </c>
      <c r="N2328" s="44">
        <v>50574</v>
      </c>
      <c r="O2328" s="22" t="s">
        <v>15</v>
      </c>
      <c r="P2328" s="44">
        <v>50574</v>
      </c>
      <c r="Q2328" s="24">
        <f t="shared" si="312"/>
        <v>0</v>
      </c>
      <c r="R2328" s="24">
        <f t="shared" si="313"/>
        <v>50574</v>
      </c>
    </row>
    <row r="2329" spans="2:18" hidden="1" x14ac:dyDescent="0.25">
      <c r="C2329" s="4" t="s">
        <v>2450</v>
      </c>
      <c r="E2329" s="5" t="s">
        <v>10</v>
      </c>
      <c r="F2329" s="5" t="s">
        <v>12220</v>
      </c>
      <c r="G2329" s="146" t="s">
        <v>7568</v>
      </c>
      <c r="H2329" s="7" t="s">
        <v>12222</v>
      </c>
      <c r="I2329" s="7" t="s">
        <v>12223</v>
      </c>
      <c r="J2329" s="5" t="s">
        <v>12225</v>
      </c>
      <c r="N2329" s="45">
        <v>26563</v>
      </c>
      <c r="O2329" s="4" t="s">
        <v>15</v>
      </c>
      <c r="Q2329" s="3">
        <f t="shared" si="312"/>
        <v>26563</v>
      </c>
      <c r="R2329" s="3">
        <f t="shared" si="313"/>
        <v>0</v>
      </c>
    </row>
    <row r="2330" spans="2:18" hidden="1" x14ac:dyDescent="0.25">
      <c r="C2330" s="4" t="s">
        <v>2450</v>
      </c>
      <c r="E2330" s="5" t="s">
        <v>10</v>
      </c>
      <c r="F2330" s="5" t="s">
        <v>12220</v>
      </c>
      <c r="G2330" s="146" t="s">
        <v>7568</v>
      </c>
      <c r="H2330" s="7" t="s">
        <v>12222</v>
      </c>
      <c r="I2330" s="7" t="s">
        <v>12223</v>
      </c>
      <c r="J2330" s="5" t="s">
        <v>12226</v>
      </c>
      <c r="N2330" s="45">
        <v>26563</v>
      </c>
      <c r="O2330" s="4" t="s">
        <v>15</v>
      </c>
      <c r="Q2330" s="3">
        <f t="shared" si="312"/>
        <v>26563</v>
      </c>
      <c r="R2330" s="3">
        <f t="shared" si="313"/>
        <v>0</v>
      </c>
    </row>
    <row r="2331" spans="2:18" hidden="1" x14ac:dyDescent="0.25">
      <c r="C2331" s="4" t="s">
        <v>2450</v>
      </c>
      <c r="E2331" s="5" t="s">
        <v>10</v>
      </c>
      <c r="F2331" s="5" t="s">
        <v>12220</v>
      </c>
      <c r="G2331" s="146" t="s">
        <v>7568</v>
      </c>
      <c r="H2331" s="7" t="s">
        <v>12222</v>
      </c>
      <c r="I2331" s="7" t="s">
        <v>12223</v>
      </c>
      <c r="J2331" s="5" t="s">
        <v>12227</v>
      </c>
      <c r="N2331" s="45">
        <v>26563</v>
      </c>
      <c r="O2331" s="4" t="s">
        <v>15</v>
      </c>
      <c r="Q2331" s="3">
        <f t="shared" si="312"/>
        <v>26563</v>
      </c>
      <c r="R2331" s="3">
        <f t="shared" si="313"/>
        <v>0</v>
      </c>
    </row>
    <row r="2332" spans="2:18" hidden="1" x14ac:dyDescent="0.25">
      <c r="B2332" s="21" t="s">
        <v>395</v>
      </c>
      <c r="C2332" s="22" t="s">
        <v>2450</v>
      </c>
      <c r="D2332" s="22"/>
      <c r="E2332" s="21" t="s">
        <v>10</v>
      </c>
      <c r="F2332" s="21" t="s">
        <v>9721</v>
      </c>
      <c r="G2332" s="147" t="s">
        <v>7313</v>
      </c>
      <c r="H2332" s="23" t="s">
        <v>12260</v>
      </c>
      <c r="I2332" s="23" t="s">
        <v>12261</v>
      </c>
      <c r="J2332" s="21" t="s">
        <v>6557</v>
      </c>
      <c r="K2332" s="21"/>
      <c r="L2332" s="21" t="s">
        <v>12262</v>
      </c>
      <c r="M2332" s="26">
        <v>45867</v>
      </c>
      <c r="N2332" s="44">
        <v>212.44</v>
      </c>
      <c r="O2332" s="22" t="s">
        <v>15</v>
      </c>
      <c r="P2332" s="44">
        <v>212.44</v>
      </c>
      <c r="Q2332" s="24">
        <f t="shared" si="312"/>
        <v>0</v>
      </c>
      <c r="R2332" s="24">
        <f t="shared" si="313"/>
        <v>212.44</v>
      </c>
    </row>
    <row r="2333" spans="2:18" hidden="1" x14ac:dyDescent="0.25">
      <c r="B2333" s="21" t="s">
        <v>395</v>
      </c>
      <c r="C2333" s="22" t="s">
        <v>2450</v>
      </c>
      <c r="D2333" s="22"/>
      <c r="E2333" s="21" t="s">
        <v>10</v>
      </c>
      <c r="F2333" s="21" t="s">
        <v>9721</v>
      </c>
      <c r="G2333" s="147" t="s">
        <v>7313</v>
      </c>
      <c r="H2333" s="23" t="s">
        <v>12263</v>
      </c>
      <c r="I2333" s="23" t="s">
        <v>12264</v>
      </c>
      <c r="J2333" s="21" t="s">
        <v>6557</v>
      </c>
      <c r="K2333" s="21"/>
      <c r="L2333" s="21" t="s">
        <v>12319</v>
      </c>
      <c r="M2333" s="26">
        <v>45873</v>
      </c>
      <c r="N2333" s="44">
        <v>1143.96</v>
      </c>
      <c r="O2333" s="22" t="s">
        <v>15</v>
      </c>
      <c r="P2333" s="44">
        <v>1143.96</v>
      </c>
      <c r="Q2333" s="24">
        <f t="shared" ref="Q2333:Q2334" si="314">IF(P2333="en cours",N2333,IF(P2333="OK",0,IF(N2333-P2333&lt;0,0,N2333-P2333)))</f>
        <v>0</v>
      </c>
      <c r="R2333" s="24">
        <f t="shared" ref="R2333:R2334" si="315">IF(P2333="OK",N2333-Q2333,IF(P2333="en cours",N2333-Q2333,P2333))</f>
        <v>1143.96</v>
      </c>
    </row>
    <row r="2334" spans="2:18" hidden="1" x14ac:dyDescent="0.25">
      <c r="B2334" s="21" t="s">
        <v>395</v>
      </c>
      <c r="C2334" s="22" t="s">
        <v>2450</v>
      </c>
      <c r="D2334" s="22"/>
      <c r="E2334" s="21" t="s">
        <v>10</v>
      </c>
      <c r="F2334" s="21" t="s">
        <v>9721</v>
      </c>
      <c r="G2334" s="147" t="s">
        <v>6638</v>
      </c>
      <c r="H2334" s="23" t="s">
        <v>12265</v>
      </c>
      <c r="I2334" s="23" t="s">
        <v>12266</v>
      </c>
      <c r="J2334" s="21" t="s">
        <v>6557</v>
      </c>
      <c r="K2334" s="21"/>
      <c r="L2334" s="21" t="s">
        <v>12314</v>
      </c>
      <c r="M2334" s="26">
        <v>45869</v>
      </c>
      <c r="N2334" s="44">
        <v>8236.7999999999993</v>
      </c>
      <c r="O2334" s="22" t="s">
        <v>15</v>
      </c>
      <c r="P2334" s="44">
        <v>8236.7999999999993</v>
      </c>
      <c r="Q2334" s="24">
        <f t="shared" si="314"/>
        <v>0</v>
      </c>
      <c r="R2334" s="24">
        <f t="shared" si="315"/>
        <v>8236.7999999999993</v>
      </c>
    </row>
    <row r="2335" spans="2:18" hidden="1" x14ac:dyDescent="0.25">
      <c r="B2335" s="21" t="s">
        <v>395</v>
      </c>
      <c r="C2335" s="22" t="s">
        <v>2456</v>
      </c>
      <c r="D2335" s="22"/>
      <c r="E2335" s="21" t="s">
        <v>75</v>
      </c>
      <c r="F2335" s="21" t="s">
        <v>12282</v>
      </c>
      <c r="G2335" s="147" t="s">
        <v>12283</v>
      </c>
      <c r="H2335" s="23" t="s">
        <v>12284</v>
      </c>
      <c r="I2335" s="23" t="s">
        <v>12285</v>
      </c>
      <c r="J2335" s="21" t="s">
        <v>12286</v>
      </c>
      <c r="K2335" s="21"/>
      <c r="L2335" s="21" t="s">
        <v>13113</v>
      </c>
      <c r="M2335" s="26">
        <v>45961</v>
      </c>
      <c r="N2335" s="44">
        <v>516.17999999999995</v>
      </c>
      <c r="O2335" s="22" t="s">
        <v>15</v>
      </c>
      <c r="P2335" s="44">
        <v>516.17999999999995</v>
      </c>
      <c r="Q2335" s="24">
        <f t="shared" ref="Q2335:Q2351" si="316">IF(P2335="en cours",N2335,IF(P2335="OK",0,IF(N2335-P2335&lt;0,0,N2335-P2335)))</f>
        <v>0</v>
      </c>
      <c r="R2335" s="24">
        <f t="shared" ref="R2335:R2347" si="317">IF(P2335="OK",N2335-Q2335,IF(P2335="en cours",N2335-Q2335,P2335))</f>
        <v>516.17999999999995</v>
      </c>
    </row>
    <row r="2336" spans="2:18" hidden="1" x14ac:dyDescent="0.25">
      <c r="B2336" s="21" t="s">
        <v>395</v>
      </c>
      <c r="C2336" s="22" t="s">
        <v>2450</v>
      </c>
      <c r="D2336" s="22"/>
      <c r="E2336" s="21" t="s">
        <v>75</v>
      </c>
      <c r="F2336" s="21" t="s">
        <v>12282</v>
      </c>
      <c r="G2336" s="147" t="s">
        <v>12283</v>
      </c>
      <c r="H2336" s="23" t="s">
        <v>12287</v>
      </c>
      <c r="I2336" s="23" t="s">
        <v>12288</v>
      </c>
      <c r="J2336" s="21" t="s">
        <v>12286</v>
      </c>
      <c r="K2336" s="21"/>
      <c r="L2336" s="21" t="s">
        <v>13116</v>
      </c>
      <c r="M2336" s="26">
        <v>45961</v>
      </c>
      <c r="N2336" s="44">
        <v>1599.66</v>
      </c>
      <c r="O2336" s="22" t="s">
        <v>15</v>
      </c>
      <c r="P2336" s="44">
        <v>1854.49</v>
      </c>
      <c r="Q2336" s="24">
        <f t="shared" si="316"/>
        <v>0</v>
      </c>
      <c r="R2336" s="24">
        <f t="shared" si="317"/>
        <v>1854.49</v>
      </c>
    </row>
    <row r="2337" spans="2:19" hidden="1" x14ac:dyDescent="0.25">
      <c r="B2337" s="21" t="s">
        <v>395</v>
      </c>
      <c r="C2337" s="22" t="s">
        <v>1940</v>
      </c>
      <c r="D2337" s="22"/>
      <c r="E2337" s="21" t="s">
        <v>75</v>
      </c>
      <c r="F2337" s="21" t="s">
        <v>12282</v>
      </c>
      <c r="G2337" s="147" t="s">
        <v>12283</v>
      </c>
      <c r="H2337" s="23" t="s">
        <v>12289</v>
      </c>
      <c r="I2337" s="23" t="s">
        <v>12290</v>
      </c>
      <c r="J2337" s="21" t="s">
        <v>12286</v>
      </c>
      <c r="K2337" s="21"/>
      <c r="L2337" s="21" t="s">
        <v>12738</v>
      </c>
      <c r="M2337" s="26">
        <v>45930</v>
      </c>
      <c r="N2337" s="44">
        <v>486.5</v>
      </c>
      <c r="O2337" s="22" t="s">
        <v>15</v>
      </c>
      <c r="P2337" s="44">
        <v>486.5</v>
      </c>
      <c r="Q2337" s="24">
        <f t="shared" si="316"/>
        <v>0</v>
      </c>
      <c r="R2337" s="24">
        <f t="shared" si="317"/>
        <v>486.5</v>
      </c>
    </row>
    <row r="2338" spans="2:19" hidden="1" x14ac:dyDescent="0.25">
      <c r="B2338" s="21" t="s">
        <v>395</v>
      </c>
      <c r="C2338" s="22" t="s">
        <v>4542</v>
      </c>
      <c r="D2338" s="22"/>
      <c r="E2338" s="21" t="s">
        <v>75</v>
      </c>
      <c r="F2338" s="21" t="s">
        <v>12282</v>
      </c>
      <c r="G2338" s="147" t="s">
        <v>12283</v>
      </c>
      <c r="H2338" s="23" t="s">
        <v>12291</v>
      </c>
      <c r="I2338" s="23" t="s">
        <v>12292</v>
      </c>
      <c r="J2338" s="21" t="s">
        <v>12286</v>
      </c>
      <c r="K2338" s="21"/>
      <c r="L2338" s="21" t="s">
        <v>13110</v>
      </c>
      <c r="M2338" s="26">
        <v>45961</v>
      </c>
      <c r="N2338" s="44">
        <v>1038.1300000000001</v>
      </c>
      <c r="O2338" s="22" t="s">
        <v>15</v>
      </c>
      <c r="P2338" s="44">
        <v>1038.1300000000001</v>
      </c>
      <c r="Q2338" s="24">
        <f t="shared" si="316"/>
        <v>0</v>
      </c>
      <c r="R2338" s="24">
        <f t="shared" si="317"/>
        <v>1038.1300000000001</v>
      </c>
    </row>
    <row r="2339" spans="2:19" hidden="1" x14ac:dyDescent="0.25">
      <c r="B2339" s="21" t="s">
        <v>395</v>
      </c>
      <c r="C2339" s="22" t="s">
        <v>2453</v>
      </c>
      <c r="D2339" s="22"/>
      <c r="E2339" s="21" t="s">
        <v>75</v>
      </c>
      <c r="F2339" s="21" t="s">
        <v>12282</v>
      </c>
      <c r="G2339" s="147" t="s">
        <v>12283</v>
      </c>
      <c r="H2339" s="23" t="s">
        <v>12293</v>
      </c>
      <c r="I2339" s="23" t="s">
        <v>12294</v>
      </c>
      <c r="J2339" s="21" t="s">
        <v>12286</v>
      </c>
      <c r="K2339" s="21"/>
      <c r="L2339" s="21" t="s">
        <v>12744</v>
      </c>
      <c r="M2339" s="26">
        <v>45930</v>
      </c>
      <c r="N2339" s="44">
        <v>437.04</v>
      </c>
      <c r="O2339" s="22" t="s">
        <v>15</v>
      </c>
      <c r="P2339" s="44">
        <v>437.04</v>
      </c>
      <c r="Q2339" s="24">
        <f t="shared" si="316"/>
        <v>0</v>
      </c>
      <c r="R2339" s="24">
        <f t="shared" si="317"/>
        <v>437.04</v>
      </c>
    </row>
    <row r="2340" spans="2:19" hidden="1" x14ac:dyDescent="0.25">
      <c r="B2340" s="21" t="s">
        <v>395</v>
      </c>
      <c r="C2340" s="22" t="s">
        <v>2461</v>
      </c>
      <c r="D2340" s="22"/>
      <c r="E2340" s="21" t="s">
        <v>75</v>
      </c>
      <c r="F2340" s="21" t="s">
        <v>12282</v>
      </c>
      <c r="G2340" s="147" t="s">
        <v>12283</v>
      </c>
      <c r="H2340" s="23" t="s">
        <v>12295</v>
      </c>
      <c r="I2340" s="23" t="s">
        <v>12296</v>
      </c>
      <c r="J2340" s="21" t="s">
        <v>12286</v>
      </c>
      <c r="K2340" s="21"/>
      <c r="L2340" s="21" t="s">
        <v>13111</v>
      </c>
      <c r="M2340" s="26">
        <v>45961</v>
      </c>
      <c r="N2340" s="44">
        <v>555.76</v>
      </c>
      <c r="O2340" s="22" t="s">
        <v>15</v>
      </c>
      <c r="P2340" s="44">
        <v>555.76</v>
      </c>
      <c r="Q2340" s="24">
        <f t="shared" si="316"/>
        <v>0</v>
      </c>
      <c r="R2340" s="24">
        <f t="shared" si="317"/>
        <v>555.76</v>
      </c>
    </row>
    <row r="2341" spans="2:19" hidden="1" x14ac:dyDescent="0.25">
      <c r="B2341" s="21" t="s">
        <v>395</v>
      </c>
      <c r="C2341" s="22" t="s">
        <v>2452</v>
      </c>
      <c r="D2341" s="22"/>
      <c r="E2341" s="21" t="s">
        <v>75</v>
      </c>
      <c r="F2341" s="21" t="s">
        <v>12282</v>
      </c>
      <c r="G2341" s="147" t="s">
        <v>12283</v>
      </c>
      <c r="H2341" s="23" t="s">
        <v>12297</v>
      </c>
      <c r="I2341" s="23" t="s">
        <v>12298</v>
      </c>
      <c r="J2341" s="21" t="s">
        <v>12286</v>
      </c>
      <c r="K2341" s="21"/>
      <c r="L2341" s="21" t="s">
        <v>12740</v>
      </c>
      <c r="M2341" s="26">
        <v>45930</v>
      </c>
      <c r="N2341" s="44">
        <v>640.36</v>
      </c>
      <c r="O2341" s="22" t="s">
        <v>15</v>
      </c>
      <c r="P2341" s="44">
        <v>640.36</v>
      </c>
      <c r="Q2341" s="24">
        <f t="shared" si="316"/>
        <v>0</v>
      </c>
      <c r="R2341" s="24">
        <f t="shared" si="317"/>
        <v>640.36</v>
      </c>
    </row>
    <row r="2342" spans="2:19" hidden="1" x14ac:dyDescent="0.25">
      <c r="B2342" s="21" t="s">
        <v>395</v>
      </c>
      <c r="C2342" s="22" t="s">
        <v>2459</v>
      </c>
      <c r="D2342" s="22"/>
      <c r="E2342" s="21" t="s">
        <v>75</v>
      </c>
      <c r="F2342" s="21" t="s">
        <v>12282</v>
      </c>
      <c r="G2342" s="147" t="s">
        <v>12283</v>
      </c>
      <c r="H2342" s="23" t="s">
        <v>12299</v>
      </c>
      <c r="I2342" s="23" t="s">
        <v>12300</v>
      </c>
      <c r="J2342" s="21" t="s">
        <v>12286</v>
      </c>
      <c r="K2342" s="21"/>
      <c r="L2342" s="21" t="s">
        <v>12739</v>
      </c>
      <c r="M2342" s="26">
        <v>45930</v>
      </c>
      <c r="N2342" s="44">
        <v>1668.91</v>
      </c>
      <c r="O2342" s="22" t="s">
        <v>15</v>
      </c>
      <c r="P2342" s="44">
        <v>1668.91</v>
      </c>
      <c r="Q2342" s="24">
        <f t="shared" si="316"/>
        <v>0</v>
      </c>
      <c r="R2342" s="24">
        <f t="shared" si="317"/>
        <v>1668.91</v>
      </c>
    </row>
    <row r="2343" spans="2:19" hidden="1" x14ac:dyDescent="0.25">
      <c r="B2343" s="21" t="s">
        <v>395</v>
      </c>
      <c r="C2343" s="22" t="s">
        <v>2460</v>
      </c>
      <c r="D2343" s="22"/>
      <c r="E2343" s="21" t="s">
        <v>75</v>
      </c>
      <c r="F2343" s="21" t="s">
        <v>12282</v>
      </c>
      <c r="G2343" s="147" t="s">
        <v>12283</v>
      </c>
      <c r="H2343" s="23" t="s">
        <v>12311</v>
      </c>
      <c r="I2343" s="23" t="s">
        <v>12301</v>
      </c>
      <c r="J2343" s="21" t="s">
        <v>12286</v>
      </c>
      <c r="K2343" s="21"/>
      <c r="L2343" s="21" t="s">
        <v>12743</v>
      </c>
      <c r="M2343" s="26">
        <v>45930</v>
      </c>
      <c r="N2343" s="44">
        <v>1738.17</v>
      </c>
      <c r="O2343" s="22" t="s">
        <v>15</v>
      </c>
      <c r="P2343" s="264">
        <v>1824.81</v>
      </c>
      <c r="Q2343" s="24">
        <f t="shared" si="316"/>
        <v>0</v>
      </c>
      <c r="R2343" s="24">
        <f t="shared" si="317"/>
        <v>1824.81</v>
      </c>
    </row>
    <row r="2344" spans="2:19" hidden="1" x14ac:dyDescent="0.25">
      <c r="B2344" s="21" t="s">
        <v>395</v>
      </c>
      <c r="C2344" s="22" t="s">
        <v>2457</v>
      </c>
      <c r="D2344" s="22"/>
      <c r="E2344" s="21" t="s">
        <v>75</v>
      </c>
      <c r="F2344" s="21" t="s">
        <v>12282</v>
      </c>
      <c r="G2344" s="147" t="s">
        <v>12283</v>
      </c>
      <c r="H2344" s="23" t="s">
        <v>12302</v>
      </c>
      <c r="I2344" s="23" t="s">
        <v>12303</v>
      </c>
      <c r="J2344" s="21" t="s">
        <v>12286</v>
      </c>
      <c r="K2344" s="21"/>
      <c r="L2344" s="21" t="s">
        <v>12742</v>
      </c>
      <c r="M2344" s="26">
        <v>45930</v>
      </c>
      <c r="N2344" s="44">
        <v>249.06</v>
      </c>
      <c r="O2344" s="22" t="s">
        <v>15</v>
      </c>
      <c r="P2344" s="44">
        <v>249.06</v>
      </c>
      <c r="Q2344" s="24">
        <f t="shared" si="316"/>
        <v>0</v>
      </c>
      <c r="R2344" s="24">
        <f t="shared" si="317"/>
        <v>249.06</v>
      </c>
    </row>
    <row r="2345" spans="2:19" hidden="1" x14ac:dyDescent="0.25">
      <c r="B2345" s="21" t="s">
        <v>395</v>
      </c>
      <c r="C2345" s="22" t="s">
        <v>2462</v>
      </c>
      <c r="D2345" s="22"/>
      <c r="E2345" s="21" t="s">
        <v>75</v>
      </c>
      <c r="F2345" s="21" t="s">
        <v>12282</v>
      </c>
      <c r="G2345" s="147" t="s">
        <v>12283</v>
      </c>
      <c r="H2345" s="23" t="s">
        <v>12304</v>
      </c>
      <c r="I2345" s="23" t="s">
        <v>12305</v>
      </c>
      <c r="J2345" s="21" t="s">
        <v>12286</v>
      </c>
      <c r="K2345" s="21"/>
      <c r="L2345" s="21" t="s">
        <v>12741</v>
      </c>
      <c r="M2345" s="26">
        <v>45930</v>
      </c>
      <c r="N2345" s="44">
        <v>1245.9000000000001</v>
      </c>
      <c r="O2345" s="22" t="s">
        <v>15</v>
      </c>
      <c r="P2345" s="264">
        <v>1495.9</v>
      </c>
      <c r="Q2345" s="24">
        <f t="shared" si="316"/>
        <v>0</v>
      </c>
      <c r="R2345" s="24">
        <f t="shared" si="317"/>
        <v>1495.9</v>
      </c>
    </row>
    <row r="2346" spans="2:19" hidden="1" x14ac:dyDescent="0.25">
      <c r="B2346" s="21" t="s">
        <v>395</v>
      </c>
      <c r="C2346" s="22" t="s">
        <v>2421</v>
      </c>
      <c r="D2346" s="22"/>
      <c r="E2346" s="21" t="s">
        <v>75</v>
      </c>
      <c r="F2346" s="21" t="s">
        <v>12282</v>
      </c>
      <c r="G2346" s="147" t="s">
        <v>12283</v>
      </c>
      <c r="H2346" s="23" t="s">
        <v>12306</v>
      </c>
      <c r="I2346" s="23" t="s">
        <v>12307</v>
      </c>
      <c r="J2346" s="21" t="s">
        <v>12286</v>
      </c>
      <c r="K2346" s="21"/>
      <c r="L2346" s="21" t="s">
        <v>12737</v>
      </c>
      <c r="M2346" s="26">
        <v>45930</v>
      </c>
      <c r="N2346" s="44">
        <v>437.04</v>
      </c>
      <c r="O2346" s="22" t="s">
        <v>15</v>
      </c>
      <c r="P2346" s="44">
        <v>437.04</v>
      </c>
      <c r="Q2346" s="24">
        <f t="shared" si="316"/>
        <v>0</v>
      </c>
      <c r="R2346" s="24">
        <f t="shared" si="317"/>
        <v>437.04</v>
      </c>
    </row>
    <row r="2347" spans="2:19" hidden="1" x14ac:dyDescent="0.25">
      <c r="B2347" s="21" t="s">
        <v>395</v>
      </c>
      <c r="C2347" s="22" t="s">
        <v>12308</v>
      </c>
      <c r="D2347" s="22"/>
      <c r="E2347" s="21" t="s">
        <v>75</v>
      </c>
      <c r="F2347" s="21" t="s">
        <v>12282</v>
      </c>
      <c r="G2347" s="147" t="s">
        <v>12283</v>
      </c>
      <c r="H2347" s="23" t="s">
        <v>12309</v>
      </c>
      <c r="I2347" s="23" t="s">
        <v>12310</v>
      </c>
      <c r="J2347" s="21" t="s">
        <v>12286</v>
      </c>
      <c r="K2347" s="21"/>
      <c r="L2347" s="21" t="s">
        <v>13112</v>
      </c>
      <c r="M2347" s="26">
        <v>45961</v>
      </c>
      <c r="N2347" s="44">
        <v>869.94</v>
      </c>
      <c r="O2347" s="22" t="s">
        <v>15</v>
      </c>
      <c r="P2347" s="44">
        <v>869.94</v>
      </c>
      <c r="Q2347" s="24">
        <f t="shared" si="316"/>
        <v>0</v>
      </c>
      <c r="R2347" s="24">
        <f t="shared" si="317"/>
        <v>869.94</v>
      </c>
    </row>
    <row r="2348" spans="2:19" hidden="1" x14ac:dyDescent="0.25">
      <c r="B2348" s="21" t="s">
        <v>395</v>
      </c>
      <c r="C2348" s="22" t="s">
        <v>9747</v>
      </c>
      <c r="D2348" s="22"/>
      <c r="E2348" s="21" t="s">
        <v>75</v>
      </c>
      <c r="F2348" s="21" t="s">
        <v>9819</v>
      </c>
      <c r="G2348" s="147" t="s">
        <v>7453</v>
      </c>
      <c r="H2348" s="23" t="s">
        <v>12341</v>
      </c>
      <c r="I2348" s="23" t="s">
        <v>11906</v>
      </c>
      <c r="J2348" s="21" t="s">
        <v>11908</v>
      </c>
      <c r="K2348" s="21"/>
      <c r="L2348" s="21" t="s">
        <v>12378</v>
      </c>
      <c r="M2348" s="26">
        <v>45890</v>
      </c>
      <c r="N2348" s="44">
        <v>3432</v>
      </c>
      <c r="O2348" s="22" t="s">
        <v>15</v>
      </c>
      <c r="P2348" s="44">
        <v>3432</v>
      </c>
      <c r="Q2348" s="44">
        <f t="shared" si="316"/>
        <v>0</v>
      </c>
      <c r="R2348" s="24">
        <f>IF(P2348="OK",N2348-Q2348,IF(P2348="en cours",N2348-Q2348,P2348))</f>
        <v>3432</v>
      </c>
    </row>
    <row r="2349" spans="2:19" hidden="1" x14ac:dyDescent="0.25">
      <c r="B2349" s="21" t="s">
        <v>395</v>
      </c>
      <c r="C2349" s="22" t="s">
        <v>2450</v>
      </c>
      <c r="D2349" s="22"/>
      <c r="E2349" s="21" t="s">
        <v>75</v>
      </c>
      <c r="F2349" s="21" t="s">
        <v>9767</v>
      </c>
      <c r="G2349" s="147" t="s">
        <v>7453</v>
      </c>
      <c r="H2349" s="23" t="s">
        <v>12705</v>
      </c>
      <c r="I2349" s="23" t="s">
        <v>12342</v>
      </c>
      <c r="J2349" s="21" t="s">
        <v>12343</v>
      </c>
      <c r="K2349" s="21"/>
      <c r="L2349" s="21" t="s">
        <v>12836</v>
      </c>
      <c r="M2349" s="26" t="s">
        <v>12837</v>
      </c>
      <c r="N2349" s="44">
        <v>14715</v>
      </c>
      <c r="O2349" s="22" t="s">
        <v>15</v>
      </c>
      <c r="P2349" s="44">
        <f>7357.5+7357.5</f>
        <v>14715</v>
      </c>
      <c r="Q2349" s="24">
        <f t="shared" si="316"/>
        <v>0</v>
      </c>
      <c r="R2349" s="24">
        <f t="shared" ref="R2349:R2350" si="318">IF(P2349="OK",N2349-Q2349,IF(P2349="en cours",N2349-Q2349,P2349))</f>
        <v>14715</v>
      </c>
      <c r="S2349" s="21"/>
    </row>
    <row r="2350" spans="2:19" hidden="1" x14ac:dyDescent="0.25">
      <c r="C2350" s="4" t="s">
        <v>2450</v>
      </c>
      <c r="E2350" s="5" t="s">
        <v>75</v>
      </c>
      <c r="F2350" s="5" t="s">
        <v>9755</v>
      </c>
      <c r="G2350" s="146" t="s">
        <v>7453</v>
      </c>
      <c r="H2350" s="7" t="s">
        <v>14171</v>
      </c>
      <c r="I2350" s="7" t="s">
        <v>14172</v>
      </c>
      <c r="J2350" s="5" t="s">
        <v>12344</v>
      </c>
      <c r="L2350" s="5" t="s">
        <v>14176</v>
      </c>
      <c r="M2350" s="12" t="s">
        <v>14177</v>
      </c>
      <c r="N2350" s="45">
        <f>52490+3604+10024</f>
        <v>66118</v>
      </c>
      <c r="O2350" s="4" t="s">
        <v>15</v>
      </c>
      <c r="P2350" s="45">
        <f>10240+3604+26245+10024</f>
        <v>50113</v>
      </c>
      <c r="Q2350" s="3">
        <f t="shared" si="316"/>
        <v>16005</v>
      </c>
      <c r="R2350" s="3">
        <f t="shared" si="318"/>
        <v>50113</v>
      </c>
    </row>
    <row r="2351" spans="2:19" hidden="1" x14ac:dyDescent="0.25">
      <c r="B2351" s="21" t="s">
        <v>395</v>
      </c>
      <c r="C2351" s="22" t="s">
        <v>158</v>
      </c>
      <c r="D2351" s="22"/>
      <c r="E2351" s="21" t="s">
        <v>7137</v>
      </c>
      <c r="F2351" s="21" t="s">
        <v>11545</v>
      </c>
      <c r="G2351" s="147" t="s">
        <v>12345</v>
      </c>
      <c r="H2351" s="23" t="s">
        <v>12346</v>
      </c>
      <c r="I2351" s="23" t="s">
        <v>12347</v>
      </c>
      <c r="J2351" s="21" t="s">
        <v>12348</v>
      </c>
      <c r="K2351" s="21"/>
      <c r="L2351" s="21" t="s">
        <v>14305</v>
      </c>
      <c r="M2351" s="26" t="s">
        <v>14306</v>
      </c>
      <c r="N2351" s="44">
        <v>12350</v>
      </c>
      <c r="O2351" s="22" t="s">
        <v>15</v>
      </c>
      <c r="P2351" s="44">
        <f>11426.77+950</f>
        <v>12376.77</v>
      </c>
      <c r="Q2351" s="24">
        <f t="shared" si="316"/>
        <v>0</v>
      </c>
      <c r="R2351" s="24">
        <f t="shared" ref="R2351:R2360" si="319">IF(P2351="OK",N2351-Q2351,IF(P2351="en cours",N2351-Q2351,P2351))</f>
        <v>12376.77</v>
      </c>
    </row>
    <row r="2352" spans="2:19" hidden="1" x14ac:dyDescent="0.25">
      <c r="B2352" s="32" t="s">
        <v>395</v>
      </c>
      <c r="C2352" s="33" t="s">
        <v>158</v>
      </c>
      <c r="D2352" s="33"/>
      <c r="E2352" s="32" t="s">
        <v>10</v>
      </c>
      <c r="F2352" s="32" t="s">
        <v>9721</v>
      </c>
      <c r="G2352" s="155" t="s">
        <v>916</v>
      </c>
      <c r="H2352" s="34" t="s">
        <v>12349</v>
      </c>
      <c r="I2352" s="34" t="s">
        <v>12350</v>
      </c>
      <c r="J2352" s="32" t="s">
        <v>12351</v>
      </c>
      <c r="K2352" s="32"/>
      <c r="L2352" s="32" t="s">
        <v>12858</v>
      </c>
      <c r="M2352" s="35">
        <v>45945</v>
      </c>
      <c r="N2352" s="93">
        <v>2997.54</v>
      </c>
      <c r="O2352" s="33" t="s">
        <v>15</v>
      </c>
      <c r="P2352" s="93">
        <v>2997.54</v>
      </c>
      <c r="Q2352" s="36">
        <f t="shared" ref="Q2352:Q2360" si="320">IF(P2352="en cours",N2352,IF(P2352="OK",0,IF(N2352-P2352&lt;0,0,N2352-P2352)))</f>
        <v>0</v>
      </c>
      <c r="R2352" s="36">
        <f t="shared" si="319"/>
        <v>2997.54</v>
      </c>
      <c r="S2352" s="32"/>
    </row>
    <row r="2353" spans="1:19" hidden="1" x14ac:dyDescent="0.25">
      <c r="B2353" s="32" t="s">
        <v>395</v>
      </c>
      <c r="C2353" s="33" t="s">
        <v>158</v>
      </c>
      <c r="D2353" s="33"/>
      <c r="E2353" s="32" t="s">
        <v>10</v>
      </c>
      <c r="F2353" s="32" t="s">
        <v>9721</v>
      </c>
      <c r="G2353" s="155" t="s">
        <v>916</v>
      </c>
      <c r="H2353" s="34" t="s">
        <v>12352</v>
      </c>
      <c r="I2353" s="34" t="s">
        <v>12353</v>
      </c>
      <c r="J2353" s="32" t="s">
        <v>12354</v>
      </c>
      <c r="K2353" s="32"/>
      <c r="L2353" s="32" t="s">
        <v>12550</v>
      </c>
      <c r="M2353" s="35">
        <v>45924</v>
      </c>
      <c r="N2353" s="93">
        <v>869.1</v>
      </c>
      <c r="O2353" s="33" t="s">
        <v>15</v>
      </c>
      <c r="P2353" s="93">
        <v>869.1</v>
      </c>
      <c r="Q2353" s="36">
        <f t="shared" si="320"/>
        <v>0</v>
      </c>
      <c r="R2353" s="36">
        <f t="shared" si="319"/>
        <v>869.1</v>
      </c>
      <c r="S2353" s="32"/>
    </row>
    <row r="2354" spans="1:19" hidden="1" x14ac:dyDescent="0.25">
      <c r="C2354" s="4" t="s">
        <v>158</v>
      </c>
      <c r="E2354" s="5" t="s">
        <v>10</v>
      </c>
      <c r="F2354" s="5" t="s">
        <v>9721</v>
      </c>
      <c r="G2354" s="146" t="s">
        <v>6546</v>
      </c>
      <c r="H2354" s="7" t="s">
        <v>12355</v>
      </c>
      <c r="I2354" s="7" t="s">
        <v>12356</v>
      </c>
      <c r="J2354" s="5" t="s">
        <v>12357</v>
      </c>
      <c r="N2354" s="45">
        <v>14455.52</v>
      </c>
      <c r="O2354" s="4" t="s">
        <v>15</v>
      </c>
      <c r="Q2354" s="45">
        <f t="shared" si="320"/>
        <v>14455.52</v>
      </c>
      <c r="R2354" s="3">
        <f t="shared" si="319"/>
        <v>0</v>
      </c>
    </row>
    <row r="2355" spans="1:19" hidden="1" x14ac:dyDescent="0.25">
      <c r="A2355" t="s">
        <v>6753</v>
      </c>
      <c r="B2355" s="21" t="s">
        <v>395</v>
      </c>
      <c r="C2355" s="22" t="s">
        <v>2450</v>
      </c>
      <c r="D2355" s="22"/>
      <c r="E2355" s="21" t="s">
        <v>10</v>
      </c>
      <c r="F2355" s="21" t="s">
        <v>9721</v>
      </c>
      <c r="G2355" s="147" t="s">
        <v>7315</v>
      </c>
      <c r="H2355" s="23" t="s">
        <v>12358</v>
      </c>
      <c r="I2355" s="23" t="s">
        <v>12359</v>
      </c>
      <c r="J2355" s="21" t="s">
        <v>6557</v>
      </c>
      <c r="K2355" s="21"/>
      <c r="L2355" s="21" t="s">
        <v>12393</v>
      </c>
      <c r="M2355" s="26">
        <v>45901</v>
      </c>
      <c r="N2355" s="44">
        <v>2164.8000000000002</v>
      </c>
      <c r="O2355" s="22" t="s">
        <v>15</v>
      </c>
      <c r="P2355" s="44">
        <v>2164.8000000000002</v>
      </c>
      <c r="Q2355" s="44">
        <f t="shared" si="320"/>
        <v>0</v>
      </c>
      <c r="R2355" s="24">
        <f t="shared" si="319"/>
        <v>2164.8000000000002</v>
      </c>
    </row>
    <row r="2356" spans="1:19" hidden="1" x14ac:dyDescent="0.25">
      <c r="B2356" s="21" t="s">
        <v>395</v>
      </c>
      <c r="C2356" s="22" t="s">
        <v>2450</v>
      </c>
      <c r="D2356" s="22"/>
      <c r="E2356" s="21" t="s">
        <v>10</v>
      </c>
      <c r="F2356" s="21" t="s">
        <v>9721</v>
      </c>
      <c r="G2356" s="147" t="s">
        <v>9319</v>
      </c>
      <c r="H2356" s="23" t="s">
        <v>12360</v>
      </c>
      <c r="I2356" s="23" t="s">
        <v>12361</v>
      </c>
      <c r="J2356" s="21" t="s">
        <v>12362</v>
      </c>
      <c r="K2356" s="21"/>
      <c r="L2356" s="21" t="s">
        <v>12530</v>
      </c>
      <c r="M2356" s="26">
        <v>45902</v>
      </c>
      <c r="N2356" s="44">
        <v>1280</v>
      </c>
      <c r="O2356" s="22" t="s">
        <v>15</v>
      </c>
      <c r="P2356" s="44">
        <v>1280</v>
      </c>
      <c r="Q2356" s="24">
        <f t="shared" si="320"/>
        <v>0</v>
      </c>
      <c r="R2356" s="24">
        <f t="shared" si="319"/>
        <v>1280</v>
      </c>
    </row>
    <row r="2357" spans="1:19" hidden="1" x14ac:dyDescent="0.25">
      <c r="C2357" s="4" t="s">
        <v>8972</v>
      </c>
      <c r="E2357" s="5" t="s">
        <v>75</v>
      </c>
      <c r="F2357" s="5" t="s">
        <v>9767</v>
      </c>
      <c r="G2357" s="146" t="s">
        <v>11153</v>
      </c>
      <c r="H2357" s="7" t="s">
        <v>12493</v>
      </c>
      <c r="I2357" s="7" t="s">
        <v>12492</v>
      </c>
      <c r="J2357" s="5" t="s">
        <v>12363</v>
      </c>
      <c r="L2357" s="5" t="s">
        <v>14267</v>
      </c>
      <c r="M2357" s="12" t="s">
        <v>14268</v>
      </c>
      <c r="N2357" s="45">
        <f>448155+609709</f>
        <v>1057864</v>
      </c>
      <c r="O2357" s="4" t="s">
        <v>15</v>
      </c>
      <c r="P2357" s="45">
        <f>68000+87103+7511.83+4300.59</f>
        <v>166915.41999999998</v>
      </c>
      <c r="Q2357" s="45">
        <f t="shared" si="320"/>
        <v>890948.58000000007</v>
      </c>
      <c r="R2357" s="3">
        <f t="shared" si="319"/>
        <v>166915.41999999998</v>
      </c>
    </row>
    <row r="2358" spans="1:19" hidden="1" x14ac:dyDescent="0.25">
      <c r="B2358" s="21" t="s">
        <v>395</v>
      </c>
      <c r="C2358" s="22" t="s">
        <v>2450</v>
      </c>
      <c r="D2358" s="22"/>
      <c r="E2358" s="21" t="s">
        <v>10</v>
      </c>
      <c r="F2358" s="21" t="s">
        <v>9721</v>
      </c>
      <c r="G2358" s="147" t="s">
        <v>12364</v>
      </c>
      <c r="H2358" s="23" t="s">
        <v>12365</v>
      </c>
      <c r="I2358" s="23" t="s">
        <v>12366</v>
      </c>
      <c r="J2358" s="21" t="s">
        <v>12367</v>
      </c>
      <c r="K2358" s="21"/>
      <c r="L2358" s="21" t="s">
        <v>12403</v>
      </c>
      <c r="M2358" s="26">
        <v>45895</v>
      </c>
      <c r="N2358" s="44">
        <f>0.8*106513</f>
        <v>85210.400000000009</v>
      </c>
      <c r="O2358" s="22" t="s">
        <v>276</v>
      </c>
      <c r="P2358" s="44">
        <v>85210.4</v>
      </c>
      <c r="Q2358" s="44">
        <f t="shared" si="320"/>
        <v>1.4551915228366852E-11</v>
      </c>
      <c r="R2358" s="24">
        <f t="shared" si="319"/>
        <v>85210.4</v>
      </c>
    </row>
    <row r="2359" spans="1:19" hidden="1" x14ac:dyDescent="0.25">
      <c r="B2359" s="21" t="s">
        <v>395</v>
      </c>
      <c r="C2359" s="22" t="s">
        <v>2450</v>
      </c>
      <c r="D2359" s="22"/>
      <c r="E2359" s="21" t="s">
        <v>10</v>
      </c>
      <c r="F2359" s="21" t="s">
        <v>9721</v>
      </c>
      <c r="G2359" s="147" t="s">
        <v>12364</v>
      </c>
      <c r="H2359" s="23" t="s">
        <v>12365</v>
      </c>
      <c r="I2359" s="23" t="s">
        <v>12366</v>
      </c>
      <c r="J2359" s="21" t="s">
        <v>12368</v>
      </c>
      <c r="K2359" s="21"/>
      <c r="L2359" s="21" t="s">
        <v>13628</v>
      </c>
      <c r="M2359" s="26">
        <v>46002</v>
      </c>
      <c r="N2359" s="44">
        <f>0.2*106513</f>
        <v>21302.600000000002</v>
      </c>
      <c r="O2359" s="22" t="s">
        <v>276</v>
      </c>
      <c r="P2359" s="44">
        <v>21302.6</v>
      </c>
      <c r="Q2359" s="44">
        <f t="shared" si="320"/>
        <v>3.637978807091713E-12</v>
      </c>
      <c r="R2359" s="24">
        <f t="shared" si="319"/>
        <v>21302.6</v>
      </c>
    </row>
    <row r="2360" spans="1:19" hidden="1" x14ac:dyDescent="0.25">
      <c r="B2360" s="21" t="s">
        <v>395</v>
      </c>
      <c r="C2360" s="22" t="s">
        <v>2450</v>
      </c>
      <c r="D2360" s="22"/>
      <c r="E2360" s="21" t="s">
        <v>75</v>
      </c>
      <c r="F2360" s="21" t="s">
        <v>9558</v>
      </c>
      <c r="G2360" s="147" t="s">
        <v>12100</v>
      </c>
      <c r="H2360" s="23" t="s">
        <v>13164</v>
      </c>
      <c r="I2360" s="23" t="s">
        <v>12430</v>
      </c>
      <c r="J2360" s="21" t="s">
        <v>12381</v>
      </c>
      <c r="K2360" s="21"/>
      <c r="L2360" s="21" t="s">
        <v>12387</v>
      </c>
      <c r="M2360" s="26">
        <v>45894</v>
      </c>
      <c r="N2360" s="44">
        <v>1200</v>
      </c>
      <c r="O2360" s="22" t="s">
        <v>276</v>
      </c>
      <c r="P2360" s="44">
        <v>1200</v>
      </c>
      <c r="Q2360" s="24">
        <f t="shared" si="320"/>
        <v>0</v>
      </c>
      <c r="R2360" s="24">
        <f t="shared" si="319"/>
        <v>1200</v>
      </c>
    </row>
    <row r="2361" spans="1:19" hidden="1" x14ac:dyDescent="0.25">
      <c r="B2361" s="21" t="s">
        <v>395</v>
      </c>
      <c r="C2361" s="22" t="s">
        <v>2450</v>
      </c>
      <c r="D2361" s="22"/>
      <c r="E2361" s="21" t="s">
        <v>75</v>
      </c>
      <c r="F2361" s="21" t="s">
        <v>9558</v>
      </c>
      <c r="G2361" s="147" t="s">
        <v>12100</v>
      </c>
      <c r="H2361" s="23" t="s">
        <v>13566</v>
      </c>
      <c r="I2361" s="23" t="s">
        <v>12429</v>
      </c>
      <c r="J2361" s="21" t="s">
        <v>12382</v>
      </c>
      <c r="K2361" s="21"/>
      <c r="L2361" s="21" t="s">
        <v>13684</v>
      </c>
      <c r="M2361" s="26">
        <v>46014</v>
      </c>
      <c r="N2361" s="44">
        <f>51950+7500</f>
        <v>59450</v>
      </c>
      <c r="O2361" s="22" t="s">
        <v>276</v>
      </c>
      <c r="P2361" s="44">
        <f>59450</f>
        <v>59450</v>
      </c>
      <c r="Q2361" s="24">
        <f t="shared" ref="Q2361:Q2366" si="321">IF(P2361="en cours",N2361,IF(P2361="OK",0,IF(N2361-P2361&lt;0,0,N2361-P2361)))</f>
        <v>0</v>
      </c>
      <c r="R2361" s="24">
        <f t="shared" ref="R2361:R2366" si="322">IF(P2361="OK",N2361-Q2361,IF(P2361="en cours",N2361-Q2361,P2361))</f>
        <v>59450</v>
      </c>
    </row>
    <row r="2362" spans="1:19" hidden="1" x14ac:dyDescent="0.25">
      <c r="C2362" s="4" t="s">
        <v>2450</v>
      </c>
      <c r="E2362" s="5" t="s">
        <v>75</v>
      </c>
      <c r="F2362" s="5" t="s">
        <v>9558</v>
      </c>
      <c r="G2362" s="146" t="s">
        <v>12100</v>
      </c>
      <c r="H2362" s="7" t="s">
        <v>13165</v>
      </c>
      <c r="I2362" s="7" t="s">
        <v>12422</v>
      </c>
      <c r="J2362" s="5" t="s">
        <v>12383</v>
      </c>
      <c r="L2362" s="5" t="s">
        <v>13726</v>
      </c>
      <c r="M2362" s="12">
        <v>46020</v>
      </c>
      <c r="N2362" s="45">
        <v>11100</v>
      </c>
      <c r="O2362" s="4" t="s">
        <v>276</v>
      </c>
      <c r="P2362" s="45">
        <f>8700</f>
        <v>8700</v>
      </c>
      <c r="Q2362" s="3">
        <f t="shared" si="321"/>
        <v>2400</v>
      </c>
      <c r="R2362" s="3">
        <f t="shared" si="322"/>
        <v>8700</v>
      </c>
    </row>
    <row r="2363" spans="1:19" hidden="1" x14ac:dyDescent="0.25">
      <c r="B2363" s="21" t="s">
        <v>395</v>
      </c>
      <c r="C2363" s="22" t="s">
        <v>2450</v>
      </c>
      <c r="D2363" s="22"/>
      <c r="E2363" s="21" t="s">
        <v>75</v>
      </c>
      <c r="F2363" s="21" t="s">
        <v>9558</v>
      </c>
      <c r="G2363" s="147" t="s">
        <v>12100</v>
      </c>
      <c r="H2363" s="23" t="s">
        <v>13166</v>
      </c>
      <c r="I2363" s="23" t="s">
        <v>12421</v>
      </c>
      <c r="J2363" s="21" t="s">
        <v>12384</v>
      </c>
      <c r="K2363" s="21"/>
      <c r="L2363" s="21" t="s">
        <v>13995</v>
      </c>
      <c r="M2363" s="26">
        <v>46053</v>
      </c>
      <c r="N2363" s="44">
        <v>13314</v>
      </c>
      <c r="O2363" s="22" t="s">
        <v>276</v>
      </c>
      <c r="P2363" s="44">
        <f>(1050+788)*3+(2100+500)*3+2100</f>
        <v>15414</v>
      </c>
      <c r="Q2363" s="24">
        <f t="shared" si="321"/>
        <v>0</v>
      </c>
      <c r="R2363" s="24">
        <f t="shared" si="322"/>
        <v>15414</v>
      </c>
    </row>
    <row r="2364" spans="1:19" hidden="1" x14ac:dyDescent="0.25">
      <c r="B2364" s="21" t="s">
        <v>395</v>
      </c>
      <c r="C2364" s="22" t="s">
        <v>2450</v>
      </c>
      <c r="D2364" s="22"/>
      <c r="E2364" s="21" t="s">
        <v>75</v>
      </c>
      <c r="F2364" s="21" t="s">
        <v>9558</v>
      </c>
      <c r="G2364" s="147" t="s">
        <v>12100</v>
      </c>
      <c r="H2364" s="23" t="s">
        <v>13167</v>
      </c>
      <c r="I2364" s="23" t="s">
        <v>12420</v>
      </c>
      <c r="J2364" s="21" t="s">
        <v>12385</v>
      </c>
      <c r="K2364" s="21"/>
      <c r="L2364" s="21" t="s">
        <v>13725</v>
      </c>
      <c r="M2364" s="26">
        <v>46020</v>
      </c>
      <c r="N2364" s="44">
        <v>8900</v>
      </c>
      <c r="O2364" s="22" t="s">
        <v>276</v>
      </c>
      <c r="P2364" s="44">
        <v>8900</v>
      </c>
      <c r="Q2364" s="24">
        <f t="shared" si="321"/>
        <v>0</v>
      </c>
      <c r="R2364" s="24">
        <f t="shared" si="322"/>
        <v>8900</v>
      </c>
    </row>
    <row r="2365" spans="1:19" hidden="1" x14ac:dyDescent="0.25">
      <c r="B2365" s="21" t="s">
        <v>395</v>
      </c>
      <c r="C2365" s="22" t="s">
        <v>2450</v>
      </c>
      <c r="D2365" s="22"/>
      <c r="E2365" s="21" t="s">
        <v>75</v>
      </c>
      <c r="F2365" s="21" t="s">
        <v>9558</v>
      </c>
      <c r="G2365" s="147" t="s">
        <v>12100</v>
      </c>
      <c r="H2365" s="23" t="s">
        <v>13565</v>
      </c>
      <c r="I2365" s="23" t="s">
        <v>12419</v>
      </c>
      <c r="J2365" s="21" t="s">
        <v>12386</v>
      </c>
      <c r="K2365" s="21"/>
      <c r="L2365" s="21" t="s">
        <v>13683</v>
      </c>
      <c r="M2365" s="26">
        <v>46014</v>
      </c>
      <c r="N2365" s="44">
        <f>6300+6350</f>
        <v>12650</v>
      </c>
      <c r="O2365" s="22" t="s">
        <v>276</v>
      </c>
      <c r="P2365" s="44">
        <v>12650</v>
      </c>
      <c r="Q2365" s="24">
        <f t="shared" si="321"/>
        <v>0</v>
      </c>
      <c r="R2365" s="24">
        <f t="shared" si="322"/>
        <v>12650</v>
      </c>
    </row>
    <row r="2366" spans="1:19" hidden="1" x14ac:dyDescent="0.25">
      <c r="B2366" s="21" t="s">
        <v>395</v>
      </c>
      <c r="C2366" s="22" t="s">
        <v>2450</v>
      </c>
      <c r="D2366" s="22"/>
      <c r="E2366" s="21" t="s">
        <v>0</v>
      </c>
      <c r="F2366" s="21" t="s">
        <v>9823</v>
      </c>
      <c r="G2366" s="147" t="s">
        <v>10296</v>
      </c>
      <c r="H2366" s="23" t="s">
        <v>12394</v>
      </c>
      <c r="I2366" s="23" t="s">
        <v>12395</v>
      </c>
      <c r="J2366" s="21" t="s">
        <v>11216</v>
      </c>
      <c r="K2366" s="120"/>
      <c r="L2366" s="21" t="s">
        <v>12396</v>
      </c>
      <c r="M2366" s="26">
        <v>45898</v>
      </c>
      <c r="N2366" s="44">
        <v>12979.9</v>
      </c>
      <c r="O2366" s="22" t="s">
        <v>276</v>
      </c>
      <c r="P2366" s="22">
        <v>12979.9</v>
      </c>
      <c r="Q2366" s="44">
        <f t="shared" si="321"/>
        <v>0</v>
      </c>
      <c r="R2366" s="24">
        <f t="shared" si="322"/>
        <v>12979.9</v>
      </c>
    </row>
    <row r="2367" spans="1:19" hidden="1" x14ac:dyDescent="0.25">
      <c r="C2367" s="4" t="s">
        <v>2450</v>
      </c>
      <c r="E2367" s="5" t="s">
        <v>75</v>
      </c>
      <c r="F2367" s="5" t="s">
        <v>9558</v>
      </c>
      <c r="G2367" s="146" t="s">
        <v>12101</v>
      </c>
      <c r="H2367" s="7" t="s">
        <v>12423</v>
      </c>
      <c r="I2367" s="7" t="s">
        <v>12424</v>
      </c>
      <c r="J2367" s="5" t="s">
        <v>12398</v>
      </c>
      <c r="L2367" s="5" t="s">
        <v>13419</v>
      </c>
      <c r="M2367" s="12" t="s">
        <v>13420</v>
      </c>
      <c r="N2367" s="45">
        <v>30280</v>
      </c>
      <c r="O2367" s="4" t="s">
        <v>276</v>
      </c>
      <c r="P2367" s="45">
        <f>15140+6980+3146.01+7377.28</f>
        <v>32643.29</v>
      </c>
      <c r="Q2367" s="3">
        <f t="shared" ref="Q2367:Q2370" si="323">IF(P2367="en cours",N2367,IF(P2367="OK",0,IF(N2367-P2367&lt;0,0,N2367-P2367)))</f>
        <v>0</v>
      </c>
      <c r="R2367" s="3">
        <f t="shared" ref="R2367:R2370" si="324">IF(P2367="OK",N2367-Q2367,IF(P2367="en cours",N2367-Q2367,P2367))</f>
        <v>32643.29</v>
      </c>
    </row>
    <row r="2368" spans="1:19" hidden="1" x14ac:dyDescent="0.25">
      <c r="B2368" s="21" t="s">
        <v>395</v>
      </c>
      <c r="C2368" s="22" t="s">
        <v>2450</v>
      </c>
      <c r="D2368" s="22"/>
      <c r="E2368" s="21" t="s">
        <v>75</v>
      </c>
      <c r="F2368" s="21" t="s">
        <v>9558</v>
      </c>
      <c r="G2368" s="147" t="s">
        <v>12101</v>
      </c>
      <c r="H2368" s="23" t="s">
        <v>12425</v>
      </c>
      <c r="I2368" s="23" t="s">
        <v>12426</v>
      </c>
      <c r="J2368" s="21" t="s">
        <v>12398</v>
      </c>
      <c r="K2368" s="21"/>
      <c r="L2368" s="21" t="s">
        <v>13109</v>
      </c>
      <c r="M2368" s="26" t="s">
        <v>13108</v>
      </c>
      <c r="N2368" s="44">
        <v>38640</v>
      </c>
      <c r="O2368" s="22" t="s">
        <v>276</v>
      </c>
      <c r="P2368" s="44">
        <f>19320+19320</f>
        <v>38640</v>
      </c>
      <c r="Q2368" s="24">
        <f t="shared" ref="Q2368" si="325">IF(P2368="en cours",N2368,IF(P2368="OK",0,IF(N2368-P2368&lt;0,0,N2368-P2368)))</f>
        <v>0</v>
      </c>
      <c r="R2368" s="24">
        <f t="shared" ref="R2368" si="326">IF(P2368="OK",N2368-Q2368,IF(P2368="en cours",N2368-Q2368,P2368))</f>
        <v>38640</v>
      </c>
    </row>
    <row r="2369" spans="2:19" hidden="1" x14ac:dyDescent="0.25">
      <c r="B2369" s="21" t="s">
        <v>395</v>
      </c>
      <c r="C2369" s="22" t="s">
        <v>2450</v>
      </c>
      <c r="D2369" s="22"/>
      <c r="E2369" s="21" t="s">
        <v>75</v>
      </c>
      <c r="F2369" s="21" t="s">
        <v>9558</v>
      </c>
      <c r="G2369" s="147" t="s">
        <v>12101</v>
      </c>
      <c r="H2369" s="23" t="s">
        <v>13293</v>
      </c>
      <c r="I2369" s="23" t="s">
        <v>13294</v>
      </c>
      <c r="J2369" s="21" t="s">
        <v>13292</v>
      </c>
      <c r="K2369" s="21"/>
      <c r="L2369" s="21" t="s">
        <v>13925</v>
      </c>
      <c r="M2369" s="26">
        <v>46042</v>
      </c>
      <c r="N2369" s="44">
        <v>29200</v>
      </c>
      <c r="O2369" s="22" t="s">
        <v>276</v>
      </c>
      <c r="P2369" s="44">
        <f>29200</f>
        <v>29200</v>
      </c>
      <c r="Q2369" s="24">
        <f t="shared" si="323"/>
        <v>0</v>
      </c>
      <c r="R2369" s="24">
        <f t="shared" si="324"/>
        <v>29200</v>
      </c>
    </row>
    <row r="2370" spans="2:19" hidden="1" x14ac:dyDescent="0.25">
      <c r="B2370" s="21" t="s">
        <v>395</v>
      </c>
      <c r="C2370" s="22" t="s">
        <v>2450</v>
      </c>
      <c r="D2370" s="22"/>
      <c r="E2370" s="21" t="s">
        <v>75</v>
      </c>
      <c r="F2370" s="21" t="s">
        <v>9558</v>
      </c>
      <c r="G2370" s="147" t="s">
        <v>12400</v>
      </c>
      <c r="H2370" s="23" t="s">
        <v>12428</v>
      </c>
      <c r="I2370" s="23" t="s">
        <v>12427</v>
      </c>
      <c r="J2370" s="21" t="s">
        <v>12399</v>
      </c>
      <c r="K2370" s="21"/>
      <c r="L2370" s="21" t="s">
        <v>13680</v>
      </c>
      <c r="M2370" s="26" t="s">
        <v>13681</v>
      </c>
      <c r="N2370" s="44">
        <v>24872</v>
      </c>
      <c r="O2370" s="22" t="s">
        <v>341</v>
      </c>
      <c r="P2370" s="44">
        <f>12436+12436</f>
        <v>24872</v>
      </c>
      <c r="Q2370" s="24">
        <f t="shared" si="323"/>
        <v>0</v>
      </c>
      <c r="R2370" s="24">
        <f t="shared" si="324"/>
        <v>24872</v>
      </c>
    </row>
    <row r="2371" spans="2:19" hidden="1" x14ac:dyDescent="0.25">
      <c r="B2371" s="21" t="s">
        <v>395</v>
      </c>
      <c r="C2371" s="22" t="s">
        <v>2450</v>
      </c>
      <c r="D2371" s="22"/>
      <c r="E2371" s="21" t="s">
        <v>75</v>
      </c>
      <c r="F2371" s="21" t="s">
        <v>9558</v>
      </c>
      <c r="G2371" s="147" t="s">
        <v>12400</v>
      </c>
      <c r="H2371" s="23" t="s">
        <v>12552</v>
      </c>
      <c r="I2371" s="23"/>
      <c r="J2371" s="21" t="s">
        <v>12399</v>
      </c>
      <c r="K2371" s="21"/>
      <c r="L2371" s="21" t="s">
        <v>12842</v>
      </c>
      <c r="M2371" s="26">
        <v>45937</v>
      </c>
      <c r="N2371" s="44">
        <v>2700</v>
      </c>
      <c r="O2371" s="22" t="s">
        <v>341</v>
      </c>
      <c r="P2371" s="44">
        <v>2700</v>
      </c>
      <c r="Q2371" s="24">
        <f t="shared" ref="Q2371:Q2372" si="327">IF(P2371="en cours",N2371,IF(P2371="OK",0,IF(N2371-P2371&lt;0,0,N2371-P2371)))</f>
        <v>0</v>
      </c>
      <c r="R2371" s="24">
        <f t="shared" ref="R2371:R2373" si="328">IF(P2371="OK",N2371-Q2371,IF(P2371="en cours",N2371-Q2371,P2371))</f>
        <v>2700</v>
      </c>
    </row>
    <row r="2372" spans="2:19" hidden="1" x14ac:dyDescent="0.25">
      <c r="B2372" s="21" t="s">
        <v>395</v>
      </c>
      <c r="C2372" s="22" t="s">
        <v>2450</v>
      </c>
      <c r="D2372" s="22"/>
      <c r="E2372" s="21" t="s">
        <v>75</v>
      </c>
      <c r="F2372" s="21" t="s">
        <v>9558</v>
      </c>
      <c r="G2372" s="147" t="s">
        <v>9553</v>
      </c>
      <c r="H2372" s="23" t="s">
        <v>12401</v>
      </c>
      <c r="I2372" s="23"/>
      <c r="J2372" s="23" t="s">
        <v>12402</v>
      </c>
      <c r="K2372" s="21"/>
      <c r="L2372" s="21" t="s">
        <v>13495</v>
      </c>
      <c r="M2372" s="26" t="s">
        <v>13261</v>
      </c>
      <c r="N2372" s="44">
        <v>96491</v>
      </c>
      <c r="O2372" s="22" t="s">
        <v>276</v>
      </c>
      <c r="P2372" s="44">
        <f>48245.5+48245.5</f>
        <v>96491</v>
      </c>
      <c r="Q2372" s="44">
        <f t="shared" si="327"/>
        <v>0</v>
      </c>
      <c r="R2372" s="24">
        <f t="shared" si="328"/>
        <v>96491</v>
      </c>
    </row>
    <row r="2373" spans="2:19" hidden="1" x14ac:dyDescent="0.25">
      <c r="B2373" s="21" t="s">
        <v>395</v>
      </c>
      <c r="C2373" s="22" t="s">
        <v>158</v>
      </c>
      <c r="D2373" s="22"/>
      <c r="E2373" s="21" t="s">
        <v>3234</v>
      </c>
      <c r="F2373" s="21" t="s">
        <v>9809</v>
      </c>
      <c r="G2373" s="147" t="s">
        <v>9810</v>
      </c>
      <c r="H2373" s="23" t="s">
        <v>12431</v>
      </c>
      <c r="I2373" s="23" t="s">
        <v>12432</v>
      </c>
      <c r="J2373" s="21" t="s">
        <v>12433</v>
      </c>
      <c r="K2373" s="21"/>
      <c r="L2373" s="21" t="s">
        <v>13678</v>
      </c>
      <c r="M2373" s="26" t="s">
        <v>13679</v>
      </c>
      <c r="N2373" s="44">
        <v>90000</v>
      </c>
      <c r="O2373" s="22" t="s">
        <v>276</v>
      </c>
      <c r="P2373" s="44">
        <f>28200+28200+14410.89</f>
        <v>70810.89</v>
      </c>
      <c r="Q2373" s="24">
        <f t="shared" ref="Q2373" si="329">IF(P2373="en cours",N2373,IF(P2373="OK",0,IF(N2373-P2373&lt;0,0,N2373-P2373)))</f>
        <v>19189.11</v>
      </c>
      <c r="R2373" s="24">
        <f t="shared" si="328"/>
        <v>70810.89</v>
      </c>
      <c r="S2373" s="21" t="s">
        <v>13688</v>
      </c>
    </row>
    <row r="2374" spans="2:19" hidden="1" x14ac:dyDescent="0.25">
      <c r="B2374" s="21" t="s">
        <v>395</v>
      </c>
      <c r="C2374" s="175" t="s">
        <v>12834</v>
      </c>
      <c r="D2374" s="22"/>
      <c r="E2374" s="21" t="s">
        <v>0</v>
      </c>
      <c r="F2374" s="21" t="s">
        <v>11538</v>
      </c>
      <c r="G2374" s="147" t="s">
        <v>11668</v>
      </c>
      <c r="H2374" s="23" t="s">
        <v>13718</v>
      </c>
      <c r="I2374" s="23" t="s">
        <v>12434</v>
      </c>
      <c r="J2374" s="21" t="s">
        <v>12435</v>
      </c>
      <c r="K2374" s="21"/>
      <c r="L2374" s="21" t="s">
        <v>12478</v>
      </c>
      <c r="M2374" s="26">
        <v>45908</v>
      </c>
      <c r="N2374" s="44">
        <v>39554</v>
      </c>
      <c r="O2374" s="22" t="s">
        <v>341</v>
      </c>
      <c r="P2374" s="44">
        <v>39554</v>
      </c>
      <c r="Q2374" s="24">
        <f t="shared" ref="Q2374" si="330">IF(P2374="en cours",N2374,IF(P2374="OK",0,IF(N2374-P2374&lt;0,0,N2374-P2374)))</f>
        <v>0</v>
      </c>
      <c r="R2374" s="24">
        <f t="shared" ref="R2374" si="331">IF(P2374="OK",N2374-Q2374,IF(P2374="en cours",N2374-Q2374,P2374))</f>
        <v>39554</v>
      </c>
      <c r="S2374" s="5" t="s">
        <v>12835</v>
      </c>
    </row>
    <row r="2375" spans="2:19" hidden="1" x14ac:dyDescent="0.25">
      <c r="B2375" s="21" t="s">
        <v>395</v>
      </c>
      <c r="C2375" s="175" t="s">
        <v>12834</v>
      </c>
      <c r="D2375" s="22"/>
      <c r="E2375" s="21" t="s">
        <v>0</v>
      </c>
      <c r="F2375" s="21" t="s">
        <v>11538</v>
      </c>
      <c r="G2375" s="147" t="s">
        <v>11668</v>
      </c>
      <c r="H2375" s="23" t="s">
        <v>13718</v>
      </c>
      <c r="I2375" s="23" t="s">
        <v>12434</v>
      </c>
      <c r="J2375" s="21" t="s">
        <v>12436</v>
      </c>
      <c r="K2375" s="21"/>
      <c r="L2375" s="21" t="s">
        <v>12479</v>
      </c>
      <c r="M2375" s="26">
        <v>45908</v>
      </c>
      <c r="N2375" s="44">
        <v>29726</v>
      </c>
      <c r="O2375" s="22" t="s">
        <v>341</v>
      </c>
      <c r="P2375" s="44">
        <v>29726</v>
      </c>
      <c r="Q2375" s="24">
        <f t="shared" ref="Q2375:Q2381" si="332">IF(P2375="en cours",N2375,IF(P2375="OK",0,IF(N2375-P2375&lt;0,0,N2375-P2375)))</f>
        <v>0</v>
      </c>
      <c r="R2375" s="24">
        <f t="shared" ref="R2375:R2381" si="333">IF(P2375="OK",N2375-Q2375,IF(P2375="en cours",N2375-Q2375,P2375))</f>
        <v>29726</v>
      </c>
      <c r="S2375" s="5" t="s">
        <v>12835</v>
      </c>
    </row>
    <row r="2376" spans="2:19" hidden="1" x14ac:dyDescent="0.25">
      <c r="B2376" s="21" t="s">
        <v>395</v>
      </c>
      <c r="C2376" s="175" t="s">
        <v>12834</v>
      </c>
      <c r="D2376" s="22"/>
      <c r="E2376" s="21" t="s">
        <v>0</v>
      </c>
      <c r="F2376" s="21" t="s">
        <v>11538</v>
      </c>
      <c r="G2376" s="147" t="s">
        <v>11668</v>
      </c>
      <c r="H2376" s="23" t="s">
        <v>13718</v>
      </c>
      <c r="I2376" s="23" t="s">
        <v>12434</v>
      </c>
      <c r="J2376" s="21" t="s">
        <v>12437</v>
      </c>
      <c r="K2376" s="21"/>
      <c r="L2376" s="21" t="s">
        <v>12479</v>
      </c>
      <c r="M2376" s="26">
        <v>45908</v>
      </c>
      <c r="N2376" s="44">
        <v>9298</v>
      </c>
      <c r="O2376" s="22" t="s">
        <v>341</v>
      </c>
      <c r="P2376" s="44">
        <v>9298</v>
      </c>
      <c r="Q2376" s="24">
        <f t="shared" si="332"/>
        <v>0</v>
      </c>
      <c r="R2376" s="24">
        <f t="shared" si="333"/>
        <v>9298</v>
      </c>
      <c r="S2376" s="5" t="s">
        <v>12835</v>
      </c>
    </row>
    <row r="2377" spans="2:19" hidden="1" x14ac:dyDescent="0.25">
      <c r="C2377" s="519" t="s">
        <v>12834</v>
      </c>
      <c r="E2377" s="5" t="s">
        <v>0</v>
      </c>
      <c r="F2377" s="5" t="s">
        <v>11538</v>
      </c>
      <c r="G2377" s="146" t="s">
        <v>11668</v>
      </c>
      <c r="H2377" s="7" t="s">
        <v>13718</v>
      </c>
      <c r="I2377" s="7" t="s">
        <v>12434</v>
      </c>
      <c r="J2377" s="5" t="s">
        <v>12438</v>
      </c>
      <c r="L2377" s="5" t="s">
        <v>12814</v>
      </c>
      <c r="M2377" s="12" t="s">
        <v>12815</v>
      </c>
      <c r="N2377" s="45">
        <v>9298</v>
      </c>
      <c r="O2377" s="4" t="s">
        <v>341</v>
      </c>
      <c r="P2377" s="45">
        <f>9298-9298</f>
        <v>0</v>
      </c>
      <c r="Q2377" s="3">
        <f t="shared" si="332"/>
        <v>9298</v>
      </c>
      <c r="R2377" s="3">
        <f t="shared" si="333"/>
        <v>0</v>
      </c>
      <c r="S2377" s="5" t="s">
        <v>12835</v>
      </c>
    </row>
    <row r="2378" spans="2:19" hidden="1" x14ac:dyDescent="0.25">
      <c r="C2378" s="519" t="s">
        <v>12834</v>
      </c>
      <c r="E2378" s="5" t="s">
        <v>0</v>
      </c>
      <c r="F2378" s="5" t="s">
        <v>11538</v>
      </c>
      <c r="G2378" s="146" t="s">
        <v>11668</v>
      </c>
      <c r="H2378" s="7" t="s">
        <v>13718</v>
      </c>
      <c r="I2378" s="7" t="s">
        <v>12434</v>
      </c>
      <c r="J2378" s="5" t="s">
        <v>12439</v>
      </c>
      <c r="N2378" s="45">
        <v>19513</v>
      </c>
      <c r="O2378" s="4" t="s">
        <v>341</v>
      </c>
      <c r="Q2378" s="3">
        <f t="shared" si="332"/>
        <v>19513</v>
      </c>
      <c r="R2378" s="3">
        <f t="shared" si="333"/>
        <v>0</v>
      </c>
      <c r="S2378" s="5" t="s">
        <v>12835</v>
      </c>
    </row>
    <row r="2379" spans="2:19" hidden="1" x14ac:dyDescent="0.25">
      <c r="C2379" s="519" t="s">
        <v>12834</v>
      </c>
      <c r="E2379" s="5" t="s">
        <v>0</v>
      </c>
      <c r="F2379" s="5" t="s">
        <v>11538</v>
      </c>
      <c r="G2379" s="146" t="s">
        <v>11668</v>
      </c>
      <c r="H2379" s="7" t="s">
        <v>13718</v>
      </c>
      <c r="I2379" s="7" t="s">
        <v>12434</v>
      </c>
      <c r="J2379" s="5" t="s">
        <v>12440</v>
      </c>
      <c r="N2379" s="45">
        <v>9298</v>
      </c>
      <c r="O2379" s="4" t="s">
        <v>341</v>
      </c>
      <c r="Q2379" s="3">
        <f t="shared" si="332"/>
        <v>9298</v>
      </c>
      <c r="R2379" s="3">
        <f t="shared" si="333"/>
        <v>0</v>
      </c>
      <c r="S2379" s="5" t="s">
        <v>12835</v>
      </c>
    </row>
    <row r="2380" spans="2:19" hidden="1" x14ac:dyDescent="0.25">
      <c r="C2380" s="519" t="s">
        <v>12834</v>
      </c>
      <c r="E2380" s="5" t="s">
        <v>0</v>
      </c>
      <c r="F2380" s="5" t="s">
        <v>11538</v>
      </c>
      <c r="G2380" s="146" t="s">
        <v>11668</v>
      </c>
      <c r="H2380" s="7" t="s">
        <v>13718</v>
      </c>
      <c r="I2380" s="7" t="s">
        <v>12434</v>
      </c>
      <c r="J2380" s="5" t="s">
        <v>12441</v>
      </c>
      <c r="N2380" s="45">
        <v>9298</v>
      </c>
      <c r="O2380" s="4" t="s">
        <v>341</v>
      </c>
      <c r="Q2380" s="3">
        <f t="shared" si="332"/>
        <v>9298</v>
      </c>
      <c r="R2380" s="3">
        <f t="shared" si="333"/>
        <v>0</v>
      </c>
      <c r="S2380" s="5" t="s">
        <v>12835</v>
      </c>
    </row>
    <row r="2381" spans="2:19" hidden="1" x14ac:dyDescent="0.25">
      <c r="C2381" s="519" t="s">
        <v>12834</v>
      </c>
      <c r="E2381" s="5" t="s">
        <v>0</v>
      </c>
      <c r="F2381" s="5" t="s">
        <v>11538</v>
      </c>
      <c r="G2381" s="146" t="s">
        <v>11668</v>
      </c>
      <c r="H2381" s="7" t="s">
        <v>13718</v>
      </c>
      <c r="I2381" s="7" t="s">
        <v>12434</v>
      </c>
      <c r="J2381" s="5" t="s">
        <v>12442</v>
      </c>
      <c r="N2381" s="45">
        <v>9298</v>
      </c>
      <c r="O2381" s="4" t="s">
        <v>341</v>
      </c>
      <c r="Q2381" s="3">
        <f t="shared" si="332"/>
        <v>9298</v>
      </c>
      <c r="R2381" s="3">
        <f t="shared" si="333"/>
        <v>0</v>
      </c>
      <c r="S2381" s="5" t="s">
        <v>12835</v>
      </c>
    </row>
    <row r="2382" spans="2:19" hidden="1" x14ac:dyDescent="0.25">
      <c r="B2382" s="21" t="s">
        <v>395</v>
      </c>
      <c r="C2382" s="22" t="s">
        <v>2450</v>
      </c>
      <c r="D2382" s="22"/>
      <c r="E2382" s="21" t="s">
        <v>0</v>
      </c>
      <c r="F2382" s="21" t="s">
        <v>9823</v>
      </c>
      <c r="G2382" s="147" t="s">
        <v>10296</v>
      </c>
      <c r="H2382" s="23" t="s">
        <v>12443</v>
      </c>
      <c r="I2382" s="23" t="s">
        <v>12444</v>
      </c>
      <c r="J2382" s="21" t="s">
        <v>11216</v>
      </c>
      <c r="K2382" s="120"/>
      <c r="L2382" s="21" t="s">
        <v>12531</v>
      </c>
      <c r="M2382" s="26">
        <v>45917</v>
      </c>
      <c r="N2382" s="44">
        <v>14798.7</v>
      </c>
      <c r="O2382" s="22" t="s">
        <v>276</v>
      </c>
      <c r="P2382" s="22">
        <v>14798.7</v>
      </c>
      <c r="Q2382" s="44">
        <f t="shared" ref="Q2382:Q2383" si="334">IF(P2382="en cours",N2382,IF(P2382="OK",0,IF(N2382-P2382&lt;0,0,N2382-P2382)))</f>
        <v>0</v>
      </c>
      <c r="R2382" s="24">
        <f t="shared" ref="R2382:R2383" si="335">IF(P2382="OK",N2382-Q2382,IF(P2382="en cours",N2382-Q2382,P2382))</f>
        <v>14798.7</v>
      </c>
    </row>
    <row r="2383" spans="2:19" hidden="1" x14ac:dyDescent="0.25">
      <c r="B2383" s="21" t="s">
        <v>395</v>
      </c>
      <c r="C2383" s="22" t="s">
        <v>2450</v>
      </c>
      <c r="D2383" s="22"/>
      <c r="E2383" s="21" t="s">
        <v>0</v>
      </c>
      <c r="F2383" s="21" t="s">
        <v>9823</v>
      </c>
      <c r="G2383" s="147" t="s">
        <v>7266</v>
      </c>
      <c r="H2383" s="23" t="s">
        <v>12445</v>
      </c>
      <c r="I2383" s="23" t="s">
        <v>12446</v>
      </c>
      <c r="J2383" s="21" t="s">
        <v>12447</v>
      </c>
      <c r="K2383" s="21"/>
      <c r="L2383" s="21" t="s">
        <v>12856</v>
      </c>
      <c r="M2383" s="26">
        <v>45943</v>
      </c>
      <c r="N2383" s="44">
        <v>9375</v>
      </c>
      <c r="O2383" s="22" t="s">
        <v>15</v>
      </c>
      <c r="P2383" s="44">
        <v>9375</v>
      </c>
      <c r="Q2383" s="24">
        <f t="shared" si="334"/>
        <v>0</v>
      </c>
      <c r="R2383" s="24">
        <f t="shared" si="335"/>
        <v>9375</v>
      </c>
    </row>
    <row r="2384" spans="2:19" hidden="1" x14ac:dyDescent="0.25">
      <c r="B2384" s="21" t="s">
        <v>395</v>
      </c>
      <c r="C2384" s="22" t="s">
        <v>2450</v>
      </c>
      <c r="D2384" s="22"/>
      <c r="E2384" s="21" t="s">
        <v>0</v>
      </c>
      <c r="F2384" s="21" t="s">
        <v>9807</v>
      </c>
      <c r="G2384" s="147" t="s">
        <v>6474</v>
      </c>
      <c r="H2384" s="23" t="s">
        <v>12448</v>
      </c>
      <c r="I2384" s="23" t="s">
        <v>12449</v>
      </c>
      <c r="J2384" s="21" t="s">
        <v>12450</v>
      </c>
      <c r="K2384" s="21"/>
      <c r="L2384" s="21" t="s">
        <v>14354</v>
      </c>
      <c r="M2384" s="26" t="s">
        <v>14355</v>
      </c>
      <c r="N2384" s="44">
        <v>13608</v>
      </c>
      <c r="O2384" s="22" t="s">
        <v>15</v>
      </c>
      <c r="P2384" s="44">
        <f>4082.4+9525.6</f>
        <v>13608</v>
      </c>
      <c r="Q2384" s="24">
        <f t="shared" ref="Q2384:Q2385" si="336">IF(P2384="en cours",N2384,IF(P2384="OK",0,IF(N2384-P2384&lt;0,0,N2384-P2384)))</f>
        <v>0</v>
      </c>
      <c r="R2384" s="24">
        <f t="shared" ref="R2384:R2385" si="337">IF(P2384="OK",N2384-Q2384,IF(P2384="en cours",N2384-Q2384,P2384))</f>
        <v>13608</v>
      </c>
    </row>
    <row r="2385" spans="2:19" hidden="1" x14ac:dyDescent="0.25">
      <c r="B2385" s="21" t="s">
        <v>395</v>
      </c>
      <c r="C2385" s="22" t="s">
        <v>2450</v>
      </c>
      <c r="D2385" s="22"/>
      <c r="E2385" s="21" t="s">
        <v>10</v>
      </c>
      <c r="F2385" s="21" t="s">
        <v>9721</v>
      </c>
      <c r="G2385" s="147" t="s">
        <v>1090</v>
      </c>
      <c r="H2385" s="23" t="s">
        <v>12451</v>
      </c>
      <c r="I2385" s="23" t="s">
        <v>12452</v>
      </c>
      <c r="J2385" s="21" t="s">
        <v>6557</v>
      </c>
      <c r="K2385" s="21"/>
      <c r="L2385" s="21" t="s">
        <v>12733</v>
      </c>
      <c r="M2385" s="26">
        <v>45915</v>
      </c>
      <c r="N2385" s="44">
        <v>3000</v>
      </c>
      <c r="O2385" s="22" t="s">
        <v>15</v>
      </c>
      <c r="P2385" s="44">
        <v>3000</v>
      </c>
      <c r="Q2385" s="24">
        <f t="shared" si="336"/>
        <v>0</v>
      </c>
      <c r="R2385" s="24">
        <f t="shared" si="337"/>
        <v>3000</v>
      </c>
    </row>
    <row r="2386" spans="2:19" hidden="1" x14ac:dyDescent="0.25">
      <c r="B2386" s="21"/>
      <c r="C2386" s="22" t="s">
        <v>2450</v>
      </c>
      <c r="D2386" s="22"/>
      <c r="E2386" s="21" t="s">
        <v>0</v>
      </c>
      <c r="F2386" s="21" t="s">
        <v>9823</v>
      </c>
      <c r="G2386" s="147" t="s">
        <v>8757</v>
      </c>
      <c r="H2386" s="23" t="s">
        <v>12453</v>
      </c>
      <c r="I2386" s="23" t="s">
        <v>12454</v>
      </c>
      <c r="J2386" s="21" t="s">
        <v>12455</v>
      </c>
      <c r="K2386" s="21"/>
      <c r="L2386" s="21" t="s">
        <v>12573</v>
      </c>
      <c r="M2386" s="26">
        <v>45924</v>
      </c>
      <c r="N2386" s="44">
        <v>86400</v>
      </c>
      <c r="O2386" s="22" t="s">
        <v>337</v>
      </c>
      <c r="P2386" s="44">
        <v>87394.8</v>
      </c>
      <c r="Q2386" s="24">
        <f t="shared" ref="Q2386" si="338">IF(P2386="en cours",N2386,IF(P2386="OK",0,IF(N2386-P2386&lt;0,0,N2386-P2386)))</f>
        <v>0</v>
      </c>
      <c r="R2386" s="24">
        <f t="shared" ref="R2386" si="339">IF(P2386="OK",N2386-Q2386,IF(P2386="en cours",N2386-Q2386,P2386))</f>
        <v>87394.8</v>
      </c>
    </row>
    <row r="2387" spans="2:19" hidden="1" x14ac:dyDescent="0.25">
      <c r="C2387" s="4" t="s">
        <v>6267</v>
      </c>
      <c r="E2387" s="5" t="s">
        <v>75</v>
      </c>
      <c r="F2387" s="5" t="s">
        <v>12456</v>
      </c>
      <c r="G2387" s="146" t="s">
        <v>12457</v>
      </c>
      <c r="H2387" s="7" t="s">
        <v>12458</v>
      </c>
      <c r="I2387" s="7" t="s">
        <v>12459</v>
      </c>
      <c r="J2387" s="5" t="s">
        <v>12460</v>
      </c>
      <c r="N2387" s="45">
        <v>8837.6</v>
      </c>
      <c r="O2387" s="4" t="s">
        <v>15</v>
      </c>
      <c r="Q2387" s="3">
        <f t="shared" ref="Q2387:Q2389" si="340">IF(P2387="en cours",N2387,IF(P2387="OK",0,IF(N2387-P2387&lt;0,0,N2387-P2387)))</f>
        <v>8837.6</v>
      </c>
      <c r="R2387" s="3">
        <f t="shared" ref="R2387:R2389" si="341">IF(P2387="OK",N2387-Q2387,IF(P2387="en cours",N2387-Q2387,P2387))</f>
        <v>0</v>
      </c>
    </row>
    <row r="2388" spans="2:19" hidden="1" x14ac:dyDescent="0.25">
      <c r="B2388" s="21" t="s">
        <v>395</v>
      </c>
      <c r="C2388" s="22" t="s">
        <v>2450</v>
      </c>
      <c r="D2388" s="22"/>
      <c r="E2388" s="21" t="s">
        <v>0</v>
      </c>
      <c r="F2388" s="21" t="s">
        <v>9773</v>
      </c>
      <c r="G2388" s="147" t="s">
        <v>9509</v>
      </c>
      <c r="H2388" s="23" t="s">
        <v>12462</v>
      </c>
      <c r="I2388" s="23" t="s">
        <v>12463</v>
      </c>
      <c r="J2388" s="21" t="s">
        <v>12461</v>
      </c>
      <c r="K2388" s="499"/>
      <c r="L2388" s="21" t="s">
        <v>13632</v>
      </c>
      <c r="M2388" s="26">
        <v>46006</v>
      </c>
      <c r="N2388" s="44">
        <v>10199.06</v>
      </c>
      <c r="O2388" s="22" t="s">
        <v>276</v>
      </c>
      <c r="P2388" s="44">
        <f>10607.02</f>
        <v>10607.02</v>
      </c>
      <c r="Q2388" s="24">
        <f t="shared" si="340"/>
        <v>0</v>
      </c>
      <c r="R2388" s="24">
        <f t="shared" si="341"/>
        <v>10607.02</v>
      </c>
    </row>
    <row r="2389" spans="2:19" hidden="1" x14ac:dyDescent="0.25">
      <c r="C2389" s="4" t="s">
        <v>2450</v>
      </c>
      <c r="E2389" s="5" t="s">
        <v>0</v>
      </c>
      <c r="F2389" s="5" t="s">
        <v>9773</v>
      </c>
      <c r="G2389" s="146" t="s">
        <v>9509</v>
      </c>
      <c r="H2389" s="7" t="s">
        <v>12464</v>
      </c>
      <c r="I2389" s="7" t="s">
        <v>12465</v>
      </c>
      <c r="J2389" s="5" t="s">
        <v>12466</v>
      </c>
      <c r="N2389" s="45">
        <v>90487.75</v>
      </c>
      <c r="O2389" s="4" t="s">
        <v>276</v>
      </c>
      <c r="Q2389" s="3">
        <f t="shared" si="340"/>
        <v>90487.75</v>
      </c>
      <c r="R2389" s="3">
        <f t="shared" si="341"/>
        <v>0</v>
      </c>
    </row>
    <row r="2390" spans="2:19" hidden="1" x14ac:dyDescent="0.25">
      <c r="B2390" s="21" t="s">
        <v>395</v>
      </c>
      <c r="C2390" s="22" t="s">
        <v>158</v>
      </c>
      <c r="D2390" s="22"/>
      <c r="E2390" s="21" t="s">
        <v>11054</v>
      </c>
      <c r="F2390" s="21" t="s">
        <v>9815</v>
      </c>
      <c r="G2390" s="147" t="s">
        <v>12467</v>
      </c>
      <c r="H2390" s="23" t="s">
        <v>12468</v>
      </c>
      <c r="I2390" s="23" t="s">
        <v>12469</v>
      </c>
      <c r="J2390" s="21" t="s">
        <v>12470</v>
      </c>
      <c r="K2390" s="120"/>
      <c r="L2390" s="21" t="s">
        <v>12471</v>
      </c>
      <c r="M2390" s="26" t="s">
        <v>12472</v>
      </c>
      <c r="N2390" s="44">
        <v>150000</v>
      </c>
      <c r="O2390" s="22" t="s">
        <v>276</v>
      </c>
      <c r="P2390" s="22">
        <f>75000+75000</f>
        <v>150000</v>
      </c>
      <c r="Q2390" s="44">
        <f t="shared" ref="Q2390:Q2391" si="342">IF(P2390="en cours",N2390,IF(P2390="OK",0,IF(N2390-P2390&lt;0,0,N2390-P2390)))</f>
        <v>0</v>
      </c>
      <c r="R2390" s="24">
        <f t="shared" ref="R2390:R2391" si="343">IF(P2390="OK",N2390-Q2390,IF(P2390="en cours",N2390-Q2390,P2390))</f>
        <v>150000</v>
      </c>
    </row>
    <row r="2391" spans="2:19" hidden="1" x14ac:dyDescent="0.25">
      <c r="B2391" s="21" t="s">
        <v>395</v>
      </c>
      <c r="C2391" s="22" t="s">
        <v>158</v>
      </c>
      <c r="D2391" s="22"/>
      <c r="E2391" s="21" t="s">
        <v>12473</v>
      </c>
      <c r="F2391" s="21" t="s">
        <v>12474</v>
      </c>
      <c r="G2391" s="147" t="s">
        <v>12467</v>
      </c>
      <c r="H2391" s="23" t="s">
        <v>12475</v>
      </c>
      <c r="I2391" s="23" t="s">
        <v>12476</v>
      </c>
      <c r="J2391" s="21" t="s">
        <v>12477</v>
      </c>
      <c r="K2391" s="21"/>
      <c r="L2391" s="21" t="s">
        <v>13118</v>
      </c>
      <c r="M2391" s="26" t="s">
        <v>13119</v>
      </c>
      <c r="N2391" s="44">
        <v>299000</v>
      </c>
      <c r="O2391" s="22" t="s">
        <v>276</v>
      </c>
      <c r="P2391" s="44">
        <f>111065+92565+95370</f>
        <v>299000</v>
      </c>
      <c r="Q2391" s="44">
        <f t="shared" si="342"/>
        <v>0</v>
      </c>
      <c r="R2391" s="24">
        <f t="shared" si="343"/>
        <v>299000</v>
      </c>
    </row>
    <row r="2392" spans="2:19" hidden="1" x14ac:dyDescent="0.25">
      <c r="C2392" s="4" t="s">
        <v>2450</v>
      </c>
      <c r="E2392" s="5" t="s">
        <v>0</v>
      </c>
      <c r="F2392" s="5" t="s">
        <v>9807</v>
      </c>
      <c r="G2392" s="146" t="s">
        <v>3687</v>
      </c>
      <c r="H2392" s="7" t="s">
        <v>12482</v>
      </c>
      <c r="I2392" s="7" t="s">
        <v>12483</v>
      </c>
      <c r="J2392" s="5" t="s">
        <v>12484</v>
      </c>
      <c r="L2392" s="5" t="s">
        <v>13336</v>
      </c>
      <c r="M2392" s="7" t="s">
        <v>13337</v>
      </c>
      <c r="N2392" s="45">
        <v>35900</v>
      </c>
      <c r="O2392" s="4" t="s">
        <v>15</v>
      </c>
      <c r="P2392" s="45">
        <f>(700+150)+(630+1300+3400)+8130+18970+1470</f>
        <v>34750</v>
      </c>
      <c r="Q2392" s="3">
        <f t="shared" ref="Q2392:Q2395" si="344">IF(P2392="en cours",N2392,IF(P2392="OK",0,IF(N2392-P2392&lt;0,0,N2392-P2392)))</f>
        <v>1150</v>
      </c>
      <c r="R2392" s="3">
        <f t="shared" ref="R2392:R2395" si="345">IF(P2392="OK",N2392-Q2392,IF(P2392="en cours",N2392-Q2392,P2392))</f>
        <v>34750</v>
      </c>
      <c r="S2392" s="5" t="s">
        <v>12538</v>
      </c>
    </row>
    <row r="2393" spans="2:19" hidden="1" x14ac:dyDescent="0.25">
      <c r="C2393" s="4" t="s">
        <v>2450</v>
      </c>
      <c r="E2393" s="5" t="s">
        <v>0</v>
      </c>
      <c r="F2393" s="5" t="s">
        <v>9823</v>
      </c>
      <c r="G2393" s="146" t="s">
        <v>8757</v>
      </c>
      <c r="H2393" s="7" t="s">
        <v>12485</v>
      </c>
      <c r="I2393" s="7" t="s">
        <v>12486</v>
      </c>
      <c r="J2393" s="5" t="s">
        <v>12487</v>
      </c>
      <c r="L2393" s="5" t="s">
        <v>13659</v>
      </c>
      <c r="M2393" s="12" t="s">
        <v>13660</v>
      </c>
      <c r="N2393" s="45">
        <v>15250</v>
      </c>
      <c r="O2393" s="4" t="s">
        <v>337</v>
      </c>
      <c r="P2393" s="45">
        <f>1050+350+700+1050+2700+700</f>
        <v>6550</v>
      </c>
      <c r="Q2393" s="3">
        <f t="shared" si="344"/>
        <v>8700</v>
      </c>
      <c r="R2393" s="3">
        <f t="shared" si="345"/>
        <v>6550</v>
      </c>
    </row>
    <row r="2394" spans="2:19" hidden="1" x14ac:dyDescent="0.25">
      <c r="C2394" s="4" t="s">
        <v>2450</v>
      </c>
      <c r="E2394" s="5" t="s">
        <v>0</v>
      </c>
      <c r="F2394" s="5" t="s">
        <v>9823</v>
      </c>
      <c r="G2394" s="146" t="s">
        <v>92</v>
      </c>
      <c r="H2394" s="7" t="s">
        <v>12488</v>
      </c>
      <c r="I2394" s="7" t="s">
        <v>12490</v>
      </c>
      <c r="J2394" s="5" t="s">
        <v>11311</v>
      </c>
      <c r="L2394" s="5" t="s">
        <v>13707</v>
      </c>
      <c r="M2394" s="12" t="s">
        <v>13708</v>
      </c>
      <c r="N2394" s="45">
        <f>17200+85</f>
        <v>17285</v>
      </c>
      <c r="O2394" s="4" t="s">
        <v>15</v>
      </c>
      <c r="P2394" s="45">
        <f>5160+5160+6880</f>
        <v>17200</v>
      </c>
      <c r="Q2394" s="3">
        <f t="shared" si="344"/>
        <v>85</v>
      </c>
      <c r="R2394" s="3">
        <f t="shared" si="345"/>
        <v>17200</v>
      </c>
    </row>
    <row r="2395" spans="2:19" hidden="1" x14ac:dyDescent="0.25">
      <c r="B2395" s="21" t="s">
        <v>395</v>
      </c>
      <c r="C2395" s="22" t="s">
        <v>2450</v>
      </c>
      <c r="D2395" s="22"/>
      <c r="E2395" s="21" t="s">
        <v>0</v>
      </c>
      <c r="F2395" s="21" t="s">
        <v>9823</v>
      </c>
      <c r="G2395" s="147" t="s">
        <v>92</v>
      </c>
      <c r="H2395" s="23" t="s">
        <v>12489</v>
      </c>
      <c r="I2395" s="23" t="s">
        <v>12490</v>
      </c>
      <c r="J2395" s="21" t="s">
        <v>12491</v>
      </c>
      <c r="K2395" s="21"/>
      <c r="L2395" s="21" t="s">
        <v>12537</v>
      </c>
      <c r="M2395" s="26">
        <v>45912</v>
      </c>
      <c r="N2395" s="44">
        <f>3600+200</f>
        <v>3800</v>
      </c>
      <c r="O2395" s="22" t="s">
        <v>15</v>
      </c>
      <c r="P2395" s="44">
        <v>3800</v>
      </c>
      <c r="Q2395" s="24">
        <f t="shared" si="344"/>
        <v>0</v>
      </c>
      <c r="R2395" s="24">
        <f t="shared" si="345"/>
        <v>3800</v>
      </c>
    </row>
    <row r="2396" spans="2:19" hidden="1" x14ac:dyDescent="0.25">
      <c r="B2396" s="21" t="s">
        <v>395</v>
      </c>
      <c r="C2396" s="22" t="s">
        <v>158</v>
      </c>
      <c r="D2396" s="22"/>
      <c r="E2396" s="21" t="s">
        <v>10</v>
      </c>
      <c r="F2396" s="21" t="s">
        <v>9721</v>
      </c>
      <c r="G2396" s="147" t="s">
        <v>7313</v>
      </c>
      <c r="H2396" s="23" t="s">
        <v>12505</v>
      </c>
      <c r="I2396" s="23" t="s">
        <v>12506</v>
      </c>
      <c r="J2396" s="21" t="s">
        <v>6557</v>
      </c>
      <c r="K2396" s="21"/>
      <c r="L2396" s="21" t="s">
        <v>12532</v>
      </c>
      <c r="M2396" s="26" t="s">
        <v>12533</v>
      </c>
      <c r="N2396" s="44">
        <v>1932.8</v>
      </c>
      <c r="O2396" s="22" t="s">
        <v>15</v>
      </c>
      <c r="P2396" s="44">
        <f>1427.5+505.3</f>
        <v>1932.8</v>
      </c>
      <c r="Q2396" s="24">
        <f t="shared" ref="Q2396:Q2405" si="346">IF(P2396="en cours",N2396,IF(P2396="OK",0,IF(N2396-P2396&lt;0,0,N2396-P2396)))</f>
        <v>0</v>
      </c>
      <c r="R2396" s="24">
        <f t="shared" ref="R2396:R2405" si="347">IF(P2396="OK",N2396-Q2396,IF(P2396="en cours",N2396-Q2396,P2396))</f>
        <v>1932.8</v>
      </c>
    </row>
    <row r="2397" spans="2:19" hidden="1" x14ac:dyDescent="0.25">
      <c r="C2397" s="4" t="s">
        <v>158</v>
      </c>
      <c r="E2397" s="5" t="s">
        <v>10</v>
      </c>
      <c r="F2397" s="5" t="s">
        <v>9721</v>
      </c>
      <c r="G2397" s="146" t="s">
        <v>12507</v>
      </c>
      <c r="H2397" s="7" t="s">
        <v>12508</v>
      </c>
      <c r="I2397" s="7" t="s">
        <v>12509</v>
      </c>
      <c r="J2397" s="5" t="s">
        <v>12510</v>
      </c>
      <c r="L2397" s="5" t="s">
        <v>14290</v>
      </c>
      <c r="M2397" s="7" t="s">
        <v>14291</v>
      </c>
      <c r="N2397" s="45">
        <v>15137.2</v>
      </c>
      <c r="O2397" s="4" t="s">
        <v>276</v>
      </c>
      <c r="P2397" s="45">
        <f>832+9820.4+559+215+886.9</f>
        <v>12313.3</v>
      </c>
      <c r="Q2397" s="3">
        <f t="shared" si="346"/>
        <v>2823.9000000000015</v>
      </c>
      <c r="R2397" s="3">
        <f t="shared" si="347"/>
        <v>12313.3</v>
      </c>
    </row>
    <row r="2398" spans="2:19" hidden="1" x14ac:dyDescent="0.25">
      <c r="B2398" s="21" t="s">
        <v>395</v>
      </c>
      <c r="C2398" s="22" t="s">
        <v>2450</v>
      </c>
      <c r="D2398" s="22"/>
      <c r="E2398" s="21" t="s">
        <v>10</v>
      </c>
      <c r="F2398" s="21" t="s">
        <v>9721</v>
      </c>
      <c r="G2398" s="147" t="s">
        <v>7043</v>
      </c>
      <c r="H2398" s="23" t="s">
        <v>12511</v>
      </c>
      <c r="I2398" s="23" t="s">
        <v>12512</v>
      </c>
      <c r="J2398" s="21" t="s">
        <v>6557</v>
      </c>
      <c r="K2398" s="21"/>
      <c r="L2398" s="21" t="s">
        <v>13347</v>
      </c>
      <c r="M2398" s="26" t="s">
        <v>13348</v>
      </c>
      <c r="N2398" s="44">
        <v>300.8</v>
      </c>
      <c r="O2398" s="22" t="s">
        <v>15</v>
      </c>
      <c r="P2398" s="44">
        <v>300.8</v>
      </c>
      <c r="Q2398" s="24">
        <f t="shared" si="346"/>
        <v>0</v>
      </c>
      <c r="R2398" s="24">
        <f t="shared" si="347"/>
        <v>300.8</v>
      </c>
    </row>
    <row r="2399" spans="2:19" hidden="1" x14ac:dyDescent="0.25">
      <c r="B2399" s="21" t="s">
        <v>395</v>
      </c>
      <c r="C2399" s="22" t="s">
        <v>2450</v>
      </c>
      <c r="D2399" s="22"/>
      <c r="E2399" s="21" t="s">
        <v>10</v>
      </c>
      <c r="F2399" s="21" t="s">
        <v>9721</v>
      </c>
      <c r="G2399" s="147" t="s">
        <v>7043</v>
      </c>
      <c r="H2399" s="23" t="s">
        <v>12513</v>
      </c>
      <c r="I2399" s="23" t="s">
        <v>12514</v>
      </c>
      <c r="J2399" s="21" t="s">
        <v>6557</v>
      </c>
      <c r="K2399" s="21"/>
      <c r="L2399" s="21" t="s">
        <v>13349</v>
      </c>
      <c r="M2399" s="26" t="s">
        <v>13350</v>
      </c>
      <c r="N2399" s="44">
        <v>6160</v>
      </c>
      <c r="O2399" s="22" t="s">
        <v>15</v>
      </c>
      <c r="P2399" s="44">
        <f>2200+3960</f>
        <v>6160</v>
      </c>
      <c r="Q2399" s="24">
        <f t="shared" si="346"/>
        <v>0</v>
      </c>
      <c r="R2399" s="24">
        <f t="shared" si="347"/>
        <v>6160</v>
      </c>
    </row>
    <row r="2400" spans="2:19" hidden="1" x14ac:dyDescent="0.25">
      <c r="B2400" s="21" t="s">
        <v>395</v>
      </c>
      <c r="C2400" s="22" t="s">
        <v>2450</v>
      </c>
      <c r="D2400" s="22"/>
      <c r="E2400" s="21" t="s">
        <v>10</v>
      </c>
      <c r="F2400" s="21" t="s">
        <v>9721</v>
      </c>
      <c r="G2400" s="147" t="s">
        <v>6638</v>
      </c>
      <c r="H2400" s="23" t="s">
        <v>12855</v>
      </c>
      <c r="I2400" s="23" t="s">
        <v>12515</v>
      </c>
      <c r="J2400" s="21" t="s">
        <v>6557</v>
      </c>
      <c r="K2400" s="21"/>
      <c r="L2400" s="21" t="s">
        <v>12901</v>
      </c>
      <c r="M2400" s="23" t="s">
        <v>12902</v>
      </c>
      <c r="N2400" s="44">
        <v>7949.55</v>
      </c>
      <c r="O2400" s="22" t="s">
        <v>15</v>
      </c>
      <c r="P2400" s="44">
        <f>4236.4+481.95+3206.2</f>
        <v>7924.5499999999993</v>
      </c>
      <c r="Q2400" s="24">
        <v>0</v>
      </c>
      <c r="R2400" s="24">
        <f t="shared" si="347"/>
        <v>7924.5499999999993</v>
      </c>
    </row>
    <row r="2401" spans="2:19" hidden="1" x14ac:dyDescent="0.25">
      <c r="B2401" s="32" t="s">
        <v>395</v>
      </c>
      <c r="C2401" s="33" t="s">
        <v>158</v>
      </c>
      <c r="D2401" s="33"/>
      <c r="E2401" s="32" t="s">
        <v>10</v>
      </c>
      <c r="F2401" s="32" t="s">
        <v>9721</v>
      </c>
      <c r="G2401" s="155" t="s">
        <v>916</v>
      </c>
      <c r="H2401" s="34" t="s">
        <v>12516</v>
      </c>
      <c r="I2401" s="34" t="s">
        <v>12517</v>
      </c>
      <c r="J2401" s="32" t="s">
        <v>12518</v>
      </c>
      <c r="K2401" s="32"/>
      <c r="L2401" s="32" t="s">
        <v>12824</v>
      </c>
      <c r="M2401" s="35">
        <v>45936</v>
      </c>
      <c r="N2401" s="93">
        <v>562.79999999999995</v>
      </c>
      <c r="O2401" s="33" t="s">
        <v>15</v>
      </c>
      <c r="P2401" s="93">
        <v>562.79999999999995</v>
      </c>
      <c r="Q2401" s="36">
        <f t="shared" si="346"/>
        <v>0</v>
      </c>
      <c r="R2401" s="36">
        <f t="shared" si="347"/>
        <v>562.79999999999995</v>
      </c>
      <c r="S2401" s="32"/>
    </row>
    <row r="2402" spans="2:19" hidden="1" x14ac:dyDescent="0.25">
      <c r="C2402" s="4" t="s">
        <v>158</v>
      </c>
      <c r="E2402" s="5" t="s">
        <v>11054</v>
      </c>
      <c r="F2402" s="5" t="s">
        <v>9815</v>
      </c>
      <c r="G2402" s="146" t="s">
        <v>12467</v>
      </c>
      <c r="H2402" s="7" t="s">
        <v>12519</v>
      </c>
      <c r="I2402" s="7" t="s">
        <v>12520</v>
      </c>
      <c r="J2402" s="5" t="s">
        <v>12521</v>
      </c>
      <c r="L2402" s="5" t="s">
        <v>13999</v>
      </c>
      <c r="M2402" s="12" t="s">
        <v>14000</v>
      </c>
      <c r="N2402" s="45">
        <v>453975</v>
      </c>
      <c r="O2402" s="4" t="s">
        <v>276</v>
      </c>
      <c r="P2402" s="45">
        <f>151325+151325+151325</f>
        <v>453975</v>
      </c>
      <c r="Q2402" s="3">
        <f t="shared" si="346"/>
        <v>0</v>
      </c>
      <c r="R2402" s="3">
        <f t="shared" si="347"/>
        <v>453975</v>
      </c>
    </row>
    <row r="2403" spans="2:19" hidden="1" x14ac:dyDescent="0.25">
      <c r="B2403" s="21" t="s">
        <v>395</v>
      </c>
      <c r="C2403" s="22" t="s">
        <v>2450</v>
      </c>
      <c r="D2403" s="22"/>
      <c r="E2403" s="21" t="s">
        <v>0</v>
      </c>
      <c r="F2403" s="21" t="s">
        <v>9773</v>
      </c>
      <c r="G2403" s="147" t="s">
        <v>8633</v>
      </c>
      <c r="H2403" s="23" t="s">
        <v>12522</v>
      </c>
      <c r="I2403" s="23" t="s">
        <v>12523</v>
      </c>
      <c r="J2403" s="21" t="s">
        <v>12524</v>
      </c>
      <c r="K2403" s="21"/>
      <c r="L2403" s="21" t="s">
        <v>12857</v>
      </c>
      <c r="M2403" s="26">
        <v>45938</v>
      </c>
      <c r="N2403" s="44">
        <v>63000</v>
      </c>
      <c r="O2403" s="22" t="s">
        <v>15</v>
      </c>
      <c r="P2403" s="44">
        <v>63000</v>
      </c>
      <c r="Q2403" s="44">
        <f t="shared" si="346"/>
        <v>0</v>
      </c>
      <c r="R2403" s="24">
        <f t="shared" si="347"/>
        <v>63000</v>
      </c>
    </row>
    <row r="2404" spans="2:19" hidden="1" x14ac:dyDescent="0.25">
      <c r="B2404" s="21" t="s">
        <v>395</v>
      </c>
      <c r="C2404" s="22" t="s">
        <v>10733</v>
      </c>
      <c r="D2404" s="22"/>
      <c r="E2404" s="21" t="s">
        <v>75</v>
      </c>
      <c r="F2404" s="21" t="s">
        <v>9767</v>
      </c>
      <c r="G2404" s="147" t="s">
        <v>155</v>
      </c>
      <c r="H2404" s="23" t="s">
        <v>12554</v>
      </c>
      <c r="I2404" s="23"/>
      <c r="J2404" s="21" t="s">
        <v>12555</v>
      </c>
      <c r="K2404" s="21"/>
      <c r="L2404" s="21" t="s">
        <v>14140</v>
      </c>
      <c r="M2404" s="26" t="s">
        <v>14141</v>
      </c>
      <c r="N2404" s="44">
        <v>19040</v>
      </c>
      <c r="O2404" s="22" t="s">
        <v>15</v>
      </c>
      <c r="P2404" s="44">
        <f>3808+15232</f>
        <v>19040</v>
      </c>
      <c r="Q2404" s="24">
        <f t="shared" ref="Q2404" si="348">IF(P2404="en cours",N2404,IF(P2404="OK",0,IF(N2404-P2404&lt;0,0,N2404-P2404)))</f>
        <v>0</v>
      </c>
      <c r="R2404" s="24">
        <f t="shared" ref="R2404" si="349">IF(P2404="OK",N2404-Q2404,IF(P2404="en cours",N2404-Q2404,P2404))</f>
        <v>19040</v>
      </c>
    </row>
    <row r="2405" spans="2:19" hidden="1" x14ac:dyDescent="0.25">
      <c r="C2405" s="4" t="s">
        <v>6267</v>
      </c>
      <c r="E2405" s="5" t="s">
        <v>75</v>
      </c>
      <c r="F2405" s="5" t="s">
        <v>9767</v>
      </c>
      <c r="G2405" s="146" t="s">
        <v>155</v>
      </c>
      <c r="H2405" s="7" t="s">
        <v>12553</v>
      </c>
      <c r="J2405" s="5" t="s">
        <v>12555</v>
      </c>
      <c r="L2405" s="5" t="s">
        <v>12556</v>
      </c>
      <c r="M2405" s="12">
        <v>45917</v>
      </c>
      <c r="N2405" s="45">
        <v>12240</v>
      </c>
      <c r="O2405" s="4" t="s">
        <v>15</v>
      </c>
      <c r="P2405" s="45">
        <f>2448</f>
        <v>2448</v>
      </c>
      <c r="Q2405" s="3">
        <f t="shared" si="346"/>
        <v>9792</v>
      </c>
      <c r="R2405" s="3">
        <f t="shared" si="347"/>
        <v>2448</v>
      </c>
    </row>
    <row r="2406" spans="2:19" hidden="1" x14ac:dyDescent="0.25">
      <c r="B2406" s="21" t="s">
        <v>395</v>
      </c>
      <c r="C2406" s="22" t="s">
        <v>2450</v>
      </c>
      <c r="D2406" s="22"/>
      <c r="E2406" s="21" t="s">
        <v>75</v>
      </c>
      <c r="F2406" s="21" t="s">
        <v>11253</v>
      </c>
      <c r="G2406" s="147" t="s">
        <v>155</v>
      </c>
      <c r="H2406" s="23" t="s">
        <v>12557</v>
      </c>
      <c r="I2406" s="23"/>
      <c r="J2406" s="21" t="s">
        <v>12558</v>
      </c>
      <c r="K2406" s="21"/>
      <c r="L2406" s="21" t="s">
        <v>13674</v>
      </c>
      <c r="M2406" s="26" t="s">
        <v>13675</v>
      </c>
      <c r="N2406" s="44">
        <v>77620</v>
      </c>
      <c r="O2406" s="22" t="s">
        <v>15</v>
      </c>
      <c r="P2406" s="44">
        <f>19405+19405+19405+19405</f>
        <v>77620</v>
      </c>
      <c r="Q2406" s="24">
        <f t="shared" ref="Q2406" si="350">IF(P2406="en cours",N2406,IF(P2406="OK",0,IF(N2406-P2406&lt;0,0,N2406-P2406)))</f>
        <v>0</v>
      </c>
      <c r="R2406" s="24">
        <f t="shared" ref="R2406" si="351">IF(P2406="OK",N2406-Q2406,IF(P2406="en cours",N2406-Q2406,P2406))</f>
        <v>77620</v>
      </c>
      <c r="S2406" s="21"/>
    </row>
    <row r="2407" spans="2:19" hidden="1" x14ac:dyDescent="0.25">
      <c r="B2407" s="21" t="s">
        <v>395</v>
      </c>
      <c r="C2407" s="22" t="s">
        <v>2450</v>
      </c>
      <c r="D2407" s="22"/>
      <c r="E2407" s="21" t="s">
        <v>75</v>
      </c>
      <c r="F2407" s="21" t="s">
        <v>9767</v>
      </c>
      <c r="G2407" s="147" t="s">
        <v>7453</v>
      </c>
      <c r="H2407" s="23" t="s">
        <v>12577</v>
      </c>
      <c r="I2407" s="23" t="s">
        <v>12578</v>
      </c>
      <c r="J2407" s="21" t="s">
        <v>12579</v>
      </c>
      <c r="K2407" s="21"/>
      <c r="L2407" s="21" t="s">
        <v>13944</v>
      </c>
      <c r="M2407" s="26">
        <v>46045</v>
      </c>
      <c r="N2407" s="44">
        <v>10934</v>
      </c>
      <c r="O2407" s="22" t="s">
        <v>15</v>
      </c>
      <c r="P2407" s="44">
        <v>10934</v>
      </c>
      <c r="Q2407" s="24">
        <f t="shared" ref="Q2407:Q2460" si="352">IF(P2407="en cours",N2407,IF(P2407="OK",0,IF(N2407-P2407&lt;0,0,N2407-P2407)))</f>
        <v>0</v>
      </c>
      <c r="R2407" s="24">
        <f t="shared" ref="R2407:R2460" si="353">IF(P2407="OK",N2407-Q2407,IF(P2407="en cours",N2407-Q2407,P2407))</f>
        <v>10934</v>
      </c>
      <c r="S2407" s="21"/>
    </row>
    <row r="2408" spans="2:19" hidden="1" x14ac:dyDescent="0.25">
      <c r="B2408" s="21" t="s">
        <v>395</v>
      </c>
      <c r="C2408" s="22" t="s">
        <v>158</v>
      </c>
      <c r="D2408" s="22"/>
      <c r="E2408" s="21" t="s">
        <v>10</v>
      </c>
      <c r="F2408" s="21" t="s">
        <v>9721</v>
      </c>
      <c r="G2408" s="147" t="s">
        <v>11065</v>
      </c>
      <c r="H2408" s="23" t="s">
        <v>12580</v>
      </c>
      <c r="I2408" s="23" t="s">
        <v>12581</v>
      </c>
      <c r="J2408" s="21" t="s">
        <v>6557</v>
      </c>
      <c r="K2408" s="21"/>
      <c r="L2408" s="21" t="s">
        <v>12704</v>
      </c>
      <c r="M2408" s="26">
        <v>45925</v>
      </c>
      <c r="N2408" s="44">
        <v>3430</v>
      </c>
      <c r="O2408" s="22" t="s">
        <v>15</v>
      </c>
      <c r="P2408" s="44">
        <f>3405+25</f>
        <v>3430</v>
      </c>
      <c r="Q2408" s="24">
        <f t="shared" si="352"/>
        <v>0</v>
      </c>
      <c r="R2408" s="24">
        <f t="shared" si="353"/>
        <v>3430</v>
      </c>
    </row>
    <row r="2409" spans="2:19" hidden="1" x14ac:dyDescent="0.25">
      <c r="B2409" s="21" t="s">
        <v>395</v>
      </c>
      <c r="C2409" s="22" t="s">
        <v>2450</v>
      </c>
      <c r="D2409" s="22"/>
      <c r="E2409" s="21" t="s">
        <v>10</v>
      </c>
      <c r="F2409" s="21" t="s">
        <v>9721</v>
      </c>
      <c r="G2409" s="147" t="s">
        <v>7030</v>
      </c>
      <c r="H2409" s="23" t="s">
        <v>12582</v>
      </c>
      <c r="I2409" s="23" t="s">
        <v>12583</v>
      </c>
      <c r="J2409" s="21" t="s">
        <v>6557</v>
      </c>
      <c r="K2409" s="47"/>
      <c r="L2409" s="21" t="s">
        <v>12862</v>
      </c>
      <c r="M2409" s="26">
        <v>45947</v>
      </c>
      <c r="N2409" s="44">
        <v>4741</v>
      </c>
      <c r="O2409" s="22" t="s">
        <v>15</v>
      </c>
      <c r="P2409" s="44">
        <v>4741</v>
      </c>
      <c r="Q2409" s="24">
        <f t="shared" si="352"/>
        <v>0</v>
      </c>
      <c r="R2409" s="24">
        <f t="shared" si="353"/>
        <v>4741</v>
      </c>
      <c r="S2409" s="21"/>
    </row>
    <row r="2410" spans="2:19" hidden="1" x14ac:dyDescent="0.25">
      <c r="B2410" s="21" t="s">
        <v>395</v>
      </c>
      <c r="C2410" s="22" t="s">
        <v>2450</v>
      </c>
      <c r="D2410" s="22"/>
      <c r="E2410" s="21" t="s">
        <v>10</v>
      </c>
      <c r="F2410" s="21" t="s">
        <v>9721</v>
      </c>
      <c r="G2410" s="147" t="s">
        <v>9989</v>
      </c>
      <c r="H2410" s="23" t="s">
        <v>12584</v>
      </c>
      <c r="I2410" s="23" t="s">
        <v>12585</v>
      </c>
      <c r="J2410" s="21" t="s">
        <v>6557</v>
      </c>
      <c r="K2410" s="21"/>
      <c r="L2410" s="21" t="s">
        <v>12819</v>
      </c>
      <c r="M2410" s="26">
        <v>45932</v>
      </c>
      <c r="N2410" s="44">
        <v>2901.04</v>
      </c>
      <c r="O2410" s="22" t="s">
        <v>15</v>
      </c>
      <c r="P2410" s="44">
        <v>2901.04</v>
      </c>
      <c r="Q2410" s="24">
        <f t="shared" si="352"/>
        <v>0</v>
      </c>
      <c r="R2410" s="24">
        <f t="shared" si="353"/>
        <v>2901.04</v>
      </c>
    </row>
    <row r="2411" spans="2:19" hidden="1" x14ac:dyDescent="0.25">
      <c r="B2411" s="21" t="s">
        <v>395</v>
      </c>
      <c r="C2411" s="22" t="s">
        <v>158</v>
      </c>
      <c r="D2411" s="22"/>
      <c r="E2411" s="21" t="s">
        <v>10</v>
      </c>
      <c r="F2411" s="21" t="s">
        <v>9721</v>
      </c>
      <c r="G2411" s="147" t="s">
        <v>11065</v>
      </c>
      <c r="H2411" s="23" t="s">
        <v>12586</v>
      </c>
      <c r="I2411" s="23" t="s">
        <v>12587</v>
      </c>
      <c r="J2411" s="21" t="s">
        <v>6557</v>
      </c>
      <c r="K2411" s="21"/>
      <c r="L2411" s="21" t="s">
        <v>12914</v>
      </c>
      <c r="M2411" s="26" t="s">
        <v>12915</v>
      </c>
      <c r="N2411" s="44">
        <v>165.1</v>
      </c>
      <c r="O2411" s="22" t="s">
        <v>15</v>
      </c>
      <c r="P2411" s="44">
        <f>55.9+84.2+25</f>
        <v>165.1</v>
      </c>
      <c r="Q2411" s="24">
        <f t="shared" si="352"/>
        <v>0</v>
      </c>
      <c r="R2411" s="24">
        <f t="shared" si="353"/>
        <v>165.1</v>
      </c>
    </row>
    <row r="2412" spans="2:19" hidden="1" x14ac:dyDescent="0.25">
      <c r="C2412" s="4" t="s">
        <v>158</v>
      </c>
      <c r="E2412" s="5" t="s">
        <v>3234</v>
      </c>
      <c r="F2412" s="5" t="s">
        <v>9809</v>
      </c>
      <c r="G2412" s="146" t="s">
        <v>12588</v>
      </c>
      <c r="H2412" s="7" t="s">
        <v>12589</v>
      </c>
      <c r="I2412" s="7" t="s">
        <v>12590</v>
      </c>
      <c r="J2412" s="5" t="s">
        <v>12591</v>
      </c>
      <c r="L2412" s="5" t="s">
        <v>14338</v>
      </c>
      <c r="M2412" s="12" t="s">
        <v>14339</v>
      </c>
      <c r="N2412" s="45">
        <f>21000</f>
        <v>21000</v>
      </c>
      <c r="O2412" s="4" t="s">
        <v>276</v>
      </c>
      <c r="P2412" s="45">
        <f>150+1275+375+750</f>
        <v>2550</v>
      </c>
      <c r="Q2412" s="3">
        <f t="shared" si="352"/>
        <v>18450</v>
      </c>
      <c r="R2412" s="3">
        <f t="shared" si="353"/>
        <v>2550</v>
      </c>
    </row>
    <row r="2413" spans="2:19" hidden="1" x14ac:dyDescent="0.25">
      <c r="C2413" s="412" t="s">
        <v>2450</v>
      </c>
      <c r="D2413" s="412"/>
      <c r="E2413" s="413" t="s">
        <v>0</v>
      </c>
      <c r="F2413" s="413" t="s">
        <v>9823</v>
      </c>
      <c r="G2413" s="414" t="s">
        <v>7266</v>
      </c>
      <c r="H2413" s="415" t="s">
        <v>12592</v>
      </c>
      <c r="I2413" s="415" t="s">
        <v>12593</v>
      </c>
      <c r="J2413" s="413" t="s">
        <v>12594</v>
      </c>
      <c r="K2413" s="413"/>
      <c r="L2413" s="413"/>
      <c r="M2413" s="415"/>
      <c r="N2413" s="100">
        <v>7734</v>
      </c>
      <c r="O2413" s="412" t="s">
        <v>15</v>
      </c>
      <c r="P2413" s="100"/>
      <c r="Q2413" s="435">
        <f t="shared" si="352"/>
        <v>7734</v>
      </c>
      <c r="R2413" s="435">
        <f t="shared" si="353"/>
        <v>0</v>
      </c>
    </row>
    <row r="2414" spans="2:19" hidden="1" x14ac:dyDescent="0.25">
      <c r="C2414" s="412" t="s">
        <v>2450</v>
      </c>
      <c r="D2414" s="412"/>
      <c r="E2414" s="413" t="s">
        <v>0</v>
      </c>
      <c r="F2414" s="413" t="s">
        <v>9823</v>
      </c>
      <c r="G2414" s="414" t="s">
        <v>7266</v>
      </c>
      <c r="H2414" s="415" t="s">
        <v>12592</v>
      </c>
      <c r="I2414" s="415" t="s">
        <v>12593</v>
      </c>
      <c r="J2414" s="413" t="s">
        <v>12596</v>
      </c>
      <c r="K2414" s="413"/>
      <c r="L2414" s="413"/>
      <c r="M2414" s="415"/>
      <c r="N2414" s="100">
        <v>9234</v>
      </c>
      <c r="O2414" s="412" t="s">
        <v>15</v>
      </c>
      <c r="P2414" s="100"/>
      <c r="Q2414" s="435">
        <f t="shared" si="352"/>
        <v>9234</v>
      </c>
      <c r="R2414" s="435">
        <f t="shared" si="353"/>
        <v>0</v>
      </c>
    </row>
    <row r="2415" spans="2:19" hidden="1" x14ac:dyDescent="0.25">
      <c r="C2415" s="412" t="s">
        <v>2450</v>
      </c>
      <c r="D2415" s="412"/>
      <c r="E2415" s="413" t="s">
        <v>0</v>
      </c>
      <c r="F2415" s="413" t="s">
        <v>9823</v>
      </c>
      <c r="G2415" s="414" t="s">
        <v>7266</v>
      </c>
      <c r="H2415" s="415" t="s">
        <v>12592</v>
      </c>
      <c r="I2415" s="415" t="s">
        <v>12593</v>
      </c>
      <c r="J2415" s="413" t="s">
        <v>12597</v>
      </c>
      <c r="K2415" s="413"/>
      <c r="L2415" s="413"/>
      <c r="M2415" s="415"/>
      <c r="N2415" s="100">
        <v>7734</v>
      </c>
      <c r="O2415" s="412" t="s">
        <v>15</v>
      </c>
      <c r="P2415" s="100"/>
      <c r="Q2415" s="435">
        <f t="shared" si="352"/>
        <v>7734</v>
      </c>
      <c r="R2415" s="435">
        <f t="shared" si="353"/>
        <v>0</v>
      </c>
    </row>
    <row r="2416" spans="2:19" hidden="1" x14ac:dyDescent="0.25">
      <c r="C2416" s="412" t="s">
        <v>2450</v>
      </c>
      <c r="D2416" s="412"/>
      <c r="E2416" s="413" t="s">
        <v>0</v>
      </c>
      <c r="F2416" s="413" t="s">
        <v>9823</v>
      </c>
      <c r="G2416" s="414" t="s">
        <v>7266</v>
      </c>
      <c r="H2416" s="415" t="s">
        <v>12592</v>
      </c>
      <c r="I2416" s="415" t="s">
        <v>12593</v>
      </c>
      <c r="J2416" s="413" t="s">
        <v>12598</v>
      </c>
      <c r="K2416" s="413"/>
      <c r="L2416" s="413"/>
      <c r="M2416" s="415"/>
      <c r="N2416" s="100">
        <v>9234</v>
      </c>
      <c r="O2416" s="412" t="s">
        <v>15</v>
      </c>
      <c r="P2416" s="100"/>
      <c r="Q2416" s="435">
        <f t="shared" si="352"/>
        <v>9234</v>
      </c>
      <c r="R2416" s="435">
        <f t="shared" si="353"/>
        <v>0</v>
      </c>
    </row>
    <row r="2417" spans="3:18" hidden="1" x14ac:dyDescent="0.25">
      <c r="C2417" s="412" t="s">
        <v>2450</v>
      </c>
      <c r="D2417" s="412"/>
      <c r="E2417" s="413" t="s">
        <v>0</v>
      </c>
      <c r="F2417" s="413" t="s">
        <v>9823</v>
      </c>
      <c r="G2417" s="414" t="s">
        <v>7266</v>
      </c>
      <c r="H2417" s="415" t="s">
        <v>12592</v>
      </c>
      <c r="I2417" s="415" t="s">
        <v>12593</v>
      </c>
      <c r="J2417" s="413" t="s">
        <v>12599</v>
      </c>
      <c r="K2417" s="413"/>
      <c r="L2417" s="413"/>
      <c r="M2417" s="415"/>
      <c r="N2417" s="100">
        <v>7734</v>
      </c>
      <c r="O2417" s="412" t="s">
        <v>15</v>
      </c>
      <c r="P2417" s="100"/>
      <c r="Q2417" s="435">
        <f t="shared" si="352"/>
        <v>7734</v>
      </c>
      <c r="R2417" s="435">
        <f t="shared" si="353"/>
        <v>0</v>
      </c>
    </row>
    <row r="2418" spans="3:18" hidden="1" x14ac:dyDescent="0.25">
      <c r="C2418" s="412" t="s">
        <v>2450</v>
      </c>
      <c r="D2418" s="412"/>
      <c r="E2418" s="413" t="s">
        <v>0</v>
      </c>
      <c r="F2418" s="413" t="s">
        <v>9823</v>
      </c>
      <c r="G2418" s="414" t="s">
        <v>7266</v>
      </c>
      <c r="H2418" s="415" t="s">
        <v>12592</v>
      </c>
      <c r="I2418" s="415" t="s">
        <v>12593</v>
      </c>
      <c r="J2418" s="413" t="s">
        <v>12600</v>
      </c>
      <c r="K2418" s="413"/>
      <c r="L2418" s="413"/>
      <c r="M2418" s="415"/>
      <c r="N2418" s="100">
        <v>9234</v>
      </c>
      <c r="O2418" s="412" t="s">
        <v>15</v>
      </c>
      <c r="P2418" s="100"/>
      <c r="Q2418" s="435">
        <f t="shared" si="352"/>
        <v>9234</v>
      </c>
      <c r="R2418" s="435">
        <f t="shared" si="353"/>
        <v>0</v>
      </c>
    </row>
    <row r="2419" spans="3:18" hidden="1" x14ac:dyDescent="0.25">
      <c r="C2419" s="412" t="s">
        <v>2450</v>
      </c>
      <c r="D2419" s="412"/>
      <c r="E2419" s="413" t="s">
        <v>0</v>
      </c>
      <c r="F2419" s="413" t="s">
        <v>9823</v>
      </c>
      <c r="G2419" s="414" t="s">
        <v>7266</v>
      </c>
      <c r="H2419" s="415" t="s">
        <v>12592</v>
      </c>
      <c r="I2419" s="415" t="s">
        <v>12593</v>
      </c>
      <c r="J2419" s="413" t="s">
        <v>12601</v>
      </c>
      <c r="K2419" s="413"/>
      <c r="L2419" s="413"/>
      <c r="M2419" s="415"/>
      <c r="N2419" s="100">
        <v>9234</v>
      </c>
      <c r="O2419" s="412" t="s">
        <v>15</v>
      </c>
      <c r="P2419" s="100"/>
      <c r="Q2419" s="435">
        <f t="shared" si="352"/>
        <v>9234</v>
      </c>
      <c r="R2419" s="435">
        <f t="shared" si="353"/>
        <v>0</v>
      </c>
    </row>
    <row r="2420" spans="3:18" hidden="1" x14ac:dyDescent="0.25">
      <c r="C2420" s="412" t="s">
        <v>2450</v>
      </c>
      <c r="D2420" s="412"/>
      <c r="E2420" s="413" t="s">
        <v>0</v>
      </c>
      <c r="F2420" s="413" t="s">
        <v>9823</v>
      </c>
      <c r="G2420" s="414" t="s">
        <v>7266</v>
      </c>
      <c r="H2420" s="415" t="s">
        <v>12592</v>
      </c>
      <c r="I2420" s="415" t="s">
        <v>12593</v>
      </c>
      <c r="J2420" s="413" t="s">
        <v>12602</v>
      </c>
      <c r="K2420" s="413"/>
      <c r="L2420" s="413"/>
      <c r="M2420" s="415"/>
      <c r="N2420" s="100">
        <v>9234</v>
      </c>
      <c r="O2420" s="412" t="s">
        <v>15</v>
      </c>
      <c r="P2420" s="100"/>
      <c r="Q2420" s="435">
        <f t="shared" si="352"/>
        <v>9234</v>
      </c>
      <c r="R2420" s="435">
        <f t="shared" si="353"/>
        <v>0</v>
      </c>
    </row>
    <row r="2421" spans="3:18" hidden="1" x14ac:dyDescent="0.25">
      <c r="C2421" s="412" t="s">
        <v>2450</v>
      </c>
      <c r="D2421" s="412"/>
      <c r="E2421" s="413" t="s">
        <v>0</v>
      </c>
      <c r="F2421" s="413" t="s">
        <v>9823</v>
      </c>
      <c r="G2421" s="414" t="s">
        <v>7266</v>
      </c>
      <c r="H2421" s="415" t="s">
        <v>12592</v>
      </c>
      <c r="I2421" s="415" t="s">
        <v>12593</v>
      </c>
      <c r="J2421" s="413" t="s">
        <v>12603</v>
      </c>
      <c r="K2421" s="413"/>
      <c r="L2421" s="413"/>
      <c r="M2421" s="415"/>
      <c r="N2421" s="100">
        <v>9234</v>
      </c>
      <c r="O2421" s="412" t="s">
        <v>15</v>
      </c>
      <c r="P2421" s="100"/>
      <c r="Q2421" s="435">
        <f t="shared" si="352"/>
        <v>9234</v>
      </c>
      <c r="R2421" s="435">
        <f t="shared" si="353"/>
        <v>0</v>
      </c>
    </row>
    <row r="2422" spans="3:18" hidden="1" x14ac:dyDescent="0.25">
      <c r="C2422" s="61" t="s">
        <v>2450</v>
      </c>
      <c r="D2422" s="61"/>
      <c r="E2422" s="62" t="s">
        <v>0</v>
      </c>
      <c r="F2422" s="62" t="s">
        <v>9823</v>
      </c>
      <c r="G2422" s="159" t="s">
        <v>7266</v>
      </c>
      <c r="H2422" s="63" t="s">
        <v>12592</v>
      </c>
      <c r="I2422" s="63" t="s">
        <v>12593</v>
      </c>
      <c r="J2422" s="62" t="s">
        <v>12604</v>
      </c>
      <c r="K2422" s="62"/>
      <c r="L2422" s="62"/>
      <c r="M2422" s="63"/>
      <c r="N2422" s="101">
        <v>7734</v>
      </c>
      <c r="O2422" s="61" t="s">
        <v>15</v>
      </c>
      <c r="P2422" s="101"/>
      <c r="Q2422" s="186">
        <f t="shared" si="352"/>
        <v>7734</v>
      </c>
      <c r="R2422" s="186">
        <f t="shared" si="353"/>
        <v>0</v>
      </c>
    </row>
    <row r="2423" spans="3:18" hidden="1" x14ac:dyDescent="0.25">
      <c r="C2423" s="61" t="s">
        <v>2450</v>
      </c>
      <c r="D2423" s="61"/>
      <c r="E2423" s="62" t="s">
        <v>0</v>
      </c>
      <c r="F2423" s="62" t="s">
        <v>9823</v>
      </c>
      <c r="G2423" s="159" t="s">
        <v>7266</v>
      </c>
      <c r="H2423" s="63" t="s">
        <v>12592</v>
      </c>
      <c r="I2423" s="63" t="s">
        <v>12593</v>
      </c>
      <c r="J2423" s="62" t="s">
        <v>12605</v>
      </c>
      <c r="K2423" s="62"/>
      <c r="L2423" s="62"/>
      <c r="M2423" s="63"/>
      <c r="N2423" s="101">
        <v>9234</v>
      </c>
      <c r="O2423" s="61" t="s">
        <v>15</v>
      </c>
      <c r="P2423" s="101"/>
      <c r="Q2423" s="186">
        <f t="shared" si="352"/>
        <v>9234</v>
      </c>
      <c r="R2423" s="186">
        <f t="shared" si="353"/>
        <v>0</v>
      </c>
    </row>
    <row r="2424" spans="3:18" hidden="1" x14ac:dyDescent="0.25">
      <c r="C2424" s="61" t="s">
        <v>2450</v>
      </c>
      <c r="D2424" s="61"/>
      <c r="E2424" s="62" t="s">
        <v>0</v>
      </c>
      <c r="F2424" s="62" t="s">
        <v>9823</v>
      </c>
      <c r="G2424" s="159" t="s">
        <v>7266</v>
      </c>
      <c r="H2424" s="63" t="s">
        <v>12592</v>
      </c>
      <c r="I2424" s="63" t="s">
        <v>12593</v>
      </c>
      <c r="J2424" s="62" t="s">
        <v>12606</v>
      </c>
      <c r="K2424" s="62"/>
      <c r="L2424" s="62"/>
      <c r="M2424" s="63"/>
      <c r="N2424" s="101">
        <v>7734</v>
      </c>
      <c r="O2424" s="61" t="s">
        <v>15</v>
      </c>
      <c r="P2424" s="101"/>
      <c r="Q2424" s="186">
        <f t="shared" si="352"/>
        <v>7734</v>
      </c>
      <c r="R2424" s="186">
        <f t="shared" si="353"/>
        <v>0</v>
      </c>
    </row>
    <row r="2425" spans="3:18" hidden="1" x14ac:dyDescent="0.25">
      <c r="C2425" s="61" t="s">
        <v>2450</v>
      </c>
      <c r="D2425" s="61"/>
      <c r="E2425" s="62" t="s">
        <v>0</v>
      </c>
      <c r="F2425" s="62" t="s">
        <v>9823</v>
      </c>
      <c r="G2425" s="159" t="s">
        <v>7266</v>
      </c>
      <c r="H2425" s="63" t="s">
        <v>12592</v>
      </c>
      <c r="I2425" s="63" t="s">
        <v>12593</v>
      </c>
      <c r="J2425" s="62" t="s">
        <v>12607</v>
      </c>
      <c r="K2425" s="62"/>
      <c r="L2425" s="62"/>
      <c r="M2425" s="63"/>
      <c r="N2425" s="101">
        <v>9234</v>
      </c>
      <c r="O2425" s="61" t="s">
        <v>15</v>
      </c>
      <c r="P2425" s="101"/>
      <c r="Q2425" s="186">
        <f t="shared" si="352"/>
        <v>9234</v>
      </c>
      <c r="R2425" s="186">
        <f t="shared" si="353"/>
        <v>0</v>
      </c>
    </row>
    <row r="2426" spans="3:18" hidden="1" x14ac:dyDescent="0.25">
      <c r="C2426" s="61" t="s">
        <v>2450</v>
      </c>
      <c r="D2426" s="61"/>
      <c r="E2426" s="62" t="s">
        <v>0</v>
      </c>
      <c r="F2426" s="62" t="s">
        <v>9823</v>
      </c>
      <c r="G2426" s="159" t="s">
        <v>7266</v>
      </c>
      <c r="H2426" s="63" t="s">
        <v>12592</v>
      </c>
      <c r="I2426" s="63" t="s">
        <v>12593</v>
      </c>
      <c r="J2426" s="62" t="s">
        <v>12608</v>
      </c>
      <c r="K2426" s="62"/>
      <c r="L2426" s="62"/>
      <c r="M2426" s="63"/>
      <c r="N2426" s="101">
        <v>7734</v>
      </c>
      <c r="O2426" s="61" t="s">
        <v>15</v>
      </c>
      <c r="P2426" s="101"/>
      <c r="Q2426" s="186">
        <f t="shared" si="352"/>
        <v>7734</v>
      </c>
      <c r="R2426" s="186">
        <f t="shared" si="353"/>
        <v>0</v>
      </c>
    </row>
    <row r="2427" spans="3:18" hidden="1" x14ac:dyDescent="0.25">
      <c r="C2427" s="61" t="s">
        <v>2450</v>
      </c>
      <c r="D2427" s="61"/>
      <c r="E2427" s="62" t="s">
        <v>0</v>
      </c>
      <c r="F2427" s="62" t="s">
        <v>9823</v>
      </c>
      <c r="G2427" s="159" t="s">
        <v>7266</v>
      </c>
      <c r="H2427" s="63" t="s">
        <v>12592</v>
      </c>
      <c r="I2427" s="63" t="s">
        <v>12593</v>
      </c>
      <c r="J2427" s="62" t="s">
        <v>12609</v>
      </c>
      <c r="K2427" s="62"/>
      <c r="L2427" s="62"/>
      <c r="M2427" s="63"/>
      <c r="N2427" s="101">
        <v>9234</v>
      </c>
      <c r="O2427" s="61" t="s">
        <v>15</v>
      </c>
      <c r="P2427" s="101"/>
      <c r="Q2427" s="186">
        <f t="shared" si="352"/>
        <v>9234</v>
      </c>
      <c r="R2427" s="186">
        <f t="shared" si="353"/>
        <v>0</v>
      </c>
    </row>
    <row r="2428" spans="3:18" hidden="1" x14ac:dyDescent="0.25">
      <c r="C2428" s="61" t="s">
        <v>2450</v>
      </c>
      <c r="D2428" s="61"/>
      <c r="E2428" s="62" t="s">
        <v>0</v>
      </c>
      <c r="F2428" s="62" t="s">
        <v>9823</v>
      </c>
      <c r="G2428" s="159" t="s">
        <v>7266</v>
      </c>
      <c r="H2428" s="63" t="s">
        <v>12592</v>
      </c>
      <c r="I2428" s="63" t="s">
        <v>12593</v>
      </c>
      <c r="J2428" s="62" t="s">
        <v>12610</v>
      </c>
      <c r="K2428" s="62"/>
      <c r="L2428" s="62"/>
      <c r="M2428" s="63"/>
      <c r="N2428" s="101">
        <v>9234</v>
      </c>
      <c r="O2428" s="61" t="s">
        <v>15</v>
      </c>
      <c r="P2428" s="101"/>
      <c r="Q2428" s="186">
        <f t="shared" si="352"/>
        <v>9234</v>
      </c>
      <c r="R2428" s="186">
        <f t="shared" si="353"/>
        <v>0</v>
      </c>
    </row>
    <row r="2429" spans="3:18" hidden="1" x14ac:dyDescent="0.25">
      <c r="C2429" s="61" t="s">
        <v>2450</v>
      </c>
      <c r="D2429" s="61"/>
      <c r="E2429" s="62" t="s">
        <v>0</v>
      </c>
      <c r="F2429" s="62" t="s">
        <v>9823</v>
      </c>
      <c r="G2429" s="159" t="s">
        <v>7266</v>
      </c>
      <c r="H2429" s="63" t="s">
        <v>12592</v>
      </c>
      <c r="I2429" s="63" t="s">
        <v>12593</v>
      </c>
      <c r="J2429" s="62" t="s">
        <v>12611</v>
      </c>
      <c r="K2429" s="62"/>
      <c r="L2429" s="62"/>
      <c r="M2429" s="63"/>
      <c r="N2429" s="101">
        <v>9234</v>
      </c>
      <c r="O2429" s="61" t="s">
        <v>15</v>
      </c>
      <c r="P2429" s="101"/>
      <c r="Q2429" s="186">
        <f t="shared" si="352"/>
        <v>9234</v>
      </c>
      <c r="R2429" s="186">
        <f t="shared" si="353"/>
        <v>0</v>
      </c>
    </row>
    <row r="2430" spans="3:18" hidden="1" x14ac:dyDescent="0.25">
      <c r="C2430" s="61" t="s">
        <v>2450</v>
      </c>
      <c r="D2430" s="61"/>
      <c r="E2430" s="62" t="s">
        <v>0</v>
      </c>
      <c r="F2430" s="62" t="s">
        <v>9823</v>
      </c>
      <c r="G2430" s="159" t="s">
        <v>7266</v>
      </c>
      <c r="H2430" s="63" t="s">
        <v>12592</v>
      </c>
      <c r="I2430" s="63" t="s">
        <v>12593</v>
      </c>
      <c r="J2430" s="62" t="s">
        <v>12612</v>
      </c>
      <c r="K2430" s="62"/>
      <c r="L2430" s="62"/>
      <c r="M2430" s="63"/>
      <c r="N2430" s="101">
        <v>9234</v>
      </c>
      <c r="O2430" s="61" t="s">
        <v>15</v>
      </c>
      <c r="P2430" s="101"/>
      <c r="Q2430" s="186">
        <f t="shared" si="352"/>
        <v>9234</v>
      </c>
      <c r="R2430" s="186">
        <f t="shared" si="353"/>
        <v>0</v>
      </c>
    </row>
    <row r="2431" spans="3:18" hidden="1" x14ac:dyDescent="0.25">
      <c r="C2431" s="407" t="s">
        <v>2450</v>
      </c>
      <c r="D2431" s="407"/>
      <c r="E2431" s="314" t="s">
        <v>0</v>
      </c>
      <c r="F2431" s="314" t="s">
        <v>9823</v>
      </c>
      <c r="G2431" s="408" t="s">
        <v>7266</v>
      </c>
      <c r="H2431" s="313" t="s">
        <v>12592</v>
      </c>
      <c r="I2431" s="313" t="s">
        <v>12593</v>
      </c>
      <c r="J2431" s="314" t="s">
        <v>12613</v>
      </c>
      <c r="K2431" s="314"/>
      <c r="L2431" s="314"/>
      <c r="M2431" s="313"/>
      <c r="N2431" s="318">
        <v>7734</v>
      </c>
      <c r="O2431" s="407" t="s">
        <v>15</v>
      </c>
      <c r="P2431" s="318"/>
      <c r="Q2431" s="409">
        <f t="shared" si="352"/>
        <v>7734</v>
      </c>
      <c r="R2431" s="409">
        <f t="shared" si="353"/>
        <v>0</v>
      </c>
    </row>
    <row r="2432" spans="3:18" hidden="1" x14ac:dyDescent="0.25">
      <c r="C2432" s="407" t="s">
        <v>2450</v>
      </c>
      <c r="D2432" s="407"/>
      <c r="E2432" s="314" t="s">
        <v>0</v>
      </c>
      <c r="F2432" s="314" t="s">
        <v>9823</v>
      </c>
      <c r="G2432" s="408" t="s">
        <v>7266</v>
      </c>
      <c r="H2432" s="313" t="s">
        <v>12592</v>
      </c>
      <c r="I2432" s="313" t="s">
        <v>12593</v>
      </c>
      <c r="J2432" s="314" t="s">
        <v>12614</v>
      </c>
      <c r="K2432" s="314"/>
      <c r="L2432" s="314"/>
      <c r="M2432" s="313"/>
      <c r="N2432" s="318">
        <v>9234</v>
      </c>
      <c r="O2432" s="407" t="s">
        <v>15</v>
      </c>
      <c r="P2432" s="318"/>
      <c r="Q2432" s="409">
        <f t="shared" si="352"/>
        <v>9234</v>
      </c>
      <c r="R2432" s="409">
        <f t="shared" si="353"/>
        <v>0</v>
      </c>
    </row>
    <row r="2433" spans="3:18" hidden="1" x14ac:dyDescent="0.25">
      <c r="C2433" s="407" t="s">
        <v>2450</v>
      </c>
      <c r="D2433" s="407"/>
      <c r="E2433" s="314" t="s">
        <v>0</v>
      </c>
      <c r="F2433" s="314" t="s">
        <v>9823</v>
      </c>
      <c r="G2433" s="408" t="s">
        <v>7266</v>
      </c>
      <c r="H2433" s="313" t="s">
        <v>12592</v>
      </c>
      <c r="I2433" s="313" t="s">
        <v>12593</v>
      </c>
      <c r="J2433" s="314" t="s">
        <v>12615</v>
      </c>
      <c r="K2433" s="314"/>
      <c r="L2433" s="314"/>
      <c r="M2433" s="313"/>
      <c r="N2433" s="318">
        <v>7734</v>
      </c>
      <c r="O2433" s="407" t="s">
        <v>15</v>
      </c>
      <c r="P2433" s="318"/>
      <c r="Q2433" s="409">
        <f t="shared" si="352"/>
        <v>7734</v>
      </c>
      <c r="R2433" s="409">
        <f t="shared" si="353"/>
        <v>0</v>
      </c>
    </row>
    <row r="2434" spans="3:18" hidden="1" x14ac:dyDescent="0.25">
      <c r="C2434" s="407" t="s">
        <v>2450</v>
      </c>
      <c r="D2434" s="407"/>
      <c r="E2434" s="314" t="s">
        <v>0</v>
      </c>
      <c r="F2434" s="314" t="s">
        <v>9823</v>
      </c>
      <c r="G2434" s="408" t="s">
        <v>7266</v>
      </c>
      <c r="H2434" s="313" t="s">
        <v>12592</v>
      </c>
      <c r="I2434" s="313" t="s">
        <v>12593</v>
      </c>
      <c r="J2434" s="314" t="s">
        <v>12616</v>
      </c>
      <c r="K2434" s="314"/>
      <c r="L2434" s="314"/>
      <c r="M2434" s="313"/>
      <c r="N2434" s="318">
        <v>9234</v>
      </c>
      <c r="O2434" s="407" t="s">
        <v>15</v>
      </c>
      <c r="P2434" s="318"/>
      <c r="Q2434" s="409">
        <f t="shared" si="352"/>
        <v>9234</v>
      </c>
      <c r="R2434" s="409">
        <f t="shared" si="353"/>
        <v>0</v>
      </c>
    </row>
    <row r="2435" spans="3:18" hidden="1" x14ac:dyDescent="0.25">
      <c r="C2435" s="407" t="s">
        <v>2450</v>
      </c>
      <c r="D2435" s="407"/>
      <c r="E2435" s="314" t="s">
        <v>0</v>
      </c>
      <c r="F2435" s="314" t="s">
        <v>9823</v>
      </c>
      <c r="G2435" s="408" t="s">
        <v>7266</v>
      </c>
      <c r="H2435" s="313" t="s">
        <v>12592</v>
      </c>
      <c r="I2435" s="313" t="s">
        <v>12593</v>
      </c>
      <c r="J2435" s="314" t="s">
        <v>12617</v>
      </c>
      <c r="K2435" s="314"/>
      <c r="L2435" s="314"/>
      <c r="M2435" s="313"/>
      <c r="N2435" s="318">
        <v>7734</v>
      </c>
      <c r="O2435" s="407" t="s">
        <v>15</v>
      </c>
      <c r="P2435" s="318"/>
      <c r="Q2435" s="409">
        <f t="shared" si="352"/>
        <v>7734</v>
      </c>
      <c r="R2435" s="409">
        <f t="shared" si="353"/>
        <v>0</v>
      </c>
    </row>
    <row r="2436" spans="3:18" hidden="1" x14ac:dyDescent="0.25">
      <c r="C2436" s="407" t="s">
        <v>2450</v>
      </c>
      <c r="D2436" s="407"/>
      <c r="E2436" s="314" t="s">
        <v>0</v>
      </c>
      <c r="F2436" s="314" t="s">
        <v>9823</v>
      </c>
      <c r="G2436" s="408" t="s">
        <v>7266</v>
      </c>
      <c r="H2436" s="313" t="s">
        <v>12592</v>
      </c>
      <c r="I2436" s="313" t="s">
        <v>12593</v>
      </c>
      <c r="J2436" s="314" t="s">
        <v>12618</v>
      </c>
      <c r="K2436" s="314"/>
      <c r="L2436" s="314"/>
      <c r="M2436" s="313"/>
      <c r="N2436" s="318">
        <v>9234</v>
      </c>
      <c r="O2436" s="407" t="s">
        <v>15</v>
      </c>
      <c r="P2436" s="318"/>
      <c r="Q2436" s="409">
        <f t="shared" si="352"/>
        <v>9234</v>
      </c>
      <c r="R2436" s="409">
        <f t="shared" si="353"/>
        <v>0</v>
      </c>
    </row>
    <row r="2437" spans="3:18" hidden="1" x14ac:dyDescent="0.25">
      <c r="C2437" s="407" t="s">
        <v>2450</v>
      </c>
      <c r="D2437" s="407"/>
      <c r="E2437" s="314" t="s">
        <v>0</v>
      </c>
      <c r="F2437" s="314" t="s">
        <v>9823</v>
      </c>
      <c r="G2437" s="408" t="s">
        <v>7266</v>
      </c>
      <c r="H2437" s="313" t="s">
        <v>12592</v>
      </c>
      <c r="I2437" s="313" t="s">
        <v>12593</v>
      </c>
      <c r="J2437" s="314" t="s">
        <v>12619</v>
      </c>
      <c r="K2437" s="314"/>
      <c r="L2437" s="314"/>
      <c r="M2437" s="313"/>
      <c r="N2437" s="318">
        <v>9234</v>
      </c>
      <c r="O2437" s="407" t="s">
        <v>15</v>
      </c>
      <c r="P2437" s="318"/>
      <c r="Q2437" s="409">
        <f t="shared" si="352"/>
        <v>9234</v>
      </c>
      <c r="R2437" s="409">
        <f t="shared" si="353"/>
        <v>0</v>
      </c>
    </row>
    <row r="2438" spans="3:18" hidden="1" x14ac:dyDescent="0.25">
      <c r="C2438" s="407" t="s">
        <v>2450</v>
      </c>
      <c r="D2438" s="407"/>
      <c r="E2438" s="314" t="s">
        <v>0</v>
      </c>
      <c r="F2438" s="314" t="s">
        <v>9823</v>
      </c>
      <c r="G2438" s="408" t="s">
        <v>7266</v>
      </c>
      <c r="H2438" s="313" t="s">
        <v>12592</v>
      </c>
      <c r="I2438" s="313" t="s">
        <v>12593</v>
      </c>
      <c r="J2438" s="314" t="s">
        <v>12620</v>
      </c>
      <c r="K2438" s="314"/>
      <c r="L2438" s="314"/>
      <c r="M2438" s="313"/>
      <c r="N2438" s="318">
        <v>9234</v>
      </c>
      <c r="O2438" s="407" t="s">
        <v>15</v>
      </c>
      <c r="P2438" s="318"/>
      <c r="Q2438" s="409">
        <f t="shared" si="352"/>
        <v>9234</v>
      </c>
      <c r="R2438" s="409">
        <f t="shared" si="353"/>
        <v>0</v>
      </c>
    </row>
    <row r="2439" spans="3:18" hidden="1" x14ac:dyDescent="0.25">
      <c r="C2439" s="407" t="s">
        <v>2450</v>
      </c>
      <c r="D2439" s="407"/>
      <c r="E2439" s="314" t="s">
        <v>0</v>
      </c>
      <c r="F2439" s="314" t="s">
        <v>9823</v>
      </c>
      <c r="G2439" s="408" t="s">
        <v>7266</v>
      </c>
      <c r="H2439" s="313" t="s">
        <v>12592</v>
      </c>
      <c r="I2439" s="313" t="s">
        <v>12593</v>
      </c>
      <c r="J2439" s="314" t="s">
        <v>12621</v>
      </c>
      <c r="K2439" s="314"/>
      <c r="L2439" s="314"/>
      <c r="M2439" s="313"/>
      <c r="N2439" s="318">
        <v>9234</v>
      </c>
      <c r="O2439" s="407" t="s">
        <v>15</v>
      </c>
      <c r="P2439" s="318"/>
      <c r="Q2439" s="409">
        <f t="shared" si="352"/>
        <v>9234</v>
      </c>
      <c r="R2439" s="409">
        <f t="shared" si="353"/>
        <v>0</v>
      </c>
    </row>
    <row r="2440" spans="3:18" hidden="1" x14ac:dyDescent="0.25">
      <c r="C2440" s="511" t="s">
        <v>2450</v>
      </c>
      <c r="D2440" s="511"/>
      <c r="E2440" s="512" t="s">
        <v>0</v>
      </c>
      <c r="F2440" s="512" t="s">
        <v>9823</v>
      </c>
      <c r="G2440" s="513" t="s">
        <v>7266</v>
      </c>
      <c r="H2440" s="514" t="s">
        <v>12592</v>
      </c>
      <c r="I2440" s="514" t="s">
        <v>12593</v>
      </c>
      <c r="J2440" s="512" t="s">
        <v>12622</v>
      </c>
      <c r="K2440" s="512"/>
      <c r="L2440" s="512"/>
      <c r="M2440" s="514"/>
      <c r="N2440" s="515">
        <v>7734</v>
      </c>
      <c r="O2440" s="511" t="s">
        <v>15</v>
      </c>
      <c r="P2440" s="515"/>
      <c r="Q2440" s="516">
        <f t="shared" si="352"/>
        <v>7734</v>
      </c>
      <c r="R2440" s="516">
        <f t="shared" si="353"/>
        <v>0</v>
      </c>
    </row>
    <row r="2441" spans="3:18" hidden="1" x14ac:dyDescent="0.25">
      <c r="C2441" s="511" t="s">
        <v>2450</v>
      </c>
      <c r="D2441" s="511"/>
      <c r="E2441" s="512" t="s">
        <v>0</v>
      </c>
      <c r="F2441" s="512" t="s">
        <v>9823</v>
      </c>
      <c r="G2441" s="513" t="s">
        <v>7266</v>
      </c>
      <c r="H2441" s="514" t="s">
        <v>12592</v>
      </c>
      <c r="I2441" s="514" t="s">
        <v>12593</v>
      </c>
      <c r="J2441" s="512" t="s">
        <v>12623</v>
      </c>
      <c r="K2441" s="512"/>
      <c r="L2441" s="512"/>
      <c r="M2441" s="514"/>
      <c r="N2441" s="515">
        <v>9234</v>
      </c>
      <c r="O2441" s="511" t="s">
        <v>15</v>
      </c>
      <c r="P2441" s="515"/>
      <c r="Q2441" s="516">
        <f t="shared" si="352"/>
        <v>9234</v>
      </c>
      <c r="R2441" s="516">
        <f t="shared" si="353"/>
        <v>0</v>
      </c>
    </row>
    <row r="2442" spans="3:18" hidden="1" x14ac:dyDescent="0.25">
      <c r="C2442" s="511" t="s">
        <v>2450</v>
      </c>
      <c r="D2442" s="511"/>
      <c r="E2442" s="512" t="s">
        <v>0</v>
      </c>
      <c r="F2442" s="512" t="s">
        <v>9823</v>
      </c>
      <c r="G2442" s="513" t="s">
        <v>7266</v>
      </c>
      <c r="H2442" s="514" t="s">
        <v>12592</v>
      </c>
      <c r="I2442" s="514" t="s">
        <v>12593</v>
      </c>
      <c r="J2442" s="512" t="s">
        <v>12624</v>
      </c>
      <c r="K2442" s="512"/>
      <c r="L2442" s="512"/>
      <c r="M2442" s="514"/>
      <c r="N2442" s="515">
        <v>7734</v>
      </c>
      <c r="O2442" s="511" t="s">
        <v>15</v>
      </c>
      <c r="P2442" s="515"/>
      <c r="Q2442" s="516">
        <f t="shared" si="352"/>
        <v>7734</v>
      </c>
      <c r="R2442" s="516">
        <f t="shared" si="353"/>
        <v>0</v>
      </c>
    </row>
    <row r="2443" spans="3:18" hidden="1" x14ac:dyDescent="0.25">
      <c r="C2443" s="511" t="s">
        <v>2450</v>
      </c>
      <c r="D2443" s="511"/>
      <c r="E2443" s="512" t="s">
        <v>0</v>
      </c>
      <c r="F2443" s="512" t="s">
        <v>9823</v>
      </c>
      <c r="G2443" s="513" t="s">
        <v>7266</v>
      </c>
      <c r="H2443" s="514" t="s">
        <v>12592</v>
      </c>
      <c r="I2443" s="514" t="s">
        <v>12593</v>
      </c>
      <c r="J2443" s="512" t="s">
        <v>12625</v>
      </c>
      <c r="K2443" s="512"/>
      <c r="L2443" s="512"/>
      <c r="M2443" s="514"/>
      <c r="N2443" s="515">
        <v>9234</v>
      </c>
      <c r="O2443" s="511" t="s">
        <v>15</v>
      </c>
      <c r="P2443" s="515"/>
      <c r="Q2443" s="516">
        <f t="shared" si="352"/>
        <v>9234</v>
      </c>
      <c r="R2443" s="516">
        <f t="shared" si="353"/>
        <v>0</v>
      </c>
    </row>
    <row r="2444" spans="3:18" hidden="1" x14ac:dyDescent="0.25">
      <c r="C2444" s="511" t="s">
        <v>2450</v>
      </c>
      <c r="D2444" s="511"/>
      <c r="E2444" s="512" t="s">
        <v>0</v>
      </c>
      <c r="F2444" s="512" t="s">
        <v>9823</v>
      </c>
      <c r="G2444" s="513" t="s">
        <v>7266</v>
      </c>
      <c r="H2444" s="514" t="s">
        <v>12592</v>
      </c>
      <c r="I2444" s="514" t="s">
        <v>12593</v>
      </c>
      <c r="J2444" s="512" t="s">
        <v>12626</v>
      </c>
      <c r="K2444" s="512"/>
      <c r="L2444" s="512"/>
      <c r="M2444" s="514"/>
      <c r="N2444" s="515">
        <v>7734</v>
      </c>
      <c r="O2444" s="511" t="s">
        <v>15</v>
      </c>
      <c r="P2444" s="515"/>
      <c r="Q2444" s="516">
        <f t="shared" si="352"/>
        <v>7734</v>
      </c>
      <c r="R2444" s="516">
        <f t="shared" si="353"/>
        <v>0</v>
      </c>
    </row>
    <row r="2445" spans="3:18" hidden="1" x14ac:dyDescent="0.25">
      <c r="C2445" s="511" t="s">
        <v>2450</v>
      </c>
      <c r="D2445" s="511"/>
      <c r="E2445" s="512" t="s">
        <v>0</v>
      </c>
      <c r="F2445" s="512" t="s">
        <v>9823</v>
      </c>
      <c r="G2445" s="513" t="s">
        <v>7266</v>
      </c>
      <c r="H2445" s="514" t="s">
        <v>12592</v>
      </c>
      <c r="I2445" s="514" t="s">
        <v>12593</v>
      </c>
      <c r="J2445" s="512" t="s">
        <v>12627</v>
      </c>
      <c r="K2445" s="512"/>
      <c r="L2445" s="512"/>
      <c r="M2445" s="514"/>
      <c r="N2445" s="515">
        <v>9234</v>
      </c>
      <c r="O2445" s="511" t="s">
        <v>15</v>
      </c>
      <c r="P2445" s="515"/>
      <c r="Q2445" s="516">
        <f t="shared" si="352"/>
        <v>9234</v>
      </c>
      <c r="R2445" s="516">
        <f t="shared" si="353"/>
        <v>0</v>
      </c>
    </row>
    <row r="2446" spans="3:18" hidden="1" x14ac:dyDescent="0.25">
      <c r="C2446" s="511" t="s">
        <v>2450</v>
      </c>
      <c r="D2446" s="511"/>
      <c r="E2446" s="512" t="s">
        <v>0</v>
      </c>
      <c r="F2446" s="512" t="s">
        <v>9823</v>
      </c>
      <c r="G2446" s="513" t="s">
        <v>7266</v>
      </c>
      <c r="H2446" s="514" t="s">
        <v>12592</v>
      </c>
      <c r="I2446" s="514" t="s">
        <v>12593</v>
      </c>
      <c r="J2446" s="512" t="s">
        <v>12628</v>
      </c>
      <c r="K2446" s="512"/>
      <c r="L2446" s="512"/>
      <c r="M2446" s="514"/>
      <c r="N2446" s="515">
        <v>9234</v>
      </c>
      <c r="O2446" s="511" t="s">
        <v>15</v>
      </c>
      <c r="P2446" s="515"/>
      <c r="Q2446" s="516">
        <f t="shared" si="352"/>
        <v>9234</v>
      </c>
      <c r="R2446" s="516">
        <f t="shared" si="353"/>
        <v>0</v>
      </c>
    </row>
    <row r="2447" spans="3:18" hidden="1" x14ac:dyDescent="0.25">
      <c r="C2447" s="511" t="s">
        <v>2450</v>
      </c>
      <c r="D2447" s="511"/>
      <c r="E2447" s="512" t="s">
        <v>0</v>
      </c>
      <c r="F2447" s="512" t="s">
        <v>9823</v>
      </c>
      <c r="G2447" s="513" t="s">
        <v>7266</v>
      </c>
      <c r="H2447" s="514" t="s">
        <v>12592</v>
      </c>
      <c r="I2447" s="514" t="s">
        <v>12593</v>
      </c>
      <c r="J2447" s="512" t="s">
        <v>12629</v>
      </c>
      <c r="K2447" s="512"/>
      <c r="L2447" s="512"/>
      <c r="M2447" s="514"/>
      <c r="N2447" s="515">
        <v>9234</v>
      </c>
      <c r="O2447" s="511" t="s">
        <v>15</v>
      </c>
      <c r="P2447" s="515"/>
      <c r="Q2447" s="516">
        <f t="shared" si="352"/>
        <v>9234</v>
      </c>
      <c r="R2447" s="516">
        <f t="shared" si="353"/>
        <v>0</v>
      </c>
    </row>
    <row r="2448" spans="3:18" hidden="1" x14ac:dyDescent="0.25">
      <c r="C2448" s="511" t="s">
        <v>2450</v>
      </c>
      <c r="D2448" s="511"/>
      <c r="E2448" s="512" t="s">
        <v>0</v>
      </c>
      <c r="F2448" s="512" t="s">
        <v>9823</v>
      </c>
      <c r="G2448" s="513" t="s">
        <v>7266</v>
      </c>
      <c r="H2448" s="514" t="s">
        <v>12592</v>
      </c>
      <c r="I2448" s="514" t="s">
        <v>12593</v>
      </c>
      <c r="J2448" s="512" t="s">
        <v>12630</v>
      </c>
      <c r="K2448" s="512"/>
      <c r="L2448" s="512"/>
      <c r="M2448" s="514"/>
      <c r="N2448" s="515">
        <v>9234</v>
      </c>
      <c r="O2448" s="511" t="s">
        <v>15</v>
      </c>
      <c r="P2448" s="515"/>
      <c r="Q2448" s="516">
        <f t="shared" si="352"/>
        <v>9234</v>
      </c>
      <c r="R2448" s="516">
        <f t="shared" si="353"/>
        <v>0</v>
      </c>
    </row>
    <row r="2449" spans="2:18" hidden="1" x14ac:dyDescent="0.25">
      <c r="C2449" s="417" t="s">
        <v>2450</v>
      </c>
      <c r="D2449" s="417"/>
      <c r="E2449" s="59" t="s">
        <v>0</v>
      </c>
      <c r="F2449" s="59" t="s">
        <v>9823</v>
      </c>
      <c r="G2449" s="418" t="s">
        <v>7266</v>
      </c>
      <c r="H2449" s="60" t="s">
        <v>12592</v>
      </c>
      <c r="I2449" s="60" t="s">
        <v>12593</v>
      </c>
      <c r="J2449" s="59" t="s">
        <v>12631</v>
      </c>
      <c r="K2449" s="59"/>
      <c r="L2449" s="59"/>
      <c r="M2449" s="60"/>
      <c r="N2449" s="99">
        <v>7734</v>
      </c>
      <c r="O2449" s="417" t="s">
        <v>15</v>
      </c>
      <c r="P2449" s="99"/>
      <c r="Q2449" s="517">
        <f t="shared" si="352"/>
        <v>7734</v>
      </c>
      <c r="R2449" s="517">
        <f t="shared" si="353"/>
        <v>0</v>
      </c>
    </row>
    <row r="2450" spans="2:18" hidden="1" x14ac:dyDescent="0.25">
      <c r="C2450" s="417" t="s">
        <v>2450</v>
      </c>
      <c r="D2450" s="417"/>
      <c r="E2450" s="59" t="s">
        <v>0</v>
      </c>
      <c r="F2450" s="59" t="s">
        <v>9823</v>
      </c>
      <c r="G2450" s="418" t="s">
        <v>7266</v>
      </c>
      <c r="H2450" s="60" t="s">
        <v>12592</v>
      </c>
      <c r="I2450" s="60" t="s">
        <v>12593</v>
      </c>
      <c r="J2450" s="59" t="s">
        <v>12632</v>
      </c>
      <c r="K2450" s="59"/>
      <c r="L2450" s="59"/>
      <c r="M2450" s="60"/>
      <c r="N2450" s="99">
        <v>9234</v>
      </c>
      <c r="O2450" s="417" t="s">
        <v>15</v>
      </c>
      <c r="P2450" s="99"/>
      <c r="Q2450" s="517">
        <f t="shared" si="352"/>
        <v>9234</v>
      </c>
      <c r="R2450" s="517">
        <f t="shared" si="353"/>
        <v>0</v>
      </c>
    </row>
    <row r="2451" spans="2:18" hidden="1" x14ac:dyDescent="0.25">
      <c r="C2451" s="417" t="s">
        <v>2450</v>
      </c>
      <c r="D2451" s="417"/>
      <c r="E2451" s="59" t="s">
        <v>0</v>
      </c>
      <c r="F2451" s="59" t="s">
        <v>9823</v>
      </c>
      <c r="G2451" s="418" t="s">
        <v>7266</v>
      </c>
      <c r="H2451" s="60" t="s">
        <v>12592</v>
      </c>
      <c r="I2451" s="60" t="s">
        <v>12593</v>
      </c>
      <c r="J2451" s="59" t="s">
        <v>12633</v>
      </c>
      <c r="K2451" s="59"/>
      <c r="L2451" s="59"/>
      <c r="M2451" s="60"/>
      <c r="N2451" s="99">
        <v>7734</v>
      </c>
      <c r="O2451" s="417" t="s">
        <v>15</v>
      </c>
      <c r="P2451" s="99"/>
      <c r="Q2451" s="517">
        <f t="shared" si="352"/>
        <v>7734</v>
      </c>
      <c r="R2451" s="517">
        <f t="shared" si="353"/>
        <v>0</v>
      </c>
    </row>
    <row r="2452" spans="2:18" hidden="1" x14ac:dyDescent="0.25">
      <c r="C2452" s="417" t="s">
        <v>2450</v>
      </c>
      <c r="D2452" s="417"/>
      <c r="E2452" s="59" t="s">
        <v>0</v>
      </c>
      <c r="F2452" s="59" t="s">
        <v>9823</v>
      </c>
      <c r="G2452" s="418" t="s">
        <v>7266</v>
      </c>
      <c r="H2452" s="60" t="s">
        <v>12592</v>
      </c>
      <c r="I2452" s="60" t="s">
        <v>12593</v>
      </c>
      <c r="J2452" s="59" t="s">
        <v>12634</v>
      </c>
      <c r="K2452" s="59"/>
      <c r="L2452" s="59"/>
      <c r="M2452" s="60"/>
      <c r="N2452" s="99">
        <v>9234</v>
      </c>
      <c r="O2452" s="417" t="s">
        <v>15</v>
      </c>
      <c r="P2452" s="99"/>
      <c r="Q2452" s="517">
        <f t="shared" si="352"/>
        <v>9234</v>
      </c>
      <c r="R2452" s="517">
        <f t="shared" si="353"/>
        <v>0</v>
      </c>
    </row>
    <row r="2453" spans="2:18" hidden="1" x14ac:dyDescent="0.25">
      <c r="C2453" s="417" t="s">
        <v>2450</v>
      </c>
      <c r="D2453" s="417"/>
      <c r="E2453" s="59" t="s">
        <v>0</v>
      </c>
      <c r="F2453" s="59" t="s">
        <v>9823</v>
      </c>
      <c r="G2453" s="418" t="s">
        <v>7266</v>
      </c>
      <c r="H2453" s="60" t="s">
        <v>12592</v>
      </c>
      <c r="I2453" s="60" t="s">
        <v>12593</v>
      </c>
      <c r="J2453" s="59" t="s">
        <v>12635</v>
      </c>
      <c r="K2453" s="59"/>
      <c r="L2453" s="59"/>
      <c r="M2453" s="60"/>
      <c r="N2453" s="99">
        <v>7734</v>
      </c>
      <c r="O2453" s="417" t="s">
        <v>15</v>
      </c>
      <c r="P2453" s="99"/>
      <c r="Q2453" s="517">
        <f t="shared" si="352"/>
        <v>7734</v>
      </c>
      <c r="R2453" s="517">
        <f t="shared" si="353"/>
        <v>0</v>
      </c>
    </row>
    <row r="2454" spans="2:18" hidden="1" x14ac:dyDescent="0.25">
      <c r="C2454" s="417" t="s">
        <v>2450</v>
      </c>
      <c r="D2454" s="417"/>
      <c r="E2454" s="59" t="s">
        <v>0</v>
      </c>
      <c r="F2454" s="59" t="s">
        <v>9823</v>
      </c>
      <c r="G2454" s="418" t="s">
        <v>7266</v>
      </c>
      <c r="H2454" s="60" t="s">
        <v>12592</v>
      </c>
      <c r="I2454" s="60" t="s">
        <v>12593</v>
      </c>
      <c r="J2454" s="59" t="s">
        <v>12636</v>
      </c>
      <c r="K2454" s="59"/>
      <c r="L2454" s="59"/>
      <c r="M2454" s="60"/>
      <c r="N2454" s="99">
        <v>9234</v>
      </c>
      <c r="O2454" s="417" t="s">
        <v>15</v>
      </c>
      <c r="P2454" s="99"/>
      <c r="Q2454" s="517">
        <f t="shared" si="352"/>
        <v>9234</v>
      </c>
      <c r="R2454" s="517">
        <f t="shared" si="353"/>
        <v>0</v>
      </c>
    </row>
    <row r="2455" spans="2:18" hidden="1" x14ac:dyDescent="0.25">
      <c r="C2455" s="417" t="s">
        <v>2450</v>
      </c>
      <c r="D2455" s="417"/>
      <c r="E2455" s="59" t="s">
        <v>0</v>
      </c>
      <c r="F2455" s="59" t="s">
        <v>9823</v>
      </c>
      <c r="G2455" s="418" t="s">
        <v>7266</v>
      </c>
      <c r="H2455" s="60" t="s">
        <v>12592</v>
      </c>
      <c r="I2455" s="60" t="s">
        <v>12593</v>
      </c>
      <c r="J2455" s="59" t="s">
        <v>12637</v>
      </c>
      <c r="K2455" s="59"/>
      <c r="L2455" s="59"/>
      <c r="M2455" s="60"/>
      <c r="N2455" s="99">
        <v>9234</v>
      </c>
      <c r="O2455" s="417" t="s">
        <v>15</v>
      </c>
      <c r="P2455" s="99"/>
      <c r="Q2455" s="517">
        <f t="shared" si="352"/>
        <v>9234</v>
      </c>
      <c r="R2455" s="517">
        <f t="shared" si="353"/>
        <v>0</v>
      </c>
    </row>
    <row r="2456" spans="2:18" hidden="1" x14ac:dyDescent="0.25">
      <c r="C2456" s="417" t="s">
        <v>2450</v>
      </c>
      <c r="D2456" s="417"/>
      <c r="E2456" s="59" t="s">
        <v>0</v>
      </c>
      <c r="F2456" s="59" t="s">
        <v>9823</v>
      </c>
      <c r="G2456" s="418" t="s">
        <v>7266</v>
      </c>
      <c r="H2456" s="60" t="s">
        <v>12592</v>
      </c>
      <c r="I2456" s="60" t="s">
        <v>12593</v>
      </c>
      <c r="J2456" s="59" t="s">
        <v>12638</v>
      </c>
      <c r="K2456" s="59"/>
      <c r="L2456" s="59"/>
      <c r="M2456" s="60"/>
      <c r="N2456" s="99">
        <v>9234</v>
      </c>
      <c r="O2456" s="417" t="s">
        <v>15</v>
      </c>
      <c r="P2456" s="99"/>
      <c r="Q2456" s="517">
        <f t="shared" si="352"/>
        <v>9234</v>
      </c>
      <c r="R2456" s="517">
        <f t="shared" si="353"/>
        <v>0</v>
      </c>
    </row>
    <row r="2457" spans="2:18" hidden="1" x14ac:dyDescent="0.25">
      <c r="C2457" s="417" t="s">
        <v>2450</v>
      </c>
      <c r="D2457" s="417"/>
      <c r="E2457" s="59" t="s">
        <v>0</v>
      </c>
      <c r="F2457" s="59" t="s">
        <v>9823</v>
      </c>
      <c r="G2457" s="418" t="s">
        <v>7266</v>
      </c>
      <c r="H2457" s="60" t="s">
        <v>12592</v>
      </c>
      <c r="I2457" s="60" t="s">
        <v>12593</v>
      </c>
      <c r="J2457" s="59" t="s">
        <v>12639</v>
      </c>
      <c r="K2457" s="59"/>
      <c r="L2457" s="59"/>
      <c r="M2457" s="60"/>
      <c r="N2457" s="99">
        <v>9234</v>
      </c>
      <c r="O2457" s="417" t="s">
        <v>15</v>
      </c>
      <c r="P2457" s="99"/>
      <c r="Q2457" s="517">
        <f t="shared" si="352"/>
        <v>9234</v>
      </c>
      <c r="R2457" s="517">
        <f t="shared" si="353"/>
        <v>0</v>
      </c>
    </row>
    <row r="2458" spans="2:18" hidden="1" x14ac:dyDescent="0.25">
      <c r="B2458" s="21" t="s">
        <v>395</v>
      </c>
      <c r="C2458" s="22" t="s">
        <v>2450</v>
      </c>
      <c r="D2458" s="22"/>
      <c r="E2458" s="21" t="s">
        <v>0</v>
      </c>
      <c r="F2458" s="21" t="s">
        <v>9823</v>
      </c>
      <c r="G2458" s="147" t="s">
        <v>7266</v>
      </c>
      <c r="H2458" s="23" t="s">
        <v>12592</v>
      </c>
      <c r="I2458" s="23" t="s">
        <v>12593</v>
      </c>
      <c r="J2458" s="21" t="s">
        <v>12595</v>
      </c>
      <c r="K2458" s="21"/>
      <c r="L2458" s="21" t="s">
        <v>12695</v>
      </c>
      <c r="M2458" s="26">
        <v>45929</v>
      </c>
      <c r="N2458" s="44">
        <v>4900</v>
      </c>
      <c r="O2458" s="22" t="s">
        <v>15</v>
      </c>
      <c r="P2458" s="44">
        <f>4900</f>
        <v>4900</v>
      </c>
      <c r="Q2458" s="24">
        <f t="shared" si="352"/>
        <v>0</v>
      </c>
      <c r="R2458" s="24">
        <f t="shared" si="353"/>
        <v>4900</v>
      </c>
    </row>
    <row r="2459" spans="2:18" hidden="1" x14ac:dyDescent="0.25">
      <c r="C2459" s="4" t="s">
        <v>2450</v>
      </c>
      <c r="E2459" s="5" t="s">
        <v>0</v>
      </c>
      <c r="F2459" s="5" t="s">
        <v>9773</v>
      </c>
      <c r="G2459" s="146" t="s">
        <v>10225</v>
      </c>
      <c r="H2459" s="7" t="s">
        <v>12640</v>
      </c>
      <c r="I2459" s="7" t="s">
        <v>12641</v>
      </c>
      <c r="J2459" s="5" t="s">
        <v>12642</v>
      </c>
      <c r="L2459" s="5" t="s">
        <v>12710</v>
      </c>
      <c r="M2459" s="12">
        <v>45926</v>
      </c>
      <c r="N2459" s="45">
        <v>49317</v>
      </c>
      <c r="O2459" s="4" t="s">
        <v>276</v>
      </c>
      <c r="P2459" s="45">
        <f>8651</f>
        <v>8651</v>
      </c>
      <c r="Q2459" s="3">
        <f t="shared" si="352"/>
        <v>40666</v>
      </c>
      <c r="R2459" s="3">
        <f t="shared" si="353"/>
        <v>8651</v>
      </c>
    </row>
    <row r="2460" spans="2:18" hidden="1" x14ac:dyDescent="0.25">
      <c r="B2460" s="21" t="s">
        <v>395</v>
      </c>
      <c r="C2460" s="22" t="s">
        <v>2450</v>
      </c>
      <c r="D2460" s="22"/>
      <c r="E2460" s="21" t="s">
        <v>0</v>
      </c>
      <c r="F2460" s="21" t="s">
        <v>9773</v>
      </c>
      <c r="G2460" s="147" t="s">
        <v>10225</v>
      </c>
      <c r="H2460" s="23" t="s">
        <v>12640</v>
      </c>
      <c r="I2460" s="23" t="s">
        <v>12641</v>
      </c>
      <c r="J2460" s="21" t="s">
        <v>12643</v>
      </c>
      <c r="K2460" s="21"/>
      <c r="L2460" s="21" t="s">
        <v>13106</v>
      </c>
      <c r="M2460" s="26">
        <v>45957</v>
      </c>
      <c r="N2460" s="44">
        <v>7547</v>
      </c>
      <c r="O2460" s="22" t="s">
        <v>276</v>
      </c>
      <c r="P2460" s="44">
        <v>7547</v>
      </c>
      <c r="Q2460" s="24">
        <f t="shared" si="352"/>
        <v>0</v>
      </c>
      <c r="R2460" s="24">
        <f t="shared" si="353"/>
        <v>7547</v>
      </c>
    </row>
    <row r="2461" spans="2:18" hidden="1" x14ac:dyDescent="0.25">
      <c r="B2461" s="21" t="s">
        <v>395</v>
      </c>
      <c r="C2461" s="22" t="s">
        <v>2450</v>
      </c>
      <c r="D2461" s="22"/>
      <c r="E2461" s="21" t="s">
        <v>10</v>
      </c>
      <c r="F2461" s="21" t="s">
        <v>9721</v>
      </c>
      <c r="G2461" s="147" t="s">
        <v>6506</v>
      </c>
      <c r="H2461" s="23" t="s">
        <v>12644</v>
      </c>
      <c r="I2461" s="23" t="s">
        <v>12645</v>
      </c>
      <c r="J2461" s="21" t="s">
        <v>6557</v>
      </c>
      <c r="K2461" s="21"/>
      <c r="L2461" s="21" t="s">
        <v>12822</v>
      </c>
      <c r="M2461" s="26">
        <v>45933</v>
      </c>
      <c r="N2461" s="44">
        <v>1620</v>
      </c>
      <c r="O2461" s="22" t="s">
        <v>15</v>
      </c>
      <c r="P2461" s="44">
        <v>4620</v>
      </c>
      <c r="Q2461" s="24">
        <f t="shared" ref="Q2461" si="354">IF(P2461="en cours",N2461,IF(P2461="OK",0,IF(N2461-P2461&lt;0,0,N2461-P2461)))</f>
        <v>0</v>
      </c>
      <c r="R2461" s="24">
        <f t="shared" ref="R2461" si="355">IF(P2461="OK",N2461-Q2461,IF(P2461="en cours",N2461-Q2461,P2461))</f>
        <v>4620</v>
      </c>
    </row>
    <row r="2462" spans="2:18" hidden="1" x14ac:dyDescent="0.25">
      <c r="C2462" s="4" t="s">
        <v>2450</v>
      </c>
      <c r="E2462" s="5" t="s">
        <v>10</v>
      </c>
      <c r="F2462" s="5" t="s">
        <v>9721</v>
      </c>
      <c r="G2462" s="146" t="s">
        <v>9160</v>
      </c>
      <c r="H2462" s="7" t="s">
        <v>12646</v>
      </c>
      <c r="I2462" s="7" t="s">
        <v>12647</v>
      </c>
      <c r="J2462" s="5" t="s">
        <v>12648</v>
      </c>
      <c r="L2462" s="5" t="s">
        <v>12825</v>
      </c>
      <c r="M2462" s="12">
        <v>45936</v>
      </c>
      <c r="N2462" s="45">
        <v>1089.9000000000001</v>
      </c>
      <c r="O2462" s="4" t="s">
        <v>15</v>
      </c>
      <c r="P2462" s="45">
        <v>1077.06</v>
      </c>
      <c r="Q2462" s="3">
        <f t="shared" ref="Q2462" si="356">IF(P2462="en cours",N2462,IF(P2462="OK",0,IF(N2462-P2462&lt;0,0,N2462-P2462)))</f>
        <v>12.840000000000146</v>
      </c>
      <c r="R2462" s="3">
        <f t="shared" ref="R2462" si="357">IF(P2462="OK",N2462-Q2462,IF(P2462="en cours",N2462-Q2462,P2462))</f>
        <v>1077.06</v>
      </c>
    </row>
    <row r="2463" spans="2:18" hidden="1" x14ac:dyDescent="0.25">
      <c r="C2463" s="4" t="s">
        <v>2450</v>
      </c>
      <c r="E2463" s="5" t="s">
        <v>0</v>
      </c>
      <c r="F2463" s="5" t="s">
        <v>9823</v>
      </c>
      <c r="G2463" s="146" t="s">
        <v>5405</v>
      </c>
      <c r="H2463" s="7" t="s">
        <v>12649</v>
      </c>
      <c r="I2463" s="7" t="s">
        <v>12650</v>
      </c>
      <c r="J2463" s="5" t="s">
        <v>11642</v>
      </c>
      <c r="L2463" s="5" t="s">
        <v>13977</v>
      </c>
      <c r="M2463" s="12" t="s">
        <v>13978</v>
      </c>
      <c r="N2463" s="45">
        <v>34500</v>
      </c>
      <c r="O2463" s="4" t="s">
        <v>15</v>
      </c>
      <c r="P2463" s="45">
        <f>11500+4600+6900</f>
        <v>23000</v>
      </c>
      <c r="Q2463" s="3">
        <f t="shared" ref="Q2463" si="358">IF(P2463="en cours",N2463,IF(P2463="OK",0,IF(N2463-P2463&lt;0,0,N2463-P2463)))</f>
        <v>11500</v>
      </c>
      <c r="R2463" s="3">
        <f t="shared" ref="R2463" si="359">IF(P2463="OK",N2463-Q2463,IF(P2463="en cours",N2463-Q2463,P2463))</f>
        <v>23000</v>
      </c>
    </row>
    <row r="2464" spans="2:18" hidden="1" x14ac:dyDescent="0.25">
      <c r="B2464" s="21" t="s">
        <v>395</v>
      </c>
      <c r="C2464" s="22" t="s">
        <v>2450</v>
      </c>
      <c r="D2464" s="22"/>
      <c r="E2464" s="21" t="s">
        <v>0</v>
      </c>
      <c r="F2464" s="21" t="s">
        <v>9823</v>
      </c>
      <c r="G2464" s="147" t="s">
        <v>92</v>
      </c>
      <c r="H2464" s="23" t="s">
        <v>12651</v>
      </c>
      <c r="I2464" s="23" t="s">
        <v>12652</v>
      </c>
      <c r="J2464" s="21" t="s">
        <v>12653</v>
      </c>
      <c r="K2464" s="21"/>
      <c r="L2464" s="21" t="s">
        <v>12696</v>
      </c>
      <c r="M2464" s="26">
        <v>45925</v>
      </c>
      <c r="N2464" s="44">
        <v>200</v>
      </c>
      <c r="O2464" s="22" t="s">
        <v>15</v>
      </c>
      <c r="P2464" s="44">
        <f>200</f>
        <v>200</v>
      </c>
      <c r="Q2464" s="24">
        <f t="shared" ref="Q2464:Q2488" si="360">IF(P2464="en cours",N2464,IF(P2464="OK",0,IF(N2464-P2464&lt;0,0,N2464-P2464)))</f>
        <v>0</v>
      </c>
      <c r="R2464" s="24">
        <f t="shared" ref="R2464:R2488" si="361">IF(P2464="OK",N2464-Q2464,IF(P2464="en cours",N2464-Q2464,P2464))</f>
        <v>200</v>
      </c>
    </row>
    <row r="2465" spans="2:19" hidden="1" x14ac:dyDescent="0.25">
      <c r="B2465" s="21" t="s">
        <v>395</v>
      </c>
      <c r="C2465" s="22" t="s">
        <v>158</v>
      </c>
      <c r="D2465" s="22"/>
      <c r="E2465" s="21" t="s">
        <v>10</v>
      </c>
      <c r="F2465" s="21" t="s">
        <v>9721</v>
      </c>
      <c r="G2465" s="147" t="s">
        <v>1090</v>
      </c>
      <c r="H2465" s="23" t="s">
        <v>12654</v>
      </c>
      <c r="I2465" s="23" t="s">
        <v>12655</v>
      </c>
      <c r="J2465" s="21" t="s">
        <v>12656</v>
      </c>
      <c r="K2465" s="21"/>
      <c r="L2465" s="21" t="s">
        <v>13665</v>
      </c>
      <c r="M2465" s="26" t="s">
        <v>13666</v>
      </c>
      <c r="N2465" s="44">
        <f>13517+1515+1705+13517</f>
        <v>30254</v>
      </c>
      <c r="O2465" s="22" t="s">
        <v>15</v>
      </c>
      <c r="P2465" s="44">
        <f>13517+1515+1705+13517</f>
        <v>30254</v>
      </c>
      <c r="Q2465" s="24">
        <f t="shared" si="360"/>
        <v>0</v>
      </c>
      <c r="R2465" s="24">
        <f t="shared" si="361"/>
        <v>30254</v>
      </c>
    </row>
    <row r="2466" spans="2:19" hidden="1" x14ac:dyDescent="0.25">
      <c r="C2466" s="4" t="s">
        <v>158</v>
      </c>
      <c r="E2466" s="5" t="s">
        <v>10</v>
      </c>
      <c r="F2466" s="5" t="s">
        <v>9721</v>
      </c>
      <c r="G2466" s="146" t="s">
        <v>1090</v>
      </c>
      <c r="H2466" s="7" t="s">
        <v>12654</v>
      </c>
      <c r="I2466" s="7" t="s">
        <v>12655</v>
      </c>
      <c r="J2466" s="5" t="s">
        <v>12657</v>
      </c>
      <c r="N2466" s="45">
        <f>8109+1515+1705+13517</f>
        <v>24846</v>
      </c>
      <c r="O2466" s="4" t="s">
        <v>15</v>
      </c>
      <c r="Q2466" s="3">
        <f t="shared" si="360"/>
        <v>24846</v>
      </c>
      <c r="R2466" s="3">
        <f t="shared" si="361"/>
        <v>0</v>
      </c>
    </row>
    <row r="2467" spans="2:19" hidden="1" x14ac:dyDescent="0.25">
      <c r="B2467" s="21" t="s">
        <v>395</v>
      </c>
      <c r="C2467" s="22" t="s">
        <v>2450</v>
      </c>
      <c r="D2467" s="22"/>
      <c r="E2467" s="21" t="s">
        <v>0</v>
      </c>
      <c r="F2467" s="21" t="s">
        <v>9807</v>
      </c>
      <c r="G2467" s="147" t="s">
        <v>6365</v>
      </c>
      <c r="H2467" s="23" t="s">
        <v>13082</v>
      </c>
      <c r="I2467" s="23" t="s">
        <v>13083</v>
      </c>
      <c r="J2467" s="21" t="s">
        <v>12658</v>
      </c>
      <c r="K2467" s="21"/>
      <c r="L2467" s="21"/>
      <c r="M2467" s="23"/>
      <c r="N2467" s="44">
        <v>0</v>
      </c>
      <c r="O2467" s="22" t="s">
        <v>15</v>
      </c>
      <c r="P2467" s="44"/>
      <c r="Q2467" s="24">
        <f t="shared" si="360"/>
        <v>0</v>
      </c>
      <c r="R2467" s="24">
        <f t="shared" si="361"/>
        <v>0</v>
      </c>
      <c r="S2467" s="5" t="s">
        <v>12675</v>
      </c>
    </row>
    <row r="2468" spans="2:19" hidden="1" x14ac:dyDescent="0.25">
      <c r="B2468" s="21" t="s">
        <v>395</v>
      </c>
      <c r="C2468" s="22" t="s">
        <v>2450</v>
      </c>
      <c r="D2468" s="22"/>
      <c r="E2468" s="21" t="s">
        <v>0</v>
      </c>
      <c r="F2468" s="21" t="s">
        <v>9807</v>
      </c>
      <c r="G2468" s="147" t="s">
        <v>6365</v>
      </c>
      <c r="H2468" s="23" t="s">
        <v>13082</v>
      </c>
      <c r="I2468" s="23" t="s">
        <v>13083</v>
      </c>
      <c r="J2468" s="21" t="s">
        <v>12659</v>
      </c>
      <c r="K2468" s="21"/>
      <c r="L2468" s="21"/>
      <c r="M2468" s="23"/>
      <c r="N2468" s="44">
        <v>0</v>
      </c>
      <c r="O2468" s="22" t="s">
        <v>15</v>
      </c>
      <c r="P2468" s="44"/>
      <c r="Q2468" s="24">
        <f t="shared" si="360"/>
        <v>0</v>
      </c>
      <c r="R2468" s="24">
        <f t="shared" si="361"/>
        <v>0</v>
      </c>
      <c r="S2468" s="5" t="s">
        <v>12675</v>
      </c>
    </row>
    <row r="2469" spans="2:19" hidden="1" x14ac:dyDescent="0.25">
      <c r="B2469" s="21" t="s">
        <v>395</v>
      </c>
      <c r="C2469" s="22" t="s">
        <v>2450</v>
      </c>
      <c r="D2469" s="22"/>
      <c r="E2469" s="21" t="s">
        <v>0</v>
      </c>
      <c r="F2469" s="21" t="s">
        <v>9807</v>
      </c>
      <c r="G2469" s="147" t="s">
        <v>6365</v>
      </c>
      <c r="H2469" s="23" t="s">
        <v>13082</v>
      </c>
      <c r="I2469" s="23" t="s">
        <v>13083</v>
      </c>
      <c r="J2469" s="21" t="s">
        <v>12660</v>
      </c>
      <c r="K2469" s="21"/>
      <c r="L2469" s="21"/>
      <c r="M2469" s="23"/>
      <c r="N2469" s="44">
        <v>0</v>
      </c>
      <c r="O2469" s="22" t="s">
        <v>15</v>
      </c>
      <c r="P2469" s="44"/>
      <c r="Q2469" s="24">
        <f t="shared" si="360"/>
        <v>0</v>
      </c>
      <c r="R2469" s="24">
        <f t="shared" si="361"/>
        <v>0</v>
      </c>
      <c r="S2469" s="5" t="s">
        <v>12675</v>
      </c>
    </row>
    <row r="2470" spans="2:19" hidden="1" x14ac:dyDescent="0.25">
      <c r="B2470" s="21" t="s">
        <v>395</v>
      </c>
      <c r="C2470" s="22" t="s">
        <v>2450</v>
      </c>
      <c r="D2470" s="22"/>
      <c r="E2470" s="21" t="s">
        <v>0</v>
      </c>
      <c r="F2470" s="21" t="s">
        <v>9807</v>
      </c>
      <c r="G2470" s="147" t="s">
        <v>6365</v>
      </c>
      <c r="H2470" s="23" t="s">
        <v>13082</v>
      </c>
      <c r="I2470" s="23" t="s">
        <v>13083</v>
      </c>
      <c r="J2470" s="21" t="s">
        <v>12661</v>
      </c>
      <c r="K2470" s="21"/>
      <c r="L2470" s="21"/>
      <c r="M2470" s="23"/>
      <c r="N2470" s="44">
        <v>0</v>
      </c>
      <c r="O2470" s="22" t="s">
        <v>15</v>
      </c>
      <c r="P2470" s="44"/>
      <c r="Q2470" s="24">
        <f t="shared" si="360"/>
        <v>0</v>
      </c>
      <c r="R2470" s="24">
        <f t="shared" si="361"/>
        <v>0</v>
      </c>
      <c r="S2470" s="5" t="s">
        <v>12675</v>
      </c>
    </row>
    <row r="2471" spans="2:19" hidden="1" x14ac:dyDescent="0.25">
      <c r="B2471" s="21" t="s">
        <v>395</v>
      </c>
      <c r="C2471" s="22" t="s">
        <v>2450</v>
      </c>
      <c r="D2471" s="22"/>
      <c r="E2471" s="21" t="s">
        <v>0</v>
      </c>
      <c r="F2471" s="21" t="s">
        <v>9807</v>
      </c>
      <c r="G2471" s="147" t="s">
        <v>6365</v>
      </c>
      <c r="H2471" s="23" t="s">
        <v>13082</v>
      </c>
      <c r="I2471" s="23" t="s">
        <v>13083</v>
      </c>
      <c r="J2471" s="21" t="s">
        <v>12661</v>
      </c>
      <c r="K2471" s="21"/>
      <c r="L2471" s="21"/>
      <c r="M2471" s="23"/>
      <c r="N2471" s="44">
        <v>0</v>
      </c>
      <c r="O2471" s="22" t="s">
        <v>15</v>
      </c>
      <c r="P2471" s="44"/>
      <c r="Q2471" s="24">
        <f t="shared" si="360"/>
        <v>0</v>
      </c>
      <c r="R2471" s="24">
        <f t="shared" si="361"/>
        <v>0</v>
      </c>
      <c r="S2471" s="5" t="s">
        <v>12675</v>
      </c>
    </row>
    <row r="2472" spans="2:19" hidden="1" x14ac:dyDescent="0.25">
      <c r="B2472" s="21" t="s">
        <v>395</v>
      </c>
      <c r="C2472" s="22" t="s">
        <v>2450</v>
      </c>
      <c r="D2472" s="22"/>
      <c r="E2472" s="21" t="s">
        <v>0</v>
      </c>
      <c r="F2472" s="21" t="s">
        <v>9807</v>
      </c>
      <c r="G2472" s="147" t="s">
        <v>6365</v>
      </c>
      <c r="H2472" s="23" t="s">
        <v>13082</v>
      </c>
      <c r="I2472" s="23" t="s">
        <v>13083</v>
      </c>
      <c r="J2472" s="21" t="s">
        <v>12662</v>
      </c>
      <c r="K2472" s="21"/>
      <c r="L2472" s="21"/>
      <c r="M2472" s="23"/>
      <c r="N2472" s="44">
        <v>0</v>
      </c>
      <c r="O2472" s="22" t="s">
        <v>15</v>
      </c>
      <c r="P2472" s="44"/>
      <c r="Q2472" s="24">
        <f t="shared" si="360"/>
        <v>0</v>
      </c>
      <c r="R2472" s="24">
        <f t="shared" si="361"/>
        <v>0</v>
      </c>
      <c r="S2472" s="5" t="s">
        <v>12675</v>
      </c>
    </row>
    <row r="2473" spans="2:19" hidden="1" x14ac:dyDescent="0.25">
      <c r="B2473" s="21" t="s">
        <v>395</v>
      </c>
      <c r="C2473" s="22" t="s">
        <v>2450</v>
      </c>
      <c r="D2473" s="22"/>
      <c r="E2473" s="21" t="s">
        <v>0</v>
      </c>
      <c r="F2473" s="21" t="s">
        <v>9807</v>
      </c>
      <c r="G2473" s="147" t="s">
        <v>6365</v>
      </c>
      <c r="H2473" s="23" t="s">
        <v>13082</v>
      </c>
      <c r="I2473" s="23" t="s">
        <v>13083</v>
      </c>
      <c r="J2473" s="21" t="s">
        <v>12663</v>
      </c>
      <c r="K2473" s="21"/>
      <c r="L2473" s="21"/>
      <c r="M2473" s="23"/>
      <c r="N2473" s="44">
        <v>0</v>
      </c>
      <c r="O2473" s="22" t="s">
        <v>15</v>
      </c>
      <c r="P2473" s="44"/>
      <c r="Q2473" s="24">
        <f t="shared" si="360"/>
        <v>0</v>
      </c>
      <c r="R2473" s="24">
        <f t="shared" si="361"/>
        <v>0</v>
      </c>
      <c r="S2473" s="5" t="s">
        <v>12675</v>
      </c>
    </row>
    <row r="2474" spans="2:19" hidden="1" x14ac:dyDescent="0.25">
      <c r="B2474" s="21" t="s">
        <v>395</v>
      </c>
      <c r="C2474" s="22" t="s">
        <v>2450</v>
      </c>
      <c r="D2474" s="22"/>
      <c r="E2474" s="21" t="s">
        <v>0</v>
      </c>
      <c r="F2474" s="21" t="s">
        <v>9807</v>
      </c>
      <c r="G2474" s="147" t="s">
        <v>6365</v>
      </c>
      <c r="H2474" s="23" t="s">
        <v>13082</v>
      </c>
      <c r="I2474" s="23" t="s">
        <v>13083</v>
      </c>
      <c r="J2474" s="21" t="s">
        <v>12664</v>
      </c>
      <c r="K2474" s="21"/>
      <c r="L2474" s="21"/>
      <c r="M2474" s="23"/>
      <c r="N2474" s="44">
        <v>0</v>
      </c>
      <c r="O2474" s="22" t="s">
        <v>15</v>
      </c>
      <c r="P2474" s="44"/>
      <c r="Q2474" s="24">
        <f t="shared" si="360"/>
        <v>0</v>
      </c>
      <c r="R2474" s="24">
        <f t="shared" si="361"/>
        <v>0</v>
      </c>
      <c r="S2474" s="5" t="s">
        <v>12675</v>
      </c>
    </row>
    <row r="2475" spans="2:19" hidden="1" x14ac:dyDescent="0.25">
      <c r="B2475" s="21" t="s">
        <v>395</v>
      </c>
      <c r="C2475" s="22" t="s">
        <v>2450</v>
      </c>
      <c r="D2475" s="22"/>
      <c r="E2475" s="21" t="s">
        <v>0</v>
      </c>
      <c r="F2475" s="21" t="s">
        <v>9807</v>
      </c>
      <c r="G2475" s="147" t="s">
        <v>6365</v>
      </c>
      <c r="H2475" s="23" t="s">
        <v>13082</v>
      </c>
      <c r="I2475" s="23" t="s">
        <v>13083</v>
      </c>
      <c r="J2475" s="21" t="s">
        <v>12665</v>
      </c>
      <c r="K2475" s="21"/>
      <c r="L2475" s="21"/>
      <c r="M2475" s="23"/>
      <c r="N2475" s="44">
        <v>0</v>
      </c>
      <c r="O2475" s="22" t="s">
        <v>15</v>
      </c>
      <c r="P2475" s="44"/>
      <c r="Q2475" s="24">
        <f t="shared" si="360"/>
        <v>0</v>
      </c>
      <c r="R2475" s="24">
        <f t="shared" si="361"/>
        <v>0</v>
      </c>
      <c r="S2475" s="5" t="s">
        <v>12675</v>
      </c>
    </row>
    <row r="2476" spans="2:19" hidden="1" x14ac:dyDescent="0.25">
      <c r="B2476" s="21" t="s">
        <v>395</v>
      </c>
      <c r="C2476" s="22" t="s">
        <v>2450</v>
      </c>
      <c r="D2476" s="22"/>
      <c r="E2476" s="21" t="s">
        <v>0</v>
      </c>
      <c r="F2476" s="21" t="s">
        <v>9807</v>
      </c>
      <c r="G2476" s="147" t="s">
        <v>6365</v>
      </c>
      <c r="H2476" s="23" t="s">
        <v>13082</v>
      </c>
      <c r="I2476" s="23" t="s">
        <v>13083</v>
      </c>
      <c r="J2476" s="21" t="s">
        <v>12666</v>
      </c>
      <c r="K2476" s="21"/>
      <c r="L2476" s="21"/>
      <c r="M2476" s="23"/>
      <c r="N2476" s="44">
        <v>0</v>
      </c>
      <c r="O2476" s="22" t="s">
        <v>15</v>
      </c>
      <c r="P2476" s="44"/>
      <c r="Q2476" s="24">
        <f t="shared" si="360"/>
        <v>0</v>
      </c>
      <c r="R2476" s="24">
        <f t="shared" si="361"/>
        <v>0</v>
      </c>
      <c r="S2476" s="5" t="s">
        <v>12675</v>
      </c>
    </row>
    <row r="2477" spans="2:19" hidden="1" x14ac:dyDescent="0.25">
      <c r="B2477" s="21" t="s">
        <v>395</v>
      </c>
      <c r="C2477" s="22" t="s">
        <v>2450</v>
      </c>
      <c r="D2477" s="22"/>
      <c r="E2477" s="21" t="s">
        <v>0</v>
      </c>
      <c r="F2477" s="21" t="s">
        <v>9807</v>
      </c>
      <c r="G2477" s="147" t="s">
        <v>6365</v>
      </c>
      <c r="H2477" s="23" t="s">
        <v>13082</v>
      </c>
      <c r="I2477" s="23" t="s">
        <v>13083</v>
      </c>
      <c r="J2477" s="21" t="s">
        <v>12667</v>
      </c>
      <c r="K2477" s="21"/>
      <c r="L2477" s="21"/>
      <c r="M2477" s="23"/>
      <c r="N2477" s="44">
        <v>0</v>
      </c>
      <c r="O2477" s="22" t="s">
        <v>15</v>
      </c>
      <c r="P2477" s="44"/>
      <c r="Q2477" s="24">
        <f t="shared" si="360"/>
        <v>0</v>
      </c>
      <c r="R2477" s="24">
        <f t="shared" si="361"/>
        <v>0</v>
      </c>
      <c r="S2477" s="5" t="s">
        <v>12675</v>
      </c>
    </row>
    <row r="2478" spans="2:19" hidden="1" x14ac:dyDescent="0.25">
      <c r="B2478" s="21" t="s">
        <v>395</v>
      </c>
      <c r="C2478" s="22" t="s">
        <v>2450</v>
      </c>
      <c r="D2478" s="22"/>
      <c r="E2478" s="21" t="s">
        <v>0</v>
      </c>
      <c r="F2478" s="21" t="s">
        <v>9807</v>
      </c>
      <c r="G2478" s="147" t="s">
        <v>6365</v>
      </c>
      <c r="H2478" s="23" t="s">
        <v>13082</v>
      </c>
      <c r="I2478" s="23" t="s">
        <v>13083</v>
      </c>
      <c r="J2478" s="21" t="s">
        <v>12668</v>
      </c>
      <c r="K2478" s="21"/>
      <c r="L2478" s="21"/>
      <c r="M2478" s="23"/>
      <c r="N2478" s="44">
        <v>0</v>
      </c>
      <c r="O2478" s="22" t="s">
        <v>15</v>
      </c>
      <c r="P2478" s="44"/>
      <c r="Q2478" s="24">
        <f t="shared" si="360"/>
        <v>0</v>
      </c>
      <c r="R2478" s="24">
        <f t="shared" si="361"/>
        <v>0</v>
      </c>
      <c r="S2478" s="5" t="s">
        <v>12675</v>
      </c>
    </row>
    <row r="2479" spans="2:19" hidden="1" x14ac:dyDescent="0.25">
      <c r="B2479" s="21" t="s">
        <v>395</v>
      </c>
      <c r="C2479" s="22" t="s">
        <v>2450</v>
      </c>
      <c r="D2479" s="22"/>
      <c r="E2479" s="21" t="s">
        <v>0</v>
      </c>
      <c r="F2479" s="21" t="s">
        <v>9807</v>
      </c>
      <c r="G2479" s="147" t="s">
        <v>6365</v>
      </c>
      <c r="H2479" s="23" t="s">
        <v>13082</v>
      </c>
      <c r="I2479" s="23" t="s">
        <v>13083</v>
      </c>
      <c r="J2479" s="21" t="s">
        <v>12669</v>
      </c>
      <c r="K2479" s="21"/>
      <c r="L2479" s="21"/>
      <c r="M2479" s="23"/>
      <c r="N2479" s="44">
        <v>0</v>
      </c>
      <c r="O2479" s="22" t="s">
        <v>15</v>
      </c>
      <c r="P2479" s="44"/>
      <c r="Q2479" s="24">
        <f t="shared" si="360"/>
        <v>0</v>
      </c>
      <c r="R2479" s="24">
        <f t="shared" si="361"/>
        <v>0</v>
      </c>
      <c r="S2479" s="5" t="s">
        <v>12675</v>
      </c>
    </row>
    <row r="2480" spans="2:19" hidden="1" x14ac:dyDescent="0.25">
      <c r="B2480" s="21" t="s">
        <v>395</v>
      </c>
      <c r="C2480" s="22" t="s">
        <v>2450</v>
      </c>
      <c r="D2480" s="22"/>
      <c r="E2480" s="21" t="s">
        <v>0</v>
      </c>
      <c r="F2480" s="21" t="s">
        <v>9807</v>
      </c>
      <c r="G2480" s="147" t="s">
        <v>6365</v>
      </c>
      <c r="H2480" s="23" t="s">
        <v>13082</v>
      </c>
      <c r="I2480" s="23" t="s">
        <v>13083</v>
      </c>
      <c r="J2480" s="21" t="s">
        <v>12670</v>
      </c>
      <c r="K2480" s="21"/>
      <c r="L2480" s="21"/>
      <c r="M2480" s="23"/>
      <c r="N2480" s="44">
        <v>0</v>
      </c>
      <c r="O2480" s="22" t="s">
        <v>15</v>
      </c>
      <c r="P2480" s="44"/>
      <c r="Q2480" s="24">
        <f t="shared" si="360"/>
        <v>0</v>
      </c>
      <c r="R2480" s="24">
        <f t="shared" si="361"/>
        <v>0</v>
      </c>
      <c r="S2480" s="5" t="s">
        <v>12675</v>
      </c>
    </row>
    <row r="2481" spans="2:19" hidden="1" x14ac:dyDescent="0.25">
      <c r="B2481" s="21" t="s">
        <v>395</v>
      </c>
      <c r="C2481" s="22" t="s">
        <v>2450</v>
      </c>
      <c r="D2481" s="22"/>
      <c r="E2481" s="21" t="s">
        <v>0</v>
      </c>
      <c r="F2481" s="21" t="s">
        <v>9807</v>
      </c>
      <c r="G2481" s="147" t="s">
        <v>6365</v>
      </c>
      <c r="H2481" s="23" t="s">
        <v>13082</v>
      </c>
      <c r="I2481" s="23" t="s">
        <v>13083</v>
      </c>
      <c r="J2481" s="21" t="s">
        <v>12671</v>
      </c>
      <c r="K2481" s="21"/>
      <c r="L2481" s="21"/>
      <c r="M2481" s="23"/>
      <c r="N2481" s="44">
        <v>0</v>
      </c>
      <c r="O2481" s="22" t="s">
        <v>15</v>
      </c>
      <c r="P2481" s="44"/>
      <c r="Q2481" s="24">
        <f t="shared" si="360"/>
        <v>0</v>
      </c>
      <c r="R2481" s="24">
        <f t="shared" si="361"/>
        <v>0</v>
      </c>
      <c r="S2481" s="5" t="s">
        <v>12675</v>
      </c>
    </row>
    <row r="2482" spans="2:19" hidden="1" x14ac:dyDescent="0.25">
      <c r="B2482" s="21" t="s">
        <v>395</v>
      </c>
      <c r="C2482" s="22" t="s">
        <v>2450</v>
      </c>
      <c r="D2482" s="22"/>
      <c r="E2482" s="21" t="s">
        <v>0</v>
      </c>
      <c r="F2482" s="21" t="s">
        <v>9807</v>
      </c>
      <c r="G2482" s="147" t="s">
        <v>6365</v>
      </c>
      <c r="H2482" s="23" t="s">
        <v>13082</v>
      </c>
      <c r="I2482" s="23" t="s">
        <v>13083</v>
      </c>
      <c r="J2482" s="21" t="s">
        <v>12672</v>
      </c>
      <c r="K2482" s="21"/>
      <c r="L2482" s="21"/>
      <c r="M2482" s="23"/>
      <c r="N2482" s="44">
        <v>0</v>
      </c>
      <c r="O2482" s="22" t="s">
        <v>15</v>
      </c>
      <c r="P2482" s="44"/>
      <c r="Q2482" s="24">
        <f t="shared" si="360"/>
        <v>0</v>
      </c>
      <c r="R2482" s="24">
        <f t="shared" si="361"/>
        <v>0</v>
      </c>
      <c r="S2482" s="5" t="s">
        <v>12675</v>
      </c>
    </row>
    <row r="2483" spans="2:19" hidden="1" x14ac:dyDescent="0.25">
      <c r="B2483" s="21" t="s">
        <v>395</v>
      </c>
      <c r="C2483" s="22" t="s">
        <v>2450</v>
      </c>
      <c r="D2483" s="22"/>
      <c r="E2483" s="21" t="s">
        <v>0</v>
      </c>
      <c r="F2483" s="21" t="s">
        <v>9807</v>
      </c>
      <c r="G2483" s="147" t="s">
        <v>6365</v>
      </c>
      <c r="H2483" s="23" t="s">
        <v>13082</v>
      </c>
      <c r="I2483" s="23" t="s">
        <v>13083</v>
      </c>
      <c r="J2483" s="21" t="s">
        <v>12673</v>
      </c>
      <c r="K2483" s="21"/>
      <c r="L2483" s="21"/>
      <c r="M2483" s="23"/>
      <c r="N2483" s="44">
        <v>0</v>
      </c>
      <c r="O2483" s="22" t="s">
        <v>15</v>
      </c>
      <c r="P2483" s="44"/>
      <c r="Q2483" s="24">
        <f t="shared" si="360"/>
        <v>0</v>
      </c>
      <c r="R2483" s="24">
        <f t="shared" si="361"/>
        <v>0</v>
      </c>
      <c r="S2483" s="5" t="s">
        <v>12675</v>
      </c>
    </row>
    <row r="2484" spans="2:19" hidden="1" x14ac:dyDescent="0.25">
      <c r="B2484" s="21" t="s">
        <v>395</v>
      </c>
      <c r="C2484" s="22" t="s">
        <v>2450</v>
      </c>
      <c r="D2484" s="22"/>
      <c r="E2484" s="21" t="s">
        <v>0</v>
      </c>
      <c r="F2484" s="21" t="s">
        <v>9807</v>
      </c>
      <c r="G2484" s="147" t="s">
        <v>6365</v>
      </c>
      <c r="H2484" s="23" t="s">
        <v>13082</v>
      </c>
      <c r="I2484" s="23" t="s">
        <v>13083</v>
      </c>
      <c r="J2484" s="21" t="s">
        <v>12674</v>
      </c>
      <c r="K2484" s="21"/>
      <c r="L2484" s="21"/>
      <c r="M2484" s="23"/>
      <c r="N2484" s="44">
        <v>0</v>
      </c>
      <c r="O2484" s="22" t="s">
        <v>15</v>
      </c>
      <c r="P2484" s="44"/>
      <c r="Q2484" s="24">
        <f t="shared" si="360"/>
        <v>0</v>
      </c>
      <c r="R2484" s="24">
        <f t="shared" si="361"/>
        <v>0</v>
      </c>
      <c r="S2484" s="5" t="s">
        <v>12675</v>
      </c>
    </row>
    <row r="2485" spans="2:19" hidden="1" x14ac:dyDescent="0.25">
      <c r="B2485" s="21" t="s">
        <v>395</v>
      </c>
      <c r="C2485" s="22" t="s">
        <v>8972</v>
      </c>
      <c r="D2485" s="22"/>
      <c r="E2485" s="21" t="s">
        <v>75</v>
      </c>
      <c r="F2485" s="21" t="s">
        <v>9783</v>
      </c>
      <c r="G2485" s="147" t="s">
        <v>12676</v>
      </c>
      <c r="H2485" s="23" t="s">
        <v>12677</v>
      </c>
      <c r="I2485" s="23" t="s">
        <v>12678</v>
      </c>
      <c r="J2485" s="21" t="s">
        <v>12679</v>
      </c>
      <c r="K2485" s="21"/>
      <c r="L2485" s="21" t="s">
        <v>12712</v>
      </c>
      <c r="M2485" s="26">
        <v>45931</v>
      </c>
      <c r="N2485" s="44">
        <v>11750</v>
      </c>
      <c r="O2485" s="22" t="s">
        <v>276</v>
      </c>
      <c r="P2485" s="44">
        <v>11750</v>
      </c>
      <c r="Q2485" s="24">
        <f t="shared" si="360"/>
        <v>0</v>
      </c>
      <c r="R2485" s="24">
        <f t="shared" si="361"/>
        <v>11750</v>
      </c>
    </row>
    <row r="2486" spans="2:19" hidden="1" x14ac:dyDescent="0.25">
      <c r="B2486" s="21" t="s">
        <v>395</v>
      </c>
      <c r="C2486" s="22" t="s">
        <v>8972</v>
      </c>
      <c r="D2486" s="22"/>
      <c r="E2486" s="21" t="s">
        <v>75</v>
      </c>
      <c r="F2486" s="21" t="s">
        <v>9783</v>
      </c>
      <c r="G2486" s="147" t="s">
        <v>7232</v>
      </c>
      <c r="H2486" s="23" t="s">
        <v>12680</v>
      </c>
      <c r="I2486" s="23" t="s">
        <v>12681</v>
      </c>
      <c r="J2486" s="21" t="s">
        <v>12679</v>
      </c>
      <c r="K2486" s="21"/>
      <c r="L2486" s="21" t="s">
        <v>12748</v>
      </c>
      <c r="M2486" s="26">
        <v>45933</v>
      </c>
      <c r="N2486" s="44">
        <v>2000</v>
      </c>
      <c r="O2486" s="22" t="s">
        <v>276</v>
      </c>
      <c r="P2486" s="44">
        <v>2000</v>
      </c>
      <c r="Q2486" s="24">
        <f t="shared" si="360"/>
        <v>0</v>
      </c>
      <c r="R2486" s="24">
        <f t="shared" si="361"/>
        <v>2000</v>
      </c>
    </row>
    <row r="2487" spans="2:19" hidden="1" x14ac:dyDescent="0.25">
      <c r="B2487" s="21" t="s">
        <v>395</v>
      </c>
      <c r="C2487" s="22" t="s">
        <v>2450</v>
      </c>
      <c r="D2487" s="22"/>
      <c r="E2487" s="21" t="s">
        <v>10</v>
      </c>
      <c r="F2487" s="21" t="s">
        <v>9721</v>
      </c>
      <c r="G2487" s="147" t="s">
        <v>9319</v>
      </c>
      <c r="H2487" s="23" t="s">
        <v>12682</v>
      </c>
      <c r="I2487" s="23" t="s">
        <v>12683</v>
      </c>
      <c r="J2487" s="21" t="s">
        <v>12684</v>
      </c>
      <c r="K2487" s="21"/>
      <c r="L2487" s="21" t="s">
        <v>12911</v>
      </c>
      <c r="M2487" s="26">
        <v>45954</v>
      </c>
      <c r="N2487" s="44">
        <v>5482.08</v>
      </c>
      <c r="O2487" s="22" t="s">
        <v>15</v>
      </c>
      <c r="P2487" s="44">
        <v>5482.8</v>
      </c>
      <c r="Q2487" s="24">
        <f t="shared" si="360"/>
        <v>0</v>
      </c>
      <c r="R2487" s="24">
        <f t="shared" si="361"/>
        <v>5482.8</v>
      </c>
    </row>
    <row r="2488" spans="2:19" hidden="1" x14ac:dyDescent="0.25">
      <c r="B2488" s="21" t="s">
        <v>395</v>
      </c>
      <c r="C2488" s="22" t="s">
        <v>2450</v>
      </c>
      <c r="D2488" s="22"/>
      <c r="E2488" s="21" t="s">
        <v>0</v>
      </c>
      <c r="F2488" s="21" t="s">
        <v>9823</v>
      </c>
      <c r="G2488" s="147" t="s">
        <v>8757</v>
      </c>
      <c r="H2488" s="23" t="s">
        <v>12685</v>
      </c>
      <c r="I2488" s="23" t="s">
        <v>12686</v>
      </c>
      <c r="J2488" s="21" t="s">
        <v>12687</v>
      </c>
      <c r="K2488" s="21"/>
      <c r="L2488" s="21" t="s">
        <v>12734</v>
      </c>
      <c r="M2488" s="26">
        <v>45930</v>
      </c>
      <c r="N2488" s="44">
        <v>14000</v>
      </c>
      <c r="O2488" s="22" t="s">
        <v>337</v>
      </c>
      <c r="P2488" s="44">
        <v>14400</v>
      </c>
      <c r="Q2488" s="24">
        <f t="shared" si="360"/>
        <v>0</v>
      </c>
      <c r="R2488" s="24">
        <f t="shared" si="361"/>
        <v>14400</v>
      </c>
    </row>
    <row r="2489" spans="2:19" hidden="1" x14ac:dyDescent="0.25">
      <c r="B2489" s="21" t="s">
        <v>395</v>
      </c>
      <c r="C2489" s="22" t="s">
        <v>158</v>
      </c>
      <c r="D2489" s="22"/>
      <c r="E2489" s="21" t="s">
        <v>9808</v>
      </c>
      <c r="F2489" s="21" t="s">
        <v>10570</v>
      </c>
      <c r="G2489" s="147" t="s">
        <v>9219</v>
      </c>
      <c r="H2489" s="23" t="s">
        <v>12713</v>
      </c>
      <c r="I2489" s="23"/>
      <c r="J2489" s="21" t="s">
        <v>12714</v>
      </c>
      <c r="K2489" s="21"/>
      <c r="L2489" s="21" t="s">
        <v>12731</v>
      </c>
      <c r="M2489" s="26">
        <v>45931</v>
      </c>
      <c r="N2489" s="44">
        <v>143755</v>
      </c>
      <c r="O2489" s="22" t="s">
        <v>276</v>
      </c>
      <c r="P2489" s="44">
        <v>143755</v>
      </c>
      <c r="Q2489" s="24">
        <f t="shared" ref="Q2489:Q2507" si="362">IF(P2489="en cours",N2489,IF(P2489="OK",0,IF(N2489-P2489&lt;0,0,N2489-P2489)))</f>
        <v>0</v>
      </c>
      <c r="R2489" s="24">
        <f t="shared" ref="R2489:R2507" si="363">IF(P2489="OK",N2489-Q2489,IF(P2489="en cours",N2489-Q2489,P2489))</f>
        <v>143755</v>
      </c>
    </row>
    <row r="2490" spans="2:19" hidden="1" x14ac:dyDescent="0.25">
      <c r="B2490" s="21" t="s">
        <v>395</v>
      </c>
      <c r="C2490" s="22" t="s">
        <v>158</v>
      </c>
      <c r="D2490" s="22"/>
      <c r="E2490" s="21" t="s">
        <v>9808</v>
      </c>
      <c r="F2490" s="21" t="s">
        <v>10570</v>
      </c>
      <c r="G2490" s="147" t="s">
        <v>9219</v>
      </c>
      <c r="H2490" s="23" t="s">
        <v>12713</v>
      </c>
      <c r="I2490" s="23"/>
      <c r="J2490" s="21" t="s">
        <v>12715</v>
      </c>
      <c r="K2490" s="21"/>
      <c r="L2490" s="21" t="s">
        <v>12731</v>
      </c>
      <c r="M2490" s="26">
        <v>45931</v>
      </c>
      <c r="N2490" s="44">
        <f>34329.52+10937.48+4786</f>
        <v>50053</v>
      </c>
      <c r="O2490" s="22" t="s">
        <v>276</v>
      </c>
      <c r="P2490" s="44">
        <v>50053</v>
      </c>
      <c r="Q2490" s="24">
        <f t="shared" si="362"/>
        <v>0</v>
      </c>
      <c r="R2490" s="24">
        <f t="shared" si="363"/>
        <v>50053</v>
      </c>
    </row>
    <row r="2491" spans="2:19" hidden="1" x14ac:dyDescent="0.25">
      <c r="B2491" s="21" t="s">
        <v>395</v>
      </c>
      <c r="C2491" s="22" t="s">
        <v>158</v>
      </c>
      <c r="D2491" s="22"/>
      <c r="E2491" s="21" t="s">
        <v>9808</v>
      </c>
      <c r="F2491" s="21" t="s">
        <v>10570</v>
      </c>
      <c r="G2491" s="147" t="s">
        <v>9219</v>
      </c>
      <c r="H2491" s="23" t="s">
        <v>12713</v>
      </c>
      <c r="I2491" s="23"/>
      <c r="J2491" s="21" t="s">
        <v>12716</v>
      </c>
      <c r="K2491" s="21"/>
      <c r="L2491" s="21" t="s">
        <v>12732</v>
      </c>
      <c r="M2491" s="26">
        <v>45931</v>
      </c>
      <c r="N2491" s="44">
        <v>100106</v>
      </c>
      <c r="O2491" s="22" t="s">
        <v>276</v>
      </c>
      <c r="P2491" s="44">
        <v>100106</v>
      </c>
      <c r="Q2491" s="24">
        <f t="shared" si="362"/>
        <v>0</v>
      </c>
      <c r="R2491" s="24">
        <f t="shared" si="363"/>
        <v>100106</v>
      </c>
    </row>
    <row r="2492" spans="2:19" hidden="1" x14ac:dyDescent="0.25">
      <c r="B2492" s="21" t="s">
        <v>395</v>
      </c>
      <c r="C2492" s="22" t="s">
        <v>158</v>
      </c>
      <c r="D2492" s="22"/>
      <c r="E2492" s="21" t="s">
        <v>9808</v>
      </c>
      <c r="F2492" s="21" t="s">
        <v>10570</v>
      </c>
      <c r="G2492" s="147" t="s">
        <v>9219</v>
      </c>
      <c r="H2492" s="23" t="s">
        <v>12713</v>
      </c>
      <c r="I2492" s="23"/>
      <c r="J2492" s="21" t="s">
        <v>12717</v>
      </c>
      <c r="K2492" s="21"/>
      <c r="L2492" s="21" t="s">
        <v>13227</v>
      </c>
      <c r="M2492" s="26">
        <v>45962</v>
      </c>
      <c r="N2492" s="44">
        <v>100106</v>
      </c>
      <c r="O2492" s="22" t="s">
        <v>276</v>
      </c>
      <c r="P2492" s="44">
        <v>100106</v>
      </c>
      <c r="Q2492" s="24">
        <f t="shared" si="362"/>
        <v>0</v>
      </c>
      <c r="R2492" s="24">
        <f t="shared" si="363"/>
        <v>100106</v>
      </c>
    </row>
    <row r="2493" spans="2:19" hidden="1" x14ac:dyDescent="0.25">
      <c r="B2493" s="21" t="s">
        <v>395</v>
      </c>
      <c r="C2493" s="22" t="s">
        <v>158</v>
      </c>
      <c r="D2493" s="22"/>
      <c r="E2493" s="21" t="s">
        <v>9808</v>
      </c>
      <c r="F2493" s="21" t="s">
        <v>10570</v>
      </c>
      <c r="G2493" s="147" t="s">
        <v>9219</v>
      </c>
      <c r="H2493" s="23" t="s">
        <v>13313</v>
      </c>
      <c r="I2493" s="23"/>
      <c r="J2493" s="21" t="s">
        <v>13314</v>
      </c>
      <c r="K2493" s="21"/>
      <c r="L2493" s="21" t="s">
        <v>13351</v>
      </c>
      <c r="M2493" s="26">
        <v>45980</v>
      </c>
      <c r="N2493" s="44">
        <v>84987.14</v>
      </c>
      <c r="O2493" s="22" t="s">
        <v>276</v>
      </c>
      <c r="P2493" s="44">
        <v>84987.14</v>
      </c>
      <c r="Q2493" s="24">
        <f t="shared" ref="Q2493" si="364">IF(P2493="en cours",N2493,IF(P2493="OK",0,IF(N2493-P2493&lt;0,0,N2493-P2493)))</f>
        <v>0</v>
      </c>
      <c r="R2493" s="24">
        <f t="shared" ref="R2493" si="365">IF(P2493="OK",N2493-Q2493,IF(P2493="en cours",N2493-Q2493,P2493))</f>
        <v>84987.14</v>
      </c>
    </row>
    <row r="2494" spans="2:19" hidden="1" x14ac:dyDescent="0.25">
      <c r="B2494" s="21" t="s">
        <v>395</v>
      </c>
      <c r="C2494" s="22" t="s">
        <v>158</v>
      </c>
      <c r="D2494" s="22"/>
      <c r="E2494" s="21" t="s">
        <v>9808</v>
      </c>
      <c r="F2494" s="21" t="s">
        <v>10570</v>
      </c>
      <c r="G2494" s="147" t="s">
        <v>9219</v>
      </c>
      <c r="H2494" s="23" t="s">
        <v>13313</v>
      </c>
      <c r="I2494" s="23"/>
      <c r="J2494" s="21" t="s">
        <v>12718</v>
      </c>
      <c r="K2494" s="21"/>
      <c r="L2494" s="21" t="s">
        <v>13458</v>
      </c>
      <c r="M2494" s="26">
        <v>45992</v>
      </c>
      <c r="N2494" s="44">
        <v>120220.29</v>
      </c>
      <c r="O2494" s="22" t="s">
        <v>276</v>
      </c>
      <c r="P2494" s="44">
        <v>120220.29</v>
      </c>
      <c r="Q2494" s="24">
        <f t="shared" si="362"/>
        <v>0</v>
      </c>
      <c r="R2494" s="24">
        <f t="shared" si="363"/>
        <v>120220.29</v>
      </c>
    </row>
    <row r="2495" spans="2:19" hidden="1" x14ac:dyDescent="0.25">
      <c r="B2495" s="21" t="s">
        <v>395</v>
      </c>
      <c r="C2495" s="22" t="s">
        <v>158</v>
      </c>
      <c r="D2495" s="22"/>
      <c r="E2495" s="21" t="s">
        <v>9808</v>
      </c>
      <c r="F2495" s="21" t="s">
        <v>10570</v>
      </c>
      <c r="G2495" s="147" t="s">
        <v>9219</v>
      </c>
      <c r="H2495" s="23" t="s">
        <v>13313</v>
      </c>
      <c r="I2495" s="23"/>
      <c r="J2495" s="21" t="s">
        <v>12719</v>
      </c>
      <c r="K2495" s="21"/>
      <c r="L2495" s="21" t="s">
        <v>14043</v>
      </c>
      <c r="M2495" s="26">
        <v>46054</v>
      </c>
      <c r="N2495" s="44">
        <v>120220.29</v>
      </c>
      <c r="O2495" s="22" t="s">
        <v>276</v>
      </c>
      <c r="P2495" s="44">
        <v>120220.29</v>
      </c>
      <c r="Q2495" s="24">
        <f t="shared" si="362"/>
        <v>0</v>
      </c>
      <c r="R2495" s="24">
        <f t="shared" si="363"/>
        <v>120220.29</v>
      </c>
    </row>
    <row r="2496" spans="2:19" hidden="1" x14ac:dyDescent="0.25">
      <c r="B2496" s="21" t="s">
        <v>395</v>
      </c>
      <c r="C2496" s="22" t="s">
        <v>158</v>
      </c>
      <c r="D2496" s="22"/>
      <c r="E2496" s="21" t="s">
        <v>9808</v>
      </c>
      <c r="F2496" s="21" t="s">
        <v>10570</v>
      </c>
      <c r="G2496" s="147" t="s">
        <v>9219</v>
      </c>
      <c r="H2496" s="23" t="s">
        <v>13313</v>
      </c>
      <c r="I2496" s="23"/>
      <c r="J2496" s="21" t="s">
        <v>12720</v>
      </c>
      <c r="K2496" s="21"/>
      <c r="L2496" s="21" t="s">
        <v>14044</v>
      </c>
      <c r="M2496" s="26">
        <v>46055</v>
      </c>
      <c r="N2496" s="44">
        <v>120220.29</v>
      </c>
      <c r="O2496" s="22" t="s">
        <v>276</v>
      </c>
      <c r="P2496" s="44">
        <v>120220.29</v>
      </c>
      <c r="Q2496" s="24">
        <f t="shared" si="362"/>
        <v>0</v>
      </c>
      <c r="R2496" s="24">
        <f t="shared" si="363"/>
        <v>120220.29</v>
      </c>
    </row>
    <row r="2497" spans="2:19" hidden="1" x14ac:dyDescent="0.25">
      <c r="C2497" s="4" t="s">
        <v>158</v>
      </c>
      <c r="E2497" s="5" t="s">
        <v>9808</v>
      </c>
      <c r="F2497" s="5" t="s">
        <v>10570</v>
      </c>
      <c r="G2497" s="146" t="s">
        <v>9219</v>
      </c>
      <c r="H2497" s="7" t="s">
        <v>13313</v>
      </c>
      <c r="J2497" s="5" t="s">
        <v>12721</v>
      </c>
      <c r="K2497" s="115"/>
      <c r="N2497" s="45">
        <v>146921.57</v>
      </c>
      <c r="O2497" s="4" t="s">
        <v>276</v>
      </c>
      <c r="Q2497" s="3">
        <f t="shared" si="362"/>
        <v>146921.57</v>
      </c>
      <c r="R2497" s="3">
        <f t="shared" si="363"/>
        <v>0</v>
      </c>
    </row>
    <row r="2498" spans="2:19" hidden="1" x14ac:dyDescent="0.25">
      <c r="C2498" s="4" t="s">
        <v>158</v>
      </c>
      <c r="E2498" s="5" t="s">
        <v>9808</v>
      </c>
      <c r="F2498" s="5" t="s">
        <v>10570</v>
      </c>
      <c r="G2498" s="146" t="s">
        <v>9219</v>
      </c>
      <c r="H2498" s="7" t="s">
        <v>13313</v>
      </c>
      <c r="J2498" s="5" t="s">
        <v>12722</v>
      </c>
      <c r="K2498" s="115"/>
      <c r="N2498" s="45">
        <v>146921.57</v>
      </c>
      <c r="O2498" s="4" t="s">
        <v>276</v>
      </c>
      <c r="Q2498" s="3">
        <f t="shared" si="362"/>
        <v>146921.57</v>
      </c>
      <c r="R2498" s="3">
        <f t="shared" si="363"/>
        <v>0</v>
      </c>
    </row>
    <row r="2499" spans="2:19" hidden="1" x14ac:dyDescent="0.25">
      <c r="C2499" s="4" t="s">
        <v>158</v>
      </c>
      <c r="E2499" s="5" t="s">
        <v>9808</v>
      </c>
      <c r="F2499" s="5" t="s">
        <v>10570</v>
      </c>
      <c r="G2499" s="146" t="s">
        <v>9219</v>
      </c>
      <c r="H2499" s="7" t="s">
        <v>13313</v>
      </c>
      <c r="J2499" s="5" t="s">
        <v>12723</v>
      </c>
      <c r="K2499" s="115"/>
      <c r="N2499" s="45">
        <v>146921.57</v>
      </c>
      <c r="O2499" s="4" t="s">
        <v>276</v>
      </c>
      <c r="Q2499" s="3">
        <f t="shared" si="362"/>
        <v>146921.57</v>
      </c>
      <c r="R2499" s="3">
        <f t="shared" si="363"/>
        <v>0</v>
      </c>
    </row>
    <row r="2500" spans="2:19" hidden="1" x14ac:dyDescent="0.25">
      <c r="C2500" s="4" t="s">
        <v>158</v>
      </c>
      <c r="E2500" s="5" t="s">
        <v>9808</v>
      </c>
      <c r="F2500" s="5" t="s">
        <v>10570</v>
      </c>
      <c r="G2500" s="146" t="s">
        <v>9219</v>
      </c>
      <c r="H2500" s="7" t="s">
        <v>13313</v>
      </c>
      <c r="J2500" s="5" t="s">
        <v>12724</v>
      </c>
      <c r="K2500" s="115"/>
      <c r="N2500" s="45">
        <v>146921.57</v>
      </c>
      <c r="O2500" s="4" t="s">
        <v>276</v>
      </c>
      <c r="Q2500" s="3">
        <f t="shared" si="362"/>
        <v>146921.57</v>
      </c>
      <c r="R2500" s="3">
        <f t="shared" si="363"/>
        <v>0</v>
      </c>
    </row>
    <row r="2501" spans="2:19" hidden="1" x14ac:dyDescent="0.25">
      <c r="C2501" s="4" t="s">
        <v>158</v>
      </c>
      <c r="E2501" s="5" t="s">
        <v>9808</v>
      </c>
      <c r="F2501" s="5" t="s">
        <v>10570</v>
      </c>
      <c r="G2501" s="146" t="s">
        <v>9219</v>
      </c>
      <c r="H2501" s="7" t="s">
        <v>13313</v>
      </c>
      <c r="J2501" s="5" t="s">
        <v>12725</v>
      </c>
      <c r="K2501" s="115"/>
      <c r="N2501" s="45">
        <v>146921.57</v>
      </c>
      <c r="O2501" s="4" t="s">
        <v>276</v>
      </c>
      <c r="Q2501" s="3">
        <f t="shared" si="362"/>
        <v>146921.57</v>
      </c>
      <c r="R2501" s="3">
        <f t="shared" si="363"/>
        <v>0</v>
      </c>
    </row>
    <row r="2502" spans="2:19" hidden="1" x14ac:dyDescent="0.25">
      <c r="C2502" s="4" t="s">
        <v>158</v>
      </c>
      <c r="E2502" s="5" t="s">
        <v>9808</v>
      </c>
      <c r="F2502" s="5" t="s">
        <v>10570</v>
      </c>
      <c r="G2502" s="146" t="s">
        <v>9219</v>
      </c>
      <c r="H2502" s="7" t="s">
        <v>13313</v>
      </c>
      <c r="J2502" s="5" t="s">
        <v>12726</v>
      </c>
      <c r="K2502" s="115"/>
      <c r="N2502" s="45">
        <v>146921.57</v>
      </c>
      <c r="O2502" s="4" t="s">
        <v>276</v>
      </c>
      <c r="Q2502" s="3">
        <f t="shared" si="362"/>
        <v>146921.57</v>
      </c>
      <c r="R2502" s="3">
        <f t="shared" si="363"/>
        <v>0</v>
      </c>
    </row>
    <row r="2503" spans="2:19" hidden="1" x14ac:dyDescent="0.25">
      <c r="C2503" s="4" t="s">
        <v>158</v>
      </c>
      <c r="E2503" s="5" t="s">
        <v>9808</v>
      </c>
      <c r="F2503" s="5" t="s">
        <v>10570</v>
      </c>
      <c r="G2503" s="146" t="s">
        <v>9219</v>
      </c>
      <c r="H2503" s="7" t="s">
        <v>13313</v>
      </c>
      <c r="J2503" s="5" t="s">
        <v>12727</v>
      </c>
      <c r="K2503" s="115"/>
      <c r="N2503" s="45">
        <v>146921.57</v>
      </c>
      <c r="O2503" s="4" t="s">
        <v>276</v>
      </c>
      <c r="Q2503" s="3">
        <f t="shared" si="362"/>
        <v>146921.57</v>
      </c>
      <c r="R2503" s="3">
        <f t="shared" si="363"/>
        <v>0</v>
      </c>
    </row>
    <row r="2504" spans="2:19" hidden="1" x14ac:dyDescent="0.25">
      <c r="C2504" s="4" t="s">
        <v>158</v>
      </c>
      <c r="E2504" s="5" t="s">
        <v>9808</v>
      </c>
      <c r="F2504" s="5" t="s">
        <v>10570</v>
      </c>
      <c r="G2504" s="146" t="s">
        <v>9219</v>
      </c>
      <c r="H2504" s="7" t="s">
        <v>13313</v>
      </c>
      <c r="J2504" s="5" t="s">
        <v>12728</v>
      </c>
      <c r="K2504" s="115"/>
      <c r="N2504" s="45">
        <v>155433.34</v>
      </c>
      <c r="O2504" s="4" t="s">
        <v>276</v>
      </c>
      <c r="Q2504" s="3">
        <f t="shared" si="362"/>
        <v>155433.34</v>
      </c>
      <c r="R2504" s="3">
        <f t="shared" si="363"/>
        <v>0</v>
      </c>
    </row>
    <row r="2505" spans="2:19" hidden="1" x14ac:dyDescent="0.25">
      <c r="C2505" s="4" t="s">
        <v>158</v>
      </c>
      <c r="E2505" s="5" t="s">
        <v>9808</v>
      </c>
      <c r="F2505" s="5" t="s">
        <v>10570</v>
      </c>
      <c r="G2505" s="146" t="s">
        <v>9219</v>
      </c>
      <c r="H2505" s="7" t="s">
        <v>13313</v>
      </c>
      <c r="J2505" s="5" t="s">
        <v>12729</v>
      </c>
      <c r="K2505" s="115"/>
      <c r="N2505" s="45">
        <v>155433.34</v>
      </c>
      <c r="O2505" s="4" t="s">
        <v>276</v>
      </c>
      <c r="Q2505" s="3">
        <f t="shared" si="362"/>
        <v>155433.34</v>
      </c>
      <c r="R2505" s="3">
        <f t="shared" si="363"/>
        <v>0</v>
      </c>
    </row>
    <row r="2506" spans="2:19" hidden="1" x14ac:dyDescent="0.25">
      <c r="C2506" s="4" t="s">
        <v>158</v>
      </c>
      <c r="E2506" s="5" t="s">
        <v>9808</v>
      </c>
      <c r="F2506" s="5" t="s">
        <v>10570</v>
      </c>
      <c r="G2506" s="146" t="s">
        <v>9219</v>
      </c>
      <c r="H2506" s="7" t="s">
        <v>13313</v>
      </c>
      <c r="J2506" s="5" t="s">
        <v>12730</v>
      </c>
      <c r="K2506" s="115"/>
      <c r="M2506" s="12"/>
      <c r="N2506" s="45">
        <v>155433.34</v>
      </c>
      <c r="O2506" s="4" t="s">
        <v>276</v>
      </c>
      <c r="Q2506" s="3">
        <f t="shared" si="362"/>
        <v>155433.34</v>
      </c>
      <c r="R2506" s="3">
        <f t="shared" si="363"/>
        <v>0</v>
      </c>
    </row>
    <row r="2507" spans="2:19" hidden="1" x14ac:dyDescent="0.25">
      <c r="B2507" s="21" t="s">
        <v>395</v>
      </c>
      <c r="C2507" s="22" t="s">
        <v>2450</v>
      </c>
      <c r="D2507" s="22"/>
      <c r="E2507" s="21" t="s">
        <v>10</v>
      </c>
      <c r="F2507" s="21" t="s">
        <v>9721</v>
      </c>
      <c r="G2507" s="147" t="s">
        <v>7030</v>
      </c>
      <c r="H2507" s="23" t="s">
        <v>12735</v>
      </c>
      <c r="I2507" s="23" t="s">
        <v>12736</v>
      </c>
      <c r="J2507" s="21" t="s">
        <v>6557</v>
      </c>
      <c r="K2507" s="47"/>
      <c r="L2507" s="21" t="s">
        <v>12841</v>
      </c>
      <c r="M2507" s="26">
        <v>45932</v>
      </c>
      <c r="N2507" s="44">
        <v>12444.56</v>
      </c>
      <c r="O2507" s="22" t="s">
        <v>15</v>
      </c>
      <c r="P2507" s="44">
        <f>2839.76+9604.8</f>
        <v>12444.56</v>
      </c>
      <c r="Q2507" s="24">
        <f t="shared" si="362"/>
        <v>0</v>
      </c>
      <c r="R2507" s="24">
        <f t="shared" si="363"/>
        <v>12444.56</v>
      </c>
      <c r="S2507" s="21"/>
    </row>
    <row r="2508" spans="2:19" hidden="1" x14ac:dyDescent="0.25">
      <c r="B2508" s="21" t="s">
        <v>395</v>
      </c>
      <c r="C2508" s="22" t="s">
        <v>2450</v>
      </c>
      <c r="D2508" s="22"/>
      <c r="E2508" s="21" t="s">
        <v>10</v>
      </c>
      <c r="F2508" s="21" t="s">
        <v>9721</v>
      </c>
      <c r="G2508" s="147" t="s">
        <v>12747</v>
      </c>
      <c r="H2508" s="23" t="s">
        <v>12751</v>
      </c>
      <c r="I2508" s="23" t="s">
        <v>12752</v>
      </c>
      <c r="J2508" s="21" t="s">
        <v>13387</v>
      </c>
      <c r="K2508" s="518"/>
      <c r="L2508" s="21" t="s">
        <v>12816</v>
      </c>
      <c r="M2508" s="26">
        <v>45939</v>
      </c>
      <c r="N2508" s="44">
        <v>39575</v>
      </c>
      <c r="O2508" s="22" t="s">
        <v>15</v>
      </c>
      <c r="P2508" s="44">
        <f>39575</f>
        <v>39575</v>
      </c>
      <c r="Q2508" s="24">
        <f t="shared" ref="Q2508:Q2523" si="366">IF(P2508="en cours",N2508,IF(P2508="OK",0,IF(N2508-P2508&lt;0,0,N2508-P2508)))</f>
        <v>0</v>
      </c>
      <c r="R2508" s="24">
        <f t="shared" ref="R2508:R2523" si="367">IF(P2508="OK",N2508-Q2508,IF(P2508="en cours",N2508-Q2508,P2508))</f>
        <v>39575</v>
      </c>
      <c r="S2508" s="5" t="s">
        <v>13202</v>
      </c>
    </row>
    <row r="2509" spans="2:19" hidden="1" x14ac:dyDescent="0.25">
      <c r="B2509" s="21" t="s">
        <v>395</v>
      </c>
      <c r="C2509" s="22" t="s">
        <v>2450</v>
      </c>
      <c r="D2509" s="22"/>
      <c r="E2509" s="21" t="s">
        <v>10</v>
      </c>
      <c r="F2509" s="21" t="s">
        <v>9721</v>
      </c>
      <c r="G2509" s="147" t="s">
        <v>12747</v>
      </c>
      <c r="H2509" s="23" t="s">
        <v>13331</v>
      </c>
      <c r="I2509" s="23" t="s">
        <v>13332</v>
      </c>
      <c r="J2509" s="21" t="s">
        <v>13333</v>
      </c>
      <c r="K2509" s="518"/>
      <c r="L2509" s="21" t="s">
        <v>13467</v>
      </c>
      <c r="M2509" s="26">
        <v>45994</v>
      </c>
      <c r="N2509" s="44">
        <v>115860</v>
      </c>
      <c r="O2509" s="22" t="s">
        <v>15</v>
      </c>
      <c r="P2509" s="44">
        <v>115860</v>
      </c>
      <c r="Q2509" s="24">
        <f t="shared" ref="Q2509" si="368">IF(P2509="en cours",N2509,IF(P2509="OK",0,IF(N2509-P2509&lt;0,0,N2509-P2509)))</f>
        <v>0</v>
      </c>
      <c r="R2509" s="24">
        <f t="shared" ref="R2509" si="369">IF(P2509="OK",N2509-Q2509,IF(P2509="en cours",N2509-Q2509,P2509))</f>
        <v>115860</v>
      </c>
      <c r="S2509" s="5" t="s">
        <v>13202</v>
      </c>
    </row>
    <row r="2510" spans="2:19" hidden="1" x14ac:dyDescent="0.25">
      <c r="B2510" s="21" t="s">
        <v>395</v>
      </c>
      <c r="C2510" s="22" t="s">
        <v>2450</v>
      </c>
      <c r="D2510" s="22"/>
      <c r="E2510" s="21" t="s">
        <v>10</v>
      </c>
      <c r="F2510" s="21" t="s">
        <v>9721</v>
      </c>
      <c r="G2510" s="147" t="s">
        <v>12747</v>
      </c>
      <c r="H2510" s="23" t="s">
        <v>12751</v>
      </c>
      <c r="I2510" s="23" t="s">
        <v>12752</v>
      </c>
      <c r="J2510" s="21" t="s">
        <v>13388</v>
      </c>
      <c r="K2510" s="518"/>
      <c r="L2510" s="21" t="s">
        <v>13386</v>
      </c>
      <c r="M2510" s="26">
        <v>45981</v>
      </c>
      <c r="N2510" s="44">
        <v>23745</v>
      </c>
      <c r="O2510" s="22" t="s">
        <v>15</v>
      </c>
      <c r="P2510" s="44">
        <v>23745</v>
      </c>
      <c r="Q2510" s="24">
        <f t="shared" si="366"/>
        <v>0</v>
      </c>
      <c r="R2510" s="24">
        <f t="shared" si="367"/>
        <v>23745</v>
      </c>
      <c r="S2510" s="5" t="s">
        <v>13202</v>
      </c>
    </row>
    <row r="2511" spans="2:19" hidden="1" x14ac:dyDescent="0.25">
      <c r="B2511" s="21" t="s">
        <v>395</v>
      </c>
      <c r="C2511" s="22" t="s">
        <v>2450</v>
      </c>
      <c r="D2511" s="22"/>
      <c r="E2511" s="21" t="s">
        <v>10</v>
      </c>
      <c r="F2511" s="21" t="s">
        <v>9721</v>
      </c>
      <c r="G2511" s="147" t="s">
        <v>12747</v>
      </c>
      <c r="H2511" s="23" t="s">
        <v>13331</v>
      </c>
      <c r="I2511" s="7" t="s">
        <v>13332</v>
      </c>
      <c r="J2511" s="314" t="s">
        <v>13334</v>
      </c>
      <c r="K2511" s="529"/>
      <c r="L2511" s="314" t="s">
        <v>13849</v>
      </c>
      <c r="M2511" s="315">
        <v>46035</v>
      </c>
      <c r="N2511" s="318">
        <v>69516</v>
      </c>
      <c r="O2511" s="22" t="s">
        <v>15</v>
      </c>
      <c r="P2511" s="44">
        <v>69516</v>
      </c>
      <c r="Q2511" s="24">
        <f t="shared" ref="Q2511:Q2512" si="370">IF(P2511="en cours",N2511,IF(P2511="OK",0,IF(N2511-P2511&lt;0,0,N2511-P2511)))</f>
        <v>0</v>
      </c>
      <c r="R2511" s="24">
        <f t="shared" ref="R2511:R2512" si="371">IF(P2511="OK",N2511-Q2511,IF(P2511="en cours",N2511-Q2511,P2511))</f>
        <v>69516</v>
      </c>
      <c r="S2511" s="5" t="s">
        <v>13202</v>
      </c>
    </row>
    <row r="2512" spans="2:19" hidden="1" x14ac:dyDescent="0.25">
      <c r="B2512" s="21" t="s">
        <v>395</v>
      </c>
      <c r="C2512" s="22" t="s">
        <v>2450</v>
      </c>
      <c r="D2512" s="22"/>
      <c r="E2512" s="21" t="s">
        <v>10</v>
      </c>
      <c r="F2512" s="21" t="s">
        <v>9721</v>
      </c>
      <c r="G2512" s="147" t="s">
        <v>12747</v>
      </c>
      <c r="H2512" s="23" t="s">
        <v>12751</v>
      </c>
      <c r="I2512" s="23" t="s">
        <v>12752</v>
      </c>
      <c r="J2512" s="21" t="s">
        <v>13389</v>
      </c>
      <c r="K2512" s="518"/>
      <c r="L2512" s="21" t="s">
        <v>13759</v>
      </c>
      <c r="M2512" s="26">
        <v>46024</v>
      </c>
      <c r="N2512" s="44">
        <v>15830</v>
      </c>
      <c r="O2512" s="22" t="s">
        <v>15</v>
      </c>
      <c r="P2512" s="44">
        <v>15830</v>
      </c>
      <c r="Q2512" s="24">
        <f t="shared" si="370"/>
        <v>0</v>
      </c>
      <c r="R2512" s="24">
        <f t="shared" si="371"/>
        <v>15830</v>
      </c>
      <c r="S2512" s="5" t="s">
        <v>13202</v>
      </c>
    </row>
    <row r="2513" spans="2:19" hidden="1" x14ac:dyDescent="0.25">
      <c r="B2513" s="21"/>
      <c r="C2513" s="22" t="s">
        <v>2450</v>
      </c>
      <c r="D2513" s="22"/>
      <c r="E2513" s="21" t="s">
        <v>10</v>
      </c>
      <c r="F2513" s="21" t="s">
        <v>9721</v>
      </c>
      <c r="G2513" s="147" t="s">
        <v>12747</v>
      </c>
      <c r="H2513" s="23" t="s">
        <v>13331</v>
      </c>
      <c r="I2513" s="7" t="s">
        <v>13332</v>
      </c>
      <c r="J2513" s="314" t="s">
        <v>13335</v>
      </c>
      <c r="K2513" s="529"/>
      <c r="L2513" s="314" t="s">
        <v>14281</v>
      </c>
      <c r="M2513" s="315">
        <v>46078</v>
      </c>
      <c r="N2513" s="318">
        <v>46334</v>
      </c>
      <c r="O2513" s="22" t="s">
        <v>15</v>
      </c>
      <c r="P2513" s="44">
        <v>46344</v>
      </c>
      <c r="Q2513" s="24">
        <f t="shared" si="366"/>
        <v>0</v>
      </c>
      <c r="R2513" s="24">
        <f t="shared" si="367"/>
        <v>46344</v>
      </c>
      <c r="S2513" s="5" t="s">
        <v>13202</v>
      </c>
    </row>
    <row r="2514" spans="2:19" hidden="1" x14ac:dyDescent="0.25">
      <c r="B2514" s="21" t="s">
        <v>395</v>
      </c>
      <c r="C2514" s="22" t="s">
        <v>2450</v>
      </c>
      <c r="D2514" s="22"/>
      <c r="E2514" s="21" t="s">
        <v>0</v>
      </c>
      <c r="F2514" s="21" t="s">
        <v>9823</v>
      </c>
      <c r="G2514" s="147" t="s">
        <v>6365</v>
      </c>
      <c r="H2514" s="23" t="s">
        <v>12753</v>
      </c>
      <c r="I2514" s="23" t="s">
        <v>12754</v>
      </c>
      <c r="J2514" s="21" t="s">
        <v>12188</v>
      </c>
      <c r="K2514" s="21"/>
      <c r="L2514" s="21" t="s">
        <v>13252</v>
      </c>
      <c r="M2514" s="26">
        <v>45964</v>
      </c>
      <c r="N2514" s="44">
        <v>3486</v>
      </c>
      <c r="O2514" s="22" t="s">
        <v>15</v>
      </c>
      <c r="P2514" s="44">
        <v>3486</v>
      </c>
      <c r="Q2514" s="24">
        <f t="shared" si="366"/>
        <v>0</v>
      </c>
      <c r="R2514" s="24">
        <f t="shared" si="367"/>
        <v>3486</v>
      </c>
    </row>
    <row r="2515" spans="2:19" hidden="1" x14ac:dyDescent="0.25">
      <c r="B2515" s="21" t="s">
        <v>395</v>
      </c>
      <c r="C2515" s="22" t="s">
        <v>2450</v>
      </c>
      <c r="D2515" s="22"/>
      <c r="E2515" s="21" t="s">
        <v>0</v>
      </c>
      <c r="F2515" s="21" t="s">
        <v>9823</v>
      </c>
      <c r="G2515" s="147" t="s">
        <v>6365</v>
      </c>
      <c r="H2515" s="23" t="s">
        <v>12753</v>
      </c>
      <c r="I2515" s="23" t="s">
        <v>12754</v>
      </c>
      <c r="J2515" s="21" t="s">
        <v>12189</v>
      </c>
      <c r="K2515" s="21"/>
      <c r="L2515" s="21" t="s">
        <v>13252</v>
      </c>
      <c r="M2515" s="26">
        <v>45964</v>
      </c>
      <c r="N2515" s="44">
        <v>9001</v>
      </c>
      <c r="O2515" s="22" t="s">
        <v>15</v>
      </c>
      <c r="P2515" s="44">
        <v>9001</v>
      </c>
      <c r="Q2515" s="24">
        <f t="shared" si="366"/>
        <v>0</v>
      </c>
      <c r="R2515" s="24">
        <f t="shared" si="367"/>
        <v>9001</v>
      </c>
    </row>
    <row r="2516" spans="2:19" x14ac:dyDescent="0.25">
      <c r="C2516" s="4" t="s">
        <v>2450</v>
      </c>
      <c r="E2516" s="5" t="s">
        <v>0</v>
      </c>
      <c r="F2516" s="5" t="s">
        <v>9823</v>
      </c>
      <c r="G2516" s="146" t="s">
        <v>6365</v>
      </c>
      <c r="H2516" s="7" t="s">
        <v>12753</v>
      </c>
      <c r="I2516" s="7" t="s">
        <v>12754</v>
      </c>
      <c r="J2516" s="5" t="s">
        <v>12190</v>
      </c>
      <c r="N2516" s="45">
        <v>11101</v>
      </c>
      <c r="O2516" s="4" t="s">
        <v>15</v>
      </c>
      <c r="Q2516" s="3">
        <f t="shared" si="366"/>
        <v>11101</v>
      </c>
      <c r="R2516" s="3">
        <f t="shared" si="367"/>
        <v>0</v>
      </c>
    </row>
    <row r="2517" spans="2:19" x14ac:dyDescent="0.25">
      <c r="C2517" s="4" t="s">
        <v>2450</v>
      </c>
      <c r="E2517" s="5" t="s">
        <v>0</v>
      </c>
      <c r="F2517" s="5" t="s">
        <v>9823</v>
      </c>
      <c r="G2517" s="146" t="s">
        <v>6365</v>
      </c>
      <c r="H2517" s="7" t="s">
        <v>12753</v>
      </c>
      <c r="I2517" s="7" t="s">
        <v>12754</v>
      </c>
      <c r="J2517" s="5" t="s">
        <v>12191</v>
      </c>
      <c r="N2517" s="45">
        <v>8481</v>
      </c>
      <c r="O2517" s="4" t="s">
        <v>15</v>
      </c>
      <c r="Q2517" s="3">
        <f t="shared" si="366"/>
        <v>8481</v>
      </c>
      <c r="R2517" s="3">
        <f t="shared" si="367"/>
        <v>0</v>
      </c>
    </row>
    <row r="2518" spans="2:19" x14ac:dyDescent="0.25">
      <c r="C2518" s="4" t="s">
        <v>2450</v>
      </c>
      <c r="E2518" s="5" t="s">
        <v>0</v>
      </c>
      <c r="F2518" s="5" t="s">
        <v>9823</v>
      </c>
      <c r="G2518" s="146" t="s">
        <v>6365</v>
      </c>
      <c r="H2518" s="7" t="s">
        <v>12753</v>
      </c>
      <c r="I2518" s="7" t="s">
        <v>12754</v>
      </c>
      <c r="J2518" s="5" t="s">
        <v>12192</v>
      </c>
      <c r="N2518" s="45">
        <v>8481</v>
      </c>
      <c r="O2518" s="4" t="s">
        <v>15</v>
      </c>
      <c r="Q2518" s="3">
        <f t="shared" si="366"/>
        <v>8481</v>
      </c>
      <c r="R2518" s="3">
        <f t="shared" si="367"/>
        <v>0</v>
      </c>
    </row>
    <row r="2519" spans="2:19" x14ac:dyDescent="0.25">
      <c r="C2519" s="4" t="s">
        <v>2450</v>
      </c>
      <c r="E2519" s="5" t="s">
        <v>0</v>
      </c>
      <c r="F2519" s="5" t="s">
        <v>9823</v>
      </c>
      <c r="G2519" s="146" t="s">
        <v>6365</v>
      </c>
      <c r="H2519" s="7" t="s">
        <v>12753</v>
      </c>
      <c r="I2519" s="7" t="s">
        <v>12754</v>
      </c>
      <c r="J2519" s="5" t="s">
        <v>12193</v>
      </c>
      <c r="N2519" s="45">
        <v>8481</v>
      </c>
      <c r="O2519" s="4" t="s">
        <v>15</v>
      </c>
      <c r="Q2519" s="3">
        <f t="shared" si="366"/>
        <v>8481</v>
      </c>
      <c r="R2519" s="3">
        <f t="shared" si="367"/>
        <v>0</v>
      </c>
    </row>
    <row r="2520" spans="2:19" x14ac:dyDescent="0.25">
      <c r="C2520" s="4" t="s">
        <v>2450</v>
      </c>
      <c r="E2520" s="5" t="s">
        <v>0</v>
      </c>
      <c r="F2520" s="5" t="s">
        <v>9823</v>
      </c>
      <c r="G2520" s="146" t="s">
        <v>6365</v>
      </c>
      <c r="H2520" s="7" t="s">
        <v>12753</v>
      </c>
      <c r="I2520" s="7" t="s">
        <v>12754</v>
      </c>
      <c r="J2520" s="5" t="s">
        <v>12194</v>
      </c>
      <c r="N2520" s="45">
        <v>8481</v>
      </c>
      <c r="O2520" s="4" t="s">
        <v>15</v>
      </c>
      <c r="Q2520" s="3">
        <f t="shared" si="366"/>
        <v>8481</v>
      </c>
      <c r="R2520" s="3">
        <f t="shared" si="367"/>
        <v>0</v>
      </c>
    </row>
    <row r="2521" spans="2:19" x14ac:dyDescent="0.25">
      <c r="C2521" s="4" t="s">
        <v>2450</v>
      </c>
      <c r="E2521" s="5" t="s">
        <v>0</v>
      </c>
      <c r="F2521" s="5" t="s">
        <v>9823</v>
      </c>
      <c r="G2521" s="146" t="s">
        <v>6365</v>
      </c>
      <c r="H2521" s="7" t="s">
        <v>12753</v>
      </c>
      <c r="I2521" s="7" t="s">
        <v>12754</v>
      </c>
      <c r="J2521" s="5" t="s">
        <v>12195</v>
      </c>
      <c r="N2521" s="45">
        <v>8481</v>
      </c>
      <c r="O2521" s="4" t="s">
        <v>15</v>
      </c>
      <c r="Q2521" s="3">
        <f t="shared" si="366"/>
        <v>8481</v>
      </c>
      <c r="R2521" s="3">
        <f t="shared" si="367"/>
        <v>0</v>
      </c>
    </row>
    <row r="2522" spans="2:19" x14ac:dyDescent="0.25">
      <c r="C2522" s="4" t="s">
        <v>2450</v>
      </c>
      <c r="E2522" s="5" t="s">
        <v>0</v>
      </c>
      <c r="F2522" s="5" t="s">
        <v>9823</v>
      </c>
      <c r="G2522" s="146" t="s">
        <v>6365</v>
      </c>
      <c r="H2522" s="7" t="s">
        <v>12753</v>
      </c>
      <c r="I2522" s="7" t="s">
        <v>12754</v>
      </c>
      <c r="J2522" s="5" t="s">
        <v>12196</v>
      </c>
      <c r="N2522" s="45">
        <v>8481</v>
      </c>
      <c r="O2522" s="4" t="s">
        <v>15</v>
      </c>
      <c r="Q2522" s="3">
        <f t="shared" si="366"/>
        <v>8481</v>
      </c>
      <c r="R2522" s="3">
        <f t="shared" si="367"/>
        <v>0</v>
      </c>
    </row>
    <row r="2523" spans="2:19" x14ac:dyDescent="0.25">
      <c r="C2523" s="4" t="s">
        <v>2450</v>
      </c>
      <c r="E2523" s="5" t="s">
        <v>0</v>
      </c>
      <c r="F2523" s="5" t="s">
        <v>9823</v>
      </c>
      <c r="G2523" s="146" t="s">
        <v>6365</v>
      </c>
      <c r="H2523" s="7" t="s">
        <v>12753</v>
      </c>
      <c r="I2523" s="7" t="s">
        <v>12754</v>
      </c>
      <c r="J2523" s="5" t="s">
        <v>12755</v>
      </c>
      <c r="N2523" s="45">
        <f>2400+3000</f>
        <v>5400</v>
      </c>
      <c r="O2523" s="4" t="s">
        <v>15</v>
      </c>
      <c r="Q2523" s="3">
        <f t="shared" si="366"/>
        <v>5400</v>
      </c>
      <c r="R2523" s="3">
        <f t="shared" si="367"/>
        <v>0</v>
      </c>
      <c r="S2523" s="5" t="s">
        <v>12756</v>
      </c>
    </row>
    <row r="2524" spans="2:19" hidden="1" x14ac:dyDescent="0.25">
      <c r="B2524" s="21" t="s">
        <v>395</v>
      </c>
      <c r="C2524" s="22" t="s">
        <v>2450</v>
      </c>
      <c r="D2524" s="22"/>
      <c r="E2524" s="21" t="s">
        <v>0</v>
      </c>
      <c r="F2524" s="21" t="s">
        <v>9823</v>
      </c>
      <c r="G2524" s="147" t="s">
        <v>6365</v>
      </c>
      <c r="H2524" s="23" t="s">
        <v>12757</v>
      </c>
      <c r="I2524" s="23" t="s">
        <v>12758</v>
      </c>
      <c r="J2524" s="21" t="s">
        <v>12759</v>
      </c>
      <c r="K2524" s="21"/>
      <c r="L2524" s="21" t="s">
        <v>12826</v>
      </c>
      <c r="M2524" s="26">
        <v>45938</v>
      </c>
      <c r="N2524" s="44">
        <v>6600</v>
      </c>
      <c r="O2524" s="22" t="s">
        <v>15</v>
      </c>
      <c r="P2524" s="44">
        <v>6600</v>
      </c>
      <c r="Q2524" s="24">
        <f t="shared" ref="Q2524" si="372">IF(P2524="en cours",N2524,IF(P2524="OK",0,IF(N2524-P2524&lt;0,0,N2524-P2524)))</f>
        <v>0</v>
      </c>
      <c r="R2524" s="24">
        <f t="shared" ref="R2524" si="373">IF(P2524="OK",N2524-Q2524,IF(P2524="en cours",N2524-Q2524,P2524))</f>
        <v>6600</v>
      </c>
    </row>
    <row r="2525" spans="2:19" hidden="1" x14ac:dyDescent="0.25">
      <c r="B2525" s="21" t="s">
        <v>395</v>
      </c>
      <c r="C2525" s="22" t="s">
        <v>2450</v>
      </c>
      <c r="D2525" s="22"/>
      <c r="E2525" s="21" t="s">
        <v>0</v>
      </c>
      <c r="F2525" s="21" t="s">
        <v>9823</v>
      </c>
      <c r="G2525" s="147" t="s">
        <v>6365</v>
      </c>
      <c r="H2525" s="23" t="s">
        <v>12760</v>
      </c>
      <c r="I2525" s="23" t="s">
        <v>12761</v>
      </c>
      <c r="J2525" s="21" t="s">
        <v>12762</v>
      </c>
      <c r="K2525" s="21"/>
      <c r="L2525" s="21" t="s">
        <v>12829</v>
      </c>
      <c r="M2525" s="26">
        <v>45936</v>
      </c>
      <c r="N2525" s="44">
        <v>3690</v>
      </c>
      <c r="O2525" s="22" t="s">
        <v>15</v>
      </c>
      <c r="P2525" s="44">
        <v>3690</v>
      </c>
      <c r="Q2525" s="24">
        <f t="shared" ref="Q2525" si="374">IF(P2525="en cours",N2525,IF(P2525="OK",0,IF(N2525-P2525&lt;0,0,N2525-P2525)))</f>
        <v>0</v>
      </c>
      <c r="R2525" s="24">
        <f t="shared" ref="R2525" si="375">IF(P2525="OK",N2525-Q2525,IF(P2525="en cours",N2525-Q2525,P2525))</f>
        <v>3690</v>
      </c>
    </row>
    <row r="2526" spans="2:19" hidden="1" x14ac:dyDescent="0.25">
      <c r="B2526" s="21" t="s">
        <v>395</v>
      </c>
      <c r="C2526" s="22" t="s">
        <v>158</v>
      </c>
      <c r="D2526" s="22"/>
      <c r="E2526" s="21" t="s">
        <v>10</v>
      </c>
      <c r="F2526" s="21" t="s">
        <v>9721</v>
      </c>
      <c r="G2526" s="147" t="s">
        <v>12763</v>
      </c>
      <c r="H2526" s="23" t="s">
        <v>12764</v>
      </c>
      <c r="I2526" s="23" t="s">
        <v>12765</v>
      </c>
      <c r="J2526" s="21" t="s">
        <v>6557</v>
      </c>
      <c r="K2526" s="21"/>
      <c r="L2526" s="21" t="s">
        <v>13485</v>
      </c>
      <c r="M2526" s="26">
        <v>45999</v>
      </c>
      <c r="N2526" s="44">
        <v>277.38</v>
      </c>
      <c r="O2526" s="22" t="s">
        <v>15</v>
      </c>
      <c r="P2526" s="44">
        <v>277.38</v>
      </c>
      <c r="Q2526" s="24">
        <f t="shared" ref="Q2526:Q2528" si="376">IF(P2526="en cours",N2526,IF(P2526="OK",0,IF(N2526-P2526&lt;0,0,N2526-P2526)))</f>
        <v>0</v>
      </c>
      <c r="R2526" s="24">
        <f t="shared" ref="R2526:R2528" si="377">IF(P2526="OK",N2526-Q2526,IF(P2526="en cours",N2526-Q2526,P2526))</f>
        <v>277.38</v>
      </c>
    </row>
    <row r="2527" spans="2:19" hidden="1" x14ac:dyDescent="0.25">
      <c r="B2527" s="21" t="s">
        <v>395</v>
      </c>
      <c r="C2527" s="22" t="s">
        <v>158</v>
      </c>
      <c r="D2527" s="22"/>
      <c r="E2527" s="21" t="s">
        <v>10</v>
      </c>
      <c r="F2527" s="21" t="s">
        <v>9721</v>
      </c>
      <c r="G2527" s="147" t="s">
        <v>11065</v>
      </c>
      <c r="H2527" s="23" t="s">
        <v>12766</v>
      </c>
      <c r="I2527" s="23" t="s">
        <v>12767</v>
      </c>
      <c r="J2527" s="21" t="s">
        <v>6557</v>
      </c>
      <c r="K2527" s="21"/>
      <c r="L2527" s="21" t="s">
        <v>12828</v>
      </c>
      <c r="M2527" s="26">
        <v>45936</v>
      </c>
      <c r="N2527" s="44">
        <v>1441</v>
      </c>
      <c r="O2527" s="22" t="s">
        <v>15</v>
      </c>
      <c r="P2527" s="44">
        <v>1441</v>
      </c>
      <c r="Q2527" s="24">
        <f t="shared" ref="Q2527" si="378">IF(P2527="en cours",N2527,IF(P2527="OK",0,IF(N2527-P2527&lt;0,0,N2527-P2527)))</f>
        <v>0</v>
      </c>
      <c r="R2527" s="24">
        <f t="shared" ref="R2527" si="379">IF(P2527="OK",N2527-Q2527,IF(P2527="en cours",N2527-Q2527,P2527))</f>
        <v>1441</v>
      </c>
    </row>
    <row r="2528" spans="2:19" hidden="1" x14ac:dyDescent="0.25">
      <c r="B2528" s="21" t="s">
        <v>395</v>
      </c>
      <c r="C2528" s="22" t="s">
        <v>158</v>
      </c>
      <c r="D2528" s="22"/>
      <c r="E2528" s="21" t="s">
        <v>10</v>
      </c>
      <c r="F2528" s="21" t="s">
        <v>9721</v>
      </c>
      <c r="G2528" s="147" t="s">
        <v>9319</v>
      </c>
      <c r="H2528" s="23" t="s">
        <v>12768</v>
      </c>
      <c r="I2528" s="23" t="s">
        <v>12769</v>
      </c>
      <c r="J2528" s="21" t="s">
        <v>6557</v>
      </c>
      <c r="K2528" s="21"/>
      <c r="L2528" s="21" t="s">
        <v>12823</v>
      </c>
      <c r="M2528" s="26">
        <v>45936</v>
      </c>
      <c r="N2528" s="44">
        <v>2053.79</v>
      </c>
      <c r="O2528" s="22" t="s">
        <v>15</v>
      </c>
      <c r="P2528" s="44">
        <v>2053.79</v>
      </c>
      <c r="Q2528" s="24">
        <f t="shared" si="376"/>
        <v>0</v>
      </c>
      <c r="R2528" s="24">
        <f t="shared" si="377"/>
        <v>2053.79</v>
      </c>
    </row>
    <row r="2529" spans="2:19" hidden="1" x14ac:dyDescent="0.25">
      <c r="B2529" s="21" t="s">
        <v>395</v>
      </c>
      <c r="C2529" s="22" t="s">
        <v>2450</v>
      </c>
      <c r="D2529" s="520" t="s">
        <v>12913</v>
      </c>
      <c r="E2529" s="21" t="s">
        <v>10</v>
      </c>
      <c r="F2529" s="21" t="s">
        <v>9721</v>
      </c>
      <c r="G2529" s="147" t="s">
        <v>9319</v>
      </c>
      <c r="H2529" s="23" t="s">
        <v>12770</v>
      </c>
      <c r="I2529" s="23" t="s">
        <v>12771</v>
      </c>
      <c r="J2529" s="21" t="s">
        <v>11614</v>
      </c>
      <c r="K2529" s="21"/>
      <c r="L2529" s="21" t="s">
        <v>12912</v>
      </c>
      <c r="M2529" s="26">
        <v>45951</v>
      </c>
      <c r="N2529" s="44">
        <v>687.96</v>
      </c>
      <c r="O2529" s="22" t="s">
        <v>15</v>
      </c>
      <c r="P2529" s="44">
        <v>687.96</v>
      </c>
      <c r="Q2529" s="24">
        <f t="shared" ref="Q2529" si="380">IF(P2529="en cours",N2529,IF(P2529="OK",0,IF(N2529-P2529&lt;0,0,N2529-P2529)))</f>
        <v>0</v>
      </c>
      <c r="R2529" s="24">
        <f t="shared" ref="R2529" si="381">IF(P2529="OK",N2529-Q2529,IF(P2529="en cours",N2529-Q2529,P2529))</f>
        <v>687.96</v>
      </c>
    </row>
    <row r="2530" spans="2:19" hidden="1" x14ac:dyDescent="0.25">
      <c r="B2530" s="21" t="s">
        <v>395</v>
      </c>
      <c r="C2530" s="22" t="s">
        <v>8972</v>
      </c>
      <c r="D2530" s="22"/>
      <c r="E2530" s="21" t="s">
        <v>75</v>
      </c>
      <c r="F2530" s="21" t="s">
        <v>9783</v>
      </c>
      <c r="G2530" s="147" t="s">
        <v>12772</v>
      </c>
      <c r="H2530" s="23" t="s">
        <v>12773</v>
      </c>
      <c r="I2530" s="23" t="s">
        <v>12774</v>
      </c>
      <c r="J2530" s="21" t="s">
        <v>12775</v>
      </c>
      <c r="K2530" s="21"/>
      <c r="L2530" s="21" t="s">
        <v>13228</v>
      </c>
      <c r="M2530" s="26">
        <v>45973</v>
      </c>
      <c r="N2530" s="44">
        <v>997.5</v>
      </c>
      <c r="O2530" s="22" t="s">
        <v>15</v>
      </c>
      <c r="P2530" s="44">
        <v>997.5</v>
      </c>
      <c r="Q2530" s="24">
        <f t="shared" ref="Q2530" si="382">IF(P2530="en cours",N2530,IF(P2530="OK",0,IF(N2530-P2530&lt;0,0,N2530-P2530)))</f>
        <v>0</v>
      </c>
      <c r="R2530" s="24">
        <f t="shared" ref="R2530" si="383">IF(P2530="OK",N2530-Q2530,IF(P2530="en cours",N2530-Q2530,P2530))</f>
        <v>997.5</v>
      </c>
      <c r="S2530" s="21"/>
    </row>
    <row r="2531" spans="2:19" hidden="1" x14ac:dyDescent="0.25">
      <c r="B2531" s="21" t="s">
        <v>395</v>
      </c>
      <c r="C2531" s="22" t="s">
        <v>158</v>
      </c>
      <c r="D2531" s="22"/>
      <c r="E2531" s="21" t="s">
        <v>10</v>
      </c>
      <c r="F2531" s="21" t="s">
        <v>9721</v>
      </c>
      <c r="G2531" s="147" t="s">
        <v>9319</v>
      </c>
      <c r="H2531" s="23" t="s">
        <v>12776</v>
      </c>
      <c r="I2531" s="23" t="s">
        <v>12777</v>
      </c>
      <c r="J2531" s="21" t="s">
        <v>12778</v>
      </c>
      <c r="K2531" s="21"/>
      <c r="L2531" s="21" t="s">
        <v>12908</v>
      </c>
      <c r="M2531" s="26" t="s">
        <v>12909</v>
      </c>
      <c r="N2531" s="44">
        <v>1860.48</v>
      </c>
      <c r="O2531" s="22" t="s">
        <v>15</v>
      </c>
      <c r="P2531" s="44">
        <v>1860.48</v>
      </c>
      <c r="Q2531" s="24">
        <f t="shared" ref="Q2531" si="384">IF(P2531="en cours",N2531,IF(P2531="OK",0,IF(N2531-P2531&lt;0,0,N2531-P2531)))</f>
        <v>0</v>
      </c>
      <c r="R2531" s="24">
        <f t="shared" ref="R2531" si="385">IF(P2531="OK",N2531-Q2531,IF(P2531="en cours",N2531-Q2531,P2531))</f>
        <v>1860.48</v>
      </c>
    </row>
    <row r="2532" spans="2:19" hidden="1" x14ac:dyDescent="0.25">
      <c r="C2532" s="4" t="s">
        <v>2450</v>
      </c>
      <c r="E2532" s="5" t="s">
        <v>75</v>
      </c>
      <c r="F2532" s="5" t="s">
        <v>9767</v>
      </c>
      <c r="G2532" s="146" t="s">
        <v>12779</v>
      </c>
      <c r="H2532" s="7" t="s">
        <v>12780</v>
      </c>
      <c r="I2532" s="7" t="s">
        <v>12781</v>
      </c>
      <c r="J2532" s="5" t="s">
        <v>12782</v>
      </c>
      <c r="N2532" s="45">
        <v>26117</v>
      </c>
      <c r="O2532" s="4" t="s">
        <v>276</v>
      </c>
      <c r="Q2532" s="3">
        <f t="shared" ref="Q2532:Q2535" si="386">IF(P2532="en cours",N2532,IF(P2532="OK",0,IF(N2532-P2532&lt;0,0,N2532-P2532)))</f>
        <v>26117</v>
      </c>
      <c r="R2532" s="3">
        <f t="shared" ref="R2532:R2535" si="387">IF(P2532="OK",N2532-Q2532,IF(P2532="en cours",N2532-Q2532,P2532))</f>
        <v>0</v>
      </c>
    </row>
    <row r="2533" spans="2:19" hidden="1" x14ac:dyDescent="0.25">
      <c r="C2533" s="4" t="s">
        <v>2450</v>
      </c>
      <c r="E2533" s="5" t="s">
        <v>75</v>
      </c>
      <c r="F2533" s="5" t="s">
        <v>9767</v>
      </c>
      <c r="G2533" s="146" t="s">
        <v>12779</v>
      </c>
      <c r="H2533" s="7" t="s">
        <v>12785</v>
      </c>
      <c r="I2533" s="7" t="s">
        <v>12781</v>
      </c>
      <c r="J2533" s="5" t="s">
        <v>12783</v>
      </c>
      <c r="N2533" s="45">
        <v>49916.76</v>
      </c>
      <c r="O2533" s="4" t="s">
        <v>276</v>
      </c>
      <c r="Q2533" s="3">
        <f t="shared" si="386"/>
        <v>49916.76</v>
      </c>
      <c r="R2533" s="3">
        <f t="shared" si="387"/>
        <v>0</v>
      </c>
    </row>
    <row r="2534" spans="2:19" hidden="1" x14ac:dyDescent="0.25">
      <c r="C2534" s="4" t="s">
        <v>2450</v>
      </c>
      <c r="E2534" s="5" t="s">
        <v>75</v>
      </c>
      <c r="F2534" s="5" t="s">
        <v>9767</v>
      </c>
      <c r="G2534" s="146" t="s">
        <v>12779</v>
      </c>
      <c r="H2534" s="7" t="s">
        <v>14215</v>
      </c>
      <c r="I2534" s="7" t="s">
        <v>14216</v>
      </c>
      <c r="J2534" s="5" t="s">
        <v>14217</v>
      </c>
      <c r="N2534" s="45">
        <v>11835</v>
      </c>
      <c r="O2534" s="4" t="s">
        <v>276</v>
      </c>
      <c r="Q2534" s="3">
        <f t="shared" ref="Q2534" si="388">IF(P2534="en cours",N2534,IF(P2534="OK",0,IF(N2534-P2534&lt;0,0,N2534-P2534)))</f>
        <v>11835</v>
      </c>
      <c r="R2534" s="3">
        <f t="shared" ref="R2534" si="389">IF(P2534="OK",N2534-Q2534,IF(P2534="en cours",N2534-Q2534,P2534))</f>
        <v>0</v>
      </c>
    </row>
    <row r="2535" spans="2:19" hidden="1" x14ac:dyDescent="0.25">
      <c r="C2535" s="4" t="s">
        <v>6047</v>
      </c>
      <c r="E2535" s="5" t="s">
        <v>75</v>
      </c>
      <c r="F2535" s="5" t="s">
        <v>9767</v>
      </c>
      <c r="G2535" s="146" t="s">
        <v>12779</v>
      </c>
      <c r="H2535" s="7" t="s">
        <v>12786</v>
      </c>
      <c r="I2535" s="7" t="s">
        <v>12781</v>
      </c>
      <c r="J2535" s="5" t="s">
        <v>12784</v>
      </c>
      <c r="N2535" s="45">
        <v>71877.36</v>
      </c>
      <c r="O2535" s="4" t="s">
        <v>276</v>
      </c>
      <c r="Q2535" s="3">
        <f t="shared" si="386"/>
        <v>71877.36</v>
      </c>
      <c r="R2535" s="3">
        <f t="shared" si="387"/>
        <v>0</v>
      </c>
    </row>
    <row r="2536" spans="2:19" hidden="1" x14ac:dyDescent="0.25">
      <c r="C2536" s="4" t="s">
        <v>2450</v>
      </c>
      <c r="E2536" s="5" t="s">
        <v>0</v>
      </c>
      <c r="F2536" s="5" t="s">
        <v>9807</v>
      </c>
      <c r="G2536" s="146" t="s">
        <v>92</v>
      </c>
      <c r="H2536" s="7" t="s">
        <v>12787</v>
      </c>
      <c r="I2536" s="7" t="s">
        <v>12788</v>
      </c>
      <c r="J2536" s="5" t="s">
        <v>12789</v>
      </c>
      <c r="L2536" s="5" t="s">
        <v>12919</v>
      </c>
      <c r="M2536" s="12" t="s">
        <v>12920</v>
      </c>
      <c r="N2536" s="45">
        <v>45200</v>
      </c>
      <c r="O2536" s="4" t="s">
        <v>15</v>
      </c>
      <c r="P2536" s="45">
        <f>13560+13560</f>
        <v>27120</v>
      </c>
      <c r="Q2536" s="3">
        <f t="shared" ref="Q2536" si="390">IF(P2536="en cours",N2536,IF(P2536="OK",0,IF(N2536-P2536&lt;0,0,N2536-P2536)))</f>
        <v>18080</v>
      </c>
      <c r="R2536" s="3">
        <f t="shared" ref="R2536" si="391">IF(P2536="OK",N2536-Q2536,IF(P2536="en cours",N2536-Q2536,P2536))</f>
        <v>27120</v>
      </c>
    </row>
    <row r="2537" spans="2:19" hidden="1" x14ac:dyDescent="0.25">
      <c r="B2537" s="314"/>
      <c r="C2537" s="407" t="s">
        <v>2450</v>
      </c>
      <c r="D2537" s="407"/>
      <c r="E2537" s="314" t="s">
        <v>10</v>
      </c>
      <c r="F2537" s="314" t="s">
        <v>9830</v>
      </c>
      <c r="G2537" s="408" t="s">
        <v>132</v>
      </c>
      <c r="H2537" s="313" t="s">
        <v>12817</v>
      </c>
      <c r="I2537" s="313" t="s">
        <v>12790</v>
      </c>
      <c r="J2537" s="314" t="s">
        <v>12813</v>
      </c>
      <c r="K2537" s="314"/>
      <c r="L2537" s="314" t="s">
        <v>13422</v>
      </c>
      <c r="M2537" s="313" t="s">
        <v>13423</v>
      </c>
      <c r="N2537" s="318">
        <f>1025486+1141204+842625</f>
        <v>3009315</v>
      </c>
      <c r="O2537" s="407" t="s">
        <v>12812</v>
      </c>
      <c r="P2537" s="318">
        <f>(2523842.58)+336443.56+618940.33+238478.35+211295.79+188514.56+141882.76+181275.42+50009.73+53830.24+153587.83+197107.98+204072.14+139161.12</f>
        <v>5238442.3900000015</v>
      </c>
      <c r="Q2537" s="409">
        <f t="shared" ref="Q2537" si="392">IF(P2537="en cours",N2537,IF(P2537="OK",0,IF(N2537-P2537&lt;0,0,N2537-P2537)))</f>
        <v>0</v>
      </c>
      <c r="R2537" s="409">
        <f t="shared" ref="R2537" si="393">IF(P2537="OK",N2537-Q2537,IF(P2537="en cours",N2537-Q2537,P2537))</f>
        <v>5238442.3900000015</v>
      </c>
    </row>
    <row r="2538" spans="2:19" hidden="1" x14ac:dyDescent="0.25">
      <c r="B2538" s="314"/>
      <c r="C2538" s="407" t="s">
        <v>2450</v>
      </c>
      <c r="D2538" s="407"/>
      <c r="E2538" s="314" t="s">
        <v>10</v>
      </c>
      <c r="F2538" s="314" t="s">
        <v>9830</v>
      </c>
      <c r="G2538" s="408" t="s">
        <v>132</v>
      </c>
      <c r="H2538" s="313" t="s">
        <v>12817</v>
      </c>
      <c r="I2538" s="313" t="s">
        <v>12790</v>
      </c>
      <c r="J2538" s="314" t="s">
        <v>12818</v>
      </c>
      <c r="K2538" s="314"/>
      <c r="L2538" s="314" t="s">
        <v>13424</v>
      </c>
      <c r="M2538" s="315" t="s">
        <v>13425</v>
      </c>
      <c r="N2538" s="318">
        <v>0</v>
      </c>
      <c r="O2538" s="407" t="s">
        <v>12812</v>
      </c>
      <c r="P2538" s="318">
        <f>194006.6+172276.82+125358.63+88469.4+204275.27+347150.07+210805.44+231085.67+166789.92+258184.3+253622.9</f>
        <v>2252025.02</v>
      </c>
      <c r="Q2538" s="409">
        <f t="shared" ref="Q2538:Q2549" si="394">IF(P2538="en cours",N2538,IF(P2538="OK",0,IF(N2538-P2538&lt;0,0,N2538-P2538)))</f>
        <v>0</v>
      </c>
      <c r="R2538" s="409">
        <f t="shared" ref="R2538" si="395">IF(P2538="OK",N2538-Q2538,IF(P2538="en cours",N2538-Q2538,P2538))</f>
        <v>2252025.02</v>
      </c>
    </row>
    <row r="2539" spans="2:19" hidden="1" x14ac:dyDescent="0.25">
      <c r="C2539" s="4" t="s">
        <v>6047</v>
      </c>
      <c r="D2539" s="4" t="s">
        <v>11500</v>
      </c>
      <c r="E2539" s="5" t="s">
        <v>9707</v>
      </c>
      <c r="F2539" s="5" t="s">
        <v>9776</v>
      </c>
      <c r="G2539" s="146" t="s">
        <v>10892</v>
      </c>
      <c r="H2539" s="7" t="s">
        <v>12839</v>
      </c>
      <c r="J2539" s="5" t="s">
        <v>12840</v>
      </c>
      <c r="L2539" s="5" t="s">
        <v>13488</v>
      </c>
      <c r="M2539" s="12" t="s">
        <v>13489</v>
      </c>
      <c r="N2539" s="45">
        <v>82524.83</v>
      </c>
      <c r="O2539" s="4" t="s">
        <v>276</v>
      </c>
      <c r="P2539" s="45">
        <f>8352.48+5074</f>
        <v>13426.48</v>
      </c>
      <c r="Q2539" s="45">
        <f t="shared" si="394"/>
        <v>69098.350000000006</v>
      </c>
      <c r="R2539" s="3">
        <f>IF(P2539="OK",N2539-Q2539,IF(P2539="en cours",M2539-Q2539,P2539))</f>
        <v>13426.48</v>
      </c>
    </row>
    <row r="2540" spans="2:19" hidden="1" x14ac:dyDescent="0.25">
      <c r="B2540" s="21" t="s">
        <v>395</v>
      </c>
      <c r="C2540" s="22" t="s">
        <v>2450</v>
      </c>
      <c r="D2540" s="22"/>
      <c r="E2540" s="21" t="s">
        <v>75</v>
      </c>
      <c r="F2540" s="21" t="s">
        <v>11253</v>
      </c>
      <c r="G2540" s="147" t="s">
        <v>155</v>
      </c>
      <c r="H2540" s="23" t="s">
        <v>12854</v>
      </c>
      <c r="I2540" s="23"/>
      <c r="J2540" s="21" t="s">
        <v>12846</v>
      </c>
      <c r="K2540" s="21"/>
      <c r="L2540" s="21" t="s">
        <v>12861</v>
      </c>
      <c r="M2540" s="26">
        <v>45947</v>
      </c>
      <c r="N2540" s="44">
        <v>38272</v>
      </c>
      <c r="O2540" s="22" t="s">
        <v>15</v>
      </c>
      <c r="P2540" s="44">
        <v>38272</v>
      </c>
      <c r="Q2540" s="24">
        <f t="shared" si="394"/>
        <v>0</v>
      </c>
      <c r="R2540" s="24">
        <f t="shared" ref="R2540:R2549" si="396">IF(P2540="OK",N2540-Q2540,IF(P2540="en cours",N2540-Q2540,P2540))</f>
        <v>38272</v>
      </c>
      <c r="S2540" s="21"/>
    </row>
    <row r="2541" spans="2:19" hidden="1" x14ac:dyDescent="0.25">
      <c r="B2541" s="21" t="s">
        <v>395</v>
      </c>
      <c r="C2541" s="22" t="s">
        <v>2450</v>
      </c>
      <c r="D2541" s="22"/>
      <c r="E2541" s="21" t="s">
        <v>75</v>
      </c>
      <c r="F2541" s="21" t="s">
        <v>11253</v>
      </c>
      <c r="G2541" s="147" t="s">
        <v>155</v>
      </c>
      <c r="H2541" s="23" t="s">
        <v>12854</v>
      </c>
      <c r="I2541" s="23"/>
      <c r="J2541" s="21" t="s">
        <v>12847</v>
      </c>
      <c r="K2541" s="21"/>
      <c r="L2541" s="21" t="s">
        <v>13676</v>
      </c>
      <c r="M2541" s="26">
        <v>46008</v>
      </c>
      <c r="N2541" s="44">
        <v>38272</v>
      </c>
      <c r="O2541" s="22" t="s">
        <v>15</v>
      </c>
      <c r="P2541" s="44">
        <v>38272</v>
      </c>
      <c r="Q2541" s="24">
        <f t="shared" si="394"/>
        <v>0</v>
      </c>
      <c r="R2541" s="24">
        <f t="shared" si="396"/>
        <v>38272</v>
      </c>
      <c r="S2541" s="21"/>
    </row>
    <row r="2542" spans="2:19" hidden="1" x14ac:dyDescent="0.25">
      <c r="C2542" s="4" t="s">
        <v>2450</v>
      </c>
      <c r="E2542" s="5" t="s">
        <v>75</v>
      </c>
      <c r="F2542" s="5" t="s">
        <v>11253</v>
      </c>
      <c r="G2542" s="146" t="s">
        <v>155</v>
      </c>
      <c r="H2542" s="7" t="s">
        <v>12854</v>
      </c>
      <c r="J2542" s="5" t="s">
        <v>12848</v>
      </c>
      <c r="N2542" s="45">
        <v>19136</v>
      </c>
      <c r="O2542" s="4" t="s">
        <v>15</v>
      </c>
      <c r="Q2542" s="3">
        <f t="shared" si="394"/>
        <v>19136</v>
      </c>
      <c r="R2542" s="3">
        <f t="shared" si="396"/>
        <v>0</v>
      </c>
    </row>
    <row r="2543" spans="2:19" hidden="1" x14ac:dyDescent="0.25">
      <c r="C2543" s="4" t="s">
        <v>2450</v>
      </c>
      <c r="E2543" s="5" t="s">
        <v>75</v>
      </c>
      <c r="F2543" s="5" t="s">
        <v>11253</v>
      </c>
      <c r="G2543" s="146" t="s">
        <v>155</v>
      </c>
      <c r="H2543" s="7" t="s">
        <v>12854</v>
      </c>
      <c r="J2543" s="5" t="s">
        <v>12849</v>
      </c>
      <c r="N2543" s="45">
        <v>19136</v>
      </c>
      <c r="O2543" s="4" t="s">
        <v>15</v>
      </c>
      <c r="Q2543" s="3">
        <f t="shared" si="394"/>
        <v>19136</v>
      </c>
      <c r="R2543" s="3">
        <f t="shared" si="396"/>
        <v>0</v>
      </c>
    </row>
    <row r="2544" spans="2:19" hidden="1" x14ac:dyDescent="0.25">
      <c r="C2544" s="4" t="s">
        <v>2450</v>
      </c>
      <c r="E2544" s="5" t="s">
        <v>75</v>
      </c>
      <c r="F2544" s="5" t="s">
        <v>11253</v>
      </c>
      <c r="G2544" s="146" t="s">
        <v>155</v>
      </c>
      <c r="H2544" s="7" t="s">
        <v>12854</v>
      </c>
      <c r="J2544" s="5" t="s">
        <v>12853</v>
      </c>
      <c r="N2544" s="45">
        <v>19136</v>
      </c>
      <c r="O2544" s="4" t="s">
        <v>15</v>
      </c>
      <c r="Q2544" s="3">
        <f t="shared" si="394"/>
        <v>19136</v>
      </c>
      <c r="R2544" s="3">
        <f t="shared" si="396"/>
        <v>0</v>
      </c>
    </row>
    <row r="2545" spans="2:18" hidden="1" x14ac:dyDescent="0.25">
      <c r="C2545" s="4" t="s">
        <v>2450</v>
      </c>
      <c r="E2545" s="5" t="s">
        <v>75</v>
      </c>
      <c r="F2545" s="5" t="s">
        <v>11253</v>
      </c>
      <c r="G2545" s="146" t="s">
        <v>155</v>
      </c>
      <c r="H2545" s="7" t="s">
        <v>12854</v>
      </c>
      <c r="J2545" s="5" t="s">
        <v>12850</v>
      </c>
      <c r="N2545" s="45">
        <v>19136</v>
      </c>
      <c r="O2545" s="4" t="s">
        <v>15</v>
      </c>
      <c r="Q2545" s="3">
        <f t="shared" si="394"/>
        <v>19136</v>
      </c>
      <c r="R2545" s="3">
        <f t="shared" si="396"/>
        <v>0</v>
      </c>
    </row>
    <row r="2546" spans="2:18" hidden="1" x14ac:dyDescent="0.25">
      <c r="C2546" s="4" t="s">
        <v>2450</v>
      </c>
      <c r="E2546" s="5" t="s">
        <v>75</v>
      </c>
      <c r="F2546" s="5" t="s">
        <v>11253</v>
      </c>
      <c r="G2546" s="146" t="s">
        <v>155</v>
      </c>
      <c r="H2546" s="7" t="s">
        <v>12854</v>
      </c>
      <c r="J2546" s="5" t="s">
        <v>12851</v>
      </c>
      <c r="N2546" s="45">
        <v>28704</v>
      </c>
      <c r="O2546" s="4" t="s">
        <v>15</v>
      </c>
      <c r="Q2546" s="3">
        <f t="shared" si="394"/>
        <v>28704</v>
      </c>
      <c r="R2546" s="3">
        <f t="shared" si="396"/>
        <v>0</v>
      </c>
    </row>
    <row r="2547" spans="2:18" hidden="1" x14ac:dyDescent="0.25">
      <c r="C2547" s="4" t="s">
        <v>2450</v>
      </c>
      <c r="E2547" s="5" t="s">
        <v>75</v>
      </c>
      <c r="F2547" s="5" t="s">
        <v>11253</v>
      </c>
      <c r="G2547" s="146" t="s">
        <v>155</v>
      </c>
      <c r="H2547" s="7" t="s">
        <v>12854</v>
      </c>
      <c r="J2547" s="5" t="s">
        <v>12852</v>
      </c>
      <c r="N2547" s="45">
        <v>19136</v>
      </c>
      <c r="O2547" s="4" t="s">
        <v>15</v>
      </c>
      <c r="Q2547" s="3">
        <f t="shared" si="394"/>
        <v>19136</v>
      </c>
      <c r="R2547" s="3">
        <f t="shared" si="396"/>
        <v>0</v>
      </c>
    </row>
    <row r="2548" spans="2:18" hidden="1" x14ac:dyDescent="0.25">
      <c r="C2548" s="4" t="s">
        <v>12863</v>
      </c>
      <c r="E2548" s="5" t="s">
        <v>75</v>
      </c>
      <c r="F2548" s="5" t="s">
        <v>9767</v>
      </c>
      <c r="G2548" s="146" t="s">
        <v>12779</v>
      </c>
      <c r="H2548" s="7" t="s">
        <v>12864</v>
      </c>
      <c r="I2548" s="7" t="s">
        <v>12865</v>
      </c>
      <c r="J2548" s="5" t="s">
        <v>12866</v>
      </c>
      <c r="N2548" s="45">
        <v>313278.5</v>
      </c>
      <c r="O2548" s="4" t="s">
        <v>276</v>
      </c>
      <c r="Q2548" s="3">
        <f t="shared" si="394"/>
        <v>313278.5</v>
      </c>
      <c r="R2548" s="3">
        <f t="shared" si="396"/>
        <v>0</v>
      </c>
    </row>
    <row r="2549" spans="2:18" hidden="1" x14ac:dyDescent="0.25">
      <c r="B2549" s="21" t="s">
        <v>395</v>
      </c>
      <c r="C2549" s="22" t="s">
        <v>2450</v>
      </c>
      <c r="D2549" s="22"/>
      <c r="E2549" s="21" t="s">
        <v>0</v>
      </c>
      <c r="F2549" s="21" t="s">
        <v>9773</v>
      </c>
      <c r="G2549" s="147" t="s">
        <v>10225</v>
      </c>
      <c r="H2549" s="23" t="s">
        <v>14212</v>
      </c>
      <c r="I2549" s="23" t="s">
        <v>14213</v>
      </c>
      <c r="J2549" s="21" t="s">
        <v>14214</v>
      </c>
      <c r="K2549" s="21"/>
      <c r="L2549" s="21"/>
      <c r="M2549" s="23"/>
      <c r="N2549" s="44">
        <v>0</v>
      </c>
      <c r="O2549" s="22" t="s">
        <v>276</v>
      </c>
      <c r="P2549" s="44"/>
      <c r="Q2549" s="24">
        <f t="shared" si="394"/>
        <v>0</v>
      </c>
      <c r="R2549" s="24">
        <f t="shared" si="396"/>
        <v>0</v>
      </c>
    </row>
    <row r="2550" spans="2:18" hidden="1" x14ac:dyDescent="0.25">
      <c r="B2550" s="21" t="s">
        <v>395</v>
      </c>
      <c r="C2550" s="22" t="s">
        <v>2450</v>
      </c>
      <c r="D2550" s="22"/>
      <c r="E2550" s="21" t="s">
        <v>0</v>
      </c>
      <c r="F2550" s="21" t="s">
        <v>9773</v>
      </c>
      <c r="G2550" s="147" t="s">
        <v>10225</v>
      </c>
      <c r="H2550" s="23" t="s">
        <v>12867</v>
      </c>
      <c r="I2550" s="23" t="s">
        <v>12868</v>
      </c>
      <c r="J2550" s="21" t="s">
        <v>12869</v>
      </c>
      <c r="K2550" s="21"/>
      <c r="L2550" s="21" t="s">
        <v>13105</v>
      </c>
      <c r="M2550" s="26">
        <v>45957</v>
      </c>
      <c r="N2550" s="44">
        <v>26868</v>
      </c>
      <c r="O2550" s="22" t="s">
        <v>276</v>
      </c>
      <c r="P2550" s="44">
        <v>26868</v>
      </c>
      <c r="Q2550" s="24">
        <f t="shared" ref="Q2550" si="397">IF(P2550="en cours",N2550,IF(P2550="OK",0,IF(N2550-P2550&lt;0,0,N2550-P2550)))</f>
        <v>0</v>
      </c>
      <c r="R2550" s="24">
        <f t="shared" ref="R2550" si="398">IF(P2550="OK",N2550-Q2550,IF(P2550="en cours",N2550-Q2550,P2550))</f>
        <v>26868</v>
      </c>
    </row>
    <row r="2551" spans="2:18" hidden="1" x14ac:dyDescent="0.25">
      <c r="B2551" s="21" t="s">
        <v>395</v>
      </c>
      <c r="C2551" s="22" t="s">
        <v>158</v>
      </c>
      <c r="D2551" s="22"/>
      <c r="E2551" s="21" t="s">
        <v>10</v>
      </c>
      <c r="F2551" s="21" t="s">
        <v>9721</v>
      </c>
      <c r="G2551" s="147" t="s">
        <v>12872</v>
      </c>
      <c r="H2551" s="23" t="s">
        <v>12874</v>
      </c>
      <c r="I2551" s="23" t="s">
        <v>12875</v>
      </c>
      <c r="J2551" s="21" t="s">
        <v>12873</v>
      </c>
      <c r="K2551" s="21"/>
      <c r="L2551" s="21" t="s">
        <v>14179</v>
      </c>
      <c r="M2551" s="26">
        <v>46065</v>
      </c>
      <c r="N2551" s="44">
        <f>0.4*18284.65</f>
        <v>7313.8600000000006</v>
      </c>
      <c r="O2551" s="22" t="s">
        <v>15</v>
      </c>
      <c r="P2551" s="44">
        <v>7313.86</v>
      </c>
      <c r="Q2551" s="24">
        <f t="shared" ref="Q2551:Q2553" si="399">IF(P2551="en cours",N2551,IF(P2551="OK",0,IF(N2551-P2551&lt;0,0,N2551-P2551)))</f>
        <v>9.0949470177292824E-13</v>
      </c>
      <c r="R2551" s="24">
        <f t="shared" ref="R2551:R2553" si="400">IF(P2551="OK",N2551-Q2551,IF(P2551="en cours",N2551-Q2551,P2551))</f>
        <v>7313.86</v>
      </c>
    </row>
    <row r="2552" spans="2:18" hidden="1" x14ac:dyDescent="0.25">
      <c r="B2552" s="21" t="s">
        <v>395</v>
      </c>
      <c r="C2552" s="22" t="s">
        <v>158</v>
      </c>
      <c r="D2552" s="22"/>
      <c r="E2552" s="21" t="s">
        <v>10</v>
      </c>
      <c r="F2552" s="21" t="s">
        <v>9721</v>
      </c>
      <c r="G2552" s="147" t="s">
        <v>12872</v>
      </c>
      <c r="H2552" s="23" t="s">
        <v>12874</v>
      </c>
      <c r="I2552" s="23" t="s">
        <v>12875</v>
      </c>
      <c r="J2552" s="21" t="s">
        <v>12876</v>
      </c>
      <c r="K2552" s="21"/>
      <c r="L2552" s="21" t="s">
        <v>14179</v>
      </c>
      <c r="M2552" s="26">
        <v>46065</v>
      </c>
      <c r="N2552" s="44">
        <f>0.4*18284.65</f>
        <v>7313.8600000000006</v>
      </c>
      <c r="O2552" s="22" t="s">
        <v>15</v>
      </c>
      <c r="P2552" s="44">
        <v>7313.86</v>
      </c>
      <c r="Q2552" s="24">
        <f t="shared" si="399"/>
        <v>9.0949470177292824E-13</v>
      </c>
      <c r="R2552" s="24">
        <f t="shared" si="400"/>
        <v>7313.86</v>
      </c>
    </row>
    <row r="2553" spans="2:18" hidden="1" x14ac:dyDescent="0.25">
      <c r="B2553" s="21" t="s">
        <v>395</v>
      </c>
      <c r="C2553" s="22" t="s">
        <v>158</v>
      </c>
      <c r="D2553" s="22"/>
      <c r="E2553" s="21" t="s">
        <v>10</v>
      </c>
      <c r="F2553" s="21" t="s">
        <v>9721</v>
      </c>
      <c r="G2553" s="147" t="s">
        <v>12872</v>
      </c>
      <c r="H2553" s="23" t="s">
        <v>12874</v>
      </c>
      <c r="I2553" s="23" t="s">
        <v>12875</v>
      </c>
      <c r="J2553" s="21" t="s">
        <v>12877</v>
      </c>
      <c r="K2553" s="21"/>
      <c r="L2553" s="21" t="s">
        <v>14179</v>
      </c>
      <c r="M2553" s="26">
        <v>46065</v>
      </c>
      <c r="N2553" s="44">
        <f>0.2*18284.65</f>
        <v>3656.9300000000003</v>
      </c>
      <c r="O2553" s="22" t="s">
        <v>15</v>
      </c>
      <c r="P2553" s="44">
        <v>3656.93</v>
      </c>
      <c r="Q2553" s="24">
        <f t="shared" si="399"/>
        <v>4.5474735088646412E-13</v>
      </c>
      <c r="R2553" s="24">
        <f t="shared" si="400"/>
        <v>3656.93</v>
      </c>
    </row>
    <row r="2554" spans="2:18" hidden="1" x14ac:dyDescent="0.25">
      <c r="B2554" s="21" t="s">
        <v>395</v>
      </c>
      <c r="C2554" s="22" t="s">
        <v>2450</v>
      </c>
      <c r="D2554" s="22"/>
      <c r="E2554" s="21" t="s">
        <v>0</v>
      </c>
      <c r="F2554" s="21" t="s">
        <v>11538</v>
      </c>
      <c r="G2554" s="147" t="s">
        <v>92</v>
      </c>
      <c r="H2554" s="23" t="s">
        <v>12878</v>
      </c>
      <c r="I2554" s="23" t="s">
        <v>12879</v>
      </c>
      <c r="J2554" s="21" t="s">
        <v>12653</v>
      </c>
      <c r="K2554" s="21"/>
      <c r="L2554" s="21" t="s">
        <v>12897</v>
      </c>
      <c r="M2554" s="26">
        <v>45944</v>
      </c>
      <c r="N2554" s="44">
        <v>1900</v>
      </c>
      <c r="O2554" s="22" t="s">
        <v>15</v>
      </c>
      <c r="P2554" s="44">
        <v>1900</v>
      </c>
      <c r="Q2554" s="24">
        <f t="shared" ref="Q2554:Q2555" si="401">IF(P2554="en cours",N2554,IF(P2554="OK",0,IF(N2554-P2554&lt;0,0,N2554-P2554)))</f>
        <v>0</v>
      </c>
      <c r="R2554" s="24">
        <f t="shared" ref="R2554:R2555" si="402">IF(P2554="OK",N2554-Q2554,IF(P2554="en cours",N2554-Q2554,P2554))</f>
        <v>1900</v>
      </c>
    </row>
    <row r="2555" spans="2:18" hidden="1" x14ac:dyDescent="0.25">
      <c r="B2555" s="21" t="s">
        <v>395</v>
      </c>
      <c r="C2555" s="22" t="s">
        <v>158</v>
      </c>
      <c r="D2555" s="22"/>
      <c r="E2555" s="21" t="s">
        <v>10</v>
      </c>
      <c r="F2555" s="21" t="s">
        <v>9721</v>
      </c>
      <c r="G2555" s="147" t="s">
        <v>11065</v>
      </c>
      <c r="H2555" s="23" t="s">
        <v>12880</v>
      </c>
      <c r="I2555" s="23" t="s">
        <v>12881</v>
      </c>
      <c r="J2555" s="21" t="s">
        <v>6557</v>
      </c>
      <c r="K2555" s="21"/>
      <c r="L2555" s="21" t="s">
        <v>12903</v>
      </c>
      <c r="M2555" s="26">
        <v>45943</v>
      </c>
      <c r="N2555" s="44">
        <v>110.8</v>
      </c>
      <c r="O2555" s="22" t="s">
        <v>15</v>
      </c>
      <c r="P2555" s="44">
        <f>85.8+25</f>
        <v>110.8</v>
      </c>
      <c r="Q2555" s="24">
        <f t="shared" si="401"/>
        <v>0</v>
      </c>
      <c r="R2555" s="24">
        <f t="shared" si="402"/>
        <v>110.8</v>
      </c>
    </row>
    <row r="2556" spans="2:18" hidden="1" x14ac:dyDescent="0.25">
      <c r="B2556" s="21" t="s">
        <v>395</v>
      </c>
      <c r="C2556" s="22" t="s">
        <v>2450</v>
      </c>
      <c r="D2556" s="22"/>
      <c r="E2556" s="21" t="s">
        <v>0</v>
      </c>
      <c r="F2556" s="21" t="s">
        <v>9823</v>
      </c>
      <c r="G2556" s="147" t="s">
        <v>10296</v>
      </c>
      <c r="H2556" s="23" t="s">
        <v>12882</v>
      </c>
      <c r="I2556" s="23" t="s">
        <v>12882</v>
      </c>
      <c r="J2556" s="21" t="s">
        <v>11216</v>
      </c>
      <c r="K2556" s="120"/>
      <c r="L2556" s="21" t="s">
        <v>12910</v>
      </c>
      <c r="M2556" s="26">
        <v>45951</v>
      </c>
      <c r="N2556" s="44">
        <v>10697.4</v>
      </c>
      <c r="O2556" s="22" t="s">
        <v>276</v>
      </c>
      <c r="P2556" s="22">
        <v>10697.4</v>
      </c>
      <c r="Q2556" s="44">
        <f t="shared" ref="Q2556" si="403">IF(P2556="en cours",N2556,IF(P2556="OK",0,IF(N2556-P2556&lt;0,0,N2556-P2556)))</f>
        <v>0</v>
      </c>
      <c r="R2556" s="24">
        <f t="shared" ref="R2556" si="404">IF(P2556="OK",N2556-Q2556,IF(P2556="en cours",N2556-Q2556,P2556))</f>
        <v>10697.4</v>
      </c>
    </row>
    <row r="2557" spans="2:18" hidden="1" x14ac:dyDescent="0.25">
      <c r="C2557" s="4" t="s">
        <v>158</v>
      </c>
      <c r="E2557" s="5" t="s">
        <v>12883</v>
      </c>
      <c r="F2557" s="5" t="s">
        <v>12884</v>
      </c>
      <c r="G2557" s="146" t="s">
        <v>7208</v>
      </c>
      <c r="H2557" s="7" t="s">
        <v>12885</v>
      </c>
      <c r="I2557" s="7" t="s">
        <v>12886</v>
      </c>
      <c r="J2557" s="5" t="s">
        <v>12887</v>
      </c>
      <c r="L2557" s="5" t="s">
        <v>13451</v>
      </c>
      <c r="M2557" s="12">
        <v>45995</v>
      </c>
      <c r="N2557" s="45">
        <v>50000</v>
      </c>
      <c r="O2557" s="4" t="s">
        <v>276</v>
      </c>
      <c r="P2557" s="45">
        <f>21681.25</f>
        <v>21681.25</v>
      </c>
      <c r="Q2557" s="3">
        <f t="shared" ref="Q2557:Q2560" si="405">IF(P2557="en cours",N2557,IF(P2557="OK",0,IF(N2557-P2557&lt;0,0,N2557-P2557)))</f>
        <v>28318.75</v>
      </c>
      <c r="R2557" s="3">
        <f t="shared" ref="R2557:R2560" si="406">IF(P2557="OK",N2557-Q2557,IF(P2557="en cours",N2557-Q2557,P2557))</f>
        <v>21681.25</v>
      </c>
    </row>
    <row r="2558" spans="2:18" hidden="1" x14ac:dyDescent="0.25">
      <c r="C2558" s="4" t="s">
        <v>6267</v>
      </c>
      <c r="E2558" s="5" t="s">
        <v>75</v>
      </c>
      <c r="F2558" s="5" t="s">
        <v>12888</v>
      </c>
      <c r="G2558" s="146" t="s">
        <v>12889</v>
      </c>
      <c r="H2558" s="7" t="s">
        <v>12890</v>
      </c>
      <c r="I2558" s="7" t="s">
        <v>12891</v>
      </c>
      <c r="J2558" s="5" t="s">
        <v>12892</v>
      </c>
      <c r="L2558" s="5" t="s">
        <v>14003</v>
      </c>
      <c r="M2558" s="12" t="s">
        <v>14004</v>
      </c>
      <c r="N2558" s="45">
        <v>35435</v>
      </c>
      <c r="O2558" s="4" t="s">
        <v>276</v>
      </c>
      <c r="P2558" s="3">
        <f>5029+13395+25+65</f>
        <v>18514</v>
      </c>
      <c r="Q2558" s="3">
        <f t="shared" si="405"/>
        <v>16921</v>
      </c>
      <c r="R2558" s="3">
        <f t="shared" si="406"/>
        <v>18514</v>
      </c>
    </row>
    <row r="2559" spans="2:18" hidden="1" x14ac:dyDescent="0.25">
      <c r="C2559" s="4" t="s">
        <v>6675</v>
      </c>
      <c r="E2559" s="5" t="s">
        <v>75</v>
      </c>
      <c r="F2559" s="5" t="s">
        <v>12888</v>
      </c>
      <c r="G2559" s="146" t="s">
        <v>12889</v>
      </c>
      <c r="H2559" s="7" t="s">
        <v>12893</v>
      </c>
      <c r="I2559" s="7" t="s">
        <v>12894</v>
      </c>
      <c r="J2559" s="5" t="s">
        <v>12892</v>
      </c>
      <c r="L2559" s="5" t="s">
        <v>14349</v>
      </c>
      <c r="M2559" s="12" t="s">
        <v>14350</v>
      </c>
      <c r="N2559" s="45">
        <v>35435</v>
      </c>
      <c r="O2559" s="4" t="s">
        <v>276</v>
      </c>
      <c r="P2559" s="3">
        <f>5029+13165+105+165</f>
        <v>18464</v>
      </c>
      <c r="Q2559" s="3">
        <f t="shared" si="405"/>
        <v>16971</v>
      </c>
      <c r="R2559" s="3">
        <f t="shared" si="406"/>
        <v>18464</v>
      </c>
    </row>
    <row r="2560" spans="2:18" hidden="1" x14ac:dyDescent="0.25">
      <c r="C2560" s="4" t="s">
        <v>6047</v>
      </c>
      <c r="E2560" s="5" t="s">
        <v>75</v>
      </c>
      <c r="F2560" s="5" t="s">
        <v>12888</v>
      </c>
      <c r="G2560" s="146" t="s">
        <v>12889</v>
      </c>
      <c r="H2560" s="7" t="s">
        <v>12895</v>
      </c>
      <c r="I2560" s="7" t="s">
        <v>12896</v>
      </c>
      <c r="J2560" s="5" t="s">
        <v>12892</v>
      </c>
      <c r="L2560" s="5" t="s">
        <v>14351</v>
      </c>
      <c r="M2560" s="12" t="s">
        <v>14352</v>
      </c>
      <c r="N2560" s="45">
        <v>51306</v>
      </c>
      <c r="O2560" s="4" t="s">
        <v>276</v>
      </c>
      <c r="P2560" s="3">
        <f>6440+14200+65+40+125</f>
        <v>20870</v>
      </c>
      <c r="Q2560" s="3">
        <f t="shared" si="405"/>
        <v>30436</v>
      </c>
      <c r="R2560" s="3">
        <f t="shared" si="406"/>
        <v>20870</v>
      </c>
    </row>
    <row r="2561" spans="2:18" hidden="1" x14ac:dyDescent="0.25">
      <c r="B2561" s="21" t="s">
        <v>395</v>
      </c>
      <c r="C2561" s="22" t="s">
        <v>2450</v>
      </c>
      <c r="D2561" s="22"/>
      <c r="E2561" s="21" t="s">
        <v>75</v>
      </c>
      <c r="F2561" s="21" t="s">
        <v>9767</v>
      </c>
      <c r="G2561" s="147" t="s">
        <v>9295</v>
      </c>
      <c r="H2561" s="23" t="s">
        <v>12921</v>
      </c>
      <c r="I2561" s="23" t="s">
        <v>12922</v>
      </c>
      <c r="J2561" s="21" t="s">
        <v>12923</v>
      </c>
      <c r="K2561" s="21"/>
      <c r="L2561" s="21" t="s">
        <v>13101</v>
      </c>
      <c r="M2561" s="26">
        <v>45958</v>
      </c>
      <c r="N2561" s="44">
        <v>118911</v>
      </c>
      <c r="O2561" s="22" t="s">
        <v>15</v>
      </c>
      <c r="P2561" s="44">
        <v>118911</v>
      </c>
      <c r="Q2561" s="24">
        <f t="shared" ref="Q2561:Q2564" si="407">IF(P2561="en cours",N2561,IF(P2561="OK",0,IF(N2561-P2561&lt;0,0,N2561-P2561)))</f>
        <v>0</v>
      </c>
      <c r="R2561" s="24">
        <f t="shared" ref="R2561:R2564" si="408">IF(P2561="OK",N2561-Q2561,IF(P2561="en cours",N2561-Q2561,P2561))</f>
        <v>118911</v>
      </c>
    </row>
    <row r="2562" spans="2:18" hidden="1" x14ac:dyDescent="0.25">
      <c r="C2562" s="4" t="s">
        <v>2450</v>
      </c>
      <c r="E2562" s="5" t="s">
        <v>75</v>
      </c>
      <c r="F2562" s="5" t="s">
        <v>9767</v>
      </c>
      <c r="G2562" s="146" t="s">
        <v>9295</v>
      </c>
      <c r="H2562" s="7" t="s">
        <v>12921</v>
      </c>
      <c r="I2562" s="7" t="s">
        <v>12922</v>
      </c>
      <c r="J2562" s="5" t="s">
        <v>12924</v>
      </c>
      <c r="N2562" s="45">
        <v>118911</v>
      </c>
      <c r="O2562" s="4" t="s">
        <v>15</v>
      </c>
      <c r="Q2562" s="3">
        <f t="shared" si="407"/>
        <v>118911</v>
      </c>
      <c r="R2562" s="3">
        <f t="shared" si="408"/>
        <v>0</v>
      </c>
    </row>
    <row r="2563" spans="2:18" hidden="1" x14ac:dyDescent="0.25">
      <c r="C2563" s="4" t="s">
        <v>2450</v>
      </c>
      <c r="E2563" s="5" t="s">
        <v>75</v>
      </c>
      <c r="F2563" s="5" t="s">
        <v>9755</v>
      </c>
      <c r="G2563" s="146" t="s">
        <v>7453</v>
      </c>
      <c r="H2563" s="7" t="s">
        <v>12925</v>
      </c>
      <c r="I2563" s="7" t="s">
        <v>12926</v>
      </c>
      <c r="J2563" s="5" t="s">
        <v>12927</v>
      </c>
      <c r="N2563" s="45">
        <v>10240</v>
      </c>
      <c r="O2563" s="4" t="s">
        <v>15</v>
      </c>
      <c r="Q2563" s="3">
        <f t="shared" si="407"/>
        <v>10240</v>
      </c>
      <c r="R2563" s="3">
        <f t="shared" si="408"/>
        <v>0</v>
      </c>
    </row>
    <row r="2564" spans="2:18" hidden="1" x14ac:dyDescent="0.25">
      <c r="C2564" s="4" t="s">
        <v>2450</v>
      </c>
      <c r="E2564" s="5" t="s">
        <v>0</v>
      </c>
      <c r="F2564" s="5" t="s">
        <v>11538</v>
      </c>
      <c r="G2564" s="146" t="s">
        <v>7266</v>
      </c>
      <c r="H2564" s="7" t="s">
        <v>12931</v>
      </c>
      <c r="I2564" s="7" t="s">
        <v>12932</v>
      </c>
      <c r="J2564" s="5" t="s">
        <v>12933</v>
      </c>
      <c r="N2564" s="45">
        <v>5850</v>
      </c>
      <c r="O2564" s="4" t="s">
        <v>15</v>
      </c>
      <c r="Q2564" s="3">
        <f t="shared" si="407"/>
        <v>5850</v>
      </c>
      <c r="R2564" s="3">
        <f t="shared" si="408"/>
        <v>0</v>
      </c>
    </row>
    <row r="2565" spans="2:18" hidden="1" x14ac:dyDescent="0.25">
      <c r="B2565" s="21" t="s">
        <v>395</v>
      </c>
      <c r="C2565" s="22" t="s">
        <v>2450</v>
      </c>
      <c r="D2565" s="22"/>
      <c r="E2565" s="21" t="s">
        <v>0</v>
      </c>
      <c r="F2565" s="21" t="s">
        <v>9807</v>
      </c>
      <c r="G2565" s="147" t="s">
        <v>6365</v>
      </c>
      <c r="H2565" s="23" t="s">
        <v>12934</v>
      </c>
      <c r="I2565" s="23" t="s">
        <v>12935</v>
      </c>
      <c r="J2565" s="21" t="s">
        <v>12936</v>
      </c>
      <c r="K2565" s="21"/>
      <c r="L2565" s="21" t="s">
        <v>13085</v>
      </c>
      <c r="M2565" s="26" t="s">
        <v>13086</v>
      </c>
      <c r="N2565" s="44">
        <v>138577</v>
      </c>
      <c r="O2565" s="22" t="s">
        <v>15</v>
      </c>
      <c r="P2565" s="44">
        <f>(0.25*138577)+103932.75</f>
        <v>138577</v>
      </c>
      <c r="Q2565" s="24">
        <f t="shared" ref="Q2565:Q2628" si="409">IF(P2565="en cours",N2565,IF(P2565="OK",0,IF(N2565-P2565&lt;0,0,N2565-P2565)))</f>
        <v>0</v>
      </c>
      <c r="R2565" s="24">
        <f t="shared" ref="R2565:R2628" si="410">IF(P2565="OK",N2565-Q2565,IF(P2565="en cours",N2565-Q2565,P2565))</f>
        <v>138577</v>
      </c>
    </row>
    <row r="2566" spans="2:18" hidden="1" x14ac:dyDescent="0.25">
      <c r="B2566" s="21" t="s">
        <v>395</v>
      </c>
      <c r="C2566" s="22" t="s">
        <v>2450</v>
      </c>
      <c r="D2566" s="22"/>
      <c r="E2566" s="21" t="s">
        <v>0</v>
      </c>
      <c r="F2566" s="21" t="s">
        <v>9807</v>
      </c>
      <c r="G2566" s="147" t="s">
        <v>6365</v>
      </c>
      <c r="H2566" s="23" t="s">
        <v>12934</v>
      </c>
      <c r="I2566" s="23" t="s">
        <v>12935</v>
      </c>
      <c r="J2566" s="21" t="s">
        <v>12937</v>
      </c>
      <c r="K2566" s="21"/>
      <c r="L2566" s="21" t="s">
        <v>13088</v>
      </c>
      <c r="M2566" s="26" t="s">
        <v>13089</v>
      </c>
      <c r="N2566" s="44">
        <v>98509</v>
      </c>
      <c r="O2566" s="22" t="s">
        <v>15</v>
      </c>
      <c r="P2566" s="44">
        <f>(0.25*98509)+73881.75</f>
        <v>98509</v>
      </c>
      <c r="Q2566" s="24">
        <f t="shared" si="409"/>
        <v>0</v>
      </c>
      <c r="R2566" s="24">
        <f t="shared" si="410"/>
        <v>98509</v>
      </c>
    </row>
    <row r="2567" spans="2:18" hidden="1" x14ac:dyDescent="0.25">
      <c r="B2567" s="21" t="s">
        <v>395</v>
      </c>
      <c r="C2567" s="22" t="s">
        <v>2450</v>
      </c>
      <c r="D2567" s="22"/>
      <c r="E2567" s="21" t="s">
        <v>0</v>
      </c>
      <c r="F2567" s="21" t="s">
        <v>9807</v>
      </c>
      <c r="G2567" s="147" t="s">
        <v>6365</v>
      </c>
      <c r="H2567" s="23" t="s">
        <v>12934</v>
      </c>
      <c r="I2567" s="23" t="s">
        <v>12935</v>
      </c>
      <c r="J2567" s="21" t="s">
        <v>12938</v>
      </c>
      <c r="K2567" s="21"/>
      <c r="L2567" s="21" t="s">
        <v>13091</v>
      </c>
      <c r="M2567" s="26" t="s">
        <v>13092</v>
      </c>
      <c r="N2567" s="44">
        <v>98509</v>
      </c>
      <c r="O2567" s="22" t="s">
        <v>15</v>
      </c>
      <c r="P2567" s="44">
        <f>(0.25*98509)+73881.75</f>
        <v>98509</v>
      </c>
      <c r="Q2567" s="24">
        <f t="shared" si="409"/>
        <v>0</v>
      </c>
      <c r="R2567" s="24">
        <f t="shared" si="410"/>
        <v>98509</v>
      </c>
    </row>
    <row r="2568" spans="2:18" hidden="1" x14ac:dyDescent="0.25">
      <c r="B2568" s="21" t="s">
        <v>395</v>
      </c>
      <c r="C2568" s="22" t="s">
        <v>2450</v>
      </c>
      <c r="D2568" s="22"/>
      <c r="E2568" s="21" t="s">
        <v>0</v>
      </c>
      <c r="F2568" s="21" t="s">
        <v>9807</v>
      </c>
      <c r="G2568" s="147" t="s">
        <v>6365</v>
      </c>
      <c r="H2568" s="23" t="s">
        <v>12934</v>
      </c>
      <c r="I2568" s="23" t="s">
        <v>12935</v>
      </c>
      <c r="J2568" s="21" t="s">
        <v>12939</v>
      </c>
      <c r="K2568" s="21"/>
      <c r="L2568" s="21" t="s">
        <v>13103</v>
      </c>
      <c r="M2568" s="26" t="s">
        <v>13104</v>
      </c>
      <c r="N2568" s="44">
        <v>98509</v>
      </c>
      <c r="O2568" s="22" t="s">
        <v>15</v>
      </c>
      <c r="P2568" s="44">
        <f>(0.25*98509)+73881.75</f>
        <v>98509</v>
      </c>
      <c r="Q2568" s="24">
        <f t="shared" si="409"/>
        <v>0</v>
      </c>
      <c r="R2568" s="24">
        <f t="shared" si="410"/>
        <v>98509</v>
      </c>
    </row>
    <row r="2569" spans="2:18" hidden="1" x14ac:dyDescent="0.25">
      <c r="B2569" s="21" t="s">
        <v>395</v>
      </c>
      <c r="C2569" s="22" t="s">
        <v>2450</v>
      </c>
      <c r="D2569" s="22"/>
      <c r="E2569" s="21" t="s">
        <v>0</v>
      </c>
      <c r="F2569" s="21" t="s">
        <v>9807</v>
      </c>
      <c r="G2569" s="147" t="s">
        <v>6365</v>
      </c>
      <c r="H2569" s="23" t="s">
        <v>12934</v>
      </c>
      <c r="I2569" s="23" t="s">
        <v>12935</v>
      </c>
      <c r="J2569" s="21" t="s">
        <v>12940</v>
      </c>
      <c r="K2569" s="21"/>
      <c r="L2569" s="21" t="s">
        <v>13431</v>
      </c>
      <c r="M2569" s="26" t="s">
        <v>13432</v>
      </c>
      <c r="N2569" s="44">
        <v>98509</v>
      </c>
      <c r="O2569" s="22" t="s">
        <v>15</v>
      </c>
      <c r="P2569" s="44">
        <f>24627.25+73881.75</f>
        <v>98509</v>
      </c>
      <c r="Q2569" s="24">
        <f t="shared" si="409"/>
        <v>0</v>
      </c>
      <c r="R2569" s="24">
        <f t="shared" si="410"/>
        <v>98509</v>
      </c>
    </row>
    <row r="2570" spans="2:18" hidden="1" x14ac:dyDescent="0.25">
      <c r="B2570" s="21" t="s">
        <v>395</v>
      </c>
      <c r="C2570" s="22" t="s">
        <v>2450</v>
      </c>
      <c r="D2570" s="22"/>
      <c r="E2570" s="21" t="s">
        <v>0</v>
      </c>
      <c r="F2570" s="21" t="s">
        <v>9807</v>
      </c>
      <c r="G2570" s="147" t="s">
        <v>6365</v>
      </c>
      <c r="H2570" s="23" t="s">
        <v>12934</v>
      </c>
      <c r="I2570" s="23" t="s">
        <v>12935</v>
      </c>
      <c r="J2570" s="21" t="s">
        <v>12941</v>
      </c>
      <c r="K2570" s="21"/>
      <c r="L2570" s="21" t="s">
        <v>13642</v>
      </c>
      <c r="M2570" s="26" t="s">
        <v>13643</v>
      </c>
      <c r="N2570" s="44">
        <v>98509</v>
      </c>
      <c r="O2570" s="22" t="s">
        <v>15</v>
      </c>
      <c r="P2570" s="44">
        <f>24627.25+73881.75</f>
        <v>98509</v>
      </c>
      <c r="Q2570" s="24">
        <f t="shared" si="409"/>
        <v>0</v>
      </c>
      <c r="R2570" s="24">
        <f t="shared" si="410"/>
        <v>98509</v>
      </c>
    </row>
    <row r="2571" spans="2:18" x14ac:dyDescent="0.25">
      <c r="B2571" s="21"/>
      <c r="C2571" s="22" t="s">
        <v>2450</v>
      </c>
      <c r="D2571" s="22"/>
      <c r="E2571" s="21" t="s">
        <v>0</v>
      </c>
      <c r="F2571" s="21" t="s">
        <v>9807</v>
      </c>
      <c r="G2571" s="147" t="s">
        <v>6365</v>
      </c>
      <c r="H2571" s="23" t="s">
        <v>12934</v>
      </c>
      <c r="I2571" s="23" t="s">
        <v>12935</v>
      </c>
      <c r="J2571" s="21" t="s">
        <v>12942</v>
      </c>
      <c r="K2571" s="21"/>
      <c r="L2571" s="21" t="s">
        <v>13642</v>
      </c>
      <c r="M2571" s="26" t="s">
        <v>13643</v>
      </c>
      <c r="N2571" s="44">
        <v>98509</v>
      </c>
      <c r="O2571" s="22" t="s">
        <v>15</v>
      </c>
      <c r="P2571" s="44">
        <f>24627.25+73881.75</f>
        <v>98509</v>
      </c>
      <c r="Q2571" s="24">
        <f t="shared" si="409"/>
        <v>0</v>
      </c>
      <c r="R2571" s="24">
        <f t="shared" si="410"/>
        <v>98509</v>
      </c>
    </row>
    <row r="2572" spans="2:18" hidden="1" x14ac:dyDescent="0.25">
      <c r="B2572" s="21" t="s">
        <v>395</v>
      </c>
      <c r="C2572" s="22" t="s">
        <v>2450</v>
      </c>
      <c r="D2572" s="22"/>
      <c r="E2572" s="21" t="s">
        <v>0</v>
      </c>
      <c r="F2572" s="21" t="s">
        <v>9807</v>
      </c>
      <c r="G2572" s="147" t="s">
        <v>6365</v>
      </c>
      <c r="H2572" s="23" t="s">
        <v>12934</v>
      </c>
      <c r="I2572" s="23" t="s">
        <v>12935</v>
      </c>
      <c r="J2572" s="21" t="s">
        <v>12943</v>
      </c>
      <c r="K2572" s="21"/>
      <c r="L2572" s="21" t="s">
        <v>13967</v>
      </c>
      <c r="M2572" s="26" t="s">
        <v>13968</v>
      </c>
      <c r="N2572" s="44">
        <v>98509</v>
      </c>
      <c r="O2572" s="22" t="s">
        <v>15</v>
      </c>
      <c r="P2572" s="44">
        <f>(0.25*98509)+(0.75*98509)</f>
        <v>98509</v>
      </c>
      <c r="Q2572" s="24">
        <f t="shared" si="409"/>
        <v>0</v>
      </c>
      <c r="R2572" s="24">
        <f t="shared" si="410"/>
        <v>98509</v>
      </c>
    </row>
    <row r="2573" spans="2:18" hidden="1" x14ac:dyDescent="0.25">
      <c r="B2573" s="21" t="s">
        <v>395</v>
      </c>
      <c r="C2573" s="22" t="s">
        <v>2450</v>
      </c>
      <c r="D2573" s="22"/>
      <c r="E2573" s="21" t="s">
        <v>0</v>
      </c>
      <c r="F2573" s="21" t="s">
        <v>9807</v>
      </c>
      <c r="G2573" s="147" t="s">
        <v>6365</v>
      </c>
      <c r="H2573" s="23" t="s">
        <v>12934</v>
      </c>
      <c r="I2573" s="23" t="s">
        <v>12935</v>
      </c>
      <c r="J2573" s="21" t="s">
        <v>12944</v>
      </c>
      <c r="K2573" s="21"/>
      <c r="L2573" s="21" t="s">
        <v>13967</v>
      </c>
      <c r="M2573" s="26" t="s">
        <v>13968</v>
      </c>
      <c r="N2573" s="44">
        <v>98509</v>
      </c>
      <c r="O2573" s="22" t="s">
        <v>15</v>
      </c>
      <c r="P2573" s="44">
        <f>(0.25*98509)+(0.75*98509)</f>
        <v>98509</v>
      </c>
      <c r="Q2573" s="24">
        <f t="shared" si="409"/>
        <v>0</v>
      </c>
      <c r="R2573" s="24">
        <f t="shared" si="410"/>
        <v>98509</v>
      </c>
    </row>
    <row r="2574" spans="2:18" hidden="1" x14ac:dyDescent="0.25">
      <c r="B2574" s="21" t="s">
        <v>395</v>
      </c>
      <c r="C2574" s="22" t="s">
        <v>2450</v>
      </c>
      <c r="D2574" s="22"/>
      <c r="E2574" s="21" t="s">
        <v>0</v>
      </c>
      <c r="F2574" s="21" t="s">
        <v>9807</v>
      </c>
      <c r="G2574" s="147" t="s">
        <v>6365</v>
      </c>
      <c r="H2574" s="23" t="s">
        <v>12934</v>
      </c>
      <c r="I2574" s="23" t="s">
        <v>12935</v>
      </c>
      <c r="J2574" s="21" t="s">
        <v>12945</v>
      </c>
      <c r="K2574" s="21"/>
      <c r="L2574" s="21" t="s">
        <v>14245</v>
      </c>
      <c r="M2574" s="26" t="s">
        <v>14246</v>
      </c>
      <c r="N2574" s="44">
        <v>98509</v>
      </c>
      <c r="O2574" s="22" t="s">
        <v>15</v>
      </c>
      <c r="P2574" s="44">
        <f>(0.25*98509)+73881.75</f>
        <v>98509</v>
      </c>
      <c r="Q2574" s="24">
        <f t="shared" si="409"/>
        <v>0</v>
      </c>
      <c r="R2574" s="24">
        <f t="shared" si="410"/>
        <v>98509</v>
      </c>
    </row>
    <row r="2575" spans="2:18" x14ac:dyDescent="0.25">
      <c r="C2575" s="4" t="s">
        <v>2450</v>
      </c>
      <c r="E2575" s="5" t="s">
        <v>0</v>
      </c>
      <c r="F2575" s="5" t="s">
        <v>9807</v>
      </c>
      <c r="G2575" s="146" t="s">
        <v>6365</v>
      </c>
      <c r="H2575" s="7" t="s">
        <v>12934</v>
      </c>
      <c r="I2575" s="7" t="s">
        <v>12935</v>
      </c>
      <c r="J2575" s="521" t="s">
        <v>12946</v>
      </c>
      <c r="K2575" s="521"/>
      <c r="L2575" s="521" t="s">
        <v>14270</v>
      </c>
      <c r="M2575" s="567">
        <v>46080</v>
      </c>
      <c r="N2575" s="523">
        <v>98509</v>
      </c>
      <c r="O2575" s="4" t="s">
        <v>15</v>
      </c>
      <c r="P2575" s="45">
        <f>(0.25*98509)</f>
        <v>24627.25</v>
      </c>
      <c r="Q2575" s="3">
        <f t="shared" si="409"/>
        <v>73881.75</v>
      </c>
      <c r="R2575" s="3">
        <f t="shared" si="410"/>
        <v>24627.25</v>
      </c>
    </row>
    <row r="2576" spans="2:18" x14ac:dyDescent="0.25">
      <c r="C2576" s="4" t="s">
        <v>2450</v>
      </c>
      <c r="E2576" s="5" t="s">
        <v>0</v>
      </c>
      <c r="F2576" s="5" t="s">
        <v>9807</v>
      </c>
      <c r="G2576" s="146" t="s">
        <v>6365</v>
      </c>
      <c r="H2576" s="7" t="s">
        <v>12934</v>
      </c>
      <c r="I2576" s="7" t="s">
        <v>12935</v>
      </c>
      <c r="J2576" s="521" t="s">
        <v>12947</v>
      </c>
      <c r="K2576" s="521"/>
      <c r="L2576" s="521"/>
      <c r="M2576" s="522"/>
      <c r="N2576" s="523">
        <v>98509</v>
      </c>
      <c r="O2576" s="4" t="s">
        <v>15</v>
      </c>
      <c r="Q2576" s="3">
        <f t="shared" si="409"/>
        <v>98509</v>
      </c>
      <c r="R2576" s="3">
        <f t="shared" si="410"/>
        <v>0</v>
      </c>
    </row>
    <row r="2577" spans="2:18" hidden="1" x14ac:dyDescent="0.25">
      <c r="B2577" s="21" t="s">
        <v>395</v>
      </c>
      <c r="C2577" s="22" t="s">
        <v>2450</v>
      </c>
      <c r="D2577" s="22"/>
      <c r="E2577" s="21" t="s">
        <v>0</v>
      </c>
      <c r="F2577" s="21" t="s">
        <v>9807</v>
      </c>
      <c r="G2577" s="147" t="s">
        <v>6365</v>
      </c>
      <c r="H2577" s="23" t="s">
        <v>12934</v>
      </c>
      <c r="I2577" s="23" t="s">
        <v>12935</v>
      </c>
      <c r="J2577" s="21" t="s">
        <v>12948</v>
      </c>
      <c r="K2577" s="21"/>
      <c r="L2577" s="21" t="s">
        <v>13090</v>
      </c>
      <c r="M2577" s="26">
        <v>45834</v>
      </c>
      <c r="N2577" s="44">
        <v>21417</v>
      </c>
      <c r="O2577" s="22" t="s">
        <v>15</v>
      </c>
      <c r="P2577" s="44">
        <v>21417</v>
      </c>
      <c r="Q2577" s="24">
        <f t="shared" si="409"/>
        <v>0</v>
      </c>
      <c r="R2577" s="24">
        <f t="shared" si="410"/>
        <v>21417</v>
      </c>
    </row>
    <row r="2578" spans="2:18" hidden="1" x14ac:dyDescent="0.25">
      <c r="B2578" s="21" t="s">
        <v>395</v>
      </c>
      <c r="C2578" s="22" t="s">
        <v>2450</v>
      </c>
      <c r="D2578" s="22"/>
      <c r="E2578" s="21" t="s">
        <v>0</v>
      </c>
      <c r="F2578" s="21" t="s">
        <v>9807</v>
      </c>
      <c r="G2578" s="147" t="s">
        <v>6365</v>
      </c>
      <c r="H2578" s="23" t="s">
        <v>12934</v>
      </c>
      <c r="I2578" s="23" t="s">
        <v>12935</v>
      </c>
      <c r="J2578" s="21" t="s">
        <v>12949</v>
      </c>
      <c r="K2578" s="21"/>
      <c r="L2578" s="21" t="s">
        <v>13090</v>
      </c>
      <c r="M2578" s="26">
        <v>45834</v>
      </c>
      <c r="N2578" s="44">
        <v>15367</v>
      </c>
      <c r="O2578" s="22" t="s">
        <v>15</v>
      </c>
      <c r="P2578" s="44">
        <v>15367</v>
      </c>
      <c r="Q2578" s="24">
        <f t="shared" si="409"/>
        <v>0</v>
      </c>
      <c r="R2578" s="24">
        <f t="shared" si="410"/>
        <v>15367</v>
      </c>
    </row>
    <row r="2579" spans="2:18" hidden="1" x14ac:dyDescent="0.25">
      <c r="B2579" s="21" t="s">
        <v>395</v>
      </c>
      <c r="C2579" s="22" t="s">
        <v>2450</v>
      </c>
      <c r="D2579" s="22"/>
      <c r="E2579" s="21" t="s">
        <v>0</v>
      </c>
      <c r="F2579" s="21" t="s">
        <v>9807</v>
      </c>
      <c r="G2579" s="147" t="s">
        <v>6365</v>
      </c>
      <c r="H2579" s="23" t="s">
        <v>12934</v>
      </c>
      <c r="I2579" s="23" t="s">
        <v>12935</v>
      </c>
      <c r="J2579" s="21" t="s">
        <v>12950</v>
      </c>
      <c r="K2579" s="21"/>
      <c r="L2579" s="21" t="s">
        <v>13102</v>
      </c>
      <c r="M2579" s="26">
        <v>45960</v>
      </c>
      <c r="N2579" s="44">
        <v>15367</v>
      </c>
      <c r="O2579" s="22" t="s">
        <v>15</v>
      </c>
      <c r="P2579" s="44">
        <v>15367</v>
      </c>
      <c r="Q2579" s="24">
        <f t="shared" si="409"/>
        <v>0</v>
      </c>
      <c r="R2579" s="24">
        <f t="shared" si="410"/>
        <v>15367</v>
      </c>
    </row>
    <row r="2580" spans="2:18" hidden="1" x14ac:dyDescent="0.25">
      <c r="B2580" s="21" t="s">
        <v>395</v>
      </c>
      <c r="C2580" s="22" t="s">
        <v>2450</v>
      </c>
      <c r="D2580" s="22"/>
      <c r="E2580" s="21" t="s">
        <v>0</v>
      </c>
      <c r="F2580" s="21" t="s">
        <v>9807</v>
      </c>
      <c r="G2580" s="147" t="s">
        <v>6365</v>
      </c>
      <c r="H2580" s="23" t="s">
        <v>12934</v>
      </c>
      <c r="I2580" s="23" t="s">
        <v>12935</v>
      </c>
      <c r="J2580" s="21" t="s">
        <v>12951</v>
      </c>
      <c r="K2580" s="21"/>
      <c r="L2580" s="21" t="s">
        <v>13421</v>
      </c>
      <c r="M2580" s="26">
        <v>45988</v>
      </c>
      <c r="N2580" s="44">
        <v>15367</v>
      </c>
      <c r="O2580" s="22" t="s">
        <v>15</v>
      </c>
      <c r="P2580" s="44">
        <v>15367</v>
      </c>
      <c r="Q2580" s="24">
        <f t="shared" si="409"/>
        <v>0</v>
      </c>
      <c r="R2580" s="24">
        <f t="shared" si="410"/>
        <v>15367</v>
      </c>
    </row>
    <row r="2581" spans="2:18" hidden="1" x14ac:dyDescent="0.25">
      <c r="B2581" s="21" t="s">
        <v>395</v>
      </c>
      <c r="C2581" s="22" t="s">
        <v>2450</v>
      </c>
      <c r="D2581" s="22"/>
      <c r="E2581" s="21" t="s">
        <v>0</v>
      </c>
      <c r="F2581" s="21" t="s">
        <v>9807</v>
      </c>
      <c r="G2581" s="147" t="s">
        <v>6365</v>
      </c>
      <c r="H2581" s="23" t="s">
        <v>12934</v>
      </c>
      <c r="I2581" s="23" t="s">
        <v>12935</v>
      </c>
      <c r="J2581" s="21" t="s">
        <v>12952</v>
      </c>
      <c r="K2581" s="21"/>
      <c r="L2581" s="21" t="s">
        <v>13645</v>
      </c>
      <c r="M2581" s="26" t="s">
        <v>13646</v>
      </c>
      <c r="N2581" s="44">
        <v>15367</v>
      </c>
      <c r="O2581" s="22" t="s">
        <v>15</v>
      </c>
      <c r="P2581" s="44">
        <f>0.5*15367+7683.5</f>
        <v>15367</v>
      </c>
      <c r="Q2581" s="24">
        <f t="shared" si="409"/>
        <v>0</v>
      </c>
      <c r="R2581" s="24">
        <f t="shared" si="410"/>
        <v>15367</v>
      </c>
    </row>
    <row r="2582" spans="2:18" hidden="1" x14ac:dyDescent="0.25">
      <c r="B2582" s="21" t="s">
        <v>395</v>
      </c>
      <c r="C2582" s="22" t="s">
        <v>2450</v>
      </c>
      <c r="D2582" s="22"/>
      <c r="E2582" s="21" t="s">
        <v>0</v>
      </c>
      <c r="F2582" s="21" t="s">
        <v>9807</v>
      </c>
      <c r="G2582" s="147" t="s">
        <v>6365</v>
      </c>
      <c r="H2582" s="23" t="s">
        <v>12934</v>
      </c>
      <c r="I2582" s="23" t="s">
        <v>12935</v>
      </c>
      <c r="J2582" s="21" t="s">
        <v>12953</v>
      </c>
      <c r="K2582" s="21"/>
      <c r="L2582" s="21" t="s">
        <v>13644</v>
      </c>
      <c r="M2582" s="26">
        <v>46010</v>
      </c>
      <c r="N2582" s="44">
        <v>15367</v>
      </c>
      <c r="O2582" s="22" t="s">
        <v>15</v>
      </c>
      <c r="P2582" s="44">
        <v>15367</v>
      </c>
      <c r="Q2582" s="24">
        <f t="shared" si="409"/>
        <v>0</v>
      </c>
      <c r="R2582" s="24">
        <f t="shared" si="410"/>
        <v>15367</v>
      </c>
    </row>
    <row r="2583" spans="2:18" hidden="1" x14ac:dyDescent="0.25">
      <c r="B2583" s="21" t="s">
        <v>395</v>
      </c>
      <c r="C2583" s="22" t="s">
        <v>2450</v>
      </c>
      <c r="D2583" s="22"/>
      <c r="E2583" s="21" t="s">
        <v>0</v>
      </c>
      <c r="F2583" s="21" t="s">
        <v>9807</v>
      </c>
      <c r="G2583" s="147" t="s">
        <v>6365</v>
      </c>
      <c r="H2583" s="23" t="s">
        <v>12934</v>
      </c>
      <c r="I2583" s="23" t="s">
        <v>12935</v>
      </c>
      <c r="J2583" s="21" t="s">
        <v>12954</v>
      </c>
      <c r="K2583" s="21"/>
      <c r="L2583" s="21" t="s">
        <v>13644</v>
      </c>
      <c r="M2583" s="26">
        <v>46010</v>
      </c>
      <c r="N2583" s="44">
        <v>15367</v>
      </c>
      <c r="O2583" s="22" t="s">
        <v>15</v>
      </c>
      <c r="P2583" s="44">
        <v>15367</v>
      </c>
      <c r="Q2583" s="24">
        <f t="shared" si="409"/>
        <v>0</v>
      </c>
      <c r="R2583" s="24">
        <f t="shared" si="410"/>
        <v>15367</v>
      </c>
    </row>
    <row r="2584" spans="2:18" hidden="1" x14ac:dyDescent="0.25">
      <c r="B2584" s="21" t="s">
        <v>395</v>
      </c>
      <c r="C2584" s="22" t="s">
        <v>2450</v>
      </c>
      <c r="D2584" s="22"/>
      <c r="E2584" s="21" t="s">
        <v>0</v>
      </c>
      <c r="F2584" s="21" t="s">
        <v>9807</v>
      </c>
      <c r="G2584" s="147" t="s">
        <v>6365</v>
      </c>
      <c r="H2584" s="23" t="s">
        <v>12934</v>
      </c>
      <c r="I2584" s="23" t="s">
        <v>12935</v>
      </c>
      <c r="J2584" s="21" t="s">
        <v>12955</v>
      </c>
      <c r="K2584" s="21"/>
      <c r="L2584" s="21" t="s">
        <v>14245</v>
      </c>
      <c r="M2584" s="26" t="s">
        <v>14246</v>
      </c>
      <c r="N2584" s="44">
        <v>15367</v>
      </c>
      <c r="O2584" s="22" t="s">
        <v>15</v>
      </c>
      <c r="P2584" s="44">
        <f>(0.5*15367)+7683.5</f>
        <v>15367</v>
      </c>
      <c r="Q2584" s="24">
        <f t="shared" si="409"/>
        <v>0</v>
      </c>
      <c r="R2584" s="24">
        <f t="shared" si="410"/>
        <v>15367</v>
      </c>
    </row>
    <row r="2585" spans="2:18" hidden="1" x14ac:dyDescent="0.25">
      <c r="B2585" s="21" t="s">
        <v>395</v>
      </c>
      <c r="C2585" s="22" t="s">
        <v>2450</v>
      </c>
      <c r="D2585" s="22"/>
      <c r="E2585" s="21" t="s">
        <v>0</v>
      </c>
      <c r="F2585" s="21" t="s">
        <v>9807</v>
      </c>
      <c r="G2585" s="147" t="s">
        <v>6365</v>
      </c>
      <c r="H2585" s="23" t="s">
        <v>12934</v>
      </c>
      <c r="I2585" s="23" t="s">
        <v>12935</v>
      </c>
      <c r="J2585" s="21" t="s">
        <v>12956</v>
      </c>
      <c r="K2585" s="21"/>
      <c r="L2585" s="21" t="s">
        <v>14247</v>
      </c>
      <c r="M2585" s="26">
        <v>46078</v>
      </c>
      <c r="N2585" s="44">
        <v>15367</v>
      </c>
      <c r="O2585" s="22" t="s">
        <v>15</v>
      </c>
      <c r="P2585" s="44">
        <v>15367</v>
      </c>
      <c r="Q2585" s="24">
        <f t="shared" si="409"/>
        <v>0</v>
      </c>
      <c r="R2585" s="24">
        <f t="shared" si="410"/>
        <v>15367</v>
      </c>
    </row>
    <row r="2586" spans="2:18" hidden="1" x14ac:dyDescent="0.25">
      <c r="B2586" s="21" t="s">
        <v>395</v>
      </c>
      <c r="C2586" s="22" t="s">
        <v>2450</v>
      </c>
      <c r="D2586" s="22"/>
      <c r="E2586" s="21" t="s">
        <v>0</v>
      </c>
      <c r="F2586" s="21" t="s">
        <v>9807</v>
      </c>
      <c r="G2586" s="147" t="s">
        <v>6365</v>
      </c>
      <c r="H2586" s="23" t="s">
        <v>12934</v>
      </c>
      <c r="I2586" s="23" t="s">
        <v>12935</v>
      </c>
      <c r="J2586" s="21" t="s">
        <v>12957</v>
      </c>
      <c r="K2586" s="21"/>
      <c r="L2586" s="21" t="s">
        <v>14247</v>
      </c>
      <c r="M2586" s="26">
        <v>46078</v>
      </c>
      <c r="N2586" s="44">
        <v>15367</v>
      </c>
      <c r="O2586" s="22" t="s">
        <v>15</v>
      </c>
      <c r="P2586" s="44">
        <v>15367</v>
      </c>
      <c r="Q2586" s="24">
        <f t="shared" si="409"/>
        <v>0</v>
      </c>
      <c r="R2586" s="24">
        <f t="shared" si="410"/>
        <v>15367</v>
      </c>
    </row>
    <row r="2587" spans="2:18" x14ac:dyDescent="0.25">
      <c r="C2587" s="4" t="s">
        <v>2450</v>
      </c>
      <c r="E2587" s="5" t="s">
        <v>0</v>
      </c>
      <c r="F2587" s="5" t="s">
        <v>9807</v>
      </c>
      <c r="G2587" s="146" t="s">
        <v>6365</v>
      </c>
      <c r="H2587" s="7" t="s">
        <v>12934</v>
      </c>
      <c r="I2587" s="7" t="s">
        <v>12935</v>
      </c>
      <c r="J2587" s="512" t="s">
        <v>12958</v>
      </c>
      <c r="K2587" s="512"/>
      <c r="L2587" s="512"/>
      <c r="M2587" s="514"/>
      <c r="N2587" s="515">
        <v>15367</v>
      </c>
      <c r="O2587" s="4" t="s">
        <v>15</v>
      </c>
      <c r="Q2587" s="3">
        <f t="shared" si="409"/>
        <v>15367</v>
      </c>
      <c r="R2587" s="3">
        <f t="shared" si="410"/>
        <v>0</v>
      </c>
    </row>
    <row r="2588" spans="2:18" x14ac:dyDescent="0.25">
      <c r="C2588" s="4" t="s">
        <v>2450</v>
      </c>
      <c r="E2588" s="5" t="s">
        <v>0</v>
      </c>
      <c r="F2588" s="5" t="s">
        <v>9807</v>
      </c>
      <c r="G2588" s="146" t="s">
        <v>6365</v>
      </c>
      <c r="H2588" s="7" t="s">
        <v>12934</v>
      </c>
      <c r="I2588" s="7" t="s">
        <v>12935</v>
      </c>
      <c r="J2588" s="512" t="s">
        <v>12959</v>
      </c>
      <c r="K2588" s="512"/>
      <c r="L2588" s="512"/>
      <c r="M2588" s="514"/>
      <c r="N2588" s="515">
        <v>15367</v>
      </c>
      <c r="O2588" s="4" t="s">
        <v>15</v>
      </c>
      <c r="Q2588" s="3">
        <f t="shared" si="409"/>
        <v>15367</v>
      </c>
      <c r="R2588" s="3">
        <f t="shared" si="410"/>
        <v>0</v>
      </c>
    </row>
    <row r="2589" spans="2:18" hidden="1" x14ac:dyDescent="0.25">
      <c r="B2589" s="21" t="s">
        <v>395</v>
      </c>
      <c r="C2589" s="22" t="s">
        <v>2450</v>
      </c>
      <c r="D2589" s="22"/>
      <c r="E2589" s="21" t="s">
        <v>0</v>
      </c>
      <c r="F2589" s="21" t="s">
        <v>9807</v>
      </c>
      <c r="G2589" s="147" t="s">
        <v>6365</v>
      </c>
      <c r="H2589" s="23" t="s">
        <v>12934</v>
      </c>
      <c r="I2589" s="23" t="s">
        <v>12935</v>
      </c>
      <c r="J2589" s="21" t="s">
        <v>12960</v>
      </c>
      <c r="K2589" s="21"/>
      <c r="L2589" s="21" t="s">
        <v>13093</v>
      </c>
      <c r="M2589" s="26">
        <v>45861</v>
      </c>
      <c r="N2589" s="44">
        <v>6900</v>
      </c>
      <c r="O2589" s="22" t="s">
        <v>15</v>
      </c>
      <c r="P2589" s="44">
        <v>6900</v>
      </c>
      <c r="Q2589" s="24">
        <f t="shared" si="409"/>
        <v>0</v>
      </c>
      <c r="R2589" s="24">
        <f t="shared" si="410"/>
        <v>6900</v>
      </c>
    </row>
    <row r="2590" spans="2:18" hidden="1" x14ac:dyDescent="0.25">
      <c r="B2590" s="21" t="s">
        <v>395</v>
      </c>
      <c r="C2590" s="22" t="s">
        <v>2450</v>
      </c>
      <c r="D2590" s="22"/>
      <c r="E2590" s="21" t="s">
        <v>0</v>
      </c>
      <c r="F2590" s="21" t="s">
        <v>9807</v>
      </c>
      <c r="G2590" s="147" t="s">
        <v>6365</v>
      </c>
      <c r="H2590" s="23" t="s">
        <v>12934</v>
      </c>
      <c r="I2590" s="23" t="s">
        <v>12935</v>
      </c>
      <c r="J2590" s="21" t="s">
        <v>12961</v>
      </c>
      <c r="K2590" s="21"/>
      <c r="L2590" s="21" t="s">
        <v>13093</v>
      </c>
      <c r="M2590" s="26">
        <v>45861</v>
      </c>
      <c r="N2590" s="44">
        <v>6050</v>
      </c>
      <c r="O2590" s="22" t="s">
        <v>15</v>
      </c>
      <c r="P2590" s="44">
        <v>6050</v>
      </c>
      <c r="Q2590" s="24">
        <f t="shared" si="409"/>
        <v>0</v>
      </c>
      <c r="R2590" s="24">
        <f t="shared" si="410"/>
        <v>6050</v>
      </c>
    </row>
    <row r="2591" spans="2:18" hidden="1" x14ac:dyDescent="0.25">
      <c r="B2591" s="21" t="s">
        <v>395</v>
      </c>
      <c r="C2591" s="22" t="s">
        <v>2450</v>
      </c>
      <c r="D2591" s="22"/>
      <c r="E2591" s="21" t="s">
        <v>0</v>
      </c>
      <c r="F2591" s="21" t="s">
        <v>9807</v>
      </c>
      <c r="G2591" s="147" t="s">
        <v>6365</v>
      </c>
      <c r="H2591" s="23" t="s">
        <v>12934</v>
      </c>
      <c r="I2591" s="23" t="s">
        <v>12935</v>
      </c>
      <c r="J2591" s="21" t="s">
        <v>12962</v>
      </c>
      <c r="K2591" s="21"/>
      <c r="L2591" s="21" t="s">
        <v>13095</v>
      </c>
      <c r="M2591" s="26">
        <v>45926</v>
      </c>
      <c r="N2591" s="44">
        <v>6050</v>
      </c>
      <c r="O2591" s="22" t="s">
        <v>15</v>
      </c>
      <c r="P2591" s="44">
        <v>6050</v>
      </c>
      <c r="Q2591" s="24">
        <f t="shared" si="409"/>
        <v>0</v>
      </c>
      <c r="R2591" s="24">
        <f t="shared" si="410"/>
        <v>6050</v>
      </c>
    </row>
    <row r="2592" spans="2:18" hidden="1" x14ac:dyDescent="0.25">
      <c r="B2592" s="21" t="s">
        <v>395</v>
      </c>
      <c r="C2592" s="22" t="s">
        <v>2450</v>
      </c>
      <c r="D2592" s="22"/>
      <c r="E2592" s="21" t="s">
        <v>0</v>
      </c>
      <c r="F2592" s="21" t="s">
        <v>9807</v>
      </c>
      <c r="G2592" s="147" t="s">
        <v>6365</v>
      </c>
      <c r="H2592" s="23" t="s">
        <v>12934</v>
      </c>
      <c r="I2592" s="23" t="s">
        <v>12935</v>
      </c>
      <c r="J2592" s="21" t="s">
        <v>12963</v>
      </c>
      <c r="K2592" s="21"/>
      <c r="L2592" s="21" t="s">
        <v>13421</v>
      </c>
      <c r="M2592" s="26">
        <v>45988</v>
      </c>
      <c r="N2592" s="44">
        <v>6050</v>
      </c>
      <c r="O2592" s="22" t="s">
        <v>15</v>
      </c>
      <c r="P2592" s="44">
        <v>6050</v>
      </c>
      <c r="Q2592" s="24">
        <f t="shared" si="409"/>
        <v>0</v>
      </c>
      <c r="R2592" s="24">
        <f t="shared" si="410"/>
        <v>6050</v>
      </c>
    </row>
    <row r="2593" spans="2:18" hidden="1" x14ac:dyDescent="0.25">
      <c r="B2593" s="21" t="s">
        <v>395</v>
      </c>
      <c r="C2593" s="22" t="s">
        <v>2450</v>
      </c>
      <c r="D2593" s="22"/>
      <c r="E2593" s="21" t="s">
        <v>0</v>
      </c>
      <c r="F2593" s="21" t="s">
        <v>9807</v>
      </c>
      <c r="G2593" s="147" t="s">
        <v>6365</v>
      </c>
      <c r="H2593" s="23" t="s">
        <v>12934</v>
      </c>
      <c r="I2593" s="23" t="s">
        <v>12935</v>
      </c>
      <c r="J2593" s="21" t="s">
        <v>12964</v>
      </c>
      <c r="K2593" s="21"/>
      <c r="L2593" s="21" t="s">
        <v>13496</v>
      </c>
      <c r="M2593" s="26" t="s">
        <v>13497</v>
      </c>
      <c r="N2593" s="44">
        <v>6050</v>
      </c>
      <c r="O2593" s="22" t="s">
        <v>15</v>
      </c>
      <c r="P2593" s="44">
        <f>0.5*6050+3025</f>
        <v>6050</v>
      </c>
      <c r="Q2593" s="24">
        <f t="shared" si="409"/>
        <v>0</v>
      </c>
      <c r="R2593" s="24">
        <f t="shared" si="410"/>
        <v>6050</v>
      </c>
    </row>
    <row r="2594" spans="2:18" hidden="1" x14ac:dyDescent="0.25">
      <c r="B2594" s="21" t="s">
        <v>395</v>
      </c>
      <c r="C2594" s="22" t="s">
        <v>2450</v>
      </c>
      <c r="D2594" s="22"/>
      <c r="E2594" s="21" t="s">
        <v>0</v>
      </c>
      <c r="F2594" s="21" t="s">
        <v>9807</v>
      </c>
      <c r="G2594" s="147" t="s">
        <v>6365</v>
      </c>
      <c r="H2594" s="23" t="s">
        <v>12934</v>
      </c>
      <c r="I2594" s="23" t="s">
        <v>12935</v>
      </c>
      <c r="J2594" s="21" t="s">
        <v>12965</v>
      </c>
      <c r="K2594" s="21"/>
      <c r="L2594" s="21" t="s">
        <v>13498</v>
      </c>
      <c r="M2594" s="26">
        <v>46000</v>
      </c>
      <c r="N2594" s="44">
        <v>6050</v>
      </c>
      <c r="O2594" s="22" t="s">
        <v>15</v>
      </c>
      <c r="P2594" s="44">
        <v>6050</v>
      </c>
      <c r="Q2594" s="24">
        <f t="shared" si="409"/>
        <v>0</v>
      </c>
      <c r="R2594" s="24">
        <f t="shared" si="410"/>
        <v>6050</v>
      </c>
    </row>
    <row r="2595" spans="2:18" hidden="1" x14ac:dyDescent="0.25">
      <c r="B2595" s="21" t="s">
        <v>395</v>
      </c>
      <c r="C2595" s="22" t="s">
        <v>2450</v>
      </c>
      <c r="D2595" s="22"/>
      <c r="E2595" s="21" t="s">
        <v>0</v>
      </c>
      <c r="F2595" s="21" t="s">
        <v>9807</v>
      </c>
      <c r="G2595" s="147" t="s">
        <v>6365</v>
      </c>
      <c r="H2595" s="23" t="s">
        <v>12934</v>
      </c>
      <c r="I2595" s="23" t="s">
        <v>12935</v>
      </c>
      <c r="J2595" s="21" t="s">
        <v>12966</v>
      </c>
      <c r="K2595" s="21"/>
      <c r="L2595" s="21" t="s">
        <v>13498</v>
      </c>
      <c r="M2595" s="26">
        <v>46000</v>
      </c>
      <c r="N2595" s="44">
        <v>6050</v>
      </c>
      <c r="O2595" s="22" t="s">
        <v>15</v>
      </c>
      <c r="P2595" s="44">
        <v>6050</v>
      </c>
      <c r="Q2595" s="24">
        <f t="shared" si="409"/>
        <v>0</v>
      </c>
      <c r="R2595" s="24">
        <f t="shared" si="410"/>
        <v>6050</v>
      </c>
    </row>
    <row r="2596" spans="2:18" hidden="1" x14ac:dyDescent="0.25">
      <c r="B2596" s="21" t="s">
        <v>395</v>
      </c>
      <c r="C2596" s="22" t="s">
        <v>2450</v>
      </c>
      <c r="D2596" s="22"/>
      <c r="E2596" s="21" t="s">
        <v>0</v>
      </c>
      <c r="F2596" s="21" t="s">
        <v>9807</v>
      </c>
      <c r="G2596" s="147" t="s">
        <v>6365</v>
      </c>
      <c r="H2596" s="23" t="s">
        <v>12934</v>
      </c>
      <c r="I2596" s="23" t="s">
        <v>12935</v>
      </c>
      <c r="J2596" s="21" t="s">
        <v>12967</v>
      </c>
      <c r="K2596" s="21"/>
      <c r="L2596" s="21" t="s">
        <v>13969</v>
      </c>
      <c r="M2596" s="26">
        <v>46048</v>
      </c>
      <c r="N2596" s="44">
        <v>6050</v>
      </c>
      <c r="O2596" s="22" t="s">
        <v>15</v>
      </c>
      <c r="P2596" s="44">
        <f>6050</f>
        <v>6050</v>
      </c>
      <c r="Q2596" s="24">
        <f t="shared" si="409"/>
        <v>0</v>
      </c>
      <c r="R2596" s="24">
        <f t="shared" si="410"/>
        <v>6050</v>
      </c>
    </row>
    <row r="2597" spans="2:18" hidden="1" x14ac:dyDescent="0.25">
      <c r="B2597" s="21" t="s">
        <v>395</v>
      </c>
      <c r="C2597" s="22" t="s">
        <v>2450</v>
      </c>
      <c r="D2597" s="22"/>
      <c r="E2597" s="21" t="s">
        <v>0</v>
      </c>
      <c r="F2597" s="21" t="s">
        <v>9807</v>
      </c>
      <c r="G2597" s="147" t="s">
        <v>6365</v>
      </c>
      <c r="H2597" s="23" t="s">
        <v>12934</v>
      </c>
      <c r="I2597" s="23" t="s">
        <v>12935</v>
      </c>
      <c r="J2597" s="21" t="s">
        <v>12968</v>
      </c>
      <c r="K2597" s="21"/>
      <c r="L2597" s="21" t="s">
        <v>13969</v>
      </c>
      <c r="M2597" s="26">
        <v>46048</v>
      </c>
      <c r="N2597" s="44">
        <v>6050</v>
      </c>
      <c r="O2597" s="22" t="s">
        <v>15</v>
      </c>
      <c r="P2597" s="44">
        <f>6050</f>
        <v>6050</v>
      </c>
      <c r="Q2597" s="24">
        <f t="shared" si="409"/>
        <v>0</v>
      </c>
      <c r="R2597" s="24">
        <f t="shared" si="410"/>
        <v>6050</v>
      </c>
    </row>
    <row r="2598" spans="2:18" hidden="1" x14ac:dyDescent="0.25">
      <c r="B2598" s="21" t="s">
        <v>395</v>
      </c>
      <c r="C2598" s="22" t="s">
        <v>2450</v>
      </c>
      <c r="D2598" s="22"/>
      <c r="E2598" s="21" t="s">
        <v>0</v>
      </c>
      <c r="F2598" s="21" t="s">
        <v>9807</v>
      </c>
      <c r="G2598" s="147" t="s">
        <v>6365</v>
      </c>
      <c r="H2598" s="23" t="s">
        <v>12934</v>
      </c>
      <c r="I2598" s="23" t="s">
        <v>12935</v>
      </c>
      <c r="J2598" s="21" t="s">
        <v>12969</v>
      </c>
      <c r="K2598" s="21"/>
      <c r="L2598" s="21" t="s">
        <v>14247</v>
      </c>
      <c r="M2598" s="26">
        <v>46078</v>
      </c>
      <c r="N2598" s="44">
        <v>6050</v>
      </c>
      <c r="O2598" s="22" t="s">
        <v>15</v>
      </c>
      <c r="P2598" s="44">
        <v>6050</v>
      </c>
      <c r="Q2598" s="24">
        <f t="shared" si="409"/>
        <v>0</v>
      </c>
      <c r="R2598" s="24">
        <f t="shared" si="410"/>
        <v>6050</v>
      </c>
    </row>
    <row r="2599" spans="2:18" x14ac:dyDescent="0.25">
      <c r="C2599" s="4" t="s">
        <v>2450</v>
      </c>
      <c r="E2599" s="5" t="s">
        <v>0</v>
      </c>
      <c r="F2599" s="5" t="s">
        <v>9807</v>
      </c>
      <c r="G2599" s="146" t="s">
        <v>6365</v>
      </c>
      <c r="H2599" s="7" t="s">
        <v>12934</v>
      </c>
      <c r="I2599" s="7" t="s">
        <v>12935</v>
      </c>
      <c r="J2599" s="62" t="s">
        <v>12970</v>
      </c>
      <c r="K2599" s="62"/>
      <c r="L2599" s="62"/>
      <c r="M2599" s="63"/>
      <c r="N2599" s="101">
        <v>6050</v>
      </c>
      <c r="O2599" s="4" t="s">
        <v>15</v>
      </c>
      <c r="Q2599" s="3">
        <f t="shared" si="409"/>
        <v>6050</v>
      </c>
      <c r="R2599" s="3">
        <f t="shared" si="410"/>
        <v>0</v>
      </c>
    </row>
    <row r="2600" spans="2:18" x14ac:dyDescent="0.25">
      <c r="C2600" s="4" t="s">
        <v>2450</v>
      </c>
      <c r="E2600" s="5" t="s">
        <v>0</v>
      </c>
      <c r="F2600" s="5" t="s">
        <v>9807</v>
      </c>
      <c r="G2600" s="146" t="s">
        <v>6365</v>
      </c>
      <c r="H2600" s="7" t="s">
        <v>12934</v>
      </c>
      <c r="I2600" s="7" t="s">
        <v>12935</v>
      </c>
      <c r="J2600" s="62" t="s">
        <v>12971</v>
      </c>
      <c r="K2600" s="62"/>
      <c r="L2600" s="62"/>
      <c r="M2600" s="63"/>
      <c r="N2600" s="101">
        <v>6050</v>
      </c>
      <c r="O2600" s="4" t="s">
        <v>15</v>
      </c>
      <c r="Q2600" s="3">
        <f t="shared" si="409"/>
        <v>6050</v>
      </c>
      <c r="R2600" s="3">
        <f t="shared" si="410"/>
        <v>0</v>
      </c>
    </row>
    <row r="2601" spans="2:18" hidden="1" x14ac:dyDescent="0.25">
      <c r="B2601" s="21" t="s">
        <v>395</v>
      </c>
      <c r="C2601" s="22" t="s">
        <v>2450</v>
      </c>
      <c r="D2601" s="22"/>
      <c r="E2601" s="21" t="s">
        <v>0</v>
      </c>
      <c r="F2601" s="21" t="s">
        <v>9807</v>
      </c>
      <c r="G2601" s="147" t="s">
        <v>6365</v>
      </c>
      <c r="H2601" s="23" t="s">
        <v>12934</v>
      </c>
      <c r="I2601" s="23" t="s">
        <v>12935</v>
      </c>
      <c r="J2601" s="59" t="s">
        <v>12972</v>
      </c>
      <c r="K2601" s="59"/>
      <c r="L2601" s="59" t="s">
        <v>13096</v>
      </c>
      <c r="M2601" s="419">
        <v>45930</v>
      </c>
      <c r="N2601" s="99">
        <v>15947</v>
      </c>
      <c r="O2601" s="22" t="s">
        <v>15</v>
      </c>
      <c r="P2601" s="44">
        <v>15947</v>
      </c>
      <c r="Q2601" s="24">
        <f t="shared" si="409"/>
        <v>0</v>
      </c>
      <c r="R2601" s="24">
        <f t="shared" si="410"/>
        <v>15947</v>
      </c>
    </row>
    <row r="2602" spans="2:18" hidden="1" x14ac:dyDescent="0.25">
      <c r="B2602" s="21" t="s">
        <v>395</v>
      </c>
      <c r="C2602" s="22" t="s">
        <v>2450</v>
      </c>
      <c r="D2602" s="22"/>
      <c r="E2602" s="21" t="s">
        <v>0</v>
      </c>
      <c r="F2602" s="21" t="s">
        <v>9807</v>
      </c>
      <c r="G2602" s="147" t="s">
        <v>6365</v>
      </c>
      <c r="H2602" s="23" t="s">
        <v>12934</v>
      </c>
      <c r="I2602" s="23" t="s">
        <v>12935</v>
      </c>
      <c r="J2602" s="21" t="s">
        <v>12973</v>
      </c>
      <c r="K2602" s="21"/>
      <c r="L2602" s="21" t="s">
        <v>13754</v>
      </c>
      <c r="M2602" s="26">
        <v>46014</v>
      </c>
      <c r="N2602" s="44">
        <v>46974</v>
      </c>
      <c r="O2602" s="22" t="s">
        <v>15</v>
      </c>
      <c r="P2602" s="44">
        <v>46974</v>
      </c>
      <c r="Q2602" s="24">
        <f t="shared" si="409"/>
        <v>0</v>
      </c>
      <c r="R2602" s="24">
        <f t="shared" si="410"/>
        <v>46974</v>
      </c>
    </row>
    <row r="2603" spans="2:18" x14ac:dyDescent="0.25">
      <c r="C2603" s="4" t="s">
        <v>2450</v>
      </c>
      <c r="E2603" s="5" t="s">
        <v>0</v>
      </c>
      <c r="F2603" s="5" t="s">
        <v>9807</v>
      </c>
      <c r="G2603" s="146" t="s">
        <v>6365</v>
      </c>
      <c r="H2603" s="7" t="s">
        <v>12934</v>
      </c>
      <c r="I2603" s="7" t="s">
        <v>12935</v>
      </c>
      <c r="J2603" s="59" t="s">
        <v>12974</v>
      </c>
      <c r="K2603" s="59"/>
      <c r="L2603" s="59"/>
      <c r="M2603" s="60"/>
      <c r="N2603" s="99">
        <v>56427</v>
      </c>
      <c r="O2603" s="4" t="s">
        <v>15</v>
      </c>
      <c r="Q2603" s="3">
        <f t="shared" si="409"/>
        <v>56427</v>
      </c>
      <c r="R2603" s="3">
        <f t="shared" si="410"/>
        <v>0</v>
      </c>
    </row>
    <row r="2604" spans="2:18" x14ac:dyDescent="0.25">
      <c r="C2604" s="4" t="s">
        <v>2450</v>
      </c>
      <c r="E2604" s="5" t="s">
        <v>0</v>
      </c>
      <c r="F2604" s="5" t="s">
        <v>9807</v>
      </c>
      <c r="G2604" s="146" t="s">
        <v>6365</v>
      </c>
      <c r="H2604" s="7" t="s">
        <v>12934</v>
      </c>
      <c r="I2604" s="7" t="s">
        <v>12935</v>
      </c>
      <c r="J2604" s="59" t="s">
        <v>12975</v>
      </c>
      <c r="K2604" s="59"/>
      <c r="L2604" s="59"/>
      <c r="M2604" s="60"/>
      <c r="N2604" s="99">
        <v>42782</v>
      </c>
      <c r="O2604" s="4" t="s">
        <v>15</v>
      </c>
      <c r="Q2604" s="3">
        <f t="shared" si="409"/>
        <v>42782</v>
      </c>
      <c r="R2604" s="3">
        <f t="shared" si="410"/>
        <v>0</v>
      </c>
    </row>
    <row r="2605" spans="2:18" x14ac:dyDescent="0.25">
      <c r="C2605" s="4" t="s">
        <v>2450</v>
      </c>
      <c r="E2605" s="5" t="s">
        <v>0</v>
      </c>
      <c r="F2605" s="5" t="s">
        <v>9807</v>
      </c>
      <c r="G2605" s="146" t="s">
        <v>6365</v>
      </c>
      <c r="H2605" s="7" t="s">
        <v>12934</v>
      </c>
      <c r="I2605" s="7" t="s">
        <v>12935</v>
      </c>
      <c r="J2605" s="59" t="s">
        <v>12976</v>
      </c>
      <c r="K2605" s="59"/>
      <c r="L2605" s="59"/>
      <c r="M2605" s="60"/>
      <c r="N2605" s="99">
        <v>42782</v>
      </c>
      <c r="O2605" s="4" t="s">
        <v>15</v>
      </c>
      <c r="Q2605" s="3">
        <f t="shared" si="409"/>
        <v>42782</v>
      </c>
      <c r="R2605" s="3">
        <f t="shared" si="410"/>
        <v>0</v>
      </c>
    </row>
    <row r="2606" spans="2:18" x14ac:dyDescent="0.25">
      <c r="C2606" s="4" t="s">
        <v>2450</v>
      </c>
      <c r="E2606" s="5" t="s">
        <v>0</v>
      </c>
      <c r="F2606" s="5" t="s">
        <v>9807</v>
      </c>
      <c r="G2606" s="146" t="s">
        <v>6365</v>
      </c>
      <c r="H2606" s="7" t="s">
        <v>12934</v>
      </c>
      <c r="I2606" s="7" t="s">
        <v>12935</v>
      </c>
      <c r="J2606" s="59" t="s">
        <v>12977</v>
      </c>
      <c r="K2606" s="59"/>
      <c r="L2606" s="59"/>
      <c r="M2606" s="60"/>
      <c r="N2606" s="99">
        <v>42782</v>
      </c>
      <c r="O2606" s="4" t="s">
        <v>15</v>
      </c>
      <c r="Q2606" s="3">
        <f t="shared" si="409"/>
        <v>42782</v>
      </c>
      <c r="R2606" s="3">
        <f t="shared" si="410"/>
        <v>0</v>
      </c>
    </row>
    <row r="2607" spans="2:18" x14ac:dyDescent="0.25">
      <c r="C2607" s="4" t="s">
        <v>2450</v>
      </c>
      <c r="E2607" s="5" t="s">
        <v>0</v>
      </c>
      <c r="F2607" s="5" t="s">
        <v>9807</v>
      </c>
      <c r="G2607" s="146" t="s">
        <v>6365</v>
      </c>
      <c r="H2607" s="7" t="s">
        <v>12934</v>
      </c>
      <c r="I2607" s="7" t="s">
        <v>12935</v>
      </c>
      <c r="J2607" s="59" t="s">
        <v>12978</v>
      </c>
      <c r="K2607" s="59"/>
      <c r="L2607" s="59"/>
      <c r="M2607" s="60"/>
      <c r="N2607" s="99">
        <v>42782</v>
      </c>
      <c r="O2607" s="4" t="s">
        <v>15</v>
      </c>
      <c r="Q2607" s="3">
        <f t="shared" si="409"/>
        <v>42782</v>
      </c>
      <c r="R2607" s="3">
        <f t="shared" si="410"/>
        <v>0</v>
      </c>
    </row>
    <row r="2608" spans="2:18" x14ac:dyDescent="0.25">
      <c r="C2608" s="4" t="s">
        <v>2450</v>
      </c>
      <c r="E2608" s="5" t="s">
        <v>0</v>
      </c>
      <c r="F2608" s="5" t="s">
        <v>9807</v>
      </c>
      <c r="G2608" s="146" t="s">
        <v>6365</v>
      </c>
      <c r="H2608" s="7" t="s">
        <v>12934</v>
      </c>
      <c r="I2608" s="7" t="s">
        <v>12935</v>
      </c>
      <c r="J2608" s="59" t="s">
        <v>12979</v>
      </c>
      <c r="K2608" s="59"/>
      <c r="L2608" s="59"/>
      <c r="M2608" s="60"/>
      <c r="N2608" s="99">
        <v>42782</v>
      </c>
      <c r="O2608" s="4" t="s">
        <v>15</v>
      </c>
      <c r="Q2608" s="3">
        <f t="shared" si="409"/>
        <v>42782</v>
      </c>
      <c r="R2608" s="3">
        <f t="shared" si="410"/>
        <v>0</v>
      </c>
    </row>
    <row r="2609" spans="2:18" x14ac:dyDescent="0.25">
      <c r="C2609" s="4" t="s">
        <v>2450</v>
      </c>
      <c r="E2609" s="5" t="s">
        <v>0</v>
      </c>
      <c r="F2609" s="5" t="s">
        <v>9807</v>
      </c>
      <c r="G2609" s="146" t="s">
        <v>6365</v>
      </c>
      <c r="H2609" s="7" t="s">
        <v>12934</v>
      </c>
      <c r="I2609" s="7" t="s">
        <v>12935</v>
      </c>
      <c r="J2609" s="59" t="s">
        <v>12980</v>
      </c>
      <c r="K2609" s="59"/>
      <c r="L2609" s="59"/>
      <c r="M2609" s="60"/>
      <c r="N2609" s="99">
        <v>42782</v>
      </c>
      <c r="O2609" s="4" t="s">
        <v>15</v>
      </c>
      <c r="Q2609" s="3">
        <f t="shared" si="409"/>
        <v>42782</v>
      </c>
      <c r="R2609" s="3">
        <f t="shared" si="410"/>
        <v>0</v>
      </c>
    </row>
    <row r="2610" spans="2:18" hidden="1" x14ac:dyDescent="0.25">
      <c r="B2610" s="21" t="s">
        <v>395</v>
      </c>
      <c r="C2610" s="22" t="s">
        <v>2450</v>
      </c>
      <c r="D2610" s="22"/>
      <c r="E2610" s="21" t="s">
        <v>0</v>
      </c>
      <c r="F2610" s="21" t="s">
        <v>9807</v>
      </c>
      <c r="G2610" s="147" t="s">
        <v>6365</v>
      </c>
      <c r="H2610" s="23" t="s">
        <v>12934</v>
      </c>
      <c r="I2610" s="23" t="s">
        <v>12935</v>
      </c>
      <c r="J2610" s="413" t="s">
        <v>12981</v>
      </c>
      <c r="K2610" s="413"/>
      <c r="L2610" s="413" t="s">
        <v>13096</v>
      </c>
      <c r="M2610" s="416">
        <v>45930</v>
      </c>
      <c r="N2610" s="100">
        <v>11720</v>
      </c>
      <c r="O2610" s="22" t="s">
        <v>15</v>
      </c>
      <c r="P2610" s="44">
        <v>11720.33</v>
      </c>
      <c r="Q2610" s="24">
        <f t="shared" si="409"/>
        <v>0</v>
      </c>
      <c r="R2610" s="24">
        <f t="shared" si="410"/>
        <v>11720.33</v>
      </c>
    </row>
    <row r="2611" spans="2:18" hidden="1" x14ac:dyDescent="0.25">
      <c r="B2611" s="21" t="s">
        <v>395</v>
      </c>
      <c r="C2611" s="22" t="s">
        <v>2450</v>
      </c>
      <c r="D2611" s="22"/>
      <c r="E2611" s="21" t="s">
        <v>0</v>
      </c>
      <c r="F2611" s="21" t="s">
        <v>9807</v>
      </c>
      <c r="G2611" s="147" t="s">
        <v>6365</v>
      </c>
      <c r="H2611" s="23" t="s">
        <v>12934</v>
      </c>
      <c r="I2611" s="23" t="s">
        <v>12935</v>
      </c>
      <c r="J2611" s="21" t="s">
        <v>12982</v>
      </c>
      <c r="K2611" s="21"/>
      <c r="L2611" s="21" t="s">
        <v>13754</v>
      </c>
      <c r="M2611" s="26">
        <v>46014</v>
      </c>
      <c r="N2611" s="44">
        <v>32053</v>
      </c>
      <c r="O2611" s="22" t="s">
        <v>15</v>
      </c>
      <c r="P2611" s="44">
        <v>32053.67</v>
      </c>
      <c r="Q2611" s="24">
        <f t="shared" si="409"/>
        <v>0</v>
      </c>
      <c r="R2611" s="24">
        <f t="shared" si="410"/>
        <v>32053.67</v>
      </c>
    </row>
    <row r="2612" spans="2:18" x14ac:dyDescent="0.25">
      <c r="C2612" s="4" t="s">
        <v>2450</v>
      </c>
      <c r="E2612" s="5" t="s">
        <v>0</v>
      </c>
      <c r="F2612" s="5" t="s">
        <v>9807</v>
      </c>
      <c r="G2612" s="146" t="s">
        <v>6365</v>
      </c>
      <c r="H2612" s="7" t="s">
        <v>12934</v>
      </c>
      <c r="I2612" s="7" t="s">
        <v>12935</v>
      </c>
      <c r="J2612" s="413" t="s">
        <v>12983</v>
      </c>
      <c r="K2612" s="413"/>
      <c r="L2612" s="413"/>
      <c r="M2612" s="415"/>
      <c r="N2612" s="100">
        <v>38332</v>
      </c>
      <c r="O2612" s="4" t="s">
        <v>15</v>
      </c>
      <c r="Q2612" s="3">
        <f t="shared" si="409"/>
        <v>38332</v>
      </c>
      <c r="R2612" s="3">
        <f t="shared" si="410"/>
        <v>0</v>
      </c>
    </row>
    <row r="2613" spans="2:18" x14ac:dyDescent="0.25">
      <c r="C2613" s="4" t="s">
        <v>2450</v>
      </c>
      <c r="E2613" s="5" t="s">
        <v>0</v>
      </c>
      <c r="F2613" s="5" t="s">
        <v>9807</v>
      </c>
      <c r="G2613" s="146" t="s">
        <v>6365</v>
      </c>
      <c r="H2613" s="7" t="s">
        <v>12934</v>
      </c>
      <c r="I2613" s="7" t="s">
        <v>12935</v>
      </c>
      <c r="J2613" s="413" t="s">
        <v>12984</v>
      </c>
      <c r="K2613" s="413"/>
      <c r="L2613" s="413"/>
      <c r="M2613" s="415"/>
      <c r="N2613" s="100">
        <v>29235</v>
      </c>
      <c r="O2613" s="4" t="s">
        <v>15</v>
      </c>
      <c r="Q2613" s="3">
        <f t="shared" si="409"/>
        <v>29235</v>
      </c>
      <c r="R2613" s="3">
        <f t="shared" si="410"/>
        <v>0</v>
      </c>
    </row>
    <row r="2614" spans="2:18" x14ac:dyDescent="0.25">
      <c r="C2614" s="4" t="s">
        <v>2450</v>
      </c>
      <c r="E2614" s="5" t="s">
        <v>0</v>
      </c>
      <c r="F2614" s="5" t="s">
        <v>9807</v>
      </c>
      <c r="G2614" s="146" t="s">
        <v>6365</v>
      </c>
      <c r="H2614" s="7" t="s">
        <v>12934</v>
      </c>
      <c r="I2614" s="7" t="s">
        <v>12935</v>
      </c>
      <c r="J2614" s="413" t="s">
        <v>12985</v>
      </c>
      <c r="K2614" s="413"/>
      <c r="L2614" s="413"/>
      <c r="M2614" s="415"/>
      <c r="N2614" s="100">
        <v>29235</v>
      </c>
      <c r="O2614" s="4" t="s">
        <v>15</v>
      </c>
      <c r="Q2614" s="3">
        <f t="shared" si="409"/>
        <v>29235</v>
      </c>
      <c r="R2614" s="3">
        <f t="shared" si="410"/>
        <v>0</v>
      </c>
    </row>
    <row r="2615" spans="2:18" x14ac:dyDescent="0.25">
      <c r="C2615" s="4" t="s">
        <v>2450</v>
      </c>
      <c r="E2615" s="5" t="s">
        <v>0</v>
      </c>
      <c r="F2615" s="5" t="s">
        <v>9807</v>
      </c>
      <c r="G2615" s="146" t="s">
        <v>6365</v>
      </c>
      <c r="H2615" s="7" t="s">
        <v>12934</v>
      </c>
      <c r="I2615" s="7" t="s">
        <v>12935</v>
      </c>
      <c r="J2615" s="413" t="s">
        <v>12986</v>
      </c>
      <c r="K2615" s="413"/>
      <c r="L2615" s="413"/>
      <c r="M2615" s="415"/>
      <c r="N2615" s="100">
        <v>29235</v>
      </c>
      <c r="O2615" s="4" t="s">
        <v>15</v>
      </c>
      <c r="Q2615" s="3">
        <f t="shared" si="409"/>
        <v>29235</v>
      </c>
      <c r="R2615" s="3">
        <f t="shared" si="410"/>
        <v>0</v>
      </c>
    </row>
    <row r="2616" spans="2:18" x14ac:dyDescent="0.25">
      <c r="C2616" s="4" t="s">
        <v>2450</v>
      </c>
      <c r="E2616" s="5" t="s">
        <v>0</v>
      </c>
      <c r="F2616" s="5" t="s">
        <v>9807</v>
      </c>
      <c r="G2616" s="146" t="s">
        <v>6365</v>
      </c>
      <c r="H2616" s="7" t="s">
        <v>12934</v>
      </c>
      <c r="I2616" s="7" t="s">
        <v>12935</v>
      </c>
      <c r="J2616" s="413" t="s">
        <v>12987</v>
      </c>
      <c r="K2616" s="413"/>
      <c r="L2616" s="413"/>
      <c r="M2616" s="415"/>
      <c r="N2616" s="100">
        <v>29235</v>
      </c>
      <c r="O2616" s="4" t="s">
        <v>15</v>
      </c>
      <c r="Q2616" s="3">
        <f t="shared" si="409"/>
        <v>29235</v>
      </c>
      <c r="R2616" s="3">
        <f t="shared" si="410"/>
        <v>0</v>
      </c>
    </row>
    <row r="2617" spans="2:18" x14ac:dyDescent="0.25">
      <c r="C2617" s="4" t="s">
        <v>2450</v>
      </c>
      <c r="E2617" s="5" t="s">
        <v>0</v>
      </c>
      <c r="F2617" s="5" t="s">
        <v>9807</v>
      </c>
      <c r="G2617" s="146" t="s">
        <v>6365</v>
      </c>
      <c r="H2617" s="7" t="s">
        <v>12934</v>
      </c>
      <c r="I2617" s="7" t="s">
        <v>12935</v>
      </c>
      <c r="J2617" s="413" t="s">
        <v>12988</v>
      </c>
      <c r="K2617" s="413"/>
      <c r="L2617" s="413"/>
      <c r="M2617" s="415"/>
      <c r="N2617" s="100">
        <v>29235</v>
      </c>
      <c r="O2617" s="4" t="s">
        <v>15</v>
      </c>
      <c r="Q2617" s="3">
        <f t="shared" si="409"/>
        <v>29235</v>
      </c>
      <c r="R2617" s="3">
        <f t="shared" si="410"/>
        <v>0</v>
      </c>
    </row>
    <row r="2618" spans="2:18" x14ac:dyDescent="0.25">
      <c r="C2618" s="4" t="s">
        <v>2450</v>
      </c>
      <c r="E2618" s="5" t="s">
        <v>0</v>
      </c>
      <c r="F2618" s="5" t="s">
        <v>9807</v>
      </c>
      <c r="G2618" s="146" t="s">
        <v>6365</v>
      </c>
      <c r="H2618" s="7" t="s">
        <v>12934</v>
      </c>
      <c r="I2618" s="7" t="s">
        <v>12935</v>
      </c>
      <c r="J2618" s="413" t="s">
        <v>12989</v>
      </c>
      <c r="K2618" s="413"/>
      <c r="L2618" s="413"/>
      <c r="M2618" s="415"/>
      <c r="N2618" s="100">
        <v>29235</v>
      </c>
      <c r="O2618" s="4" t="s">
        <v>15</v>
      </c>
      <c r="Q2618" s="3">
        <f t="shared" si="409"/>
        <v>29235</v>
      </c>
      <c r="R2618" s="3">
        <f t="shared" si="410"/>
        <v>0</v>
      </c>
    </row>
    <row r="2619" spans="2:18" hidden="1" x14ac:dyDescent="0.25">
      <c r="B2619" s="21" t="s">
        <v>395</v>
      </c>
      <c r="C2619" s="22" t="s">
        <v>2450</v>
      </c>
      <c r="D2619" s="22"/>
      <c r="E2619" s="21" t="s">
        <v>0</v>
      </c>
      <c r="F2619" s="21" t="s">
        <v>9807</v>
      </c>
      <c r="G2619" s="147" t="s">
        <v>6365</v>
      </c>
      <c r="H2619" s="23" t="s">
        <v>12934</v>
      </c>
      <c r="I2619" s="23" t="s">
        <v>12935</v>
      </c>
      <c r="J2619" s="21" t="s">
        <v>12990</v>
      </c>
      <c r="K2619" s="21"/>
      <c r="L2619" s="21" t="s">
        <v>4072</v>
      </c>
      <c r="M2619" s="26">
        <v>46051</v>
      </c>
      <c r="N2619" s="44">
        <v>11720</v>
      </c>
      <c r="O2619" s="22" t="s">
        <v>15</v>
      </c>
      <c r="P2619" s="44">
        <v>11720.33</v>
      </c>
      <c r="Q2619" s="24">
        <f t="shared" si="409"/>
        <v>0</v>
      </c>
      <c r="R2619" s="24">
        <f t="shared" si="410"/>
        <v>11720.33</v>
      </c>
    </row>
    <row r="2620" spans="2:18" x14ac:dyDescent="0.25">
      <c r="C2620" s="4" t="s">
        <v>2450</v>
      </c>
      <c r="E2620" s="5" t="s">
        <v>0</v>
      </c>
      <c r="F2620" s="5" t="s">
        <v>9807</v>
      </c>
      <c r="G2620" s="146" t="s">
        <v>6365</v>
      </c>
      <c r="H2620" s="7" t="s">
        <v>12934</v>
      </c>
      <c r="I2620" s="7" t="s">
        <v>12935</v>
      </c>
      <c r="J2620" s="413" t="s">
        <v>12991</v>
      </c>
      <c r="K2620" s="413"/>
      <c r="L2620" s="413"/>
      <c r="M2620" s="415"/>
      <c r="N2620" s="100">
        <v>32053</v>
      </c>
      <c r="O2620" s="4" t="s">
        <v>15</v>
      </c>
      <c r="Q2620" s="3">
        <f t="shared" si="409"/>
        <v>32053</v>
      </c>
      <c r="R2620" s="3">
        <f t="shared" si="410"/>
        <v>0</v>
      </c>
    </row>
    <row r="2621" spans="2:18" x14ac:dyDescent="0.25">
      <c r="C2621" s="4" t="s">
        <v>2450</v>
      </c>
      <c r="E2621" s="5" t="s">
        <v>0</v>
      </c>
      <c r="F2621" s="5" t="s">
        <v>9807</v>
      </c>
      <c r="G2621" s="146" t="s">
        <v>6365</v>
      </c>
      <c r="H2621" s="7" t="s">
        <v>12934</v>
      </c>
      <c r="I2621" s="7" t="s">
        <v>12935</v>
      </c>
      <c r="J2621" s="413" t="s">
        <v>12992</v>
      </c>
      <c r="K2621" s="413"/>
      <c r="L2621" s="413"/>
      <c r="M2621" s="415"/>
      <c r="N2621" s="100">
        <v>38332</v>
      </c>
      <c r="O2621" s="4" t="s">
        <v>15</v>
      </c>
      <c r="Q2621" s="3">
        <f t="shared" si="409"/>
        <v>38332</v>
      </c>
      <c r="R2621" s="3">
        <f t="shared" si="410"/>
        <v>0</v>
      </c>
    </row>
    <row r="2622" spans="2:18" x14ac:dyDescent="0.25">
      <c r="C2622" s="4" t="s">
        <v>2450</v>
      </c>
      <c r="E2622" s="5" t="s">
        <v>0</v>
      </c>
      <c r="F2622" s="5" t="s">
        <v>9807</v>
      </c>
      <c r="G2622" s="146" t="s">
        <v>6365</v>
      </c>
      <c r="H2622" s="7" t="s">
        <v>12934</v>
      </c>
      <c r="I2622" s="7" t="s">
        <v>12935</v>
      </c>
      <c r="J2622" s="413" t="s">
        <v>12993</v>
      </c>
      <c r="K2622" s="413"/>
      <c r="L2622" s="413"/>
      <c r="M2622" s="415"/>
      <c r="N2622" s="100">
        <v>29235</v>
      </c>
      <c r="O2622" s="4" t="s">
        <v>15</v>
      </c>
      <c r="Q2622" s="3">
        <f t="shared" si="409"/>
        <v>29235</v>
      </c>
      <c r="R2622" s="3">
        <f t="shared" si="410"/>
        <v>0</v>
      </c>
    </row>
    <row r="2623" spans="2:18" x14ac:dyDescent="0.25">
      <c r="C2623" s="4" t="s">
        <v>2450</v>
      </c>
      <c r="E2623" s="5" t="s">
        <v>0</v>
      </c>
      <c r="F2623" s="5" t="s">
        <v>9807</v>
      </c>
      <c r="G2623" s="146" t="s">
        <v>6365</v>
      </c>
      <c r="H2623" s="7" t="s">
        <v>12934</v>
      </c>
      <c r="I2623" s="7" t="s">
        <v>12935</v>
      </c>
      <c r="J2623" s="413" t="s">
        <v>12994</v>
      </c>
      <c r="K2623" s="413"/>
      <c r="L2623" s="413"/>
      <c r="M2623" s="415"/>
      <c r="N2623" s="100">
        <v>29235</v>
      </c>
      <c r="O2623" s="4" t="s">
        <v>15</v>
      </c>
      <c r="Q2623" s="3">
        <f t="shared" si="409"/>
        <v>29235</v>
      </c>
      <c r="R2623" s="3">
        <f t="shared" si="410"/>
        <v>0</v>
      </c>
    </row>
    <row r="2624" spans="2:18" x14ac:dyDescent="0.25">
      <c r="C2624" s="4" t="s">
        <v>2450</v>
      </c>
      <c r="E2624" s="5" t="s">
        <v>0</v>
      </c>
      <c r="F2624" s="5" t="s">
        <v>9807</v>
      </c>
      <c r="G2624" s="146" t="s">
        <v>6365</v>
      </c>
      <c r="H2624" s="7" t="s">
        <v>12934</v>
      </c>
      <c r="I2624" s="7" t="s">
        <v>12935</v>
      </c>
      <c r="J2624" s="413" t="s">
        <v>12995</v>
      </c>
      <c r="K2624" s="413"/>
      <c r="L2624" s="413"/>
      <c r="M2624" s="415"/>
      <c r="N2624" s="100">
        <v>29235</v>
      </c>
      <c r="O2624" s="4" t="s">
        <v>15</v>
      </c>
      <c r="Q2624" s="3">
        <f t="shared" si="409"/>
        <v>29235</v>
      </c>
      <c r="R2624" s="3">
        <f t="shared" si="410"/>
        <v>0</v>
      </c>
    </row>
    <row r="2625" spans="2:18" x14ac:dyDescent="0.25">
      <c r="C2625" s="4" t="s">
        <v>2450</v>
      </c>
      <c r="E2625" s="5" t="s">
        <v>0</v>
      </c>
      <c r="F2625" s="5" t="s">
        <v>9807</v>
      </c>
      <c r="G2625" s="146" t="s">
        <v>6365</v>
      </c>
      <c r="H2625" s="7" t="s">
        <v>12934</v>
      </c>
      <c r="I2625" s="7" t="s">
        <v>12935</v>
      </c>
      <c r="J2625" s="413" t="s">
        <v>12996</v>
      </c>
      <c r="K2625" s="413"/>
      <c r="L2625" s="413"/>
      <c r="M2625" s="415"/>
      <c r="N2625" s="100">
        <v>29235</v>
      </c>
      <c r="O2625" s="4" t="s">
        <v>15</v>
      </c>
      <c r="Q2625" s="3">
        <f t="shared" si="409"/>
        <v>29235</v>
      </c>
      <c r="R2625" s="3">
        <f t="shared" si="410"/>
        <v>0</v>
      </c>
    </row>
    <row r="2626" spans="2:18" x14ac:dyDescent="0.25">
      <c r="C2626" s="4" t="s">
        <v>2450</v>
      </c>
      <c r="E2626" s="5" t="s">
        <v>0</v>
      </c>
      <c r="F2626" s="5" t="s">
        <v>9807</v>
      </c>
      <c r="G2626" s="146" t="s">
        <v>6365</v>
      </c>
      <c r="H2626" s="7" t="s">
        <v>12934</v>
      </c>
      <c r="I2626" s="7" t="s">
        <v>12935</v>
      </c>
      <c r="J2626" s="413" t="s">
        <v>12997</v>
      </c>
      <c r="K2626" s="413"/>
      <c r="L2626" s="413"/>
      <c r="M2626" s="415"/>
      <c r="N2626" s="100">
        <v>29235</v>
      </c>
      <c r="O2626" s="4" t="s">
        <v>15</v>
      </c>
      <c r="Q2626" s="3">
        <f t="shared" si="409"/>
        <v>29235</v>
      </c>
      <c r="R2626" s="3">
        <f t="shared" si="410"/>
        <v>0</v>
      </c>
    </row>
    <row r="2627" spans="2:18" x14ac:dyDescent="0.25">
      <c r="C2627" s="4" t="s">
        <v>2450</v>
      </c>
      <c r="E2627" s="5" t="s">
        <v>0</v>
      </c>
      <c r="F2627" s="5" t="s">
        <v>9807</v>
      </c>
      <c r="G2627" s="146" t="s">
        <v>6365</v>
      </c>
      <c r="H2627" s="7" t="s">
        <v>12934</v>
      </c>
      <c r="I2627" s="7" t="s">
        <v>12935</v>
      </c>
      <c r="J2627" s="413" t="s">
        <v>12998</v>
      </c>
      <c r="K2627" s="413"/>
      <c r="L2627" s="413"/>
      <c r="M2627" s="415"/>
      <c r="N2627" s="100">
        <v>29235</v>
      </c>
      <c r="O2627" s="4" t="s">
        <v>15</v>
      </c>
      <c r="Q2627" s="3">
        <f t="shared" si="409"/>
        <v>29235</v>
      </c>
      <c r="R2627" s="3">
        <f t="shared" si="410"/>
        <v>0</v>
      </c>
    </row>
    <row r="2628" spans="2:18" hidden="1" x14ac:dyDescent="0.25">
      <c r="B2628" s="21" t="s">
        <v>395</v>
      </c>
      <c r="C2628" s="22" t="s">
        <v>2450</v>
      </c>
      <c r="D2628" s="22"/>
      <c r="E2628" s="21" t="s">
        <v>0</v>
      </c>
      <c r="F2628" s="21" t="s">
        <v>9807</v>
      </c>
      <c r="G2628" s="147" t="s">
        <v>6365</v>
      </c>
      <c r="H2628" s="23" t="s">
        <v>12934</v>
      </c>
      <c r="I2628" s="23" t="s">
        <v>12935</v>
      </c>
      <c r="J2628" s="21" t="s">
        <v>12999</v>
      </c>
      <c r="K2628" s="21"/>
      <c r="L2628" s="21" t="s">
        <v>4072</v>
      </c>
      <c r="M2628" s="26">
        <v>46051</v>
      </c>
      <c r="N2628" s="44">
        <v>11720</v>
      </c>
      <c r="O2628" s="22" t="s">
        <v>15</v>
      </c>
      <c r="P2628" s="44">
        <v>11720.33</v>
      </c>
      <c r="Q2628" s="24">
        <f t="shared" si="409"/>
        <v>0</v>
      </c>
      <c r="R2628" s="24">
        <f t="shared" si="410"/>
        <v>11720.33</v>
      </c>
    </row>
    <row r="2629" spans="2:18" x14ac:dyDescent="0.25">
      <c r="C2629" s="4" t="s">
        <v>2450</v>
      </c>
      <c r="E2629" s="5" t="s">
        <v>0</v>
      </c>
      <c r="F2629" s="5" t="s">
        <v>9807</v>
      </c>
      <c r="G2629" s="146" t="s">
        <v>6365</v>
      </c>
      <c r="H2629" s="7" t="s">
        <v>12934</v>
      </c>
      <c r="I2629" s="7" t="s">
        <v>12935</v>
      </c>
      <c r="J2629" s="413" t="s">
        <v>13000</v>
      </c>
      <c r="K2629" s="413"/>
      <c r="L2629" s="413"/>
      <c r="M2629" s="415"/>
      <c r="N2629" s="100">
        <v>32053</v>
      </c>
      <c r="O2629" s="4" t="s">
        <v>15</v>
      </c>
      <c r="Q2629" s="3">
        <f t="shared" ref="Q2629:Q2692" si="411">IF(P2629="en cours",N2629,IF(P2629="OK",0,IF(N2629-P2629&lt;0,0,N2629-P2629)))</f>
        <v>32053</v>
      </c>
      <c r="R2629" s="3">
        <f t="shared" ref="R2629:R2692" si="412">IF(P2629="OK",N2629-Q2629,IF(P2629="en cours",N2629-Q2629,P2629))</f>
        <v>0</v>
      </c>
    </row>
    <row r="2630" spans="2:18" x14ac:dyDescent="0.25">
      <c r="C2630" s="4" t="s">
        <v>2450</v>
      </c>
      <c r="E2630" s="5" t="s">
        <v>0</v>
      </c>
      <c r="F2630" s="5" t="s">
        <v>9807</v>
      </c>
      <c r="G2630" s="146" t="s">
        <v>6365</v>
      </c>
      <c r="H2630" s="7" t="s">
        <v>12934</v>
      </c>
      <c r="I2630" s="7" t="s">
        <v>12935</v>
      </c>
      <c r="J2630" s="413" t="s">
        <v>13001</v>
      </c>
      <c r="K2630" s="413"/>
      <c r="L2630" s="413"/>
      <c r="M2630" s="415"/>
      <c r="N2630" s="100">
        <v>38332</v>
      </c>
      <c r="O2630" s="4" t="s">
        <v>15</v>
      </c>
      <c r="Q2630" s="3">
        <f t="shared" si="411"/>
        <v>38332</v>
      </c>
      <c r="R2630" s="3">
        <f t="shared" si="412"/>
        <v>0</v>
      </c>
    </row>
    <row r="2631" spans="2:18" x14ac:dyDescent="0.25">
      <c r="C2631" s="4" t="s">
        <v>2450</v>
      </c>
      <c r="E2631" s="5" t="s">
        <v>0</v>
      </c>
      <c r="F2631" s="5" t="s">
        <v>9807</v>
      </c>
      <c r="G2631" s="146" t="s">
        <v>6365</v>
      </c>
      <c r="H2631" s="7" t="s">
        <v>12934</v>
      </c>
      <c r="I2631" s="7" t="s">
        <v>12935</v>
      </c>
      <c r="J2631" s="413" t="s">
        <v>13002</v>
      </c>
      <c r="K2631" s="413"/>
      <c r="L2631" s="413"/>
      <c r="M2631" s="415"/>
      <c r="N2631" s="100">
        <v>29235</v>
      </c>
      <c r="O2631" s="4" t="s">
        <v>15</v>
      </c>
      <c r="Q2631" s="3">
        <f t="shared" si="411"/>
        <v>29235</v>
      </c>
      <c r="R2631" s="3">
        <f t="shared" si="412"/>
        <v>0</v>
      </c>
    </row>
    <row r="2632" spans="2:18" x14ac:dyDescent="0.25">
      <c r="C2632" s="4" t="s">
        <v>2450</v>
      </c>
      <c r="E2632" s="5" t="s">
        <v>0</v>
      </c>
      <c r="F2632" s="5" t="s">
        <v>9807</v>
      </c>
      <c r="G2632" s="146" t="s">
        <v>6365</v>
      </c>
      <c r="H2632" s="7" t="s">
        <v>12934</v>
      </c>
      <c r="I2632" s="7" t="s">
        <v>12935</v>
      </c>
      <c r="J2632" s="413" t="s">
        <v>13003</v>
      </c>
      <c r="K2632" s="413"/>
      <c r="L2632" s="413"/>
      <c r="M2632" s="415"/>
      <c r="N2632" s="100">
        <v>29235</v>
      </c>
      <c r="O2632" s="4" t="s">
        <v>15</v>
      </c>
      <c r="Q2632" s="3">
        <f t="shared" si="411"/>
        <v>29235</v>
      </c>
      <c r="R2632" s="3">
        <f t="shared" si="412"/>
        <v>0</v>
      </c>
    </row>
    <row r="2633" spans="2:18" x14ac:dyDescent="0.25">
      <c r="C2633" s="4" t="s">
        <v>2450</v>
      </c>
      <c r="E2633" s="5" t="s">
        <v>0</v>
      </c>
      <c r="F2633" s="5" t="s">
        <v>9807</v>
      </c>
      <c r="G2633" s="146" t="s">
        <v>6365</v>
      </c>
      <c r="H2633" s="7" t="s">
        <v>12934</v>
      </c>
      <c r="I2633" s="7" t="s">
        <v>12935</v>
      </c>
      <c r="J2633" s="413" t="s">
        <v>13004</v>
      </c>
      <c r="K2633" s="413"/>
      <c r="L2633" s="413"/>
      <c r="M2633" s="415"/>
      <c r="N2633" s="100">
        <v>29235</v>
      </c>
      <c r="O2633" s="4" t="s">
        <v>15</v>
      </c>
      <c r="Q2633" s="3">
        <f t="shared" si="411"/>
        <v>29235</v>
      </c>
      <c r="R2633" s="3">
        <f t="shared" si="412"/>
        <v>0</v>
      </c>
    </row>
    <row r="2634" spans="2:18" x14ac:dyDescent="0.25">
      <c r="C2634" s="4" t="s">
        <v>2450</v>
      </c>
      <c r="E2634" s="5" t="s">
        <v>0</v>
      </c>
      <c r="F2634" s="5" t="s">
        <v>9807</v>
      </c>
      <c r="G2634" s="146" t="s">
        <v>6365</v>
      </c>
      <c r="H2634" s="7" t="s">
        <v>12934</v>
      </c>
      <c r="I2634" s="7" t="s">
        <v>12935</v>
      </c>
      <c r="J2634" s="413" t="s">
        <v>13005</v>
      </c>
      <c r="K2634" s="413"/>
      <c r="L2634" s="413"/>
      <c r="M2634" s="415"/>
      <c r="N2634" s="100">
        <v>29235</v>
      </c>
      <c r="O2634" s="4" t="s">
        <v>15</v>
      </c>
      <c r="Q2634" s="3">
        <f t="shared" si="411"/>
        <v>29235</v>
      </c>
      <c r="R2634" s="3">
        <f t="shared" si="412"/>
        <v>0</v>
      </c>
    </row>
    <row r="2635" spans="2:18" x14ac:dyDescent="0.25">
      <c r="C2635" s="4" t="s">
        <v>2450</v>
      </c>
      <c r="E2635" s="5" t="s">
        <v>0</v>
      </c>
      <c r="F2635" s="5" t="s">
        <v>9807</v>
      </c>
      <c r="G2635" s="146" t="s">
        <v>6365</v>
      </c>
      <c r="H2635" s="7" t="s">
        <v>12934</v>
      </c>
      <c r="I2635" s="7" t="s">
        <v>12935</v>
      </c>
      <c r="J2635" s="413" t="s">
        <v>13006</v>
      </c>
      <c r="K2635" s="413"/>
      <c r="L2635" s="413"/>
      <c r="M2635" s="415"/>
      <c r="N2635" s="100">
        <v>29235</v>
      </c>
      <c r="O2635" s="4" t="s">
        <v>15</v>
      </c>
      <c r="Q2635" s="3">
        <f t="shared" si="411"/>
        <v>29235</v>
      </c>
      <c r="R2635" s="3">
        <f t="shared" si="412"/>
        <v>0</v>
      </c>
    </row>
    <row r="2636" spans="2:18" x14ac:dyDescent="0.25">
      <c r="C2636" s="4" t="s">
        <v>2450</v>
      </c>
      <c r="E2636" s="5" t="s">
        <v>0</v>
      </c>
      <c r="F2636" s="5" t="s">
        <v>9807</v>
      </c>
      <c r="G2636" s="146" t="s">
        <v>6365</v>
      </c>
      <c r="H2636" s="7" t="s">
        <v>12934</v>
      </c>
      <c r="I2636" s="7" t="s">
        <v>12935</v>
      </c>
      <c r="J2636" s="413" t="s">
        <v>13007</v>
      </c>
      <c r="K2636" s="413"/>
      <c r="L2636" s="413"/>
      <c r="M2636" s="415"/>
      <c r="N2636" s="100">
        <v>29235</v>
      </c>
      <c r="O2636" s="4" t="s">
        <v>15</v>
      </c>
      <c r="Q2636" s="3">
        <f t="shared" si="411"/>
        <v>29235</v>
      </c>
      <c r="R2636" s="3">
        <f t="shared" si="412"/>
        <v>0</v>
      </c>
    </row>
    <row r="2637" spans="2:18" hidden="1" x14ac:dyDescent="0.25">
      <c r="B2637" s="21" t="s">
        <v>395</v>
      </c>
      <c r="C2637" s="22" t="s">
        <v>2450</v>
      </c>
      <c r="D2637" s="22"/>
      <c r="E2637" s="21" t="s">
        <v>0</v>
      </c>
      <c r="F2637" s="21" t="s">
        <v>9807</v>
      </c>
      <c r="G2637" s="147" t="s">
        <v>6365</v>
      </c>
      <c r="H2637" s="23" t="s">
        <v>12934</v>
      </c>
      <c r="I2637" s="23" t="s">
        <v>12935</v>
      </c>
      <c r="J2637" s="21" t="s">
        <v>13008</v>
      </c>
      <c r="K2637" s="21"/>
      <c r="L2637" s="21" t="s">
        <v>4072</v>
      </c>
      <c r="M2637" s="26">
        <v>46051</v>
      </c>
      <c r="N2637" s="44">
        <v>11720</v>
      </c>
      <c r="O2637" s="22" t="s">
        <v>15</v>
      </c>
      <c r="P2637" s="44">
        <v>11720.33</v>
      </c>
      <c r="Q2637" s="24">
        <f t="shared" si="411"/>
        <v>0</v>
      </c>
      <c r="R2637" s="24">
        <f t="shared" si="412"/>
        <v>11720.33</v>
      </c>
    </row>
    <row r="2638" spans="2:18" x14ac:dyDescent="0.25">
      <c r="C2638" s="4" t="s">
        <v>2450</v>
      </c>
      <c r="E2638" s="5" t="s">
        <v>0</v>
      </c>
      <c r="F2638" s="5" t="s">
        <v>9807</v>
      </c>
      <c r="G2638" s="146" t="s">
        <v>6365</v>
      </c>
      <c r="H2638" s="7" t="s">
        <v>12934</v>
      </c>
      <c r="I2638" s="7" t="s">
        <v>12935</v>
      </c>
      <c r="J2638" s="413" t="s">
        <v>13009</v>
      </c>
      <c r="K2638" s="413"/>
      <c r="L2638" s="413"/>
      <c r="M2638" s="415"/>
      <c r="N2638" s="100">
        <v>32053</v>
      </c>
      <c r="O2638" s="4" t="s">
        <v>15</v>
      </c>
      <c r="Q2638" s="3">
        <f t="shared" si="411"/>
        <v>32053</v>
      </c>
      <c r="R2638" s="3">
        <f t="shared" si="412"/>
        <v>0</v>
      </c>
    </row>
    <row r="2639" spans="2:18" x14ac:dyDescent="0.25">
      <c r="C2639" s="4" t="s">
        <v>2450</v>
      </c>
      <c r="E2639" s="5" t="s">
        <v>0</v>
      </c>
      <c r="F2639" s="5" t="s">
        <v>9807</v>
      </c>
      <c r="G2639" s="146" t="s">
        <v>6365</v>
      </c>
      <c r="H2639" s="7" t="s">
        <v>12934</v>
      </c>
      <c r="I2639" s="7" t="s">
        <v>12935</v>
      </c>
      <c r="J2639" s="413" t="s">
        <v>13010</v>
      </c>
      <c r="K2639" s="413"/>
      <c r="L2639" s="413"/>
      <c r="M2639" s="415"/>
      <c r="N2639" s="100">
        <v>38332</v>
      </c>
      <c r="O2639" s="4" t="s">
        <v>15</v>
      </c>
      <c r="Q2639" s="3">
        <f t="shared" si="411"/>
        <v>38332</v>
      </c>
      <c r="R2639" s="3">
        <f t="shared" si="412"/>
        <v>0</v>
      </c>
    </row>
    <row r="2640" spans="2:18" x14ac:dyDescent="0.25">
      <c r="C2640" s="4" t="s">
        <v>2450</v>
      </c>
      <c r="E2640" s="5" t="s">
        <v>0</v>
      </c>
      <c r="F2640" s="5" t="s">
        <v>9807</v>
      </c>
      <c r="G2640" s="146" t="s">
        <v>6365</v>
      </c>
      <c r="H2640" s="7" t="s">
        <v>12934</v>
      </c>
      <c r="I2640" s="7" t="s">
        <v>12935</v>
      </c>
      <c r="J2640" s="413" t="s">
        <v>13011</v>
      </c>
      <c r="K2640" s="413"/>
      <c r="L2640" s="413"/>
      <c r="M2640" s="415"/>
      <c r="N2640" s="100">
        <v>29235</v>
      </c>
      <c r="O2640" s="4" t="s">
        <v>15</v>
      </c>
      <c r="Q2640" s="3">
        <f t="shared" si="411"/>
        <v>29235</v>
      </c>
      <c r="R2640" s="3">
        <f t="shared" si="412"/>
        <v>0</v>
      </c>
    </row>
    <row r="2641" spans="2:19" x14ac:dyDescent="0.25">
      <c r="C2641" s="4" t="s">
        <v>2450</v>
      </c>
      <c r="E2641" s="5" t="s">
        <v>0</v>
      </c>
      <c r="F2641" s="5" t="s">
        <v>9807</v>
      </c>
      <c r="G2641" s="146" t="s">
        <v>6365</v>
      </c>
      <c r="H2641" s="7" t="s">
        <v>12934</v>
      </c>
      <c r="I2641" s="7" t="s">
        <v>12935</v>
      </c>
      <c r="J2641" s="413" t="s">
        <v>13012</v>
      </c>
      <c r="K2641" s="413"/>
      <c r="L2641" s="413"/>
      <c r="M2641" s="415"/>
      <c r="N2641" s="100">
        <v>29235</v>
      </c>
      <c r="O2641" s="4" t="s">
        <v>15</v>
      </c>
      <c r="Q2641" s="3">
        <f t="shared" si="411"/>
        <v>29235</v>
      </c>
      <c r="R2641" s="3">
        <f t="shared" si="412"/>
        <v>0</v>
      </c>
    </row>
    <row r="2642" spans="2:19" x14ac:dyDescent="0.25">
      <c r="C2642" s="4" t="s">
        <v>2450</v>
      </c>
      <c r="E2642" s="5" t="s">
        <v>0</v>
      </c>
      <c r="F2642" s="5" t="s">
        <v>9807</v>
      </c>
      <c r="G2642" s="146" t="s">
        <v>6365</v>
      </c>
      <c r="H2642" s="7" t="s">
        <v>12934</v>
      </c>
      <c r="I2642" s="7" t="s">
        <v>12935</v>
      </c>
      <c r="J2642" s="413" t="s">
        <v>13013</v>
      </c>
      <c r="K2642" s="413"/>
      <c r="L2642" s="413"/>
      <c r="M2642" s="415"/>
      <c r="N2642" s="100">
        <v>29235</v>
      </c>
      <c r="O2642" s="4" t="s">
        <v>15</v>
      </c>
      <c r="Q2642" s="3">
        <f t="shared" si="411"/>
        <v>29235</v>
      </c>
      <c r="R2642" s="3">
        <f t="shared" si="412"/>
        <v>0</v>
      </c>
    </row>
    <row r="2643" spans="2:19" x14ac:dyDescent="0.25">
      <c r="C2643" s="4" t="s">
        <v>2450</v>
      </c>
      <c r="E2643" s="5" t="s">
        <v>0</v>
      </c>
      <c r="F2643" s="5" t="s">
        <v>9807</v>
      </c>
      <c r="G2643" s="146" t="s">
        <v>6365</v>
      </c>
      <c r="H2643" s="7" t="s">
        <v>12934</v>
      </c>
      <c r="I2643" s="7" t="s">
        <v>12935</v>
      </c>
      <c r="J2643" s="413" t="s">
        <v>13014</v>
      </c>
      <c r="K2643" s="413"/>
      <c r="L2643" s="413"/>
      <c r="M2643" s="415"/>
      <c r="N2643" s="100">
        <v>29235</v>
      </c>
      <c r="O2643" s="4" t="s">
        <v>15</v>
      </c>
      <c r="Q2643" s="3">
        <f t="shared" si="411"/>
        <v>29235</v>
      </c>
      <c r="R2643" s="3">
        <f t="shared" si="412"/>
        <v>0</v>
      </c>
    </row>
    <row r="2644" spans="2:19" x14ac:dyDescent="0.25">
      <c r="C2644" s="4" t="s">
        <v>2450</v>
      </c>
      <c r="E2644" s="5" t="s">
        <v>0</v>
      </c>
      <c r="F2644" s="5" t="s">
        <v>9807</v>
      </c>
      <c r="G2644" s="146" t="s">
        <v>6365</v>
      </c>
      <c r="H2644" s="7" t="s">
        <v>12934</v>
      </c>
      <c r="I2644" s="7" t="s">
        <v>12935</v>
      </c>
      <c r="J2644" s="413" t="s">
        <v>13015</v>
      </c>
      <c r="K2644" s="413"/>
      <c r="L2644" s="413"/>
      <c r="M2644" s="415"/>
      <c r="N2644" s="100">
        <v>29235</v>
      </c>
      <c r="O2644" s="4" t="s">
        <v>15</v>
      </c>
      <c r="Q2644" s="3">
        <f t="shared" si="411"/>
        <v>29235</v>
      </c>
      <c r="R2644" s="3">
        <f t="shared" si="412"/>
        <v>0</v>
      </c>
    </row>
    <row r="2645" spans="2:19" x14ac:dyDescent="0.25">
      <c r="C2645" s="4" t="s">
        <v>2450</v>
      </c>
      <c r="E2645" s="5" t="s">
        <v>0</v>
      </c>
      <c r="F2645" s="5" t="s">
        <v>9807</v>
      </c>
      <c r="G2645" s="146" t="s">
        <v>6365</v>
      </c>
      <c r="H2645" s="7" t="s">
        <v>12934</v>
      </c>
      <c r="I2645" s="7" t="s">
        <v>12935</v>
      </c>
      <c r="J2645" s="413" t="s">
        <v>13016</v>
      </c>
      <c r="K2645" s="413"/>
      <c r="L2645" s="413"/>
      <c r="M2645" s="415"/>
      <c r="N2645" s="100">
        <v>29235</v>
      </c>
      <c r="O2645" s="4" t="s">
        <v>15</v>
      </c>
      <c r="Q2645" s="3">
        <f t="shared" si="411"/>
        <v>29235</v>
      </c>
      <c r="R2645" s="3">
        <f t="shared" si="412"/>
        <v>0</v>
      </c>
    </row>
    <row r="2646" spans="2:19" hidden="1" x14ac:dyDescent="0.25">
      <c r="B2646" s="21" t="s">
        <v>395</v>
      </c>
      <c r="C2646" s="22" t="s">
        <v>2450</v>
      </c>
      <c r="D2646" s="22"/>
      <c r="E2646" s="21" t="s">
        <v>0</v>
      </c>
      <c r="F2646" s="21" t="s">
        <v>9807</v>
      </c>
      <c r="G2646" s="147" t="s">
        <v>6365</v>
      </c>
      <c r="H2646" s="23" t="s">
        <v>12934</v>
      </c>
      <c r="I2646" s="23" t="s">
        <v>12935</v>
      </c>
      <c r="J2646" s="21" t="s">
        <v>13017</v>
      </c>
      <c r="K2646" s="21"/>
      <c r="L2646" s="21" t="s">
        <v>14278</v>
      </c>
      <c r="M2646" s="26">
        <v>46079</v>
      </c>
      <c r="N2646" s="44">
        <v>11720</v>
      </c>
      <c r="O2646" s="22" t="s">
        <v>15</v>
      </c>
      <c r="P2646" s="44">
        <v>11720</v>
      </c>
      <c r="Q2646" s="24">
        <f t="shared" si="411"/>
        <v>0</v>
      </c>
      <c r="R2646" s="24">
        <f t="shared" si="412"/>
        <v>11720</v>
      </c>
      <c r="S2646" s="21"/>
    </row>
    <row r="2647" spans="2:19" x14ac:dyDescent="0.25">
      <c r="C2647" s="4" t="s">
        <v>2450</v>
      </c>
      <c r="E2647" s="5" t="s">
        <v>0</v>
      </c>
      <c r="F2647" s="5" t="s">
        <v>9807</v>
      </c>
      <c r="G2647" s="146" t="s">
        <v>6365</v>
      </c>
      <c r="H2647" s="7" t="s">
        <v>12934</v>
      </c>
      <c r="I2647" s="7" t="s">
        <v>12935</v>
      </c>
      <c r="J2647" s="413" t="s">
        <v>13018</v>
      </c>
      <c r="K2647" s="413"/>
      <c r="L2647" s="413"/>
      <c r="M2647" s="415"/>
      <c r="N2647" s="100">
        <v>32053</v>
      </c>
      <c r="O2647" s="4" t="s">
        <v>15</v>
      </c>
      <c r="Q2647" s="3">
        <f t="shared" si="411"/>
        <v>32053</v>
      </c>
      <c r="R2647" s="3">
        <f t="shared" si="412"/>
        <v>0</v>
      </c>
    </row>
    <row r="2648" spans="2:19" x14ac:dyDescent="0.25">
      <c r="C2648" s="4" t="s">
        <v>2450</v>
      </c>
      <c r="E2648" s="5" t="s">
        <v>0</v>
      </c>
      <c r="F2648" s="5" t="s">
        <v>9807</v>
      </c>
      <c r="G2648" s="146" t="s">
        <v>6365</v>
      </c>
      <c r="H2648" s="7" t="s">
        <v>12934</v>
      </c>
      <c r="I2648" s="7" t="s">
        <v>12935</v>
      </c>
      <c r="J2648" s="413" t="s">
        <v>13019</v>
      </c>
      <c r="K2648" s="413"/>
      <c r="L2648" s="413"/>
      <c r="M2648" s="415"/>
      <c r="N2648" s="100">
        <v>38332</v>
      </c>
      <c r="O2648" s="4" t="s">
        <v>15</v>
      </c>
      <c r="Q2648" s="3">
        <f t="shared" si="411"/>
        <v>38332</v>
      </c>
      <c r="R2648" s="3">
        <f t="shared" si="412"/>
        <v>0</v>
      </c>
    </row>
    <row r="2649" spans="2:19" x14ac:dyDescent="0.25">
      <c r="C2649" s="4" t="s">
        <v>2450</v>
      </c>
      <c r="E2649" s="5" t="s">
        <v>0</v>
      </c>
      <c r="F2649" s="5" t="s">
        <v>9807</v>
      </c>
      <c r="G2649" s="146" t="s">
        <v>6365</v>
      </c>
      <c r="H2649" s="7" t="s">
        <v>12934</v>
      </c>
      <c r="I2649" s="7" t="s">
        <v>12935</v>
      </c>
      <c r="J2649" s="413" t="s">
        <v>13020</v>
      </c>
      <c r="K2649" s="413"/>
      <c r="L2649" s="413"/>
      <c r="M2649" s="415"/>
      <c r="N2649" s="100">
        <v>29235</v>
      </c>
      <c r="O2649" s="4" t="s">
        <v>15</v>
      </c>
      <c r="Q2649" s="3">
        <f t="shared" si="411"/>
        <v>29235</v>
      </c>
      <c r="R2649" s="3">
        <f t="shared" si="412"/>
        <v>0</v>
      </c>
    </row>
    <row r="2650" spans="2:19" x14ac:dyDescent="0.25">
      <c r="C2650" s="4" t="s">
        <v>2450</v>
      </c>
      <c r="E2650" s="5" t="s">
        <v>0</v>
      </c>
      <c r="F2650" s="5" t="s">
        <v>9807</v>
      </c>
      <c r="G2650" s="146" t="s">
        <v>6365</v>
      </c>
      <c r="H2650" s="7" t="s">
        <v>12934</v>
      </c>
      <c r="I2650" s="7" t="s">
        <v>12935</v>
      </c>
      <c r="J2650" s="413" t="s">
        <v>13021</v>
      </c>
      <c r="K2650" s="413"/>
      <c r="L2650" s="413"/>
      <c r="M2650" s="415"/>
      <c r="N2650" s="100">
        <v>29235</v>
      </c>
      <c r="O2650" s="4" t="s">
        <v>15</v>
      </c>
      <c r="Q2650" s="3">
        <f t="shared" si="411"/>
        <v>29235</v>
      </c>
      <c r="R2650" s="3">
        <f t="shared" si="412"/>
        <v>0</v>
      </c>
    </row>
    <row r="2651" spans="2:19" x14ac:dyDescent="0.25">
      <c r="C2651" s="4" t="s">
        <v>2450</v>
      </c>
      <c r="E2651" s="5" t="s">
        <v>0</v>
      </c>
      <c r="F2651" s="5" t="s">
        <v>9807</v>
      </c>
      <c r="G2651" s="146" t="s">
        <v>6365</v>
      </c>
      <c r="H2651" s="7" t="s">
        <v>12934</v>
      </c>
      <c r="I2651" s="7" t="s">
        <v>12935</v>
      </c>
      <c r="J2651" s="413" t="s">
        <v>13022</v>
      </c>
      <c r="K2651" s="413"/>
      <c r="L2651" s="413"/>
      <c r="M2651" s="415"/>
      <c r="N2651" s="100">
        <v>29235</v>
      </c>
      <c r="O2651" s="4" t="s">
        <v>15</v>
      </c>
      <c r="Q2651" s="3">
        <f t="shared" si="411"/>
        <v>29235</v>
      </c>
      <c r="R2651" s="3">
        <f t="shared" si="412"/>
        <v>0</v>
      </c>
    </row>
    <row r="2652" spans="2:19" x14ac:dyDescent="0.25">
      <c r="C2652" s="4" t="s">
        <v>2450</v>
      </c>
      <c r="E2652" s="5" t="s">
        <v>0</v>
      </c>
      <c r="F2652" s="5" t="s">
        <v>9807</v>
      </c>
      <c r="G2652" s="146" t="s">
        <v>6365</v>
      </c>
      <c r="H2652" s="7" t="s">
        <v>12934</v>
      </c>
      <c r="I2652" s="7" t="s">
        <v>12935</v>
      </c>
      <c r="J2652" s="413" t="s">
        <v>13023</v>
      </c>
      <c r="K2652" s="413"/>
      <c r="L2652" s="413"/>
      <c r="M2652" s="415"/>
      <c r="N2652" s="100">
        <v>29235</v>
      </c>
      <c r="O2652" s="4" t="s">
        <v>15</v>
      </c>
      <c r="Q2652" s="3">
        <f t="shared" si="411"/>
        <v>29235</v>
      </c>
      <c r="R2652" s="3">
        <f t="shared" si="412"/>
        <v>0</v>
      </c>
    </row>
    <row r="2653" spans="2:19" x14ac:dyDescent="0.25">
      <c r="C2653" s="4" t="s">
        <v>2450</v>
      </c>
      <c r="E2653" s="5" t="s">
        <v>0</v>
      </c>
      <c r="F2653" s="5" t="s">
        <v>9807</v>
      </c>
      <c r="G2653" s="146" t="s">
        <v>6365</v>
      </c>
      <c r="H2653" s="7" t="s">
        <v>12934</v>
      </c>
      <c r="I2653" s="7" t="s">
        <v>12935</v>
      </c>
      <c r="J2653" s="413" t="s">
        <v>13024</v>
      </c>
      <c r="K2653" s="413"/>
      <c r="L2653" s="413"/>
      <c r="M2653" s="415"/>
      <c r="N2653" s="100">
        <v>29235</v>
      </c>
      <c r="O2653" s="4" t="s">
        <v>15</v>
      </c>
      <c r="Q2653" s="3">
        <f t="shared" si="411"/>
        <v>29235</v>
      </c>
      <c r="R2653" s="3">
        <f t="shared" si="412"/>
        <v>0</v>
      </c>
    </row>
    <row r="2654" spans="2:19" x14ac:dyDescent="0.25">
      <c r="C2654" s="4" t="s">
        <v>2450</v>
      </c>
      <c r="E2654" s="5" t="s">
        <v>0</v>
      </c>
      <c r="F2654" s="5" t="s">
        <v>9807</v>
      </c>
      <c r="G2654" s="146" t="s">
        <v>6365</v>
      </c>
      <c r="H2654" s="7" t="s">
        <v>12934</v>
      </c>
      <c r="I2654" s="7" t="s">
        <v>12935</v>
      </c>
      <c r="J2654" s="413" t="s">
        <v>13025</v>
      </c>
      <c r="K2654" s="413"/>
      <c r="L2654" s="413"/>
      <c r="M2654" s="415"/>
      <c r="N2654" s="100">
        <v>29235</v>
      </c>
      <c r="O2654" s="4" t="s">
        <v>15</v>
      </c>
      <c r="Q2654" s="3">
        <f t="shared" si="411"/>
        <v>29235</v>
      </c>
      <c r="R2654" s="3">
        <f t="shared" si="412"/>
        <v>0</v>
      </c>
    </row>
    <row r="2655" spans="2:19" x14ac:dyDescent="0.25">
      <c r="C2655" s="4" t="s">
        <v>2450</v>
      </c>
      <c r="E2655" s="5" t="s">
        <v>0</v>
      </c>
      <c r="F2655" s="5" t="s">
        <v>9807</v>
      </c>
      <c r="G2655" s="146" t="s">
        <v>6365</v>
      </c>
      <c r="H2655" s="7" t="s">
        <v>12934</v>
      </c>
      <c r="I2655" s="7" t="s">
        <v>12935</v>
      </c>
      <c r="J2655" s="413" t="s">
        <v>13026</v>
      </c>
      <c r="K2655" s="413"/>
      <c r="L2655" s="413"/>
      <c r="M2655" s="415"/>
      <c r="N2655" s="100">
        <v>11720</v>
      </c>
      <c r="O2655" s="4" t="s">
        <v>15</v>
      </c>
      <c r="Q2655" s="3">
        <f t="shared" si="411"/>
        <v>11720</v>
      </c>
      <c r="R2655" s="3">
        <f t="shared" si="412"/>
        <v>0</v>
      </c>
    </row>
    <row r="2656" spans="2:19" x14ac:dyDescent="0.25">
      <c r="C2656" s="4" t="s">
        <v>2450</v>
      </c>
      <c r="E2656" s="5" t="s">
        <v>0</v>
      </c>
      <c r="F2656" s="5" t="s">
        <v>9807</v>
      </c>
      <c r="G2656" s="146" t="s">
        <v>6365</v>
      </c>
      <c r="H2656" s="7" t="s">
        <v>12934</v>
      </c>
      <c r="I2656" s="7" t="s">
        <v>12935</v>
      </c>
      <c r="J2656" s="413" t="s">
        <v>13027</v>
      </c>
      <c r="K2656" s="413"/>
      <c r="L2656" s="413"/>
      <c r="M2656" s="415"/>
      <c r="N2656" s="100">
        <v>32053</v>
      </c>
      <c r="O2656" s="4" t="s">
        <v>15</v>
      </c>
      <c r="Q2656" s="3">
        <f t="shared" si="411"/>
        <v>32053</v>
      </c>
      <c r="R2656" s="3">
        <f t="shared" si="412"/>
        <v>0</v>
      </c>
    </row>
    <row r="2657" spans="3:18" x14ac:dyDescent="0.25">
      <c r="C2657" s="4" t="s">
        <v>2450</v>
      </c>
      <c r="E2657" s="5" t="s">
        <v>0</v>
      </c>
      <c r="F2657" s="5" t="s">
        <v>9807</v>
      </c>
      <c r="G2657" s="146" t="s">
        <v>6365</v>
      </c>
      <c r="H2657" s="7" t="s">
        <v>12934</v>
      </c>
      <c r="I2657" s="7" t="s">
        <v>12935</v>
      </c>
      <c r="J2657" s="413" t="s">
        <v>13028</v>
      </c>
      <c r="K2657" s="413"/>
      <c r="L2657" s="413"/>
      <c r="M2657" s="415"/>
      <c r="N2657" s="100">
        <v>38332</v>
      </c>
      <c r="O2657" s="4" t="s">
        <v>15</v>
      </c>
      <c r="Q2657" s="3">
        <f t="shared" si="411"/>
        <v>38332</v>
      </c>
      <c r="R2657" s="3">
        <f t="shared" si="412"/>
        <v>0</v>
      </c>
    </row>
    <row r="2658" spans="3:18" x14ac:dyDescent="0.25">
      <c r="C2658" s="4" t="s">
        <v>2450</v>
      </c>
      <c r="E2658" s="5" t="s">
        <v>0</v>
      </c>
      <c r="F2658" s="5" t="s">
        <v>9807</v>
      </c>
      <c r="G2658" s="146" t="s">
        <v>6365</v>
      </c>
      <c r="H2658" s="7" t="s">
        <v>12934</v>
      </c>
      <c r="I2658" s="7" t="s">
        <v>12935</v>
      </c>
      <c r="J2658" s="413" t="s">
        <v>13029</v>
      </c>
      <c r="K2658" s="413"/>
      <c r="L2658" s="413"/>
      <c r="M2658" s="415"/>
      <c r="N2658" s="100">
        <v>29235</v>
      </c>
      <c r="O2658" s="4" t="s">
        <v>15</v>
      </c>
      <c r="Q2658" s="3">
        <f t="shared" si="411"/>
        <v>29235</v>
      </c>
      <c r="R2658" s="3">
        <f t="shared" si="412"/>
        <v>0</v>
      </c>
    </row>
    <row r="2659" spans="3:18" x14ac:dyDescent="0.25">
      <c r="C2659" s="4" t="s">
        <v>2450</v>
      </c>
      <c r="E2659" s="5" t="s">
        <v>0</v>
      </c>
      <c r="F2659" s="5" t="s">
        <v>9807</v>
      </c>
      <c r="G2659" s="146" t="s">
        <v>6365</v>
      </c>
      <c r="H2659" s="7" t="s">
        <v>12934</v>
      </c>
      <c r="I2659" s="7" t="s">
        <v>12935</v>
      </c>
      <c r="J2659" s="413" t="s">
        <v>13030</v>
      </c>
      <c r="K2659" s="413"/>
      <c r="L2659" s="413"/>
      <c r="M2659" s="415"/>
      <c r="N2659" s="100">
        <v>29235</v>
      </c>
      <c r="O2659" s="4" t="s">
        <v>15</v>
      </c>
      <c r="Q2659" s="3">
        <f t="shared" si="411"/>
        <v>29235</v>
      </c>
      <c r="R2659" s="3">
        <f t="shared" si="412"/>
        <v>0</v>
      </c>
    </row>
    <row r="2660" spans="3:18" x14ac:dyDescent="0.25">
      <c r="C2660" s="4" t="s">
        <v>2450</v>
      </c>
      <c r="E2660" s="5" t="s">
        <v>0</v>
      </c>
      <c r="F2660" s="5" t="s">
        <v>9807</v>
      </c>
      <c r="G2660" s="146" t="s">
        <v>6365</v>
      </c>
      <c r="H2660" s="7" t="s">
        <v>12934</v>
      </c>
      <c r="I2660" s="7" t="s">
        <v>12935</v>
      </c>
      <c r="J2660" s="413" t="s">
        <v>13031</v>
      </c>
      <c r="K2660" s="413"/>
      <c r="L2660" s="413"/>
      <c r="M2660" s="415"/>
      <c r="N2660" s="100">
        <v>29235</v>
      </c>
      <c r="O2660" s="4" t="s">
        <v>15</v>
      </c>
      <c r="Q2660" s="3">
        <f t="shared" si="411"/>
        <v>29235</v>
      </c>
      <c r="R2660" s="3">
        <f t="shared" si="412"/>
        <v>0</v>
      </c>
    </row>
    <row r="2661" spans="3:18" x14ac:dyDescent="0.25">
      <c r="C2661" s="4" t="s">
        <v>2450</v>
      </c>
      <c r="E2661" s="5" t="s">
        <v>0</v>
      </c>
      <c r="F2661" s="5" t="s">
        <v>9807</v>
      </c>
      <c r="G2661" s="146" t="s">
        <v>6365</v>
      </c>
      <c r="H2661" s="7" t="s">
        <v>12934</v>
      </c>
      <c r="I2661" s="7" t="s">
        <v>12935</v>
      </c>
      <c r="J2661" s="413" t="s">
        <v>13032</v>
      </c>
      <c r="K2661" s="413"/>
      <c r="L2661" s="413"/>
      <c r="M2661" s="415"/>
      <c r="N2661" s="100">
        <v>29235</v>
      </c>
      <c r="O2661" s="4" t="s">
        <v>15</v>
      </c>
      <c r="Q2661" s="3">
        <f t="shared" si="411"/>
        <v>29235</v>
      </c>
      <c r="R2661" s="3">
        <f t="shared" si="412"/>
        <v>0</v>
      </c>
    </row>
    <row r="2662" spans="3:18" x14ac:dyDescent="0.25">
      <c r="C2662" s="4" t="s">
        <v>2450</v>
      </c>
      <c r="E2662" s="5" t="s">
        <v>0</v>
      </c>
      <c r="F2662" s="5" t="s">
        <v>9807</v>
      </c>
      <c r="G2662" s="146" t="s">
        <v>6365</v>
      </c>
      <c r="H2662" s="7" t="s">
        <v>12934</v>
      </c>
      <c r="I2662" s="7" t="s">
        <v>12935</v>
      </c>
      <c r="J2662" s="413" t="s">
        <v>13033</v>
      </c>
      <c r="K2662" s="413"/>
      <c r="L2662" s="413"/>
      <c r="M2662" s="415"/>
      <c r="N2662" s="100">
        <v>29235</v>
      </c>
      <c r="O2662" s="4" t="s">
        <v>15</v>
      </c>
      <c r="Q2662" s="3">
        <f t="shared" si="411"/>
        <v>29235</v>
      </c>
      <c r="R2662" s="3">
        <f t="shared" si="412"/>
        <v>0</v>
      </c>
    </row>
    <row r="2663" spans="3:18" x14ac:dyDescent="0.25">
      <c r="C2663" s="4" t="s">
        <v>2450</v>
      </c>
      <c r="E2663" s="5" t="s">
        <v>0</v>
      </c>
      <c r="F2663" s="5" t="s">
        <v>9807</v>
      </c>
      <c r="G2663" s="146" t="s">
        <v>6365</v>
      </c>
      <c r="H2663" s="7" t="s">
        <v>12934</v>
      </c>
      <c r="I2663" s="7" t="s">
        <v>12935</v>
      </c>
      <c r="J2663" s="413" t="s">
        <v>13034</v>
      </c>
      <c r="K2663" s="413"/>
      <c r="L2663" s="413"/>
      <c r="M2663" s="415"/>
      <c r="N2663" s="100">
        <v>29235</v>
      </c>
      <c r="O2663" s="4" t="s">
        <v>15</v>
      </c>
      <c r="Q2663" s="3">
        <f t="shared" si="411"/>
        <v>29235</v>
      </c>
      <c r="R2663" s="3">
        <f t="shared" si="412"/>
        <v>0</v>
      </c>
    </row>
    <row r="2664" spans="3:18" x14ac:dyDescent="0.25">
      <c r="C2664" s="4" t="s">
        <v>2450</v>
      </c>
      <c r="E2664" s="5" t="s">
        <v>0</v>
      </c>
      <c r="F2664" s="5" t="s">
        <v>9807</v>
      </c>
      <c r="G2664" s="146" t="s">
        <v>6365</v>
      </c>
      <c r="H2664" s="7" t="s">
        <v>12934</v>
      </c>
      <c r="I2664" s="7" t="s">
        <v>12935</v>
      </c>
      <c r="J2664" s="413" t="s">
        <v>13035</v>
      </c>
      <c r="K2664" s="413"/>
      <c r="L2664" s="413"/>
      <c r="M2664" s="415"/>
      <c r="N2664" s="100">
        <v>11720</v>
      </c>
      <c r="O2664" s="4" t="s">
        <v>15</v>
      </c>
      <c r="Q2664" s="3">
        <f t="shared" si="411"/>
        <v>11720</v>
      </c>
      <c r="R2664" s="3">
        <f t="shared" si="412"/>
        <v>0</v>
      </c>
    </row>
    <row r="2665" spans="3:18" x14ac:dyDescent="0.25">
      <c r="C2665" s="4" t="s">
        <v>2450</v>
      </c>
      <c r="E2665" s="5" t="s">
        <v>0</v>
      </c>
      <c r="F2665" s="5" t="s">
        <v>9807</v>
      </c>
      <c r="G2665" s="146" t="s">
        <v>6365</v>
      </c>
      <c r="H2665" s="7" t="s">
        <v>12934</v>
      </c>
      <c r="I2665" s="7" t="s">
        <v>12935</v>
      </c>
      <c r="J2665" s="413" t="s">
        <v>13036</v>
      </c>
      <c r="K2665" s="413"/>
      <c r="L2665" s="413"/>
      <c r="M2665" s="415"/>
      <c r="N2665" s="100">
        <v>32053</v>
      </c>
      <c r="O2665" s="4" t="s">
        <v>15</v>
      </c>
      <c r="Q2665" s="3">
        <f t="shared" si="411"/>
        <v>32053</v>
      </c>
      <c r="R2665" s="3">
        <f t="shared" si="412"/>
        <v>0</v>
      </c>
    </row>
    <row r="2666" spans="3:18" x14ac:dyDescent="0.25">
      <c r="C2666" s="4" t="s">
        <v>2450</v>
      </c>
      <c r="E2666" s="5" t="s">
        <v>0</v>
      </c>
      <c r="F2666" s="5" t="s">
        <v>9807</v>
      </c>
      <c r="G2666" s="146" t="s">
        <v>6365</v>
      </c>
      <c r="H2666" s="7" t="s">
        <v>12934</v>
      </c>
      <c r="I2666" s="7" t="s">
        <v>12935</v>
      </c>
      <c r="J2666" s="413" t="s">
        <v>13037</v>
      </c>
      <c r="K2666" s="413"/>
      <c r="L2666" s="413"/>
      <c r="M2666" s="415"/>
      <c r="N2666" s="100">
        <v>38332</v>
      </c>
      <c r="O2666" s="4" t="s">
        <v>15</v>
      </c>
      <c r="Q2666" s="3">
        <f t="shared" si="411"/>
        <v>38332</v>
      </c>
      <c r="R2666" s="3">
        <f t="shared" si="412"/>
        <v>0</v>
      </c>
    </row>
    <row r="2667" spans="3:18" x14ac:dyDescent="0.25">
      <c r="C2667" s="4" t="s">
        <v>2450</v>
      </c>
      <c r="E2667" s="5" t="s">
        <v>0</v>
      </c>
      <c r="F2667" s="5" t="s">
        <v>9807</v>
      </c>
      <c r="G2667" s="146" t="s">
        <v>6365</v>
      </c>
      <c r="H2667" s="7" t="s">
        <v>12934</v>
      </c>
      <c r="I2667" s="7" t="s">
        <v>12935</v>
      </c>
      <c r="J2667" s="413" t="s">
        <v>13038</v>
      </c>
      <c r="K2667" s="413"/>
      <c r="L2667" s="413"/>
      <c r="M2667" s="415"/>
      <c r="N2667" s="100">
        <v>29235</v>
      </c>
      <c r="O2667" s="4" t="s">
        <v>15</v>
      </c>
      <c r="Q2667" s="3">
        <f t="shared" si="411"/>
        <v>29235</v>
      </c>
      <c r="R2667" s="3">
        <f t="shared" si="412"/>
        <v>0</v>
      </c>
    </row>
    <row r="2668" spans="3:18" x14ac:dyDescent="0.25">
      <c r="C2668" s="4" t="s">
        <v>2450</v>
      </c>
      <c r="E2668" s="5" t="s">
        <v>0</v>
      </c>
      <c r="F2668" s="5" t="s">
        <v>9807</v>
      </c>
      <c r="G2668" s="146" t="s">
        <v>6365</v>
      </c>
      <c r="H2668" s="7" t="s">
        <v>12934</v>
      </c>
      <c r="I2668" s="7" t="s">
        <v>12935</v>
      </c>
      <c r="J2668" s="413" t="s">
        <v>13039</v>
      </c>
      <c r="K2668" s="413"/>
      <c r="L2668" s="413"/>
      <c r="M2668" s="415"/>
      <c r="N2668" s="100">
        <v>29235</v>
      </c>
      <c r="O2668" s="4" t="s">
        <v>15</v>
      </c>
      <c r="Q2668" s="3">
        <f t="shared" si="411"/>
        <v>29235</v>
      </c>
      <c r="R2668" s="3">
        <f t="shared" si="412"/>
        <v>0</v>
      </c>
    </row>
    <row r="2669" spans="3:18" x14ac:dyDescent="0.25">
      <c r="C2669" s="4" t="s">
        <v>2450</v>
      </c>
      <c r="E2669" s="5" t="s">
        <v>0</v>
      </c>
      <c r="F2669" s="5" t="s">
        <v>9807</v>
      </c>
      <c r="G2669" s="146" t="s">
        <v>6365</v>
      </c>
      <c r="H2669" s="7" t="s">
        <v>12934</v>
      </c>
      <c r="I2669" s="7" t="s">
        <v>12935</v>
      </c>
      <c r="J2669" s="413" t="s">
        <v>13040</v>
      </c>
      <c r="K2669" s="413"/>
      <c r="L2669" s="413"/>
      <c r="M2669" s="415"/>
      <c r="N2669" s="100">
        <v>29235</v>
      </c>
      <c r="O2669" s="4" t="s">
        <v>15</v>
      </c>
      <c r="Q2669" s="3">
        <f t="shared" si="411"/>
        <v>29235</v>
      </c>
      <c r="R2669" s="3">
        <f t="shared" si="412"/>
        <v>0</v>
      </c>
    </row>
    <row r="2670" spans="3:18" x14ac:dyDescent="0.25">
      <c r="C2670" s="4" t="s">
        <v>2450</v>
      </c>
      <c r="E2670" s="5" t="s">
        <v>0</v>
      </c>
      <c r="F2670" s="5" t="s">
        <v>9807</v>
      </c>
      <c r="G2670" s="146" t="s">
        <v>6365</v>
      </c>
      <c r="H2670" s="7" t="s">
        <v>12934</v>
      </c>
      <c r="I2670" s="7" t="s">
        <v>12935</v>
      </c>
      <c r="J2670" s="413" t="s">
        <v>13041</v>
      </c>
      <c r="K2670" s="413"/>
      <c r="L2670" s="413"/>
      <c r="M2670" s="415"/>
      <c r="N2670" s="100">
        <v>29235</v>
      </c>
      <c r="O2670" s="4" t="s">
        <v>15</v>
      </c>
      <c r="Q2670" s="3">
        <f t="shared" si="411"/>
        <v>29235</v>
      </c>
      <c r="R2670" s="3">
        <f t="shared" si="412"/>
        <v>0</v>
      </c>
    </row>
    <row r="2671" spans="3:18" x14ac:dyDescent="0.25">
      <c r="C2671" s="4" t="s">
        <v>2450</v>
      </c>
      <c r="E2671" s="5" t="s">
        <v>0</v>
      </c>
      <c r="F2671" s="5" t="s">
        <v>9807</v>
      </c>
      <c r="G2671" s="146" t="s">
        <v>6365</v>
      </c>
      <c r="H2671" s="7" t="s">
        <v>12934</v>
      </c>
      <c r="I2671" s="7" t="s">
        <v>12935</v>
      </c>
      <c r="J2671" s="413" t="s">
        <v>13042</v>
      </c>
      <c r="K2671" s="413"/>
      <c r="L2671" s="413"/>
      <c r="M2671" s="415"/>
      <c r="N2671" s="100">
        <v>29235</v>
      </c>
      <c r="O2671" s="4" t="s">
        <v>15</v>
      </c>
      <c r="Q2671" s="3">
        <f t="shared" si="411"/>
        <v>29235</v>
      </c>
      <c r="R2671" s="3">
        <f t="shared" si="412"/>
        <v>0</v>
      </c>
    </row>
    <row r="2672" spans="3:18" x14ac:dyDescent="0.25">
      <c r="C2672" s="4" t="s">
        <v>2450</v>
      </c>
      <c r="E2672" s="5" t="s">
        <v>0</v>
      </c>
      <c r="F2672" s="5" t="s">
        <v>9807</v>
      </c>
      <c r="G2672" s="146" t="s">
        <v>6365</v>
      </c>
      <c r="H2672" s="7" t="s">
        <v>12934</v>
      </c>
      <c r="I2672" s="7" t="s">
        <v>12935</v>
      </c>
      <c r="J2672" s="413" t="s">
        <v>13043</v>
      </c>
      <c r="K2672" s="413"/>
      <c r="L2672" s="413"/>
      <c r="M2672" s="415"/>
      <c r="N2672" s="100">
        <v>29235</v>
      </c>
      <c r="O2672" s="4" t="s">
        <v>15</v>
      </c>
      <c r="Q2672" s="3">
        <f t="shared" si="411"/>
        <v>29235</v>
      </c>
      <c r="R2672" s="3">
        <f t="shared" si="412"/>
        <v>0</v>
      </c>
    </row>
    <row r="2673" spans="3:18" x14ac:dyDescent="0.25">
      <c r="C2673" s="4" t="s">
        <v>2450</v>
      </c>
      <c r="E2673" s="5" t="s">
        <v>0</v>
      </c>
      <c r="F2673" s="5" t="s">
        <v>9807</v>
      </c>
      <c r="G2673" s="146" t="s">
        <v>6365</v>
      </c>
      <c r="H2673" s="7" t="s">
        <v>12934</v>
      </c>
      <c r="I2673" s="7" t="s">
        <v>12935</v>
      </c>
      <c r="J2673" s="413" t="s">
        <v>13044</v>
      </c>
      <c r="K2673" s="413"/>
      <c r="L2673" s="413"/>
      <c r="M2673" s="415"/>
      <c r="N2673" s="100">
        <v>11720</v>
      </c>
      <c r="O2673" s="4" t="s">
        <v>15</v>
      </c>
      <c r="Q2673" s="3">
        <f t="shared" si="411"/>
        <v>11720</v>
      </c>
      <c r="R2673" s="3">
        <f t="shared" si="412"/>
        <v>0</v>
      </c>
    </row>
    <row r="2674" spans="3:18" x14ac:dyDescent="0.25">
      <c r="C2674" s="4" t="s">
        <v>2450</v>
      </c>
      <c r="E2674" s="5" t="s">
        <v>0</v>
      </c>
      <c r="F2674" s="5" t="s">
        <v>9807</v>
      </c>
      <c r="G2674" s="146" t="s">
        <v>6365</v>
      </c>
      <c r="H2674" s="7" t="s">
        <v>12934</v>
      </c>
      <c r="I2674" s="7" t="s">
        <v>12935</v>
      </c>
      <c r="J2674" s="413" t="s">
        <v>13045</v>
      </c>
      <c r="K2674" s="413"/>
      <c r="L2674" s="413"/>
      <c r="M2674" s="415"/>
      <c r="N2674" s="100">
        <v>32053</v>
      </c>
      <c r="O2674" s="4" t="s">
        <v>15</v>
      </c>
      <c r="Q2674" s="3">
        <f t="shared" si="411"/>
        <v>32053</v>
      </c>
      <c r="R2674" s="3">
        <f t="shared" si="412"/>
        <v>0</v>
      </c>
    </row>
    <row r="2675" spans="3:18" x14ac:dyDescent="0.25">
      <c r="C2675" s="4" t="s">
        <v>2450</v>
      </c>
      <c r="E2675" s="5" t="s">
        <v>0</v>
      </c>
      <c r="F2675" s="5" t="s">
        <v>9807</v>
      </c>
      <c r="G2675" s="146" t="s">
        <v>6365</v>
      </c>
      <c r="H2675" s="7" t="s">
        <v>12934</v>
      </c>
      <c r="I2675" s="7" t="s">
        <v>12935</v>
      </c>
      <c r="J2675" s="413" t="s">
        <v>13046</v>
      </c>
      <c r="K2675" s="413"/>
      <c r="L2675" s="413"/>
      <c r="M2675" s="415"/>
      <c r="N2675" s="100">
        <v>38332</v>
      </c>
      <c r="O2675" s="4" t="s">
        <v>15</v>
      </c>
      <c r="Q2675" s="3">
        <f t="shared" si="411"/>
        <v>38332</v>
      </c>
      <c r="R2675" s="3">
        <f t="shared" si="412"/>
        <v>0</v>
      </c>
    </row>
    <row r="2676" spans="3:18" x14ac:dyDescent="0.25">
      <c r="C2676" s="4" t="s">
        <v>2450</v>
      </c>
      <c r="E2676" s="5" t="s">
        <v>0</v>
      </c>
      <c r="F2676" s="5" t="s">
        <v>9807</v>
      </c>
      <c r="G2676" s="146" t="s">
        <v>6365</v>
      </c>
      <c r="H2676" s="7" t="s">
        <v>12934</v>
      </c>
      <c r="I2676" s="7" t="s">
        <v>12935</v>
      </c>
      <c r="J2676" s="413" t="s">
        <v>13047</v>
      </c>
      <c r="K2676" s="413"/>
      <c r="L2676" s="413"/>
      <c r="M2676" s="415"/>
      <c r="N2676" s="100">
        <v>29235</v>
      </c>
      <c r="O2676" s="4" t="s">
        <v>15</v>
      </c>
      <c r="Q2676" s="3">
        <f t="shared" si="411"/>
        <v>29235</v>
      </c>
      <c r="R2676" s="3">
        <f t="shared" si="412"/>
        <v>0</v>
      </c>
    </row>
    <row r="2677" spans="3:18" x14ac:dyDescent="0.25">
      <c r="C2677" s="4" t="s">
        <v>2450</v>
      </c>
      <c r="E2677" s="5" t="s">
        <v>0</v>
      </c>
      <c r="F2677" s="5" t="s">
        <v>9807</v>
      </c>
      <c r="G2677" s="146" t="s">
        <v>6365</v>
      </c>
      <c r="H2677" s="7" t="s">
        <v>12934</v>
      </c>
      <c r="I2677" s="7" t="s">
        <v>12935</v>
      </c>
      <c r="J2677" s="413" t="s">
        <v>13048</v>
      </c>
      <c r="K2677" s="413"/>
      <c r="L2677" s="413"/>
      <c r="M2677" s="415"/>
      <c r="N2677" s="100">
        <v>29235</v>
      </c>
      <c r="O2677" s="4" t="s">
        <v>15</v>
      </c>
      <c r="Q2677" s="3">
        <f t="shared" si="411"/>
        <v>29235</v>
      </c>
      <c r="R2677" s="3">
        <f t="shared" si="412"/>
        <v>0</v>
      </c>
    </row>
    <row r="2678" spans="3:18" x14ac:dyDescent="0.25">
      <c r="C2678" s="4" t="s">
        <v>2450</v>
      </c>
      <c r="E2678" s="5" t="s">
        <v>0</v>
      </c>
      <c r="F2678" s="5" t="s">
        <v>9807</v>
      </c>
      <c r="G2678" s="146" t="s">
        <v>6365</v>
      </c>
      <c r="H2678" s="7" t="s">
        <v>12934</v>
      </c>
      <c r="I2678" s="7" t="s">
        <v>12935</v>
      </c>
      <c r="J2678" s="413" t="s">
        <v>13049</v>
      </c>
      <c r="K2678" s="413"/>
      <c r="L2678" s="413"/>
      <c r="M2678" s="415"/>
      <c r="N2678" s="100">
        <v>29235</v>
      </c>
      <c r="O2678" s="4" t="s">
        <v>15</v>
      </c>
      <c r="Q2678" s="3">
        <f t="shared" si="411"/>
        <v>29235</v>
      </c>
      <c r="R2678" s="3">
        <f t="shared" si="412"/>
        <v>0</v>
      </c>
    </row>
    <row r="2679" spans="3:18" x14ac:dyDescent="0.25">
      <c r="C2679" s="4" t="s">
        <v>2450</v>
      </c>
      <c r="E2679" s="5" t="s">
        <v>0</v>
      </c>
      <c r="F2679" s="5" t="s">
        <v>9807</v>
      </c>
      <c r="G2679" s="146" t="s">
        <v>6365</v>
      </c>
      <c r="H2679" s="7" t="s">
        <v>12934</v>
      </c>
      <c r="I2679" s="7" t="s">
        <v>12935</v>
      </c>
      <c r="J2679" s="413" t="s">
        <v>13050</v>
      </c>
      <c r="K2679" s="413"/>
      <c r="L2679" s="413"/>
      <c r="M2679" s="415"/>
      <c r="N2679" s="100">
        <v>29235</v>
      </c>
      <c r="O2679" s="4" t="s">
        <v>15</v>
      </c>
      <c r="Q2679" s="3">
        <f t="shared" si="411"/>
        <v>29235</v>
      </c>
      <c r="R2679" s="3">
        <f t="shared" si="412"/>
        <v>0</v>
      </c>
    </row>
    <row r="2680" spans="3:18" x14ac:dyDescent="0.25">
      <c r="C2680" s="4" t="s">
        <v>2450</v>
      </c>
      <c r="E2680" s="5" t="s">
        <v>0</v>
      </c>
      <c r="F2680" s="5" t="s">
        <v>9807</v>
      </c>
      <c r="G2680" s="146" t="s">
        <v>6365</v>
      </c>
      <c r="H2680" s="7" t="s">
        <v>12934</v>
      </c>
      <c r="I2680" s="7" t="s">
        <v>12935</v>
      </c>
      <c r="J2680" s="413" t="s">
        <v>13051</v>
      </c>
      <c r="K2680" s="413"/>
      <c r="L2680" s="413"/>
      <c r="M2680" s="415"/>
      <c r="N2680" s="100">
        <v>29235</v>
      </c>
      <c r="O2680" s="4" t="s">
        <v>15</v>
      </c>
      <c r="Q2680" s="3">
        <f t="shared" si="411"/>
        <v>29235</v>
      </c>
      <c r="R2680" s="3">
        <f t="shared" si="412"/>
        <v>0</v>
      </c>
    </row>
    <row r="2681" spans="3:18" x14ac:dyDescent="0.25">
      <c r="C2681" s="4" t="s">
        <v>2450</v>
      </c>
      <c r="E2681" s="5" t="s">
        <v>0</v>
      </c>
      <c r="F2681" s="5" t="s">
        <v>9807</v>
      </c>
      <c r="G2681" s="146" t="s">
        <v>6365</v>
      </c>
      <c r="H2681" s="7" t="s">
        <v>12934</v>
      </c>
      <c r="I2681" s="7" t="s">
        <v>12935</v>
      </c>
      <c r="J2681" s="413" t="s">
        <v>13052</v>
      </c>
      <c r="K2681" s="413"/>
      <c r="L2681" s="413"/>
      <c r="M2681" s="415"/>
      <c r="N2681" s="100">
        <v>29235</v>
      </c>
      <c r="O2681" s="4" t="s">
        <v>15</v>
      </c>
      <c r="Q2681" s="3">
        <f t="shared" si="411"/>
        <v>29235</v>
      </c>
      <c r="R2681" s="3">
        <f t="shared" si="412"/>
        <v>0</v>
      </c>
    </row>
    <row r="2682" spans="3:18" x14ac:dyDescent="0.25">
      <c r="C2682" s="4" t="s">
        <v>2450</v>
      </c>
      <c r="E2682" s="5" t="s">
        <v>0</v>
      </c>
      <c r="F2682" s="5" t="s">
        <v>9807</v>
      </c>
      <c r="G2682" s="146" t="s">
        <v>6365</v>
      </c>
      <c r="H2682" s="7" t="s">
        <v>12934</v>
      </c>
      <c r="I2682" s="7" t="s">
        <v>12935</v>
      </c>
      <c r="J2682" s="413" t="s">
        <v>13053</v>
      </c>
      <c r="K2682" s="413"/>
      <c r="L2682" s="413"/>
      <c r="M2682" s="415"/>
      <c r="N2682" s="100">
        <v>11720</v>
      </c>
      <c r="O2682" s="4" t="s">
        <v>15</v>
      </c>
      <c r="Q2682" s="3">
        <f t="shared" si="411"/>
        <v>11720</v>
      </c>
      <c r="R2682" s="3">
        <f t="shared" si="412"/>
        <v>0</v>
      </c>
    </row>
    <row r="2683" spans="3:18" x14ac:dyDescent="0.25">
      <c r="C2683" s="4" t="s">
        <v>2450</v>
      </c>
      <c r="E2683" s="5" t="s">
        <v>0</v>
      </c>
      <c r="F2683" s="5" t="s">
        <v>9807</v>
      </c>
      <c r="G2683" s="146" t="s">
        <v>6365</v>
      </c>
      <c r="H2683" s="7" t="s">
        <v>12934</v>
      </c>
      <c r="I2683" s="7" t="s">
        <v>12935</v>
      </c>
      <c r="J2683" s="413" t="s">
        <v>13054</v>
      </c>
      <c r="K2683" s="413"/>
      <c r="L2683" s="413"/>
      <c r="M2683" s="415"/>
      <c r="N2683" s="100">
        <v>32053</v>
      </c>
      <c r="O2683" s="4" t="s">
        <v>15</v>
      </c>
      <c r="Q2683" s="3">
        <f t="shared" si="411"/>
        <v>32053</v>
      </c>
      <c r="R2683" s="3">
        <f t="shared" si="412"/>
        <v>0</v>
      </c>
    </row>
    <row r="2684" spans="3:18" x14ac:dyDescent="0.25">
      <c r="C2684" s="4" t="s">
        <v>2450</v>
      </c>
      <c r="E2684" s="5" t="s">
        <v>0</v>
      </c>
      <c r="F2684" s="5" t="s">
        <v>9807</v>
      </c>
      <c r="G2684" s="146" t="s">
        <v>6365</v>
      </c>
      <c r="H2684" s="7" t="s">
        <v>12934</v>
      </c>
      <c r="I2684" s="7" t="s">
        <v>12935</v>
      </c>
      <c r="J2684" s="413" t="s">
        <v>13055</v>
      </c>
      <c r="K2684" s="413"/>
      <c r="L2684" s="413"/>
      <c r="M2684" s="415"/>
      <c r="N2684" s="100">
        <v>38332</v>
      </c>
      <c r="O2684" s="4" t="s">
        <v>15</v>
      </c>
      <c r="Q2684" s="3">
        <f t="shared" si="411"/>
        <v>38332</v>
      </c>
      <c r="R2684" s="3">
        <f t="shared" si="412"/>
        <v>0</v>
      </c>
    </row>
    <row r="2685" spans="3:18" x14ac:dyDescent="0.25">
      <c r="C2685" s="4" t="s">
        <v>2450</v>
      </c>
      <c r="E2685" s="5" t="s">
        <v>0</v>
      </c>
      <c r="F2685" s="5" t="s">
        <v>9807</v>
      </c>
      <c r="G2685" s="146" t="s">
        <v>6365</v>
      </c>
      <c r="H2685" s="7" t="s">
        <v>12934</v>
      </c>
      <c r="I2685" s="7" t="s">
        <v>12935</v>
      </c>
      <c r="J2685" s="413" t="s">
        <v>13056</v>
      </c>
      <c r="K2685" s="413"/>
      <c r="L2685" s="413"/>
      <c r="M2685" s="415"/>
      <c r="N2685" s="100">
        <v>29235</v>
      </c>
      <c r="O2685" s="4" t="s">
        <v>15</v>
      </c>
      <c r="Q2685" s="3">
        <f t="shared" si="411"/>
        <v>29235</v>
      </c>
      <c r="R2685" s="3">
        <f t="shared" si="412"/>
        <v>0</v>
      </c>
    </row>
    <row r="2686" spans="3:18" x14ac:dyDescent="0.25">
      <c r="C2686" s="4" t="s">
        <v>2450</v>
      </c>
      <c r="E2686" s="5" t="s">
        <v>0</v>
      </c>
      <c r="F2686" s="5" t="s">
        <v>9807</v>
      </c>
      <c r="G2686" s="146" t="s">
        <v>6365</v>
      </c>
      <c r="H2686" s="7" t="s">
        <v>12934</v>
      </c>
      <c r="I2686" s="7" t="s">
        <v>12935</v>
      </c>
      <c r="J2686" s="413" t="s">
        <v>13057</v>
      </c>
      <c r="K2686" s="413"/>
      <c r="L2686" s="413"/>
      <c r="M2686" s="415"/>
      <c r="N2686" s="100">
        <v>29235</v>
      </c>
      <c r="O2686" s="4" t="s">
        <v>15</v>
      </c>
      <c r="Q2686" s="3">
        <f t="shared" si="411"/>
        <v>29235</v>
      </c>
      <c r="R2686" s="3">
        <f t="shared" si="412"/>
        <v>0</v>
      </c>
    </row>
    <row r="2687" spans="3:18" x14ac:dyDescent="0.25">
      <c r="C2687" s="4" t="s">
        <v>2450</v>
      </c>
      <c r="E2687" s="5" t="s">
        <v>0</v>
      </c>
      <c r="F2687" s="5" t="s">
        <v>9807</v>
      </c>
      <c r="G2687" s="146" t="s">
        <v>6365</v>
      </c>
      <c r="H2687" s="7" t="s">
        <v>12934</v>
      </c>
      <c r="I2687" s="7" t="s">
        <v>12935</v>
      </c>
      <c r="J2687" s="413" t="s">
        <v>13058</v>
      </c>
      <c r="K2687" s="413"/>
      <c r="L2687" s="413"/>
      <c r="M2687" s="415"/>
      <c r="N2687" s="100">
        <v>29235</v>
      </c>
      <c r="O2687" s="4" t="s">
        <v>15</v>
      </c>
      <c r="Q2687" s="3">
        <f t="shared" si="411"/>
        <v>29235</v>
      </c>
      <c r="R2687" s="3">
        <f t="shared" si="412"/>
        <v>0</v>
      </c>
    </row>
    <row r="2688" spans="3:18" x14ac:dyDescent="0.25">
      <c r="C2688" s="4" t="s">
        <v>2450</v>
      </c>
      <c r="E2688" s="5" t="s">
        <v>0</v>
      </c>
      <c r="F2688" s="5" t="s">
        <v>9807</v>
      </c>
      <c r="G2688" s="146" t="s">
        <v>6365</v>
      </c>
      <c r="H2688" s="7" t="s">
        <v>12934</v>
      </c>
      <c r="I2688" s="7" t="s">
        <v>12935</v>
      </c>
      <c r="J2688" s="413" t="s">
        <v>13059</v>
      </c>
      <c r="K2688" s="413"/>
      <c r="L2688" s="413"/>
      <c r="M2688" s="415"/>
      <c r="N2688" s="100">
        <v>29235</v>
      </c>
      <c r="O2688" s="4" t="s">
        <v>15</v>
      </c>
      <c r="Q2688" s="3">
        <f t="shared" si="411"/>
        <v>29235</v>
      </c>
      <c r="R2688" s="3">
        <f t="shared" si="412"/>
        <v>0</v>
      </c>
    </row>
    <row r="2689" spans="3:18" x14ac:dyDescent="0.25">
      <c r="C2689" s="4" t="s">
        <v>2450</v>
      </c>
      <c r="E2689" s="5" t="s">
        <v>0</v>
      </c>
      <c r="F2689" s="5" t="s">
        <v>9807</v>
      </c>
      <c r="G2689" s="146" t="s">
        <v>6365</v>
      </c>
      <c r="H2689" s="7" t="s">
        <v>12934</v>
      </c>
      <c r="I2689" s="7" t="s">
        <v>12935</v>
      </c>
      <c r="J2689" s="413" t="s">
        <v>13060</v>
      </c>
      <c r="K2689" s="413"/>
      <c r="L2689" s="413"/>
      <c r="M2689" s="415"/>
      <c r="N2689" s="100">
        <v>29235</v>
      </c>
      <c r="O2689" s="4" t="s">
        <v>15</v>
      </c>
      <c r="Q2689" s="3">
        <f t="shared" si="411"/>
        <v>29235</v>
      </c>
      <c r="R2689" s="3">
        <f t="shared" si="412"/>
        <v>0</v>
      </c>
    </row>
    <row r="2690" spans="3:18" x14ac:dyDescent="0.25">
      <c r="C2690" s="4" t="s">
        <v>2450</v>
      </c>
      <c r="E2690" s="5" t="s">
        <v>0</v>
      </c>
      <c r="F2690" s="5" t="s">
        <v>9807</v>
      </c>
      <c r="G2690" s="146" t="s">
        <v>6365</v>
      </c>
      <c r="H2690" s="7" t="s">
        <v>12934</v>
      </c>
      <c r="I2690" s="7" t="s">
        <v>12935</v>
      </c>
      <c r="J2690" s="413" t="s">
        <v>13061</v>
      </c>
      <c r="K2690" s="413"/>
      <c r="L2690" s="413"/>
      <c r="M2690" s="415"/>
      <c r="N2690" s="100">
        <v>29235</v>
      </c>
      <c r="O2690" s="4" t="s">
        <v>15</v>
      </c>
      <c r="Q2690" s="3">
        <f t="shared" si="411"/>
        <v>29235</v>
      </c>
      <c r="R2690" s="3">
        <f t="shared" si="412"/>
        <v>0</v>
      </c>
    </row>
    <row r="2691" spans="3:18" x14ac:dyDescent="0.25">
      <c r="C2691" s="4" t="s">
        <v>2450</v>
      </c>
      <c r="E2691" s="5" t="s">
        <v>0</v>
      </c>
      <c r="F2691" s="5" t="s">
        <v>9807</v>
      </c>
      <c r="G2691" s="146" t="s">
        <v>6365</v>
      </c>
      <c r="H2691" s="7" t="s">
        <v>12934</v>
      </c>
      <c r="I2691" s="7" t="s">
        <v>12935</v>
      </c>
      <c r="J2691" s="413" t="s">
        <v>13062</v>
      </c>
      <c r="K2691" s="413"/>
      <c r="L2691" s="413"/>
      <c r="M2691" s="415"/>
      <c r="N2691" s="100">
        <v>11720</v>
      </c>
      <c r="O2691" s="4" t="s">
        <v>15</v>
      </c>
      <c r="Q2691" s="3">
        <f t="shared" si="411"/>
        <v>11720</v>
      </c>
      <c r="R2691" s="3">
        <f t="shared" si="412"/>
        <v>0</v>
      </c>
    </row>
    <row r="2692" spans="3:18" x14ac:dyDescent="0.25">
      <c r="C2692" s="4" t="s">
        <v>2450</v>
      </c>
      <c r="E2692" s="5" t="s">
        <v>0</v>
      </c>
      <c r="F2692" s="5" t="s">
        <v>9807</v>
      </c>
      <c r="G2692" s="146" t="s">
        <v>6365</v>
      </c>
      <c r="H2692" s="7" t="s">
        <v>12934</v>
      </c>
      <c r="I2692" s="7" t="s">
        <v>12935</v>
      </c>
      <c r="J2692" s="413" t="s">
        <v>13063</v>
      </c>
      <c r="K2692" s="413"/>
      <c r="L2692" s="413"/>
      <c r="M2692" s="415"/>
      <c r="N2692" s="100">
        <v>32053</v>
      </c>
      <c r="O2692" s="4" t="s">
        <v>15</v>
      </c>
      <c r="Q2692" s="3">
        <f t="shared" si="411"/>
        <v>32053</v>
      </c>
      <c r="R2692" s="3">
        <f t="shared" si="412"/>
        <v>0</v>
      </c>
    </row>
    <row r="2693" spans="3:18" x14ac:dyDescent="0.25">
      <c r="C2693" s="4" t="s">
        <v>2450</v>
      </c>
      <c r="E2693" s="5" t="s">
        <v>0</v>
      </c>
      <c r="F2693" s="5" t="s">
        <v>9807</v>
      </c>
      <c r="G2693" s="146" t="s">
        <v>6365</v>
      </c>
      <c r="H2693" s="7" t="s">
        <v>12934</v>
      </c>
      <c r="I2693" s="7" t="s">
        <v>12935</v>
      </c>
      <c r="J2693" s="413" t="s">
        <v>13064</v>
      </c>
      <c r="K2693" s="413"/>
      <c r="L2693" s="413"/>
      <c r="M2693" s="415"/>
      <c r="N2693" s="100">
        <v>38332</v>
      </c>
      <c r="O2693" s="4" t="s">
        <v>15</v>
      </c>
      <c r="Q2693" s="3">
        <f t="shared" ref="Q2693:Q2718" si="413">IF(P2693="en cours",N2693,IF(P2693="OK",0,IF(N2693-P2693&lt;0,0,N2693-P2693)))</f>
        <v>38332</v>
      </c>
      <c r="R2693" s="3">
        <f t="shared" ref="R2693:R2718" si="414">IF(P2693="OK",N2693-Q2693,IF(P2693="en cours",N2693-Q2693,P2693))</f>
        <v>0</v>
      </c>
    </row>
    <row r="2694" spans="3:18" x14ac:dyDescent="0.25">
      <c r="C2694" s="4" t="s">
        <v>2450</v>
      </c>
      <c r="E2694" s="5" t="s">
        <v>0</v>
      </c>
      <c r="F2694" s="5" t="s">
        <v>9807</v>
      </c>
      <c r="G2694" s="146" t="s">
        <v>6365</v>
      </c>
      <c r="H2694" s="7" t="s">
        <v>12934</v>
      </c>
      <c r="I2694" s="7" t="s">
        <v>12935</v>
      </c>
      <c r="J2694" s="413" t="s">
        <v>13065</v>
      </c>
      <c r="K2694" s="413"/>
      <c r="L2694" s="413"/>
      <c r="M2694" s="415"/>
      <c r="N2694" s="100">
        <v>29235</v>
      </c>
      <c r="O2694" s="4" t="s">
        <v>15</v>
      </c>
      <c r="Q2694" s="3">
        <f t="shared" si="413"/>
        <v>29235</v>
      </c>
      <c r="R2694" s="3">
        <f t="shared" si="414"/>
        <v>0</v>
      </c>
    </row>
    <row r="2695" spans="3:18" x14ac:dyDescent="0.25">
      <c r="C2695" s="4" t="s">
        <v>2450</v>
      </c>
      <c r="E2695" s="5" t="s">
        <v>0</v>
      </c>
      <c r="F2695" s="5" t="s">
        <v>9807</v>
      </c>
      <c r="G2695" s="146" t="s">
        <v>6365</v>
      </c>
      <c r="H2695" s="7" t="s">
        <v>12934</v>
      </c>
      <c r="I2695" s="7" t="s">
        <v>12935</v>
      </c>
      <c r="J2695" s="413" t="s">
        <v>13066</v>
      </c>
      <c r="K2695" s="413"/>
      <c r="L2695" s="413"/>
      <c r="M2695" s="415"/>
      <c r="N2695" s="100">
        <v>29235</v>
      </c>
      <c r="O2695" s="4" t="s">
        <v>15</v>
      </c>
      <c r="Q2695" s="3">
        <f t="shared" si="413"/>
        <v>29235</v>
      </c>
      <c r="R2695" s="3">
        <f t="shared" si="414"/>
        <v>0</v>
      </c>
    </row>
    <row r="2696" spans="3:18" x14ac:dyDescent="0.25">
      <c r="C2696" s="4" t="s">
        <v>2450</v>
      </c>
      <c r="E2696" s="5" t="s">
        <v>0</v>
      </c>
      <c r="F2696" s="5" t="s">
        <v>9807</v>
      </c>
      <c r="G2696" s="146" t="s">
        <v>6365</v>
      </c>
      <c r="H2696" s="7" t="s">
        <v>12934</v>
      </c>
      <c r="I2696" s="7" t="s">
        <v>12935</v>
      </c>
      <c r="J2696" s="413" t="s">
        <v>13067</v>
      </c>
      <c r="K2696" s="413"/>
      <c r="L2696" s="413"/>
      <c r="M2696" s="415"/>
      <c r="N2696" s="100">
        <v>29235</v>
      </c>
      <c r="O2696" s="4" t="s">
        <v>15</v>
      </c>
      <c r="Q2696" s="3">
        <f t="shared" si="413"/>
        <v>29235</v>
      </c>
      <c r="R2696" s="3">
        <f t="shared" si="414"/>
        <v>0</v>
      </c>
    </row>
    <row r="2697" spans="3:18" x14ac:dyDescent="0.25">
      <c r="C2697" s="4" t="s">
        <v>2450</v>
      </c>
      <c r="E2697" s="5" t="s">
        <v>0</v>
      </c>
      <c r="F2697" s="5" t="s">
        <v>9807</v>
      </c>
      <c r="G2697" s="146" t="s">
        <v>6365</v>
      </c>
      <c r="H2697" s="7" t="s">
        <v>12934</v>
      </c>
      <c r="I2697" s="7" t="s">
        <v>12935</v>
      </c>
      <c r="J2697" s="413" t="s">
        <v>13068</v>
      </c>
      <c r="K2697" s="413"/>
      <c r="L2697" s="413"/>
      <c r="M2697" s="415"/>
      <c r="N2697" s="100">
        <v>29235</v>
      </c>
      <c r="O2697" s="4" t="s">
        <v>15</v>
      </c>
      <c r="Q2697" s="3">
        <f t="shared" si="413"/>
        <v>29235</v>
      </c>
      <c r="R2697" s="3">
        <f t="shared" si="414"/>
        <v>0</v>
      </c>
    </row>
    <row r="2698" spans="3:18" x14ac:dyDescent="0.25">
      <c r="C2698" s="4" t="s">
        <v>2450</v>
      </c>
      <c r="E2698" s="5" t="s">
        <v>0</v>
      </c>
      <c r="F2698" s="5" t="s">
        <v>9807</v>
      </c>
      <c r="G2698" s="146" t="s">
        <v>6365</v>
      </c>
      <c r="H2698" s="7" t="s">
        <v>12934</v>
      </c>
      <c r="I2698" s="7" t="s">
        <v>12935</v>
      </c>
      <c r="J2698" s="413" t="s">
        <v>13069</v>
      </c>
      <c r="K2698" s="413"/>
      <c r="L2698" s="413"/>
      <c r="M2698" s="415"/>
      <c r="N2698" s="100">
        <v>29235</v>
      </c>
      <c r="O2698" s="4" t="s">
        <v>15</v>
      </c>
      <c r="Q2698" s="3">
        <f t="shared" si="413"/>
        <v>29235</v>
      </c>
      <c r="R2698" s="3">
        <f t="shared" si="414"/>
        <v>0</v>
      </c>
    </row>
    <row r="2699" spans="3:18" x14ac:dyDescent="0.25">
      <c r="C2699" s="4" t="s">
        <v>2450</v>
      </c>
      <c r="E2699" s="5" t="s">
        <v>0</v>
      </c>
      <c r="F2699" s="5" t="s">
        <v>9807</v>
      </c>
      <c r="G2699" s="146" t="s">
        <v>6365</v>
      </c>
      <c r="H2699" s="7" t="s">
        <v>12934</v>
      </c>
      <c r="I2699" s="7" t="s">
        <v>12935</v>
      </c>
      <c r="J2699" s="413" t="s">
        <v>13070</v>
      </c>
      <c r="K2699" s="413"/>
      <c r="L2699" s="413"/>
      <c r="M2699" s="415"/>
      <c r="N2699" s="100">
        <v>29235</v>
      </c>
      <c r="O2699" s="4" t="s">
        <v>15</v>
      </c>
      <c r="Q2699" s="3">
        <f t="shared" si="413"/>
        <v>29235</v>
      </c>
      <c r="R2699" s="3">
        <f t="shared" si="414"/>
        <v>0</v>
      </c>
    </row>
    <row r="2700" spans="3:18" x14ac:dyDescent="0.25">
      <c r="C2700" s="4" t="s">
        <v>2450</v>
      </c>
      <c r="E2700" s="5" t="s">
        <v>0</v>
      </c>
      <c r="F2700" s="5" t="s">
        <v>9807</v>
      </c>
      <c r="G2700" s="146" t="s">
        <v>6365</v>
      </c>
      <c r="H2700" s="7" t="s">
        <v>12934</v>
      </c>
      <c r="I2700" s="7" t="s">
        <v>12935</v>
      </c>
      <c r="J2700" s="413" t="s">
        <v>13071</v>
      </c>
      <c r="K2700" s="413"/>
      <c r="L2700" s="413"/>
      <c r="M2700" s="415"/>
      <c r="N2700" s="100">
        <v>11720</v>
      </c>
      <c r="O2700" s="4" t="s">
        <v>15</v>
      </c>
      <c r="Q2700" s="3">
        <f t="shared" si="413"/>
        <v>11720</v>
      </c>
      <c r="R2700" s="3">
        <f t="shared" si="414"/>
        <v>0</v>
      </c>
    </row>
    <row r="2701" spans="3:18" x14ac:dyDescent="0.25">
      <c r="C2701" s="4" t="s">
        <v>2450</v>
      </c>
      <c r="E2701" s="5" t="s">
        <v>0</v>
      </c>
      <c r="F2701" s="5" t="s">
        <v>9807</v>
      </c>
      <c r="G2701" s="146" t="s">
        <v>6365</v>
      </c>
      <c r="H2701" s="7" t="s">
        <v>12934</v>
      </c>
      <c r="I2701" s="7" t="s">
        <v>12935</v>
      </c>
      <c r="J2701" s="413" t="s">
        <v>13072</v>
      </c>
      <c r="K2701" s="413"/>
      <c r="L2701" s="413"/>
      <c r="M2701" s="415"/>
      <c r="N2701" s="100">
        <v>32053</v>
      </c>
      <c r="O2701" s="4" t="s">
        <v>15</v>
      </c>
      <c r="Q2701" s="3">
        <f t="shared" si="413"/>
        <v>32053</v>
      </c>
      <c r="R2701" s="3">
        <f t="shared" si="414"/>
        <v>0</v>
      </c>
    </row>
    <row r="2702" spans="3:18" x14ac:dyDescent="0.25">
      <c r="C2702" s="4" t="s">
        <v>2450</v>
      </c>
      <c r="E2702" s="5" t="s">
        <v>0</v>
      </c>
      <c r="F2702" s="5" t="s">
        <v>9807</v>
      </c>
      <c r="G2702" s="146" t="s">
        <v>6365</v>
      </c>
      <c r="H2702" s="7" t="s">
        <v>12934</v>
      </c>
      <c r="I2702" s="7" t="s">
        <v>12935</v>
      </c>
      <c r="J2702" s="413" t="s">
        <v>13073</v>
      </c>
      <c r="K2702" s="413"/>
      <c r="L2702" s="413"/>
      <c r="M2702" s="415"/>
      <c r="N2702" s="100">
        <v>38332</v>
      </c>
      <c r="O2702" s="4" t="s">
        <v>15</v>
      </c>
      <c r="Q2702" s="3">
        <f t="shared" si="413"/>
        <v>38332</v>
      </c>
      <c r="R2702" s="3">
        <f t="shared" si="414"/>
        <v>0</v>
      </c>
    </row>
    <row r="2703" spans="3:18" x14ac:dyDescent="0.25">
      <c r="C2703" s="4" t="s">
        <v>2450</v>
      </c>
      <c r="E2703" s="5" t="s">
        <v>0</v>
      </c>
      <c r="F2703" s="5" t="s">
        <v>9807</v>
      </c>
      <c r="G2703" s="146" t="s">
        <v>6365</v>
      </c>
      <c r="H2703" s="7" t="s">
        <v>12934</v>
      </c>
      <c r="I2703" s="7" t="s">
        <v>12935</v>
      </c>
      <c r="J2703" s="413" t="s">
        <v>13074</v>
      </c>
      <c r="K2703" s="413"/>
      <c r="L2703" s="413"/>
      <c r="M2703" s="415"/>
      <c r="N2703" s="100">
        <v>29235</v>
      </c>
      <c r="O2703" s="4" t="s">
        <v>15</v>
      </c>
      <c r="Q2703" s="3">
        <f t="shared" si="413"/>
        <v>29235</v>
      </c>
      <c r="R2703" s="3">
        <f t="shared" si="414"/>
        <v>0</v>
      </c>
    </row>
    <row r="2704" spans="3:18" x14ac:dyDescent="0.25">
      <c r="C2704" s="4" t="s">
        <v>2450</v>
      </c>
      <c r="E2704" s="5" t="s">
        <v>0</v>
      </c>
      <c r="F2704" s="5" t="s">
        <v>9807</v>
      </c>
      <c r="G2704" s="146" t="s">
        <v>6365</v>
      </c>
      <c r="H2704" s="7" t="s">
        <v>12934</v>
      </c>
      <c r="I2704" s="7" t="s">
        <v>12935</v>
      </c>
      <c r="J2704" s="413" t="s">
        <v>13075</v>
      </c>
      <c r="K2704" s="413"/>
      <c r="L2704" s="413"/>
      <c r="M2704" s="415"/>
      <c r="N2704" s="100">
        <v>29235</v>
      </c>
      <c r="O2704" s="4" t="s">
        <v>15</v>
      </c>
      <c r="Q2704" s="3">
        <f t="shared" si="413"/>
        <v>29235</v>
      </c>
      <c r="R2704" s="3">
        <f t="shared" si="414"/>
        <v>0</v>
      </c>
    </row>
    <row r="2705" spans="2:19" x14ac:dyDescent="0.25">
      <c r="C2705" s="4" t="s">
        <v>2450</v>
      </c>
      <c r="E2705" s="5" t="s">
        <v>0</v>
      </c>
      <c r="F2705" s="5" t="s">
        <v>9807</v>
      </c>
      <c r="G2705" s="146" t="s">
        <v>6365</v>
      </c>
      <c r="H2705" s="7" t="s">
        <v>12934</v>
      </c>
      <c r="I2705" s="7" t="s">
        <v>12935</v>
      </c>
      <c r="J2705" s="413" t="s">
        <v>13076</v>
      </c>
      <c r="K2705" s="413"/>
      <c r="L2705" s="413"/>
      <c r="M2705" s="415"/>
      <c r="N2705" s="100">
        <v>29235</v>
      </c>
      <c r="O2705" s="4" t="s">
        <v>15</v>
      </c>
      <c r="Q2705" s="3">
        <f t="shared" si="413"/>
        <v>29235</v>
      </c>
      <c r="R2705" s="3">
        <f t="shared" si="414"/>
        <v>0</v>
      </c>
    </row>
    <row r="2706" spans="2:19" x14ac:dyDescent="0.25">
      <c r="C2706" s="4" t="s">
        <v>2450</v>
      </c>
      <c r="E2706" s="5" t="s">
        <v>0</v>
      </c>
      <c r="F2706" s="5" t="s">
        <v>9807</v>
      </c>
      <c r="G2706" s="146" t="s">
        <v>6365</v>
      </c>
      <c r="H2706" s="7" t="s">
        <v>12934</v>
      </c>
      <c r="I2706" s="7" t="s">
        <v>12935</v>
      </c>
      <c r="J2706" s="413" t="s">
        <v>13077</v>
      </c>
      <c r="K2706" s="413"/>
      <c r="L2706" s="413"/>
      <c r="M2706" s="415"/>
      <c r="N2706" s="100">
        <v>29235</v>
      </c>
      <c r="O2706" s="4" t="s">
        <v>15</v>
      </c>
      <c r="Q2706" s="3">
        <f t="shared" si="413"/>
        <v>29235</v>
      </c>
      <c r="R2706" s="3">
        <f t="shared" si="414"/>
        <v>0</v>
      </c>
    </row>
    <row r="2707" spans="2:19" x14ac:dyDescent="0.25">
      <c r="C2707" s="4" t="s">
        <v>2450</v>
      </c>
      <c r="E2707" s="5" t="s">
        <v>0</v>
      </c>
      <c r="F2707" s="5" t="s">
        <v>9807</v>
      </c>
      <c r="G2707" s="146" t="s">
        <v>6365</v>
      </c>
      <c r="H2707" s="7" t="s">
        <v>12934</v>
      </c>
      <c r="I2707" s="7" t="s">
        <v>12935</v>
      </c>
      <c r="J2707" s="413" t="s">
        <v>13078</v>
      </c>
      <c r="K2707" s="413"/>
      <c r="L2707" s="413"/>
      <c r="M2707" s="415"/>
      <c r="N2707" s="100">
        <v>29235</v>
      </c>
      <c r="O2707" s="4" t="s">
        <v>15</v>
      </c>
      <c r="Q2707" s="3">
        <f t="shared" si="413"/>
        <v>29235</v>
      </c>
      <c r="R2707" s="3">
        <f t="shared" si="414"/>
        <v>0</v>
      </c>
    </row>
    <row r="2708" spans="2:19" x14ac:dyDescent="0.25">
      <c r="C2708" s="4" t="s">
        <v>2450</v>
      </c>
      <c r="E2708" s="5" t="s">
        <v>0</v>
      </c>
      <c r="F2708" s="5" t="s">
        <v>9807</v>
      </c>
      <c r="G2708" s="146" t="s">
        <v>6365</v>
      </c>
      <c r="H2708" s="7" t="s">
        <v>12934</v>
      </c>
      <c r="I2708" s="7" t="s">
        <v>12935</v>
      </c>
      <c r="J2708" s="413" t="s">
        <v>13079</v>
      </c>
      <c r="K2708" s="413"/>
      <c r="L2708" s="413"/>
      <c r="M2708" s="415"/>
      <c r="N2708" s="100">
        <v>29235</v>
      </c>
      <c r="O2708" s="4" t="s">
        <v>15</v>
      </c>
      <c r="Q2708" s="3">
        <f t="shared" si="413"/>
        <v>29235</v>
      </c>
      <c r="R2708" s="3">
        <f t="shared" si="414"/>
        <v>0</v>
      </c>
    </row>
    <row r="2709" spans="2:19" hidden="1" x14ac:dyDescent="0.25">
      <c r="B2709" s="21" t="s">
        <v>395</v>
      </c>
      <c r="C2709" s="22" t="s">
        <v>2450</v>
      </c>
      <c r="D2709" s="22"/>
      <c r="E2709" s="21" t="s">
        <v>0</v>
      </c>
      <c r="F2709" s="21" t="s">
        <v>9807</v>
      </c>
      <c r="G2709" s="147" t="s">
        <v>6365</v>
      </c>
      <c r="H2709" s="23" t="s">
        <v>12934</v>
      </c>
      <c r="I2709" s="23" t="s">
        <v>12935</v>
      </c>
      <c r="J2709" s="21" t="s">
        <v>13080</v>
      </c>
      <c r="K2709" s="377">
        <v>45748</v>
      </c>
      <c r="L2709" s="21" t="s">
        <v>13084</v>
      </c>
      <c r="M2709" s="26">
        <v>45804</v>
      </c>
      <c r="N2709" s="44">
        <v>2000</v>
      </c>
      <c r="O2709" s="22" t="s">
        <v>15</v>
      </c>
      <c r="P2709" s="44">
        <v>2000</v>
      </c>
      <c r="Q2709" s="24">
        <f t="shared" si="413"/>
        <v>0</v>
      </c>
      <c r="R2709" s="24">
        <f t="shared" si="414"/>
        <v>2000</v>
      </c>
    </row>
    <row r="2710" spans="2:19" hidden="1" x14ac:dyDescent="0.25">
      <c r="B2710" s="21" t="s">
        <v>395</v>
      </c>
      <c r="C2710" s="22" t="s">
        <v>2450</v>
      </c>
      <c r="D2710" s="22"/>
      <c r="E2710" s="21" t="s">
        <v>0</v>
      </c>
      <c r="F2710" s="21" t="s">
        <v>9807</v>
      </c>
      <c r="G2710" s="147" t="s">
        <v>6365</v>
      </c>
      <c r="H2710" s="23" t="s">
        <v>12934</v>
      </c>
      <c r="I2710" s="23" t="s">
        <v>12935</v>
      </c>
      <c r="J2710" s="21" t="s">
        <v>13080</v>
      </c>
      <c r="K2710" s="377">
        <v>45778</v>
      </c>
      <c r="L2710" s="21" t="s">
        <v>13084</v>
      </c>
      <c r="M2710" s="26">
        <v>45804</v>
      </c>
      <c r="N2710" s="44">
        <v>2000</v>
      </c>
      <c r="O2710" s="22" t="s">
        <v>15</v>
      </c>
      <c r="P2710" s="44">
        <v>2000</v>
      </c>
      <c r="Q2710" s="24">
        <f t="shared" si="413"/>
        <v>0</v>
      </c>
      <c r="R2710" s="24">
        <f t="shared" si="414"/>
        <v>2000</v>
      </c>
    </row>
    <row r="2711" spans="2:19" hidden="1" x14ac:dyDescent="0.25">
      <c r="B2711" s="21" t="s">
        <v>395</v>
      </c>
      <c r="C2711" s="22" t="s">
        <v>2450</v>
      </c>
      <c r="D2711" s="22"/>
      <c r="E2711" s="21" t="s">
        <v>0</v>
      </c>
      <c r="F2711" s="21" t="s">
        <v>9807</v>
      </c>
      <c r="G2711" s="147" t="s">
        <v>6365</v>
      </c>
      <c r="H2711" s="23" t="s">
        <v>12934</v>
      </c>
      <c r="I2711" s="23" t="s">
        <v>12935</v>
      </c>
      <c r="J2711" s="21" t="s">
        <v>13080</v>
      </c>
      <c r="K2711" s="377">
        <v>45809</v>
      </c>
      <c r="L2711" s="21" t="s">
        <v>13087</v>
      </c>
      <c r="M2711" s="26">
        <v>45828</v>
      </c>
      <c r="N2711" s="44">
        <v>2000</v>
      </c>
      <c r="O2711" s="22" t="s">
        <v>15</v>
      </c>
      <c r="P2711" s="44">
        <v>2000</v>
      </c>
      <c r="Q2711" s="24">
        <f t="shared" si="413"/>
        <v>0</v>
      </c>
      <c r="R2711" s="24">
        <f t="shared" si="414"/>
        <v>2000</v>
      </c>
    </row>
    <row r="2712" spans="2:19" hidden="1" x14ac:dyDescent="0.25">
      <c r="B2712" s="21" t="s">
        <v>395</v>
      </c>
      <c r="C2712" s="22" t="s">
        <v>2450</v>
      </c>
      <c r="D2712" s="22"/>
      <c r="E2712" s="21" t="s">
        <v>0</v>
      </c>
      <c r="F2712" s="21" t="s">
        <v>9807</v>
      </c>
      <c r="G2712" s="147" t="s">
        <v>6365</v>
      </c>
      <c r="H2712" s="23" t="s">
        <v>12934</v>
      </c>
      <c r="I2712" s="23" t="s">
        <v>12935</v>
      </c>
      <c r="J2712" s="21" t="s">
        <v>13080</v>
      </c>
      <c r="K2712" s="377">
        <v>45839</v>
      </c>
      <c r="L2712" s="21" t="s">
        <v>13093</v>
      </c>
      <c r="M2712" s="26">
        <v>45861</v>
      </c>
      <c r="N2712" s="44">
        <v>2000</v>
      </c>
      <c r="O2712" s="22" t="s">
        <v>15</v>
      </c>
      <c r="P2712" s="44">
        <v>2000</v>
      </c>
      <c r="Q2712" s="24">
        <f t="shared" si="413"/>
        <v>0</v>
      </c>
      <c r="R2712" s="24">
        <f t="shared" si="414"/>
        <v>2000</v>
      </c>
    </row>
    <row r="2713" spans="2:19" hidden="1" x14ac:dyDescent="0.25">
      <c r="B2713" s="21" t="s">
        <v>395</v>
      </c>
      <c r="C2713" s="22" t="s">
        <v>2450</v>
      </c>
      <c r="D2713" s="22"/>
      <c r="E2713" s="21" t="s">
        <v>0</v>
      </c>
      <c r="F2713" s="21" t="s">
        <v>9807</v>
      </c>
      <c r="G2713" s="147" t="s">
        <v>6365</v>
      </c>
      <c r="H2713" s="23" t="s">
        <v>12934</v>
      </c>
      <c r="I2713" s="23" t="s">
        <v>12935</v>
      </c>
      <c r="J2713" s="21" t="s">
        <v>13080</v>
      </c>
      <c r="K2713" s="377">
        <v>45870</v>
      </c>
      <c r="L2713" s="21" t="s">
        <v>13094</v>
      </c>
      <c r="M2713" s="26">
        <v>45894</v>
      </c>
      <c r="N2713" s="44">
        <v>2000</v>
      </c>
      <c r="O2713" s="22" t="s">
        <v>15</v>
      </c>
      <c r="P2713" s="44">
        <v>2000</v>
      </c>
      <c r="Q2713" s="24">
        <f t="shared" si="413"/>
        <v>0</v>
      </c>
      <c r="R2713" s="24">
        <f t="shared" si="414"/>
        <v>2000</v>
      </c>
    </row>
    <row r="2714" spans="2:19" hidden="1" x14ac:dyDescent="0.25">
      <c r="B2714" s="21" t="s">
        <v>395</v>
      </c>
      <c r="C2714" s="22" t="s">
        <v>2450</v>
      </c>
      <c r="D2714" s="22"/>
      <c r="E2714" s="21" t="s">
        <v>0</v>
      </c>
      <c r="F2714" s="21" t="s">
        <v>9807</v>
      </c>
      <c r="G2714" s="147" t="s">
        <v>6365</v>
      </c>
      <c r="H2714" s="23" t="s">
        <v>12934</v>
      </c>
      <c r="I2714" s="23" t="s">
        <v>12935</v>
      </c>
      <c r="J2714" s="21" t="s">
        <v>13080</v>
      </c>
      <c r="K2714" s="377">
        <v>45901</v>
      </c>
      <c r="L2714" s="21" t="s">
        <v>7108</v>
      </c>
      <c r="M2714" s="26">
        <v>45925</v>
      </c>
      <c r="N2714" s="44">
        <v>2000</v>
      </c>
      <c r="O2714" s="22" t="s">
        <v>15</v>
      </c>
      <c r="P2714" s="44">
        <v>2000</v>
      </c>
      <c r="Q2714" s="24">
        <f t="shared" si="413"/>
        <v>0</v>
      </c>
      <c r="R2714" s="24">
        <f t="shared" si="414"/>
        <v>2000</v>
      </c>
    </row>
    <row r="2715" spans="2:19" hidden="1" x14ac:dyDescent="0.25">
      <c r="B2715" s="21" t="s">
        <v>395</v>
      </c>
      <c r="C2715" s="22" t="s">
        <v>2450</v>
      </c>
      <c r="D2715" s="22"/>
      <c r="E2715" s="21" t="s">
        <v>0</v>
      </c>
      <c r="F2715" s="21" t="s">
        <v>9807</v>
      </c>
      <c r="G2715" s="147" t="s">
        <v>6365</v>
      </c>
      <c r="H2715" s="23" t="s">
        <v>12934</v>
      </c>
      <c r="I2715" s="23" t="s">
        <v>12935</v>
      </c>
      <c r="J2715" s="21" t="s">
        <v>13080</v>
      </c>
      <c r="K2715" s="377">
        <v>45931</v>
      </c>
      <c r="L2715" s="21" t="s">
        <v>13102</v>
      </c>
      <c r="M2715" s="26">
        <v>45960</v>
      </c>
      <c r="N2715" s="44">
        <v>2000</v>
      </c>
      <c r="O2715" s="22" t="s">
        <v>15</v>
      </c>
      <c r="P2715" s="44">
        <v>2000</v>
      </c>
      <c r="Q2715" s="24">
        <f t="shared" si="413"/>
        <v>0</v>
      </c>
      <c r="R2715" s="24">
        <f t="shared" si="414"/>
        <v>2000</v>
      </c>
    </row>
    <row r="2716" spans="2:19" hidden="1" x14ac:dyDescent="0.25">
      <c r="B2716" s="21" t="s">
        <v>395</v>
      </c>
      <c r="C2716" s="22" t="s">
        <v>2450</v>
      </c>
      <c r="D2716" s="22"/>
      <c r="E2716" s="21" t="s">
        <v>0</v>
      </c>
      <c r="F2716" s="21" t="s">
        <v>9807</v>
      </c>
      <c r="G2716" s="147" t="s">
        <v>6365</v>
      </c>
      <c r="H2716" s="23" t="s">
        <v>12934</v>
      </c>
      <c r="I2716" s="23" t="s">
        <v>12935</v>
      </c>
      <c r="J2716" s="21" t="s">
        <v>13080</v>
      </c>
      <c r="K2716" s="377">
        <v>45962</v>
      </c>
      <c r="L2716" s="21" t="s">
        <v>13421</v>
      </c>
      <c r="M2716" s="26">
        <v>45988</v>
      </c>
      <c r="N2716" s="44">
        <v>2000</v>
      </c>
      <c r="O2716" s="22" t="s">
        <v>15</v>
      </c>
      <c r="P2716" s="44">
        <v>2000</v>
      </c>
      <c r="Q2716" s="24">
        <f t="shared" si="413"/>
        <v>0</v>
      </c>
      <c r="R2716" s="24">
        <f t="shared" si="414"/>
        <v>2000</v>
      </c>
    </row>
    <row r="2717" spans="2:19" x14ac:dyDescent="0.25">
      <c r="C2717" s="4" t="s">
        <v>2450</v>
      </c>
      <c r="E2717" s="5" t="s">
        <v>0</v>
      </c>
      <c r="F2717" s="5" t="s">
        <v>9807</v>
      </c>
      <c r="G2717" s="146" t="s">
        <v>6365</v>
      </c>
      <c r="H2717" s="7" t="s">
        <v>12934</v>
      </c>
      <c r="I2717" s="7" t="s">
        <v>12935</v>
      </c>
      <c r="J2717" s="135" t="s">
        <v>13081</v>
      </c>
      <c r="K2717" s="525"/>
      <c r="L2717" s="135" t="s">
        <v>13647</v>
      </c>
      <c r="M2717" s="524" t="s">
        <v>13648</v>
      </c>
      <c r="N2717" s="89">
        <v>1500</v>
      </c>
      <c r="O2717" s="4" t="s">
        <v>15</v>
      </c>
      <c r="P2717" s="45">
        <f>(1500*2)+1500+(2*1500)+1500+1500+1500</f>
        <v>12000</v>
      </c>
      <c r="Q2717" s="3">
        <f t="shared" si="413"/>
        <v>0</v>
      </c>
      <c r="R2717" s="3">
        <f t="shared" si="414"/>
        <v>12000</v>
      </c>
      <c r="S2717" s="5" t="s">
        <v>13433</v>
      </c>
    </row>
    <row r="2718" spans="2:19" hidden="1" x14ac:dyDescent="0.25">
      <c r="B2718" s="21" t="s">
        <v>395</v>
      </c>
      <c r="C2718" s="22" t="s">
        <v>2450</v>
      </c>
      <c r="D2718" s="22"/>
      <c r="E2718" s="21" t="s">
        <v>0</v>
      </c>
      <c r="F2718" s="21" t="s">
        <v>13120</v>
      </c>
      <c r="G2718" s="147" t="s">
        <v>8633</v>
      </c>
      <c r="H2718" s="23" t="s">
        <v>13121</v>
      </c>
      <c r="I2718" s="23" t="s">
        <v>13122</v>
      </c>
      <c r="J2718" s="21" t="s">
        <v>13123</v>
      </c>
      <c r="K2718" s="21"/>
      <c r="L2718" s="21" t="s">
        <v>13262</v>
      </c>
      <c r="M2718" s="26">
        <v>45978</v>
      </c>
      <c r="N2718" s="44">
        <f>0.5*206150</f>
        <v>103075</v>
      </c>
      <c r="O2718" s="22" t="s">
        <v>15</v>
      </c>
      <c r="P2718" s="44">
        <v>103075</v>
      </c>
      <c r="Q2718" s="24">
        <f t="shared" si="413"/>
        <v>0</v>
      </c>
      <c r="R2718" s="24">
        <f t="shared" si="414"/>
        <v>103075</v>
      </c>
    </row>
    <row r="2719" spans="2:19" hidden="1" x14ac:dyDescent="0.25">
      <c r="B2719" s="21" t="s">
        <v>395</v>
      </c>
      <c r="C2719" s="22" t="s">
        <v>2450</v>
      </c>
      <c r="D2719" s="22"/>
      <c r="E2719" s="21" t="s">
        <v>0</v>
      </c>
      <c r="F2719" s="21" t="s">
        <v>13120</v>
      </c>
      <c r="G2719" s="147" t="s">
        <v>8633</v>
      </c>
      <c r="H2719" s="23" t="s">
        <v>13121</v>
      </c>
      <c r="I2719" s="23" t="s">
        <v>13122</v>
      </c>
      <c r="J2719" s="21" t="s">
        <v>13124</v>
      </c>
      <c r="K2719" s="21"/>
      <c r="L2719" s="21" t="s">
        <v>13682</v>
      </c>
      <c r="M2719" s="26">
        <v>46013</v>
      </c>
      <c r="N2719" s="44">
        <f>0.5*206150</f>
        <v>103075</v>
      </c>
      <c r="O2719" s="22" t="s">
        <v>15</v>
      </c>
      <c r="P2719" s="44">
        <v>103075</v>
      </c>
      <c r="Q2719" s="24">
        <f t="shared" ref="Q2719" si="415">IF(P2719="en cours",N2719,IF(P2719="OK",0,IF(N2719-P2719&lt;0,0,N2719-P2719)))</f>
        <v>0</v>
      </c>
      <c r="R2719" s="24">
        <f t="shared" ref="R2719" si="416">IF(P2719="OK",N2719-Q2719,IF(P2719="en cours",N2719-Q2719,P2719))</f>
        <v>103075</v>
      </c>
    </row>
    <row r="2720" spans="2:19" hidden="1" x14ac:dyDescent="0.25">
      <c r="B2720" s="21" t="s">
        <v>395</v>
      </c>
      <c r="C2720" s="22" t="s">
        <v>2450</v>
      </c>
      <c r="D2720" s="22"/>
      <c r="E2720" s="21" t="s">
        <v>10</v>
      </c>
      <c r="F2720" s="21" t="s">
        <v>9721</v>
      </c>
      <c r="G2720" s="147" t="s">
        <v>7573</v>
      </c>
      <c r="H2720" s="23" t="s">
        <v>13125</v>
      </c>
      <c r="I2720" s="23" t="s">
        <v>13126</v>
      </c>
      <c r="J2720" s="21" t="s">
        <v>6557</v>
      </c>
      <c r="K2720" s="21"/>
      <c r="L2720" s="21" t="s">
        <v>13253</v>
      </c>
      <c r="M2720" s="26">
        <v>45974</v>
      </c>
      <c r="N2720" s="44">
        <v>7638</v>
      </c>
      <c r="O2720" s="22" t="s">
        <v>15</v>
      </c>
      <c r="P2720" s="44">
        <v>7638</v>
      </c>
      <c r="Q2720" s="24">
        <f t="shared" ref="Q2720:Q2743" si="417">IF(P2720="en cours",N2720,IF(P2720="OK",0,IF(N2720-P2720&lt;0,0,N2720-P2720)))</f>
        <v>0</v>
      </c>
      <c r="R2720" s="24">
        <f t="shared" ref="R2720:R2743" si="418">IF(P2720="OK",N2720-Q2720,IF(P2720="en cours",N2720-Q2720,P2720))</f>
        <v>7638</v>
      </c>
    </row>
    <row r="2721" spans="2:18" hidden="1" x14ac:dyDescent="0.25">
      <c r="B2721" s="21"/>
      <c r="C2721" s="22" t="s">
        <v>2450</v>
      </c>
      <c r="D2721" s="22"/>
      <c r="E2721" s="21" t="s">
        <v>10</v>
      </c>
      <c r="F2721" s="21" t="s">
        <v>9721</v>
      </c>
      <c r="G2721" s="147" t="s">
        <v>10832</v>
      </c>
      <c r="H2721" s="23" t="s">
        <v>13127</v>
      </c>
      <c r="I2721" s="23" t="s">
        <v>13128</v>
      </c>
      <c r="J2721" s="21" t="s">
        <v>6557</v>
      </c>
      <c r="K2721" s="21"/>
      <c r="L2721" s="21" t="s">
        <v>13174</v>
      </c>
      <c r="M2721" s="26">
        <v>45960</v>
      </c>
      <c r="N2721" s="44">
        <v>3460</v>
      </c>
      <c r="O2721" s="22" t="s">
        <v>15</v>
      </c>
      <c r="P2721" s="44">
        <f>3400+60</f>
        <v>3460</v>
      </c>
      <c r="Q2721" s="24">
        <f t="shared" si="417"/>
        <v>0</v>
      </c>
      <c r="R2721" s="24">
        <f>IF(P2721="OK",N2721-Q2721,IF(P2721="en cours",N2721-Q2721,P2721))</f>
        <v>3460</v>
      </c>
    </row>
    <row r="2722" spans="2:18" hidden="1" x14ac:dyDescent="0.25">
      <c r="B2722" s="21" t="s">
        <v>395</v>
      </c>
      <c r="C2722" s="22" t="s">
        <v>158</v>
      </c>
      <c r="D2722" s="22"/>
      <c r="E2722" s="21" t="s">
        <v>10</v>
      </c>
      <c r="F2722" s="21" t="s">
        <v>9721</v>
      </c>
      <c r="G2722" s="147" t="s">
        <v>11065</v>
      </c>
      <c r="H2722" s="23" t="s">
        <v>13129</v>
      </c>
      <c r="I2722" s="23" t="s">
        <v>13130</v>
      </c>
      <c r="J2722" s="21" t="s">
        <v>6557</v>
      </c>
      <c r="K2722" s="21"/>
      <c r="L2722" s="21" t="s">
        <v>13230</v>
      </c>
      <c r="M2722" s="26">
        <v>45966</v>
      </c>
      <c r="N2722" s="44">
        <v>209</v>
      </c>
      <c r="O2722" s="22" t="s">
        <v>15</v>
      </c>
      <c r="P2722" s="44">
        <v>209</v>
      </c>
      <c r="Q2722" s="24">
        <f t="shared" si="417"/>
        <v>0</v>
      </c>
      <c r="R2722" s="24">
        <f t="shared" si="418"/>
        <v>209</v>
      </c>
    </row>
    <row r="2723" spans="2:18" hidden="1" x14ac:dyDescent="0.25">
      <c r="B2723" s="21" t="s">
        <v>395</v>
      </c>
      <c r="C2723" s="22" t="s">
        <v>2450</v>
      </c>
      <c r="D2723" s="22"/>
      <c r="E2723" s="21" t="s">
        <v>10</v>
      </c>
      <c r="F2723" s="21" t="s">
        <v>9721</v>
      </c>
      <c r="G2723" s="147" t="s">
        <v>9863</v>
      </c>
      <c r="H2723" s="23" t="s">
        <v>13131</v>
      </c>
      <c r="I2723" s="23" t="s">
        <v>13132</v>
      </c>
      <c r="J2723" s="21" t="s">
        <v>6557</v>
      </c>
      <c r="K2723" s="21"/>
      <c r="L2723" s="21" t="s">
        <v>13179</v>
      </c>
      <c r="M2723" s="26">
        <v>45954</v>
      </c>
      <c r="N2723" s="44">
        <v>1749.1</v>
      </c>
      <c r="O2723" s="22" t="s">
        <v>15</v>
      </c>
      <c r="P2723" s="44">
        <f>1749.1</f>
        <v>1749.1</v>
      </c>
      <c r="Q2723" s="24">
        <f t="shared" si="417"/>
        <v>0</v>
      </c>
      <c r="R2723" s="24">
        <f t="shared" si="418"/>
        <v>1749.1</v>
      </c>
    </row>
    <row r="2724" spans="2:18" hidden="1" x14ac:dyDescent="0.25">
      <c r="B2724" s="21" t="s">
        <v>395</v>
      </c>
      <c r="C2724" s="22" t="s">
        <v>158</v>
      </c>
      <c r="D2724" s="22"/>
      <c r="E2724" s="21" t="s">
        <v>10</v>
      </c>
      <c r="F2724" s="21" t="s">
        <v>9721</v>
      </c>
      <c r="G2724" s="147" t="s">
        <v>1090</v>
      </c>
      <c r="H2724" s="23" t="s">
        <v>13133</v>
      </c>
      <c r="I2724" s="23" t="s">
        <v>13134</v>
      </c>
      <c r="J2724" s="21" t="s">
        <v>6557</v>
      </c>
      <c r="K2724" s="21"/>
      <c r="L2724" s="21" t="s">
        <v>13254</v>
      </c>
      <c r="M2724" s="26" t="s">
        <v>13255</v>
      </c>
      <c r="N2724" s="44">
        <v>3107.6</v>
      </c>
      <c r="O2724" s="22" t="s">
        <v>15</v>
      </c>
      <c r="P2724" s="44">
        <f>1961.8+1145.8</f>
        <v>3107.6</v>
      </c>
      <c r="Q2724" s="24">
        <f t="shared" si="417"/>
        <v>0</v>
      </c>
      <c r="R2724" s="24">
        <f t="shared" si="418"/>
        <v>3107.6</v>
      </c>
    </row>
    <row r="2725" spans="2:18" hidden="1" x14ac:dyDescent="0.25">
      <c r="B2725" s="21" t="s">
        <v>395</v>
      </c>
      <c r="C2725" s="22" t="s">
        <v>2450</v>
      </c>
      <c r="D2725" s="22"/>
      <c r="E2725" s="21" t="s">
        <v>10</v>
      </c>
      <c r="F2725" s="21" t="s">
        <v>9721</v>
      </c>
      <c r="G2725" s="147" t="s">
        <v>9989</v>
      </c>
      <c r="H2725" s="23" t="s">
        <v>13135</v>
      </c>
      <c r="I2725" s="23" t="s">
        <v>13136</v>
      </c>
      <c r="J2725" s="21" t="s">
        <v>6557</v>
      </c>
      <c r="K2725" s="21"/>
      <c r="L2725" s="21" t="s">
        <v>13178</v>
      </c>
      <c r="M2725" s="26">
        <v>45960</v>
      </c>
      <c r="N2725" s="44">
        <v>1750.44</v>
      </c>
      <c r="O2725" s="22" t="s">
        <v>15</v>
      </c>
      <c r="P2725" s="44">
        <v>1750.44</v>
      </c>
      <c r="Q2725" s="24">
        <f t="shared" si="417"/>
        <v>0</v>
      </c>
      <c r="R2725" s="24">
        <f t="shared" si="418"/>
        <v>1750.44</v>
      </c>
    </row>
    <row r="2726" spans="2:18" hidden="1" x14ac:dyDescent="0.25">
      <c r="B2726" s="21" t="s">
        <v>395</v>
      </c>
      <c r="C2726" s="22" t="s">
        <v>158</v>
      </c>
      <c r="D2726" s="22"/>
      <c r="E2726" s="21" t="s">
        <v>10</v>
      </c>
      <c r="F2726" s="21" t="s">
        <v>9721</v>
      </c>
      <c r="G2726" s="147" t="s">
        <v>11065</v>
      </c>
      <c r="H2726" s="23" t="s">
        <v>13137</v>
      </c>
      <c r="I2726" s="23" t="s">
        <v>13138</v>
      </c>
      <c r="J2726" s="21" t="s">
        <v>6557</v>
      </c>
      <c r="K2726" s="21"/>
      <c r="L2726" s="21" t="s">
        <v>13175</v>
      </c>
      <c r="M2726" s="26" t="s">
        <v>13176</v>
      </c>
      <c r="N2726" s="44">
        <v>349</v>
      </c>
      <c r="O2726" s="22" t="s">
        <v>15</v>
      </c>
      <c r="P2726" s="44">
        <f>101+(223+25)</f>
        <v>349</v>
      </c>
      <c r="Q2726" s="24">
        <f t="shared" si="417"/>
        <v>0</v>
      </c>
      <c r="R2726" s="24">
        <f t="shared" si="418"/>
        <v>349</v>
      </c>
    </row>
    <row r="2727" spans="2:18" hidden="1" x14ac:dyDescent="0.25">
      <c r="B2727" s="21" t="s">
        <v>395</v>
      </c>
      <c r="C2727" s="22" t="s">
        <v>2450</v>
      </c>
      <c r="D2727" s="22"/>
      <c r="E2727" s="21" t="s">
        <v>10</v>
      </c>
      <c r="F2727" s="21" t="s">
        <v>9721</v>
      </c>
      <c r="G2727" s="147" t="s">
        <v>6506</v>
      </c>
      <c r="H2727" s="23" t="s">
        <v>13139</v>
      </c>
      <c r="I2727" s="23" t="s">
        <v>13140</v>
      </c>
      <c r="J2727" s="21" t="s">
        <v>6557</v>
      </c>
      <c r="K2727" s="21"/>
      <c r="L2727" s="21" t="s">
        <v>13173</v>
      </c>
      <c r="M2727" s="26">
        <v>45960</v>
      </c>
      <c r="N2727" s="44">
        <v>506</v>
      </c>
      <c r="O2727" s="22" t="s">
        <v>15</v>
      </c>
      <c r="P2727" s="44">
        <v>506</v>
      </c>
      <c r="Q2727" s="24">
        <f t="shared" si="417"/>
        <v>0</v>
      </c>
      <c r="R2727" s="24">
        <f t="shared" si="418"/>
        <v>506</v>
      </c>
    </row>
    <row r="2728" spans="2:18" hidden="1" x14ac:dyDescent="0.25">
      <c r="B2728" s="21" t="s">
        <v>395</v>
      </c>
      <c r="C2728" s="22" t="s">
        <v>2450</v>
      </c>
      <c r="D2728" s="22"/>
      <c r="E2728" s="21" t="s">
        <v>10</v>
      </c>
      <c r="F2728" s="21" t="s">
        <v>9721</v>
      </c>
      <c r="G2728" s="147" t="s">
        <v>6506</v>
      </c>
      <c r="H2728" s="23" t="s">
        <v>13141</v>
      </c>
      <c r="I2728" s="23" t="s">
        <v>13142</v>
      </c>
      <c r="J2728" s="21" t="s">
        <v>6557</v>
      </c>
      <c r="K2728" s="21"/>
      <c r="L2728" s="21" t="s">
        <v>13251</v>
      </c>
      <c r="M2728" s="26">
        <v>45967</v>
      </c>
      <c r="N2728" s="44">
        <v>195.75</v>
      </c>
      <c r="O2728" s="22" t="s">
        <v>15</v>
      </c>
      <c r="P2728" s="44">
        <v>195.75</v>
      </c>
      <c r="Q2728" s="24">
        <f t="shared" si="417"/>
        <v>0</v>
      </c>
      <c r="R2728" s="24">
        <f t="shared" si="418"/>
        <v>195.75</v>
      </c>
    </row>
    <row r="2729" spans="2:18" hidden="1" x14ac:dyDescent="0.25">
      <c r="B2729" s="21" t="s">
        <v>395</v>
      </c>
      <c r="C2729" s="22" t="s">
        <v>2450</v>
      </c>
      <c r="D2729" s="22"/>
      <c r="E2729" s="21" t="s">
        <v>10</v>
      </c>
      <c r="F2729" s="21" t="s">
        <v>9721</v>
      </c>
      <c r="G2729" s="147" t="s">
        <v>6506</v>
      </c>
      <c r="H2729" s="23" t="s">
        <v>13143</v>
      </c>
      <c r="I2729" s="23" t="s">
        <v>13144</v>
      </c>
      <c r="J2729" s="21" t="s">
        <v>6557</v>
      </c>
      <c r="K2729" s="21"/>
      <c r="L2729" s="21" t="s">
        <v>13263</v>
      </c>
      <c r="M2729" s="26">
        <v>45974</v>
      </c>
      <c r="N2729" s="44">
        <v>1755</v>
      </c>
      <c r="O2729" s="22" t="s">
        <v>15</v>
      </c>
      <c r="P2729" s="44">
        <v>1755</v>
      </c>
      <c r="Q2729" s="24">
        <f t="shared" si="417"/>
        <v>0</v>
      </c>
      <c r="R2729" s="24">
        <f t="shared" si="418"/>
        <v>1755</v>
      </c>
    </row>
    <row r="2730" spans="2:18" hidden="1" x14ac:dyDescent="0.25">
      <c r="B2730" s="21" t="s">
        <v>395</v>
      </c>
      <c r="C2730" s="22" t="s">
        <v>158</v>
      </c>
      <c r="D2730" s="22"/>
      <c r="E2730" s="21" t="s">
        <v>10</v>
      </c>
      <c r="F2730" s="21" t="s">
        <v>9721</v>
      </c>
      <c r="G2730" s="147" t="s">
        <v>11065</v>
      </c>
      <c r="H2730" s="23" t="s">
        <v>13145</v>
      </c>
      <c r="I2730" s="23" t="s">
        <v>13146</v>
      </c>
      <c r="J2730" s="21" t="s">
        <v>6557</v>
      </c>
      <c r="K2730" s="21"/>
      <c r="L2730" s="21" t="s">
        <v>13258</v>
      </c>
      <c r="M2730" s="26">
        <v>45972</v>
      </c>
      <c r="N2730" s="44">
        <v>283.29000000000002</v>
      </c>
      <c r="O2730" s="22" t="s">
        <v>15</v>
      </c>
      <c r="P2730" s="44">
        <v>283.29000000000002</v>
      </c>
      <c r="Q2730" s="24">
        <f t="shared" si="417"/>
        <v>0</v>
      </c>
      <c r="R2730" s="24">
        <f t="shared" si="418"/>
        <v>283.29000000000002</v>
      </c>
    </row>
    <row r="2731" spans="2:18" hidden="1" x14ac:dyDescent="0.25">
      <c r="B2731" s="21" t="s">
        <v>395</v>
      </c>
      <c r="C2731" s="22" t="s">
        <v>2450</v>
      </c>
      <c r="D2731" s="22"/>
      <c r="E2731" s="21" t="s">
        <v>10</v>
      </c>
      <c r="F2731" s="21" t="s">
        <v>9721</v>
      </c>
      <c r="G2731" s="147" t="s">
        <v>7315</v>
      </c>
      <c r="H2731" s="23" t="s">
        <v>13147</v>
      </c>
      <c r="I2731" s="23" t="s">
        <v>13148</v>
      </c>
      <c r="J2731" s="21" t="s">
        <v>6557</v>
      </c>
      <c r="K2731" s="21"/>
      <c r="L2731" s="21" t="s">
        <v>13231</v>
      </c>
      <c r="M2731" s="26" t="s">
        <v>13232</v>
      </c>
      <c r="N2731" s="44">
        <v>2162.4</v>
      </c>
      <c r="O2731" s="22" t="s">
        <v>15</v>
      </c>
      <c r="P2731" s="44">
        <f>312+622.4+1228</f>
        <v>2162.4</v>
      </c>
      <c r="Q2731" s="44">
        <f t="shared" si="417"/>
        <v>0</v>
      </c>
      <c r="R2731" s="24">
        <f t="shared" si="418"/>
        <v>2162.4</v>
      </c>
    </row>
    <row r="2732" spans="2:18" hidden="1" x14ac:dyDescent="0.25">
      <c r="B2732" s="21" t="s">
        <v>395</v>
      </c>
      <c r="C2732" s="22" t="s">
        <v>2450</v>
      </c>
      <c r="D2732" s="22"/>
      <c r="E2732" s="21" t="s">
        <v>10</v>
      </c>
      <c r="F2732" s="21" t="s">
        <v>9721</v>
      </c>
      <c r="G2732" s="147" t="s">
        <v>6638</v>
      </c>
      <c r="H2732" s="23" t="s">
        <v>13149</v>
      </c>
      <c r="I2732" s="23" t="s">
        <v>13150</v>
      </c>
      <c r="J2732" s="21" t="s">
        <v>6557</v>
      </c>
      <c r="K2732" s="21"/>
      <c r="L2732" s="21" t="s">
        <v>13205</v>
      </c>
      <c r="M2732" s="26">
        <v>45964</v>
      </c>
      <c r="N2732" s="44">
        <v>200.64</v>
      </c>
      <c r="O2732" s="22" t="s">
        <v>15</v>
      </c>
      <c r="P2732" s="44">
        <v>200.64</v>
      </c>
      <c r="Q2732" s="24">
        <f t="shared" si="417"/>
        <v>0</v>
      </c>
      <c r="R2732" s="24">
        <f t="shared" si="418"/>
        <v>200.64</v>
      </c>
    </row>
    <row r="2733" spans="2:18" hidden="1" x14ac:dyDescent="0.25">
      <c r="B2733" s="21" t="s">
        <v>395</v>
      </c>
      <c r="C2733" s="22" t="s">
        <v>2450</v>
      </c>
      <c r="D2733" s="22"/>
      <c r="E2733" s="21" t="s">
        <v>10</v>
      </c>
      <c r="F2733" s="21" t="s">
        <v>9721</v>
      </c>
      <c r="G2733" s="147" t="s">
        <v>9989</v>
      </c>
      <c r="H2733" s="23" t="s">
        <v>13151</v>
      </c>
      <c r="I2733" s="23" t="s">
        <v>13152</v>
      </c>
      <c r="J2733" s="21" t="s">
        <v>6557</v>
      </c>
      <c r="K2733" s="21"/>
      <c r="L2733" s="21" t="s">
        <v>13229</v>
      </c>
      <c r="M2733" s="26">
        <v>45968</v>
      </c>
      <c r="N2733" s="44">
        <v>1393.7</v>
      </c>
      <c r="O2733" s="22" t="s">
        <v>15</v>
      </c>
      <c r="P2733" s="44">
        <v>1393.7</v>
      </c>
      <c r="Q2733" s="24">
        <f t="shared" si="417"/>
        <v>0</v>
      </c>
      <c r="R2733" s="24">
        <f t="shared" si="418"/>
        <v>1393.7</v>
      </c>
    </row>
    <row r="2734" spans="2:18" hidden="1" x14ac:dyDescent="0.25">
      <c r="B2734" s="21" t="s">
        <v>395</v>
      </c>
      <c r="C2734" s="22" t="s">
        <v>158</v>
      </c>
      <c r="D2734" s="22"/>
      <c r="E2734" s="21" t="s">
        <v>10</v>
      </c>
      <c r="F2734" s="21" t="s">
        <v>9721</v>
      </c>
      <c r="G2734" s="147" t="s">
        <v>11065</v>
      </c>
      <c r="H2734" s="23" t="s">
        <v>13153</v>
      </c>
      <c r="I2734" s="23" t="s">
        <v>13154</v>
      </c>
      <c r="J2734" s="21" t="s">
        <v>6557</v>
      </c>
      <c r="K2734" s="21"/>
      <c r="L2734" s="21" t="s">
        <v>13177</v>
      </c>
      <c r="M2734" s="26">
        <v>45959</v>
      </c>
      <c r="N2734" s="44">
        <v>513</v>
      </c>
      <c r="O2734" s="22" t="s">
        <v>15</v>
      </c>
      <c r="P2734" s="44">
        <f>488+25</f>
        <v>513</v>
      </c>
      <c r="Q2734" s="24">
        <f t="shared" si="417"/>
        <v>0</v>
      </c>
      <c r="R2734" s="24">
        <f t="shared" si="418"/>
        <v>513</v>
      </c>
    </row>
    <row r="2735" spans="2:18" hidden="1" x14ac:dyDescent="0.25">
      <c r="B2735" s="21" t="s">
        <v>395</v>
      </c>
      <c r="C2735" s="22" t="s">
        <v>158</v>
      </c>
      <c r="D2735" s="22"/>
      <c r="E2735" s="21" t="s">
        <v>10</v>
      </c>
      <c r="F2735" s="21" t="s">
        <v>9721</v>
      </c>
      <c r="G2735" s="147" t="s">
        <v>6638</v>
      </c>
      <c r="H2735" s="23" t="s">
        <v>13155</v>
      </c>
      <c r="I2735" s="23" t="s">
        <v>13156</v>
      </c>
      <c r="J2735" s="21" t="s">
        <v>6557</v>
      </c>
      <c r="K2735" s="21"/>
      <c r="L2735" s="21" t="s">
        <v>13395</v>
      </c>
      <c r="M2735" s="26" t="s">
        <v>13396</v>
      </c>
      <c r="N2735" s="44">
        <v>7114.5</v>
      </c>
      <c r="O2735" s="22" t="s">
        <v>15</v>
      </c>
      <c r="P2735" s="44">
        <f>2478.6+1717+1373.6+1545.3</f>
        <v>7114.5000000000009</v>
      </c>
      <c r="Q2735" s="24">
        <f t="shared" si="417"/>
        <v>0</v>
      </c>
      <c r="R2735" s="24">
        <f t="shared" si="418"/>
        <v>7114.5000000000009</v>
      </c>
    </row>
    <row r="2736" spans="2:18" hidden="1" x14ac:dyDescent="0.25">
      <c r="B2736" s="21" t="s">
        <v>395</v>
      </c>
      <c r="C2736" s="22" t="s">
        <v>158</v>
      </c>
      <c r="D2736" s="22"/>
      <c r="E2736" s="21" t="s">
        <v>10</v>
      </c>
      <c r="F2736" s="21" t="s">
        <v>9721</v>
      </c>
      <c r="G2736" s="147" t="s">
        <v>9295</v>
      </c>
      <c r="H2736" s="23" t="s">
        <v>13157</v>
      </c>
      <c r="I2736" s="23" t="s">
        <v>13158</v>
      </c>
      <c r="J2736" s="21" t="s">
        <v>13161</v>
      </c>
      <c r="K2736" s="21"/>
      <c r="L2736" s="21" t="s">
        <v>13257</v>
      </c>
      <c r="M2736" s="26">
        <v>45964</v>
      </c>
      <c r="N2736" s="44">
        <v>2610</v>
      </c>
      <c r="O2736" s="22" t="s">
        <v>15</v>
      </c>
      <c r="P2736" s="44">
        <v>2610</v>
      </c>
      <c r="Q2736" s="24">
        <f t="shared" si="417"/>
        <v>0</v>
      </c>
      <c r="R2736" s="24">
        <f t="shared" si="418"/>
        <v>2610</v>
      </c>
    </row>
    <row r="2737" spans="1:20" hidden="1" x14ac:dyDescent="0.25">
      <c r="B2737" s="21" t="s">
        <v>395</v>
      </c>
      <c r="C2737" s="22" t="s">
        <v>2450</v>
      </c>
      <c r="D2737" s="22"/>
      <c r="E2737" s="21" t="s">
        <v>10</v>
      </c>
      <c r="F2737" s="21" t="s">
        <v>9721</v>
      </c>
      <c r="G2737" s="147" t="s">
        <v>6506</v>
      </c>
      <c r="H2737" s="23" t="s">
        <v>13159</v>
      </c>
      <c r="I2737" s="23" t="s">
        <v>13160</v>
      </c>
      <c r="J2737" s="21" t="s">
        <v>6557</v>
      </c>
      <c r="K2737" s="21"/>
      <c r="L2737" s="21" t="s">
        <v>13394</v>
      </c>
      <c r="M2737" s="26">
        <v>45981</v>
      </c>
      <c r="N2737" s="44">
        <v>4074</v>
      </c>
      <c r="O2737" s="22" t="s">
        <v>15</v>
      </c>
      <c r="P2737" s="44">
        <v>4074</v>
      </c>
      <c r="Q2737" s="24">
        <f t="shared" si="417"/>
        <v>0</v>
      </c>
      <c r="R2737" s="24">
        <f t="shared" si="418"/>
        <v>4074</v>
      </c>
    </row>
    <row r="2738" spans="1:20" hidden="1" x14ac:dyDescent="0.25">
      <c r="B2738" s="21" t="s">
        <v>395</v>
      </c>
      <c r="C2738" s="22" t="s">
        <v>2450</v>
      </c>
      <c r="D2738" s="22"/>
      <c r="E2738" s="21" t="s">
        <v>75</v>
      </c>
      <c r="F2738" s="21" t="s">
        <v>9558</v>
      </c>
      <c r="G2738" s="147" t="s">
        <v>12100</v>
      </c>
      <c r="H2738" s="23" t="s">
        <v>13168</v>
      </c>
      <c r="I2738" s="23" t="s">
        <v>13169</v>
      </c>
      <c r="J2738" s="21" t="s">
        <v>13170</v>
      </c>
      <c r="K2738" s="21"/>
      <c r="L2738" s="21" t="s">
        <v>14327</v>
      </c>
      <c r="M2738" s="26">
        <v>46081</v>
      </c>
      <c r="N2738" s="44">
        <v>16510</v>
      </c>
      <c r="O2738" s="22" t="s">
        <v>276</v>
      </c>
      <c r="P2738" s="44">
        <f>16510</f>
        <v>16510</v>
      </c>
      <c r="Q2738" s="24">
        <f t="shared" si="417"/>
        <v>0</v>
      </c>
      <c r="R2738" s="24">
        <f t="shared" si="418"/>
        <v>16510</v>
      </c>
    </row>
    <row r="2739" spans="1:20" hidden="1" x14ac:dyDescent="0.25">
      <c r="B2739" s="21" t="s">
        <v>395</v>
      </c>
      <c r="C2739" s="22" t="s">
        <v>6047</v>
      </c>
      <c r="D2739" s="22"/>
      <c r="E2739" s="21" t="s">
        <v>75</v>
      </c>
      <c r="F2739" s="21" t="s">
        <v>9819</v>
      </c>
      <c r="G2739" s="147" t="s">
        <v>7453</v>
      </c>
      <c r="H2739" s="23" t="s">
        <v>13171</v>
      </c>
      <c r="I2739" s="23" t="s">
        <v>9821</v>
      </c>
      <c r="J2739" s="21" t="s">
        <v>13172</v>
      </c>
      <c r="K2739" s="21"/>
      <c r="L2739" s="21" t="s">
        <v>13343</v>
      </c>
      <c r="M2739" s="26">
        <v>45981</v>
      </c>
      <c r="N2739" s="44">
        <v>9520</v>
      </c>
      <c r="O2739" s="22" t="s">
        <v>15</v>
      </c>
      <c r="P2739" s="44">
        <v>9520</v>
      </c>
      <c r="Q2739" s="24">
        <f t="shared" si="417"/>
        <v>0</v>
      </c>
      <c r="R2739" s="24">
        <f t="shared" si="418"/>
        <v>9520</v>
      </c>
    </row>
    <row r="2740" spans="1:20" hidden="1" x14ac:dyDescent="0.25">
      <c r="B2740" s="21" t="s">
        <v>395</v>
      </c>
      <c r="C2740" s="22" t="s">
        <v>2450</v>
      </c>
      <c r="D2740" s="22"/>
      <c r="E2740" s="21" t="s">
        <v>0</v>
      </c>
      <c r="F2740" s="21" t="s">
        <v>9823</v>
      </c>
      <c r="G2740" s="147" t="s">
        <v>7266</v>
      </c>
      <c r="H2740" s="23" t="s">
        <v>13180</v>
      </c>
      <c r="I2740" s="23" t="s">
        <v>13181</v>
      </c>
      <c r="J2740" s="21" t="s">
        <v>13182</v>
      </c>
      <c r="K2740" s="47"/>
      <c r="L2740" s="21" t="s">
        <v>13198</v>
      </c>
      <c r="M2740" s="26">
        <v>45938</v>
      </c>
      <c r="N2740" s="44">
        <v>3350</v>
      </c>
      <c r="O2740" s="22" t="s">
        <v>15</v>
      </c>
      <c r="P2740" s="44">
        <v>3350</v>
      </c>
      <c r="Q2740" s="24">
        <f t="shared" si="417"/>
        <v>0</v>
      </c>
      <c r="R2740" s="24">
        <f t="shared" si="418"/>
        <v>3350</v>
      </c>
    </row>
    <row r="2741" spans="1:20" hidden="1" x14ac:dyDescent="0.25">
      <c r="B2741" s="21" t="s">
        <v>395</v>
      </c>
      <c r="C2741" s="22" t="s">
        <v>2450</v>
      </c>
      <c r="D2741" s="22"/>
      <c r="E2741" s="21" t="s">
        <v>0</v>
      </c>
      <c r="F2741" s="21" t="s">
        <v>9823</v>
      </c>
      <c r="G2741" s="147" t="s">
        <v>7266</v>
      </c>
      <c r="H2741" s="23" t="s">
        <v>13180</v>
      </c>
      <c r="I2741" s="23" t="s">
        <v>13181</v>
      </c>
      <c r="J2741" s="21" t="s">
        <v>13183</v>
      </c>
      <c r="K2741" s="47"/>
      <c r="L2741" s="21" t="s">
        <v>13198</v>
      </c>
      <c r="M2741" s="26">
        <v>45938</v>
      </c>
      <c r="N2741" s="44">
        <v>71555</v>
      </c>
      <c r="O2741" s="22" t="s">
        <v>15</v>
      </c>
      <c r="P2741" s="44">
        <v>71550</v>
      </c>
      <c r="Q2741" s="24">
        <f t="shared" si="417"/>
        <v>5</v>
      </c>
      <c r="R2741" s="24">
        <f t="shared" si="418"/>
        <v>71550</v>
      </c>
    </row>
    <row r="2742" spans="1:20" hidden="1" x14ac:dyDescent="0.25">
      <c r="C2742" s="4" t="s">
        <v>2450</v>
      </c>
      <c r="E2742" s="5" t="s">
        <v>0</v>
      </c>
      <c r="F2742" s="5" t="s">
        <v>9823</v>
      </c>
      <c r="G2742" s="146" t="s">
        <v>7266</v>
      </c>
      <c r="H2742" s="7" t="s">
        <v>13180</v>
      </c>
      <c r="I2742" s="7" t="s">
        <v>13181</v>
      </c>
      <c r="J2742" s="5" t="s">
        <v>13185</v>
      </c>
      <c r="K2742" s="5" t="s">
        <v>13186</v>
      </c>
      <c r="N2742" s="45">
        <f>3*13600</f>
        <v>40800</v>
      </c>
      <c r="O2742" s="4" t="s">
        <v>15</v>
      </c>
      <c r="Q2742" s="3">
        <f t="shared" si="417"/>
        <v>40800</v>
      </c>
      <c r="R2742" s="3">
        <f t="shared" si="418"/>
        <v>0</v>
      </c>
    </row>
    <row r="2743" spans="1:20" hidden="1" x14ac:dyDescent="0.25">
      <c r="C2743" s="4" t="s">
        <v>2450</v>
      </c>
      <c r="E2743" s="5" t="s">
        <v>0</v>
      </c>
      <c r="F2743" s="5" t="s">
        <v>9823</v>
      </c>
      <c r="G2743" s="146" t="s">
        <v>7266</v>
      </c>
      <c r="H2743" s="7" t="s">
        <v>13180</v>
      </c>
      <c r="I2743" s="7" t="s">
        <v>13181</v>
      </c>
      <c r="J2743" s="5" t="s">
        <v>13184</v>
      </c>
      <c r="K2743" s="5" t="s">
        <v>13187</v>
      </c>
      <c r="N2743" s="45">
        <f>2*19400</f>
        <v>38800</v>
      </c>
      <c r="O2743" s="4" t="s">
        <v>15</v>
      </c>
      <c r="Q2743" s="3">
        <f t="shared" si="417"/>
        <v>38800</v>
      </c>
      <c r="R2743" s="3">
        <f t="shared" si="418"/>
        <v>0</v>
      </c>
    </row>
    <row r="2744" spans="1:20" hidden="1" x14ac:dyDescent="0.25">
      <c r="B2744" s="21" t="s">
        <v>395</v>
      </c>
      <c r="C2744" s="22" t="s">
        <v>2450</v>
      </c>
      <c r="D2744" s="22"/>
      <c r="E2744" s="21" t="s">
        <v>0</v>
      </c>
      <c r="F2744" s="21" t="s">
        <v>9823</v>
      </c>
      <c r="G2744" s="147" t="s">
        <v>7266</v>
      </c>
      <c r="H2744" s="23" t="s">
        <v>13188</v>
      </c>
      <c r="I2744" s="23" t="s">
        <v>13189</v>
      </c>
      <c r="J2744" s="21" t="s">
        <v>13190</v>
      </c>
      <c r="K2744" s="47"/>
      <c r="L2744" s="21" t="s">
        <v>13197</v>
      </c>
      <c r="M2744" s="26">
        <v>45947</v>
      </c>
      <c r="N2744" s="44">
        <f t="shared" ref="N2744:N2749" si="419">0.5*10525</f>
        <v>5262.5</v>
      </c>
      <c r="O2744" s="22" t="s">
        <v>15</v>
      </c>
      <c r="P2744" s="44">
        <v>5262.5</v>
      </c>
      <c r="Q2744" s="24">
        <f t="shared" ref="Q2744:Q2749" si="420">IF(P2744="en cours",N2744,IF(P2744="OK",0,IF(N2744-P2744&lt;0,0,N2744-P2744)))</f>
        <v>0</v>
      </c>
      <c r="R2744" s="24">
        <f t="shared" ref="R2744:R2749" si="421">IF(P2744="OK",N2744-Q2744,IF(P2744="en cours",N2744-Q2744,P2744))</f>
        <v>5262.5</v>
      </c>
    </row>
    <row r="2745" spans="1:20" hidden="1" x14ac:dyDescent="0.25">
      <c r="C2745" s="4" t="s">
        <v>2450</v>
      </c>
      <c r="E2745" s="5" t="s">
        <v>0</v>
      </c>
      <c r="F2745" s="5" t="s">
        <v>9823</v>
      </c>
      <c r="G2745" s="146" t="s">
        <v>7266</v>
      </c>
      <c r="H2745" s="7" t="s">
        <v>13188</v>
      </c>
      <c r="I2745" s="7" t="s">
        <v>13189</v>
      </c>
      <c r="J2745" s="5" t="s">
        <v>13191</v>
      </c>
      <c r="N2745" s="45">
        <f t="shared" si="419"/>
        <v>5262.5</v>
      </c>
      <c r="O2745" s="4" t="s">
        <v>15</v>
      </c>
      <c r="Q2745" s="3">
        <f t="shared" si="420"/>
        <v>5262.5</v>
      </c>
      <c r="R2745" s="3">
        <f t="shared" si="421"/>
        <v>0</v>
      </c>
    </row>
    <row r="2746" spans="1:20" hidden="1" x14ac:dyDescent="0.25">
      <c r="C2746" s="4" t="s">
        <v>2450</v>
      </c>
      <c r="E2746" s="5" t="s">
        <v>0</v>
      </c>
      <c r="F2746" s="5" t="s">
        <v>9823</v>
      </c>
      <c r="G2746" s="146" t="s">
        <v>7266</v>
      </c>
      <c r="H2746" s="7" t="s">
        <v>13188</v>
      </c>
      <c r="I2746" s="7" t="s">
        <v>13189</v>
      </c>
      <c r="J2746" s="5" t="s">
        <v>13192</v>
      </c>
      <c r="K2746" s="5" t="s">
        <v>13196</v>
      </c>
      <c r="N2746" s="45">
        <f t="shared" si="419"/>
        <v>5262.5</v>
      </c>
      <c r="O2746" s="4" t="s">
        <v>15</v>
      </c>
      <c r="Q2746" s="3">
        <f t="shared" si="420"/>
        <v>5262.5</v>
      </c>
      <c r="R2746" s="3">
        <f t="shared" si="421"/>
        <v>0</v>
      </c>
    </row>
    <row r="2747" spans="1:20" hidden="1" x14ac:dyDescent="0.25">
      <c r="C2747" s="4" t="s">
        <v>2450</v>
      </c>
      <c r="E2747" s="5" t="s">
        <v>0</v>
      </c>
      <c r="F2747" s="5" t="s">
        <v>9823</v>
      </c>
      <c r="G2747" s="146" t="s">
        <v>7266</v>
      </c>
      <c r="H2747" s="7" t="s">
        <v>13188</v>
      </c>
      <c r="I2747" s="7" t="s">
        <v>13189</v>
      </c>
      <c r="J2747" s="5" t="s">
        <v>13193</v>
      </c>
      <c r="K2747" s="5" t="s">
        <v>13196</v>
      </c>
      <c r="N2747" s="45">
        <f t="shared" si="419"/>
        <v>5262.5</v>
      </c>
      <c r="O2747" s="4" t="s">
        <v>15</v>
      </c>
      <c r="Q2747" s="3">
        <f t="shared" si="420"/>
        <v>5262.5</v>
      </c>
      <c r="R2747" s="3">
        <f t="shared" si="421"/>
        <v>0</v>
      </c>
    </row>
    <row r="2748" spans="1:20" hidden="1" x14ac:dyDescent="0.25">
      <c r="C2748" s="4" t="s">
        <v>2450</v>
      </c>
      <c r="E2748" s="5" t="s">
        <v>0</v>
      </c>
      <c r="F2748" s="5" t="s">
        <v>9823</v>
      </c>
      <c r="G2748" s="146" t="s">
        <v>7266</v>
      </c>
      <c r="H2748" s="7" t="s">
        <v>13188</v>
      </c>
      <c r="I2748" s="7" t="s">
        <v>13189</v>
      </c>
      <c r="J2748" s="5" t="s">
        <v>13194</v>
      </c>
      <c r="K2748" s="5" t="s">
        <v>13196</v>
      </c>
      <c r="N2748" s="45">
        <f t="shared" si="419"/>
        <v>5262.5</v>
      </c>
      <c r="O2748" s="4" t="s">
        <v>15</v>
      </c>
      <c r="Q2748" s="3">
        <f t="shared" si="420"/>
        <v>5262.5</v>
      </c>
      <c r="R2748" s="3">
        <f t="shared" si="421"/>
        <v>0</v>
      </c>
    </row>
    <row r="2749" spans="1:20" hidden="1" x14ac:dyDescent="0.25">
      <c r="C2749" s="4" t="s">
        <v>2450</v>
      </c>
      <c r="E2749" s="5" t="s">
        <v>0</v>
      </c>
      <c r="F2749" s="5" t="s">
        <v>9823</v>
      </c>
      <c r="G2749" s="146" t="s">
        <v>7266</v>
      </c>
      <c r="H2749" s="7" t="s">
        <v>13188</v>
      </c>
      <c r="I2749" s="7" t="s">
        <v>13189</v>
      </c>
      <c r="J2749" s="5" t="s">
        <v>13195</v>
      </c>
      <c r="K2749" s="5" t="s">
        <v>13196</v>
      </c>
      <c r="N2749" s="45">
        <f t="shared" si="419"/>
        <v>5262.5</v>
      </c>
      <c r="O2749" s="4" t="s">
        <v>15</v>
      </c>
      <c r="Q2749" s="3">
        <f t="shared" si="420"/>
        <v>5262.5</v>
      </c>
      <c r="R2749" s="3">
        <f t="shared" si="421"/>
        <v>0</v>
      </c>
    </row>
    <row r="2750" spans="1:20" hidden="1" x14ac:dyDescent="0.25">
      <c r="A2750" s="526"/>
      <c r="B2750" s="556" t="s">
        <v>395</v>
      </c>
      <c r="C2750" s="556" t="s">
        <v>2450</v>
      </c>
      <c r="D2750" s="556"/>
      <c r="E2750" s="557" t="s">
        <v>7137</v>
      </c>
      <c r="F2750" s="557" t="s">
        <v>10561</v>
      </c>
      <c r="G2750" s="558" t="s">
        <v>9729</v>
      </c>
      <c r="H2750" s="559" t="s">
        <v>13199</v>
      </c>
      <c r="I2750" s="559" t="s">
        <v>9731</v>
      </c>
      <c r="J2750" s="557" t="s">
        <v>9732</v>
      </c>
      <c r="K2750" s="557">
        <v>2024</v>
      </c>
      <c r="L2750" s="421" t="s">
        <v>13200</v>
      </c>
      <c r="M2750" s="46" t="s">
        <v>13201</v>
      </c>
      <c r="N2750" s="560">
        <v>313630.34999999998</v>
      </c>
      <c r="O2750" s="556" t="s">
        <v>15</v>
      </c>
      <c r="P2750" s="560">
        <f>107.5+29885+177.99+3122.33+32841.25+2522.98+75242.5+4807.42+70385+5298.89+13912.5+4708.24+70618.75</f>
        <v>313630.34999999998</v>
      </c>
      <c r="Q2750" s="560">
        <f t="shared" ref="Q2750:Q2757" si="422">IF(P2750="en cours",N2750,IF(P2750="OK",0,IF(N2750-P2750&lt;0,0,N2750-P2750)))</f>
        <v>0</v>
      </c>
      <c r="R2750" s="560">
        <f t="shared" ref="R2750:R2755" si="423">IF(P2750="OK",N2750-Q2750,IF(P2750="en cours",N2750-Q2750,P2750))</f>
        <v>313630.34999999998</v>
      </c>
      <c r="S2750"/>
      <c r="T2750"/>
    </row>
    <row r="2751" spans="1:20" s="566" customFormat="1" ht="20.25" hidden="1" customHeight="1" x14ac:dyDescent="0.25">
      <c r="A2751" s="562"/>
      <c r="B2751" s="561" t="s">
        <v>395</v>
      </c>
      <c r="C2751" s="561" t="s">
        <v>2450</v>
      </c>
      <c r="D2751" s="561"/>
      <c r="E2751" s="563" t="s">
        <v>7137</v>
      </c>
      <c r="F2751" s="563" t="s">
        <v>10561</v>
      </c>
      <c r="G2751" s="564" t="s">
        <v>9729</v>
      </c>
      <c r="H2751" s="346" t="s">
        <v>13204</v>
      </c>
      <c r="I2751" s="346" t="s">
        <v>13203</v>
      </c>
      <c r="J2751" s="563" t="s">
        <v>9732</v>
      </c>
      <c r="K2751" s="563">
        <v>2025</v>
      </c>
      <c r="L2751" s="344" t="s">
        <v>13878</v>
      </c>
      <c r="M2751" s="347" t="s">
        <v>13879</v>
      </c>
      <c r="N2751" s="565">
        <f>572330-313630.35+307807</f>
        <v>566506.65</v>
      </c>
      <c r="O2751" s="561" t="s">
        <v>15</v>
      </c>
      <c r="P2751" s="565">
        <f>4540.9+98740.63+81542.5+3109.78+17043.75+31782.5+1837.87+11987.25+627.76+21818.75+786.29+16172+43677+77119.25+6069.16+62456.5+794.3+44113.75+48564.75</f>
        <v>572784.68999999994</v>
      </c>
      <c r="Q2751" s="565">
        <f t="shared" si="422"/>
        <v>0</v>
      </c>
      <c r="R2751" s="565">
        <f t="shared" si="423"/>
        <v>572784.68999999994</v>
      </c>
    </row>
    <row r="2752" spans="1:20" hidden="1" x14ac:dyDescent="0.25">
      <c r="B2752" s="21" t="s">
        <v>395</v>
      </c>
      <c r="C2752" s="22" t="s">
        <v>158</v>
      </c>
      <c r="D2752" s="22"/>
      <c r="E2752" s="21" t="s">
        <v>10</v>
      </c>
      <c r="F2752" s="21" t="s">
        <v>9721</v>
      </c>
      <c r="G2752" s="147" t="s">
        <v>6705</v>
      </c>
      <c r="H2752" s="23" t="s">
        <v>13206</v>
      </c>
      <c r="I2752" s="23" t="s">
        <v>13207</v>
      </c>
      <c r="J2752" s="21" t="s">
        <v>6557</v>
      </c>
      <c r="K2752" s="21"/>
      <c r="L2752" s="21" t="s">
        <v>13260</v>
      </c>
      <c r="M2752" s="26">
        <v>45974</v>
      </c>
      <c r="N2752" s="44">
        <v>1147</v>
      </c>
      <c r="O2752" s="22" t="s">
        <v>15</v>
      </c>
      <c r="P2752" s="44">
        <v>1147</v>
      </c>
      <c r="Q2752" s="24">
        <f t="shared" si="422"/>
        <v>0</v>
      </c>
      <c r="R2752" s="24">
        <f t="shared" si="423"/>
        <v>1147</v>
      </c>
    </row>
    <row r="2753" spans="2:18" hidden="1" x14ac:dyDescent="0.25">
      <c r="B2753" s="21" t="s">
        <v>395</v>
      </c>
      <c r="C2753" s="22" t="s">
        <v>2450</v>
      </c>
      <c r="D2753" s="22"/>
      <c r="E2753" s="21" t="s">
        <v>10</v>
      </c>
      <c r="F2753" s="21" t="s">
        <v>9721</v>
      </c>
      <c r="G2753" s="147" t="s">
        <v>6393</v>
      </c>
      <c r="H2753" s="23" t="s">
        <v>13208</v>
      </c>
      <c r="I2753" s="23" t="s">
        <v>13209</v>
      </c>
      <c r="J2753" s="21" t="s">
        <v>13833</v>
      </c>
      <c r="K2753" s="21"/>
      <c r="L2753" s="21" t="s">
        <v>14040</v>
      </c>
      <c r="M2753" s="23" t="s">
        <v>14041</v>
      </c>
      <c r="N2753" s="44">
        <v>765.3</v>
      </c>
      <c r="O2753" s="22" t="s">
        <v>15</v>
      </c>
      <c r="P2753" s="44">
        <f>255.88+255.88+129.69</f>
        <v>641.45000000000005</v>
      </c>
      <c r="Q2753" s="24">
        <v>0</v>
      </c>
      <c r="R2753" s="24">
        <f t="shared" si="423"/>
        <v>641.45000000000005</v>
      </c>
    </row>
    <row r="2754" spans="2:18" hidden="1" x14ac:dyDescent="0.25">
      <c r="B2754" s="21" t="s">
        <v>395</v>
      </c>
      <c r="C2754" s="22" t="s">
        <v>2450</v>
      </c>
      <c r="D2754" s="22"/>
      <c r="E2754" s="21" t="s">
        <v>10</v>
      </c>
      <c r="F2754" s="21" t="s">
        <v>9721</v>
      </c>
      <c r="G2754" s="147" t="s">
        <v>6393</v>
      </c>
      <c r="H2754" s="23" t="s">
        <v>13210</v>
      </c>
      <c r="I2754" s="23" t="s">
        <v>13211</v>
      </c>
      <c r="J2754" s="21" t="s">
        <v>13834</v>
      </c>
      <c r="K2754" s="21"/>
      <c r="L2754" s="21" t="s">
        <v>14360</v>
      </c>
      <c r="M2754" s="23" t="s">
        <v>14361</v>
      </c>
      <c r="N2754" s="44">
        <v>1020.4</v>
      </c>
      <c r="O2754" s="22" t="s">
        <v>15</v>
      </c>
      <c r="P2754" s="44">
        <f>255.88+255.88+255.88+255.88</f>
        <v>1023.52</v>
      </c>
      <c r="Q2754" s="24">
        <f t="shared" si="422"/>
        <v>0</v>
      </c>
      <c r="R2754" s="24">
        <f t="shared" si="423"/>
        <v>1023.52</v>
      </c>
    </row>
    <row r="2755" spans="2:18" hidden="1" x14ac:dyDescent="0.25">
      <c r="C2755" s="4" t="s">
        <v>2450</v>
      </c>
      <c r="E2755" s="5" t="s">
        <v>10</v>
      </c>
      <c r="F2755" s="5" t="s">
        <v>9721</v>
      </c>
      <c r="G2755" s="146" t="s">
        <v>6393</v>
      </c>
      <c r="H2755" s="7" t="s">
        <v>13212</v>
      </c>
      <c r="I2755" s="7" t="s">
        <v>13213</v>
      </c>
      <c r="J2755" s="5" t="s">
        <v>13835</v>
      </c>
      <c r="N2755" s="45">
        <v>1020.4</v>
      </c>
      <c r="O2755" s="4" t="s">
        <v>15</v>
      </c>
      <c r="Q2755" s="3">
        <f t="shared" si="422"/>
        <v>1020.4</v>
      </c>
      <c r="R2755" s="3">
        <f t="shared" si="423"/>
        <v>0</v>
      </c>
    </row>
    <row r="2756" spans="2:18" hidden="1" x14ac:dyDescent="0.25">
      <c r="B2756" s="21" t="s">
        <v>395</v>
      </c>
      <c r="C2756" s="22" t="s">
        <v>158</v>
      </c>
      <c r="D2756" s="22"/>
      <c r="E2756" s="21" t="s">
        <v>7137</v>
      </c>
      <c r="F2756" s="21" t="s">
        <v>11545</v>
      </c>
      <c r="G2756" s="147" t="s">
        <v>12345</v>
      </c>
      <c r="H2756" s="23" t="s">
        <v>13214</v>
      </c>
      <c r="I2756" s="23" t="s">
        <v>13215</v>
      </c>
      <c r="J2756" s="21" t="s">
        <v>13216</v>
      </c>
      <c r="K2756" s="21"/>
      <c r="L2756" s="21" t="s">
        <v>14307</v>
      </c>
      <c r="M2756" s="26" t="s">
        <v>14308</v>
      </c>
      <c r="N2756" s="44">
        <v>15680</v>
      </c>
      <c r="O2756" s="22" t="s">
        <v>15</v>
      </c>
      <c r="P2756" s="44">
        <f>14822+1960</f>
        <v>16782</v>
      </c>
      <c r="Q2756" s="24">
        <f t="shared" si="422"/>
        <v>0</v>
      </c>
      <c r="R2756" s="24">
        <f t="shared" ref="R2756:R2757" si="424">IF(P2756="OK",N2756-Q2756,IF(P2756="en cours",N2756-Q2756,P2756))</f>
        <v>16782</v>
      </c>
    </row>
    <row r="2757" spans="2:18" hidden="1" x14ac:dyDescent="0.25">
      <c r="B2757" s="21" t="s">
        <v>395</v>
      </c>
      <c r="C2757" s="22" t="s">
        <v>158</v>
      </c>
      <c r="D2757" s="22"/>
      <c r="E2757" s="21" t="s">
        <v>7137</v>
      </c>
      <c r="F2757" s="21" t="s">
        <v>11545</v>
      </c>
      <c r="G2757" s="147" t="s">
        <v>12345</v>
      </c>
      <c r="H2757" s="23" t="s">
        <v>13217</v>
      </c>
      <c r="I2757" s="23" t="s">
        <v>13218</v>
      </c>
      <c r="J2757" s="21" t="s">
        <v>13219</v>
      </c>
      <c r="K2757" s="21"/>
      <c r="L2757" s="21" t="s">
        <v>14309</v>
      </c>
      <c r="M2757" s="26" t="s">
        <v>14308</v>
      </c>
      <c r="N2757" s="44">
        <v>12920</v>
      </c>
      <c r="O2757" s="22" t="s">
        <v>15</v>
      </c>
      <c r="P2757" s="44">
        <f>14060+950</f>
        <v>15010</v>
      </c>
      <c r="Q2757" s="24">
        <f t="shared" si="422"/>
        <v>0</v>
      </c>
      <c r="R2757" s="24">
        <f t="shared" si="424"/>
        <v>15010</v>
      </c>
    </row>
    <row r="2758" spans="2:18" hidden="1" x14ac:dyDescent="0.25">
      <c r="B2758" s="21" t="s">
        <v>395</v>
      </c>
      <c r="C2758" s="22" t="s">
        <v>158</v>
      </c>
      <c r="D2758" s="22"/>
      <c r="E2758" s="21" t="s">
        <v>10</v>
      </c>
      <c r="F2758" s="21" t="s">
        <v>9721</v>
      </c>
      <c r="G2758" s="147" t="s">
        <v>11065</v>
      </c>
      <c r="H2758" s="23" t="s">
        <v>13224</v>
      </c>
      <c r="I2758" s="23" t="s">
        <v>13225</v>
      </c>
      <c r="J2758" s="21" t="s">
        <v>6557</v>
      </c>
      <c r="K2758" s="21"/>
      <c r="L2758" s="21" t="s">
        <v>13661</v>
      </c>
      <c r="M2758" s="26" t="s">
        <v>13662</v>
      </c>
      <c r="N2758" s="44">
        <v>1210</v>
      </c>
      <c r="O2758" s="22" t="s">
        <v>15</v>
      </c>
      <c r="P2758" s="44">
        <f>926+284</f>
        <v>1210</v>
      </c>
      <c r="Q2758" s="24">
        <f t="shared" ref="Q2758" si="425">IF(P2758="en cours",N2758,IF(P2758="OK",0,IF(N2758-P2758&lt;0,0,N2758-P2758)))</f>
        <v>0</v>
      </c>
      <c r="R2758" s="24">
        <f t="shared" ref="R2758" si="426">IF(P2758="OK",N2758-Q2758,IF(P2758="en cours",N2758-Q2758,P2758))</f>
        <v>1210</v>
      </c>
    </row>
    <row r="2759" spans="2:18" hidden="1" x14ac:dyDescent="0.25">
      <c r="B2759" s="21" t="s">
        <v>395</v>
      </c>
      <c r="C2759" s="22" t="s">
        <v>2450</v>
      </c>
      <c r="D2759" s="22"/>
      <c r="E2759" s="21" t="s">
        <v>159</v>
      </c>
      <c r="F2759" s="21" t="s">
        <v>13265</v>
      </c>
      <c r="G2759" s="147" t="s">
        <v>13266</v>
      </c>
      <c r="H2759" s="23" t="s">
        <v>13310</v>
      </c>
      <c r="I2759" s="23" t="s">
        <v>13312</v>
      </c>
      <c r="J2759" s="21" t="s">
        <v>13267</v>
      </c>
      <c r="K2759" s="21"/>
      <c r="L2759" s="21" t="s">
        <v>13285</v>
      </c>
      <c r="M2759" s="47">
        <v>45978</v>
      </c>
      <c r="N2759" s="44">
        <v>3200000</v>
      </c>
      <c r="O2759" s="22" t="s">
        <v>13282</v>
      </c>
      <c r="P2759" s="44">
        <v>3200000</v>
      </c>
      <c r="Q2759" s="24">
        <f>IF(P2759="en cours",N2759,IF(P2759="OK",0,IF(N2759-P2759&lt;0,0,N2759-P2759)))</f>
        <v>0</v>
      </c>
      <c r="R2759" s="24">
        <f>IF(P2759="OK",N2759-Q2759,IF(P2759="en cours",N2759-Q2759,P2759))</f>
        <v>3200000</v>
      </c>
    </row>
    <row r="2760" spans="2:18" hidden="1" x14ac:dyDescent="0.25">
      <c r="C2760" s="4" t="s">
        <v>2450</v>
      </c>
      <c r="E2760" s="5" t="s">
        <v>159</v>
      </c>
      <c r="F2760" s="5" t="s">
        <v>13265</v>
      </c>
      <c r="G2760" s="146" t="s">
        <v>13266</v>
      </c>
      <c r="H2760" s="7" t="s">
        <v>13311</v>
      </c>
      <c r="I2760" s="7" t="s">
        <v>13312</v>
      </c>
      <c r="J2760" s="5" t="s">
        <v>13309</v>
      </c>
      <c r="L2760" s="5" t="s">
        <v>14139</v>
      </c>
      <c r="M2760" s="115">
        <v>46066</v>
      </c>
      <c r="N2760" s="45">
        <f>15787100-3200000</f>
        <v>12587100</v>
      </c>
      <c r="O2760" s="4" t="s">
        <v>13282</v>
      </c>
      <c r="P2760" s="45">
        <f>6240</f>
        <v>6240</v>
      </c>
      <c r="Q2760" s="3">
        <f>IF(P2760="en cours",N2760,IF(P2760="OK",0,IF(N2760-P2760&lt;0,0,N2760-P2760)))</f>
        <v>12580860</v>
      </c>
      <c r="R2760" s="3">
        <f>IF(P2760="OK",N2760-Q2760,IF(P2760="en cours",N2760-Q2760,P2760))</f>
        <v>6240</v>
      </c>
    </row>
    <row r="2761" spans="2:18" hidden="1" x14ac:dyDescent="0.25">
      <c r="B2761" s="21" t="s">
        <v>395</v>
      </c>
      <c r="C2761" s="22" t="s">
        <v>2450</v>
      </c>
      <c r="D2761" s="22"/>
      <c r="E2761" s="21" t="s">
        <v>159</v>
      </c>
      <c r="F2761" s="21" t="s">
        <v>13265</v>
      </c>
      <c r="G2761" s="147" t="s">
        <v>13266</v>
      </c>
      <c r="H2761" s="23" t="s">
        <v>13310</v>
      </c>
      <c r="I2761" s="23" t="s">
        <v>13312</v>
      </c>
      <c r="J2761" s="176" t="s">
        <v>13281</v>
      </c>
      <c r="K2761" s="21"/>
      <c r="L2761" s="21" t="s">
        <v>13287</v>
      </c>
      <c r="M2761" s="47">
        <v>45978</v>
      </c>
      <c r="N2761" s="204">
        <v>5300000</v>
      </c>
      <c r="O2761" s="22" t="s">
        <v>13282</v>
      </c>
      <c r="P2761" s="44">
        <v>5300000</v>
      </c>
      <c r="Q2761" s="24">
        <f t="shared" ref="Q2761:Q2777" si="427">IF(P2761="en cours",N2761,IF(P2761="OK",0,IF(N2761-P2761&lt;0,0,N2761-P2761)))</f>
        <v>0</v>
      </c>
      <c r="R2761" s="24">
        <f t="shared" ref="R2761:R2783" si="428">IF(P2761="OK",N2761-Q2761,IF(P2761="en cours",N2761-Q2761,P2761))</f>
        <v>5300000</v>
      </c>
    </row>
    <row r="2762" spans="2:18" hidden="1" x14ac:dyDescent="0.25">
      <c r="C2762" s="4" t="s">
        <v>2450</v>
      </c>
      <c r="E2762" s="5" t="s">
        <v>159</v>
      </c>
      <c r="F2762" s="5" t="s">
        <v>13265</v>
      </c>
      <c r="G2762" s="146" t="s">
        <v>13266</v>
      </c>
      <c r="H2762" s="7" t="s">
        <v>13311</v>
      </c>
      <c r="I2762" s="7" t="s">
        <v>13312</v>
      </c>
      <c r="J2762" s="5" t="s">
        <v>13288</v>
      </c>
      <c r="L2762" s="5" t="s">
        <v>13283</v>
      </c>
      <c r="M2762" s="115">
        <v>45978</v>
      </c>
      <c r="N2762" s="45">
        <f>622000+2189000</f>
        <v>2811000</v>
      </c>
      <c r="O2762" s="4" t="s">
        <v>13282</v>
      </c>
      <c r="P2762" s="45">
        <v>622000</v>
      </c>
      <c r="Q2762" s="3">
        <f t="shared" si="427"/>
        <v>2189000</v>
      </c>
      <c r="R2762" s="3">
        <f t="shared" si="428"/>
        <v>622000</v>
      </c>
    </row>
    <row r="2763" spans="2:18" hidden="1" x14ac:dyDescent="0.25">
      <c r="C2763" s="4" t="s">
        <v>2450</v>
      </c>
      <c r="E2763" s="5" t="s">
        <v>159</v>
      </c>
      <c r="F2763" s="5" t="s">
        <v>13265</v>
      </c>
      <c r="G2763" s="146" t="s">
        <v>13266</v>
      </c>
      <c r="H2763" s="7" t="s">
        <v>13311</v>
      </c>
      <c r="I2763" s="7" t="s">
        <v>13312</v>
      </c>
      <c r="J2763" s="5" t="s">
        <v>13289</v>
      </c>
      <c r="L2763" s="5" t="s">
        <v>13283</v>
      </c>
      <c r="M2763" s="115">
        <v>45978</v>
      </c>
      <c r="N2763" s="45">
        <f>415000+1459000</f>
        <v>1874000</v>
      </c>
      <c r="O2763" s="4" t="s">
        <v>13282</v>
      </c>
      <c r="P2763" s="45">
        <v>415000</v>
      </c>
      <c r="Q2763" s="3">
        <f t="shared" si="427"/>
        <v>1459000</v>
      </c>
      <c r="R2763" s="3">
        <f t="shared" si="428"/>
        <v>415000</v>
      </c>
    </row>
    <row r="2764" spans="2:18" hidden="1" x14ac:dyDescent="0.25">
      <c r="C2764" s="4" t="s">
        <v>2450</v>
      </c>
      <c r="E2764" s="5" t="s">
        <v>159</v>
      </c>
      <c r="F2764" s="5" t="s">
        <v>13265</v>
      </c>
      <c r="G2764" s="146" t="s">
        <v>13266</v>
      </c>
      <c r="H2764" s="7" t="s">
        <v>13311</v>
      </c>
      <c r="I2764" s="7" t="s">
        <v>13312</v>
      </c>
      <c r="J2764" s="5" t="s">
        <v>13290</v>
      </c>
      <c r="L2764" s="5" t="s">
        <v>13284</v>
      </c>
      <c r="M2764" s="115">
        <v>45978</v>
      </c>
      <c r="N2764" s="45">
        <f>415000+1459000</f>
        <v>1874000</v>
      </c>
      <c r="O2764" s="4" t="s">
        <v>13282</v>
      </c>
      <c r="P2764" s="45">
        <v>415000</v>
      </c>
      <c r="Q2764" s="3">
        <f t="shared" si="427"/>
        <v>1459000</v>
      </c>
      <c r="R2764" s="3">
        <f t="shared" si="428"/>
        <v>415000</v>
      </c>
    </row>
    <row r="2765" spans="2:18" hidden="1" x14ac:dyDescent="0.25">
      <c r="C2765" s="4" t="s">
        <v>2450</v>
      </c>
      <c r="E2765" s="5" t="s">
        <v>159</v>
      </c>
      <c r="F2765" s="5" t="s">
        <v>13265</v>
      </c>
      <c r="G2765" s="146" t="s">
        <v>13266</v>
      </c>
      <c r="H2765" s="7" t="s">
        <v>13311</v>
      </c>
      <c r="I2765" s="7" t="s">
        <v>13312</v>
      </c>
      <c r="J2765" s="5" t="s">
        <v>13291</v>
      </c>
      <c r="K2765" s="356">
        <v>45992</v>
      </c>
      <c r="L2765" s="5" t="s">
        <v>14138</v>
      </c>
      <c r="M2765" s="12">
        <v>46066</v>
      </c>
      <c r="N2765" s="45">
        <f>124000+1095000</f>
        <v>1219000</v>
      </c>
      <c r="O2765" s="4" t="s">
        <v>13282</v>
      </c>
      <c r="P2765" s="45">
        <f>124000</f>
        <v>124000</v>
      </c>
      <c r="Q2765" s="3">
        <f t="shared" si="427"/>
        <v>1095000</v>
      </c>
      <c r="R2765" s="3">
        <f t="shared" si="428"/>
        <v>124000</v>
      </c>
    </row>
    <row r="2766" spans="2:18" hidden="1" x14ac:dyDescent="0.25">
      <c r="C2766" s="4" t="s">
        <v>2450</v>
      </c>
      <c r="E2766" s="5" t="s">
        <v>159</v>
      </c>
      <c r="F2766" s="5" t="s">
        <v>13265</v>
      </c>
      <c r="G2766" s="146" t="s">
        <v>13266</v>
      </c>
      <c r="H2766" s="7" t="s">
        <v>13311</v>
      </c>
      <c r="I2766" s="7" t="s">
        <v>13312</v>
      </c>
      <c r="J2766" s="5" t="s">
        <v>13268</v>
      </c>
      <c r="K2766" s="356">
        <v>46023</v>
      </c>
      <c r="N2766" s="45">
        <v>730000</v>
      </c>
      <c r="O2766" s="4" t="s">
        <v>13282</v>
      </c>
      <c r="Q2766" s="3">
        <f t="shared" si="427"/>
        <v>730000</v>
      </c>
      <c r="R2766" s="3">
        <f t="shared" si="428"/>
        <v>0</v>
      </c>
    </row>
    <row r="2767" spans="2:18" hidden="1" x14ac:dyDescent="0.25">
      <c r="C2767" s="4" t="s">
        <v>2450</v>
      </c>
      <c r="E2767" s="5" t="s">
        <v>159</v>
      </c>
      <c r="F2767" s="5" t="s">
        <v>13265</v>
      </c>
      <c r="G2767" s="146" t="s">
        <v>13266</v>
      </c>
      <c r="H2767" s="7" t="s">
        <v>13311</v>
      </c>
      <c r="I2767" s="7" t="s">
        <v>13312</v>
      </c>
      <c r="J2767" s="5" t="s">
        <v>13269</v>
      </c>
      <c r="K2767" s="356">
        <v>46054</v>
      </c>
      <c r="N2767" s="45">
        <v>5090220</v>
      </c>
      <c r="O2767" s="4" t="s">
        <v>13282</v>
      </c>
      <c r="Q2767" s="3">
        <f t="shared" si="427"/>
        <v>5090220</v>
      </c>
      <c r="R2767" s="3">
        <f t="shared" si="428"/>
        <v>0</v>
      </c>
    </row>
    <row r="2768" spans="2:18" hidden="1" x14ac:dyDescent="0.25">
      <c r="C2768" s="4" t="s">
        <v>2450</v>
      </c>
      <c r="E2768" s="5" t="s">
        <v>159</v>
      </c>
      <c r="F2768" s="5" t="s">
        <v>13265</v>
      </c>
      <c r="G2768" s="146" t="s">
        <v>13266</v>
      </c>
      <c r="H2768" s="7" t="s">
        <v>13311</v>
      </c>
      <c r="I2768" s="7" t="s">
        <v>13312</v>
      </c>
      <c r="J2768" s="14" t="s">
        <v>13270</v>
      </c>
      <c r="K2768" s="356">
        <v>46082</v>
      </c>
      <c r="N2768" s="45">
        <v>2708000</v>
      </c>
      <c r="O2768" s="4" t="s">
        <v>13282</v>
      </c>
      <c r="Q2768" s="3">
        <f t="shared" si="427"/>
        <v>2708000</v>
      </c>
      <c r="R2768" s="3">
        <f t="shared" si="428"/>
        <v>0</v>
      </c>
    </row>
    <row r="2769" spans="2:19" hidden="1" x14ac:dyDescent="0.25">
      <c r="C2769" s="4" t="s">
        <v>2450</v>
      </c>
      <c r="E2769" s="5" t="s">
        <v>159</v>
      </c>
      <c r="F2769" s="5" t="s">
        <v>13265</v>
      </c>
      <c r="G2769" s="146" t="s">
        <v>13266</v>
      </c>
      <c r="H2769" s="7" t="s">
        <v>13311</v>
      </c>
      <c r="I2769" s="7" t="s">
        <v>13312</v>
      </c>
      <c r="J2769" s="5" t="s">
        <v>13271</v>
      </c>
      <c r="K2769" s="356">
        <v>46113</v>
      </c>
      <c r="N2769" s="45">
        <v>2584000</v>
      </c>
      <c r="O2769" s="4" t="s">
        <v>13282</v>
      </c>
      <c r="Q2769" s="3">
        <f t="shared" si="427"/>
        <v>2584000</v>
      </c>
      <c r="R2769" s="3">
        <f t="shared" si="428"/>
        <v>0</v>
      </c>
    </row>
    <row r="2770" spans="2:19" hidden="1" x14ac:dyDescent="0.25">
      <c r="C2770" s="4" t="s">
        <v>2450</v>
      </c>
      <c r="E2770" s="5" t="s">
        <v>159</v>
      </c>
      <c r="F2770" s="5" t="s">
        <v>13265</v>
      </c>
      <c r="G2770" s="146" t="s">
        <v>13266</v>
      </c>
      <c r="H2770" s="7" t="s">
        <v>13311</v>
      </c>
      <c r="I2770" s="7" t="s">
        <v>13312</v>
      </c>
      <c r="J2770" s="5" t="s">
        <v>13272</v>
      </c>
      <c r="K2770" s="356">
        <v>46143</v>
      </c>
      <c r="N2770" s="45">
        <v>2584000</v>
      </c>
      <c r="O2770" s="4" t="s">
        <v>13282</v>
      </c>
      <c r="Q2770" s="3">
        <f t="shared" si="427"/>
        <v>2584000</v>
      </c>
      <c r="R2770" s="3">
        <f t="shared" si="428"/>
        <v>0</v>
      </c>
    </row>
    <row r="2771" spans="2:19" hidden="1" x14ac:dyDescent="0.25">
      <c r="C2771" s="4" t="s">
        <v>2450</v>
      </c>
      <c r="E2771" s="5" t="s">
        <v>159</v>
      </c>
      <c r="F2771" s="5" t="s">
        <v>13265</v>
      </c>
      <c r="G2771" s="146" t="s">
        <v>13266</v>
      </c>
      <c r="H2771" s="7" t="s">
        <v>13311</v>
      </c>
      <c r="I2771" s="7" t="s">
        <v>13312</v>
      </c>
      <c r="J2771" s="5" t="s">
        <v>13273</v>
      </c>
      <c r="K2771" s="356">
        <v>46174</v>
      </c>
      <c r="N2771" s="45">
        <v>1376790</v>
      </c>
      <c r="O2771" s="4" t="s">
        <v>13282</v>
      </c>
      <c r="Q2771" s="3">
        <f t="shared" si="427"/>
        <v>1376790</v>
      </c>
      <c r="R2771" s="3">
        <f t="shared" si="428"/>
        <v>0</v>
      </c>
    </row>
    <row r="2772" spans="2:19" hidden="1" x14ac:dyDescent="0.25">
      <c r="C2772" s="4" t="s">
        <v>2450</v>
      </c>
      <c r="E2772" s="5" t="s">
        <v>159</v>
      </c>
      <c r="F2772" s="5" t="s">
        <v>13265</v>
      </c>
      <c r="G2772" s="146" t="s">
        <v>13266</v>
      </c>
      <c r="H2772" s="7" t="s">
        <v>13311</v>
      </c>
      <c r="I2772" s="7" t="s">
        <v>13312</v>
      </c>
      <c r="J2772" s="14" t="s">
        <v>13274</v>
      </c>
      <c r="K2772" s="356">
        <v>46204</v>
      </c>
      <c r="N2772" s="45">
        <v>809000</v>
      </c>
      <c r="O2772" s="4" t="s">
        <v>13282</v>
      </c>
      <c r="Q2772" s="3">
        <f t="shared" si="427"/>
        <v>809000</v>
      </c>
      <c r="R2772" s="3">
        <f t="shared" si="428"/>
        <v>0</v>
      </c>
    </row>
    <row r="2773" spans="2:19" hidden="1" x14ac:dyDescent="0.25">
      <c r="C2773" s="4" t="s">
        <v>2450</v>
      </c>
      <c r="E2773" s="5" t="s">
        <v>159</v>
      </c>
      <c r="F2773" s="5" t="s">
        <v>13265</v>
      </c>
      <c r="G2773" s="146" t="s">
        <v>13266</v>
      </c>
      <c r="H2773" s="7" t="s">
        <v>13311</v>
      </c>
      <c r="I2773" s="7" t="s">
        <v>13312</v>
      </c>
      <c r="J2773" s="5" t="s">
        <v>13275</v>
      </c>
      <c r="K2773" s="356">
        <v>46235</v>
      </c>
      <c r="N2773" s="45">
        <v>809000</v>
      </c>
      <c r="O2773" s="4" t="s">
        <v>13282</v>
      </c>
      <c r="Q2773" s="3">
        <f t="shared" si="427"/>
        <v>809000</v>
      </c>
      <c r="R2773" s="3">
        <f t="shared" si="428"/>
        <v>0</v>
      </c>
    </row>
    <row r="2774" spans="2:19" hidden="1" x14ac:dyDescent="0.25">
      <c r="C2774" s="4" t="s">
        <v>2450</v>
      </c>
      <c r="E2774" s="5" t="s">
        <v>159</v>
      </c>
      <c r="F2774" s="5" t="s">
        <v>13265</v>
      </c>
      <c r="G2774" s="146" t="s">
        <v>13266</v>
      </c>
      <c r="H2774" s="7" t="s">
        <v>13311</v>
      </c>
      <c r="I2774" s="7" t="s">
        <v>13312</v>
      </c>
      <c r="J2774" s="5" t="s">
        <v>13276</v>
      </c>
      <c r="K2774" s="356">
        <v>46266</v>
      </c>
      <c r="N2774" s="45">
        <v>529000</v>
      </c>
      <c r="O2774" s="4" t="s">
        <v>13282</v>
      </c>
      <c r="Q2774" s="3">
        <f t="shared" si="427"/>
        <v>529000</v>
      </c>
      <c r="R2774" s="3">
        <f t="shared" si="428"/>
        <v>0</v>
      </c>
    </row>
    <row r="2775" spans="2:19" hidden="1" x14ac:dyDescent="0.25">
      <c r="C2775" s="4" t="s">
        <v>2450</v>
      </c>
      <c r="E2775" s="5" t="s">
        <v>159</v>
      </c>
      <c r="F2775" s="5" t="s">
        <v>13265</v>
      </c>
      <c r="G2775" s="146" t="s">
        <v>13266</v>
      </c>
      <c r="H2775" s="7" t="s">
        <v>13311</v>
      </c>
      <c r="I2775" s="7" t="s">
        <v>13312</v>
      </c>
      <c r="J2775" s="5" t="s">
        <v>13277</v>
      </c>
      <c r="K2775" s="356">
        <v>46296</v>
      </c>
      <c r="N2775" s="45">
        <v>405000</v>
      </c>
      <c r="O2775" s="4" t="s">
        <v>13282</v>
      </c>
      <c r="Q2775" s="3">
        <f t="shared" si="427"/>
        <v>405000</v>
      </c>
      <c r="R2775" s="3">
        <f t="shared" si="428"/>
        <v>0</v>
      </c>
    </row>
    <row r="2776" spans="2:19" hidden="1" x14ac:dyDescent="0.25">
      <c r="C2776" s="4" t="s">
        <v>2450</v>
      </c>
      <c r="E2776" s="5" t="s">
        <v>159</v>
      </c>
      <c r="F2776" s="5" t="s">
        <v>13265</v>
      </c>
      <c r="G2776" s="146" t="s">
        <v>13266</v>
      </c>
      <c r="H2776" s="7" t="s">
        <v>13311</v>
      </c>
      <c r="I2776" s="7" t="s">
        <v>13312</v>
      </c>
      <c r="J2776" s="5" t="s">
        <v>13278</v>
      </c>
      <c r="K2776" s="356">
        <v>46327</v>
      </c>
      <c r="N2776" s="45">
        <v>405000</v>
      </c>
      <c r="O2776" s="4" t="s">
        <v>13282</v>
      </c>
      <c r="Q2776" s="3">
        <f t="shared" si="427"/>
        <v>405000</v>
      </c>
      <c r="R2776" s="3">
        <f t="shared" si="428"/>
        <v>0</v>
      </c>
    </row>
    <row r="2777" spans="2:19" hidden="1" x14ac:dyDescent="0.25">
      <c r="C2777" s="4" t="s">
        <v>2450</v>
      </c>
      <c r="E2777" s="5" t="s">
        <v>159</v>
      </c>
      <c r="F2777" s="5" t="s">
        <v>13265</v>
      </c>
      <c r="G2777" s="146" t="s">
        <v>13266</v>
      </c>
      <c r="H2777" s="7" t="s">
        <v>13311</v>
      </c>
      <c r="I2777" s="7" t="s">
        <v>13312</v>
      </c>
      <c r="J2777" s="5" t="s">
        <v>13279</v>
      </c>
      <c r="K2777" s="356">
        <v>46357</v>
      </c>
      <c r="N2777" s="45">
        <v>446140</v>
      </c>
      <c r="O2777" s="4" t="s">
        <v>13282</v>
      </c>
      <c r="Q2777" s="3">
        <f t="shared" si="427"/>
        <v>446140</v>
      </c>
      <c r="R2777" s="3">
        <f t="shared" si="428"/>
        <v>0</v>
      </c>
    </row>
    <row r="2778" spans="2:19" hidden="1" x14ac:dyDescent="0.25">
      <c r="C2778" s="4" t="s">
        <v>2450</v>
      </c>
      <c r="E2778" s="5" t="s">
        <v>159</v>
      </c>
      <c r="F2778" s="5" t="s">
        <v>13265</v>
      </c>
      <c r="G2778" s="146" t="s">
        <v>13266</v>
      </c>
      <c r="H2778" s="7" t="s">
        <v>13311</v>
      </c>
      <c r="I2778" s="7" t="s">
        <v>13312</v>
      </c>
      <c r="J2778" s="5" t="s">
        <v>13286</v>
      </c>
      <c r="K2778" s="356">
        <v>46388</v>
      </c>
      <c r="N2778" s="45">
        <v>85195</v>
      </c>
      <c r="O2778" s="4" t="s">
        <v>13282</v>
      </c>
      <c r="Q2778" s="3">
        <f t="shared" ref="Q2778" si="429">IF(P2778="en cours",N2778,IF(P2778="OK",0,IF(N2778-P2778&lt;0,0,N2778-P2778)))</f>
        <v>85195</v>
      </c>
      <c r="R2778" s="3">
        <f t="shared" ref="R2778" si="430">IF(P2778="OK",N2778-Q2778,IF(P2778="en cours",N2778-Q2778,P2778))</f>
        <v>0</v>
      </c>
    </row>
    <row r="2779" spans="2:19" hidden="1" x14ac:dyDescent="0.25">
      <c r="C2779" s="4" t="s">
        <v>2450</v>
      </c>
      <c r="E2779" s="5" t="s">
        <v>159</v>
      </c>
      <c r="F2779" s="5" t="s">
        <v>13265</v>
      </c>
      <c r="G2779" s="146" t="s">
        <v>13266</v>
      </c>
      <c r="H2779" s="7" t="s">
        <v>13311</v>
      </c>
      <c r="I2779" s="7" t="s">
        <v>13312</v>
      </c>
      <c r="J2779" s="217" t="s">
        <v>13280</v>
      </c>
      <c r="K2779" s="356">
        <v>46388</v>
      </c>
      <c r="N2779" s="163">
        <v>-5300000</v>
      </c>
      <c r="O2779" s="4" t="s">
        <v>13282</v>
      </c>
      <c r="Q2779" s="528">
        <v>-5300000</v>
      </c>
      <c r="R2779" s="3">
        <f t="shared" si="428"/>
        <v>0</v>
      </c>
    </row>
    <row r="2780" spans="2:19" hidden="1" x14ac:dyDescent="0.25">
      <c r="C2780" s="4" t="s">
        <v>6047</v>
      </c>
      <c r="E2780" s="5" t="s">
        <v>0</v>
      </c>
      <c r="F2780" s="5" t="s">
        <v>13300</v>
      </c>
      <c r="G2780" s="146" t="s">
        <v>509</v>
      </c>
      <c r="H2780" s="7" t="s">
        <v>13295</v>
      </c>
      <c r="I2780" s="7" t="s">
        <v>13312</v>
      </c>
      <c r="J2780" s="5" t="s">
        <v>13296</v>
      </c>
      <c r="L2780" s="115" t="s">
        <v>14146</v>
      </c>
      <c r="M2780" s="12" t="s">
        <v>14147</v>
      </c>
      <c r="N2780" s="45">
        <v>16713</v>
      </c>
      <c r="O2780" s="4" t="s">
        <v>15</v>
      </c>
      <c r="P2780" s="45">
        <f>12748.23+3180.65+16713+13509.74+588.29+1564.94</f>
        <v>48304.85</v>
      </c>
      <c r="Q2780" s="3">
        <f t="shared" ref="Q2780:Q2783" si="431">IF(P2780="en cours",N2780,IF(P2780="OK",0,IF(N2780-P2780&lt;0,0,N2780-P2780)))</f>
        <v>0</v>
      </c>
      <c r="R2780" s="3">
        <f t="shared" si="428"/>
        <v>48304.85</v>
      </c>
    </row>
    <row r="2781" spans="2:19" hidden="1" x14ac:dyDescent="0.25">
      <c r="B2781" s="21" t="s">
        <v>395</v>
      </c>
      <c r="C2781" s="22" t="s">
        <v>2450</v>
      </c>
      <c r="D2781" s="22"/>
      <c r="E2781" s="21" t="s">
        <v>0</v>
      </c>
      <c r="F2781" s="21" t="s">
        <v>9773</v>
      </c>
      <c r="G2781" s="147" t="s">
        <v>10225</v>
      </c>
      <c r="H2781" s="23" t="s">
        <v>13297</v>
      </c>
      <c r="I2781" s="23" t="s">
        <v>13298</v>
      </c>
      <c r="J2781" s="21" t="s">
        <v>13299</v>
      </c>
      <c r="K2781" s="21"/>
      <c r="L2781" s="21" t="s">
        <v>14319</v>
      </c>
      <c r="M2781" s="26" t="s">
        <v>14320</v>
      </c>
      <c r="N2781" s="44">
        <v>39284</v>
      </c>
      <c r="O2781" s="22" t="s">
        <v>276</v>
      </c>
      <c r="P2781" s="44">
        <f>25510+13774</f>
        <v>39284</v>
      </c>
      <c r="Q2781" s="24">
        <f t="shared" si="431"/>
        <v>0</v>
      </c>
      <c r="R2781" s="24">
        <f t="shared" si="428"/>
        <v>39284</v>
      </c>
    </row>
    <row r="2782" spans="2:19" hidden="1" x14ac:dyDescent="0.25">
      <c r="B2782" s="21" t="s">
        <v>395</v>
      </c>
      <c r="C2782" s="22" t="s">
        <v>158</v>
      </c>
      <c r="D2782" s="22"/>
      <c r="E2782" s="21" t="s">
        <v>10</v>
      </c>
      <c r="F2782" s="21" t="s">
        <v>13304</v>
      </c>
      <c r="G2782" s="147" t="s">
        <v>12872</v>
      </c>
      <c r="H2782" s="23" t="s">
        <v>13301</v>
      </c>
      <c r="I2782" s="23" t="s">
        <v>13302</v>
      </c>
      <c r="J2782" s="21" t="s">
        <v>13303</v>
      </c>
      <c r="K2782" s="21"/>
      <c r="L2782" s="21" t="s">
        <v>14178</v>
      </c>
      <c r="M2782" s="26">
        <v>46065</v>
      </c>
      <c r="N2782" s="44">
        <v>9047.1</v>
      </c>
      <c r="O2782" s="22" t="s">
        <v>15</v>
      </c>
      <c r="P2782" s="44">
        <v>7773.6</v>
      </c>
      <c r="Q2782" s="24">
        <v>0</v>
      </c>
      <c r="R2782" s="24">
        <f t="shared" si="428"/>
        <v>7773.6</v>
      </c>
      <c r="S2782" s="5" t="s">
        <v>14180</v>
      </c>
    </row>
    <row r="2783" spans="2:19" hidden="1" x14ac:dyDescent="0.25">
      <c r="B2783" s="21" t="s">
        <v>395</v>
      </c>
      <c r="C2783" s="22" t="s">
        <v>158</v>
      </c>
      <c r="D2783" s="22"/>
      <c r="E2783" s="21" t="s">
        <v>10</v>
      </c>
      <c r="F2783" s="21" t="s">
        <v>9721</v>
      </c>
      <c r="G2783" s="147" t="s">
        <v>9319</v>
      </c>
      <c r="H2783" s="23" t="s">
        <v>13305</v>
      </c>
      <c r="I2783" s="23" t="s">
        <v>13306</v>
      </c>
      <c r="J2783" s="21" t="s">
        <v>13307</v>
      </c>
      <c r="K2783" s="21"/>
      <c r="L2783" s="21" t="s">
        <v>13308</v>
      </c>
      <c r="M2783" s="26">
        <v>45974</v>
      </c>
      <c r="N2783" s="44">
        <v>5862.78</v>
      </c>
      <c r="O2783" s="22" t="s">
        <v>15</v>
      </c>
      <c r="P2783" s="44">
        <v>5862.78</v>
      </c>
      <c r="Q2783" s="24">
        <f t="shared" si="431"/>
        <v>0</v>
      </c>
      <c r="R2783" s="24">
        <f t="shared" si="428"/>
        <v>5862.78</v>
      </c>
    </row>
    <row r="2784" spans="2:19" hidden="1" x14ac:dyDescent="0.25">
      <c r="B2784" s="21" t="s">
        <v>395</v>
      </c>
      <c r="C2784" s="22" t="s">
        <v>158</v>
      </c>
      <c r="D2784" s="22"/>
      <c r="E2784" s="21" t="s">
        <v>10</v>
      </c>
      <c r="F2784" s="21" t="s">
        <v>9721</v>
      </c>
      <c r="G2784" s="147" t="s">
        <v>11065</v>
      </c>
      <c r="H2784" s="23" t="s">
        <v>13315</v>
      </c>
      <c r="I2784" s="23" t="s">
        <v>13316</v>
      </c>
      <c r="J2784" s="21" t="s">
        <v>6557</v>
      </c>
      <c r="K2784" s="21"/>
      <c r="L2784" s="21" t="s">
        <v>13342</v>
      </c>
      <c r="M2784" s="26">
        <v>45981</v>
      </c>
      <c r="N2784" s="44">
        <v>193.5</v>
      </c>
      <c r="O2784" s="22" t="s">
        <v>15</v>
      </c>
      <c r="P2784" s="44">
        <v>193.5</v>
      </c>
      <c r="Q2784" s="24">
        <f t="shared" ref="Q2784:Q2788" si="432">IF(P2784="en cours",N2784,IF(P2784="OK",0,IF(N2784-P2784&lt;0,0,N2784-P2784)))</f>
        <v>0</v>
      </c>
      <c r="R2784" s="24">
        <f t="shared" ref="R2784:R2788" si="433">IF(P2784="OK",N2784-Q2784,IF(P2784="en cours",N2784-Q2784,P2784))</f>
        <v>193.5</v>
      </c>
    </row>
    <row r="2785" spans="2:19" hidden="1" x14ac:dyDescent="0.25">
      <c r="B2785" s="21" t="s">
        <v>395</v>
      </c>
      <c r="C2785" s="22" t="s">
        <v>2450</v>
      </c>
      <c r="D2785" s="22"/>
      <c r="E2785" s="21" t="s">
        <v>0</v>
      </c>
      <c r="F2785" s="21" t="s">
        <v>9823</v>
      </c>
      <c r="G2785" s="147" t="s">
        <v>8757</v>
      </c>
      <c r="H2785" s="23" t="s">
        <v>13317</v>
      </c>
      <c r="I2785" s="23" t="s">
        <v>13318</v>
      </c>
      <c r="J2785" s="21" t="s">
        <v>13319</v>
      </c>
      <c r="K2785" s="21"/>
      <c r="L2785" s="21" t="s">
        <v>13493</v>
      </c>
      <c r="M2785" s="26" t="s">
        <v>13494</v>
      </c>
      <c r="N2785" s="44">
        <v>1723.5</v>
      </c>
      <c r="O2785" s="22" t="s">
        <v>337</v>
      </c>
      <c r="P2785" s="44">
        <f>549+1174.5</f>
        <v>1723.5</v>
      </c>
      <c r="Q2785" s="24">
        <f t="shared" si="432"/>
        <v>0</v>
      </c>
      <c r="R2785" s="24">
        <f t="shared" si="433"/>
        <v>1723.5</v>
      </c>
    </row>
    <row r="2786" spans="2:19" hidden="1" x14ac:dyDescent="0.25">
      <c r="B2786" s="21" t="s">
        <v>395</v>
      </c>
      <c r="C2786" s="22" t="s">
        <v>158</v>
      </c>
      <c r="D2786" s="22"/>
      <c r="E2786" s="21" t="s">
        <v>0</v>
      </c>
      <c r="F2786" s="21" t="s">
        <v>9823</v>
      </c>
      <c r="G2786" s="147" t="s">
        <v>13320</v>
      </c>
      <c r="H2786" s="23" t="s">
        <v>13321</v>
      </c>
      <c r="I2786" s="23" t="s">
        <v>13322</v>
      </c>
      <c r="J2786" s="21" t="s">
        <v>13323</v>
      </c>
      <c r="K2786" s="21"/>
      <c r="L2786" s="21" t="s">
        <v>13438</v>
      </c>
      <c r="M2786" s="26">
        <v>45986</v>
      </c>
      <c r="N2786" s="44">
        <v>3022.6</v>
      </c>
      <c r="O2786" s="22" t="s">
        <v>15</v>
      </c>
      <c r="P2786" s="44">
        <f>3022.6</f>
        <v>3022.6</v>
      </c>
      <c r="Q2786" s="24">
        <f t="shared" si="432"/>
        <v>0</v>
      </c>
      <c r="R2786" s="24">
        <f t="shared" si="433"/>
        <v>3022.6</v>
      </c>
    </row>
    <row r="2787" spans="2:19" hidden="1" x14ac:dyDescent="0.25">
      <c r="B2787" s="21" t="s">
        <v>395</v>
      </c>
      <c r="C2787" s="22" t="s">
        <v>2450</v>
      </c>
      <c r="D2787" s="22"/>
      <c r="E2787" s="21" t="s">
        <v>0</v>
      </c>
      <c r="F2787" s="21" t="s">
        <v>9823</v>
      </c>
      <c r="G2787" s="147" t="s">
        <v>10624</v>
      </c>
      <c r="H2787" s="23" t="s">
        <v>13324</v>
      </c>
      <c r="I2787" s="23" t="s">
        <v>13325</v>
      </c>
      <c r="J2787" s="21" t="s">
        <v>13326</v>
      </c>
      <c r="K2787" s="21"/>
      <c r="L2787" s="21" t="s">
        <v>13385</v>
      </c>
      <c r="M2787" s="26">
        <v>45968</v>
      </c>
      <c r="N2787" s="44">
        <v>5200</v>
      </c>
      <c r="O2787" s="22" t="s">
        <v>15</v>
      </c>
      <c r="P2787" s="44">
        <v>5200</v>
      </c>
      <c r="Q2787" s="24">
        <f t="shared" si="432"/>
        <v>0</v>
      </c>
      <c r="R2787" s="24">
        <f t="shared" si="433"/>
        <v>5200</v>
      </c>
    </row>
    <row r="2788" spans="2:19" hidden="1" x14ac:dyDescent="0.25">
      <c r="B2788" s="21" t="s">
        <v>395</v>
      </c>
      <c r="C2788" s="22" t="s">
        <v>2450</v>
      </c>
      <c r="D2788" s="22"/>
      <c r="E2788" s="21" t="s">
        <v>0</v>
      </c>
      <c r="F2788" s="21" t="s">
        <v>13327</v>
      </c>
      <c r="G2788" s="147" t="s">
        <v>6365</v>
      </c>
      <c r="H2788" s="23" t="s">
        <v>13328</v>
      </c>
      <c r="I2788" s="23" t="s">
        <v>13329</v>
      </c>
      <c r="J2788" s="21" t="s">
        <v>13330</v>
      </c>
      <c r="K2788" s="21"/>
      <c r="L2788" s="21" t="s">
        <v>13669</v>
      </c>
      <c r="M2788" s="26" t="s">
        <v>13670</v>
      </c>
      <c r="N2788" s="44">
        <v>52080</v>
      </c>
      <c r="O2788" s="22" t="s">
        <v>15</v>
      </c>
      <c r="P2788" s="44">
        <f>12570+1800+37710</f>
        <v>52080</v>
      </c>
      <c r="Q2788" s="24">
        <f t="shared" si="432"/>
        <v>0</v>
      </c>
      <c r="R2788" s="24">
        <f t="shared" si="433"/>
        <v>52080</v>
      </c>
      <c r="S2788" s="21"/>
    </row>
    <row r="2789" spans="2:19" hidden="1" x14ac:dyDescent="0.25">
      <c r="C2789" s="4" t="s">
        <v>2450</v>
      </c>
      <c r="E2789" s="5" t="s">
        <v>7137</v>
      </c>
      <c r="F2789" s="5" t="s">
        <v>11545</v>
      </c>
      <c r="G2789" s="146" t="s">
        <v>8555</v>
      </c>
      <c r="H2789" s="7" t="s">
        <v>13354</v>
      </c>
      <c r="I2789" s="7" t="s">
        <v>13355</v>
      </c>
      <c r="J2789" s="5" t="s">
        <v>13356</v>
      </c>
      <c r="K2789" s="115"/>
      <c r="L2789" s="5" t="s">
        <v>14353</v>
      </c>
      <c r="M2789" s="12">
        <v>46080</v>
      </c>
      <c r="N2789" s="45">
        <v>12640</v>
      </c>
      <c r="O2789" s="4" t="s">
        <v>15</v>
      </c>
      <c r="P2789" s="45">
        <v>7588.85</v>
      </c>
      <c r="Q2789" s="3">
        <f t="shared" ref="Q2789" si="434">IF(P2789="en cours",N2789,IF(P2789="OK",0,IF(N2789-P2789&lt;0,0,N2789-P2789)))</f>
        <v>5051.1499999999996</v>
      </c>
      <c r="R2789" s="3">
        <f t="shared" ref="R2789:R2790" si="435">IF(P2789="OK",N2789-Q2789,IF(P2789="en cours",N2789-Q2789,P2789))</f>
        <v>7588.85</v>
      </c>
    </row>
    <row r="2790" spans="2:19" hidden="1" x14ac:dyDescent="0.25">
      <c r="B2790" s="21" t="s">
        <v>395</v>
      </c>
      <c r="C2790" s="22" t="s">
        <v>158</v>
      </c>
      <c r="D2790" s="22"/>
      <c r="E2790" s="21" t="s">
        <v>0</v>
      </c>
      <c r="F2790" s="21" t="s">
        <v>11538</v>
      </c>
      <c r="G2790" s="147" t="s">
        <v>13358</v>
      </c>
      <c r="H2790" s="23" t="s">
        <v>13378</v>
      </c>
      <c r="I2790" s="23" t="s">
        <v>13360</v>
      </c>
      <c r="J2790" s="21" t="s">
        <v>13359</v>
      </c>
      <c r="K2790" s="21"/>
      <c r="L2790" s="21" t="s">
        <v>13379</v>
      </c>
      <c r="M2790" s="26" t="s">
        <v>13380</v>
      </c>
      <c r="N2790" s="44">
        <v>35000</v>
      </c>
      <c r="O2790" s="22" t="s">
        <v>276</v>
      </c>
      <c r="P2790" s="44">
        <f>33616.66+1375</f>
        <v>34991.660000000003</v>
      </c>
      <c r="Q2790" s="24">
        <v>0</v>
      </c>
      <c r="R2790" s="24">
        <f t="shared" si="435"/>
        <v>34991.660000000003</v>
      </c>
    </row>
    <row r="2791" spans="2:19" hidden="1" x14ac:dyDescent="0.25">
      <c r="B2791" s="21" t="s">
        <v>395</v>
      </c>
      <c r="C2791" s="22" t="s">
        <v>158</v>
      </c>
      <c r="D2791" s="22"/>
      <c r="E2791" s="21" t="s">
        <v>0</v>
      </c>
      <c r="F2791" s="21" t="s">
        <v>11538</v>
      </c>
      <c r="G2791" s="147" t="s">
        <v>13358</v>
      </c>
      <c r="H2791" s="23" t="s">
        <v>13401</v>
      </c>
      <c r="I2791" s="23" t="s">
        <v>13361</v>
      </c>
      <c r="J2791" s="21" t="s">
        <v>13359</v>
      </c>
      <c r="K2791" s="21"/>
      <c r="L2791" s="21" t="s">
        <v>13381</v>
      </c>
      <c r="M2791" s="26" t="s">
        <v>13382</v>
      </c>
      <c r="N2791" s="44">
        <v>50000</v>
      </c>
      <c r="O2791" s="22" t="s">
        <v>276</v>
      </c>
      <c r="P2791" s="44">
        <f>27750+22500</f>
        <v>50250</v>
      </c>
      <c r="Q2791" s="24">
        <f t="shared" ref="Q2791" si="436">IF(P2791="en cours",N2791,IF(P2791="OK",0,IF(N2791-P2791&lt;0,0,N2791-P2791)))</f>
        <v>0</v>
      </c>
      <c r="R2791" s="24">
        <f t="shared" ref="R2791" si="437">IF(P2791="OK",N2791-Q2791,IF(P2791="en cours",N2791-Q2791,P2791))</f>
        <v>50250</v>
      </c>
    </row>
    <row r="2792" spans="2:19" hidden="1" x14ac:dyDescent="0.25">
      <c r="B2792" s="21" t="s">
        <v>395</v>
      </c>
      <c r="C2792" s="22" t="s">
        <v>158</v>
      </c>
      <c r="D2792" s="22"/>
      <c r="E2792" s="21" t="s">
        <v>0</v>
      </c>
      <c r="F2792" s="21" t="s">
        <v>11538</v>
      </c>
      <c r="G2792" s="147" t="s">
        <v>13358</v>
      </c>
      <c r="H2792" s="23" t="s">
        <v>13402</v>
      </c>
      <c r="I2792" s="23" t="s">
        <v>13362</v>
      </c>
      <c r="J2792" s="21" t="s">
        <v>13364</v>
      </c>
      <c r="K2792" s="21"/>
      <c r="L2792" s="21" t="s">
        <v>13384</v>
      </c>
      <c r="M2792" s="26">
        <v>45918</v>
      </c>
      <c r="N2792" s="44">
        <f>0.3*278000</f>
        <v>83400</v>
      </c>
      <c r="O2792" s="22" t="s">
        <v>276</v>
      </c>
      <c r="P2792" s="44">
        <v>83400</v>
      </c>
      <c r="Q2792" s="24">
        <f t="shared" ref="Q2792" si="438">IF(P2792="en cours",N2792,IF(P2792="OK",0,IF(N2792-P2792&lt;0,0,N2792-P2792)))</f>
        <v>0</v>
      </c>
      <c r="R2792" s="24">
        <f t="shared" ref="R2792" si="439">IF(P2792="OK",N2792-Q2792,IF(P2792="en cours",N2792-Q2792,P2792))</f>
        <v>83400</v>
      </c>
    </row>
    <row r="2793" spans="2:19" hidden="1" x14ac:dyDescent="0.25">
      <c r="B2793" s="21" t="s">
        <v>395</v>
      </c>
      <c r="C2793" s="22" t="s">
        <v>158</v>
      </c>
      <c r="D2793" s="22"/>
      <c r="E2793" s="21" t="s">
        <v>0</v>
      </c>
      <c r="F2793" s="21" t="s">
        <v>11538</v>
      </c>
      <c r="G2793" s="147" t="s">
        <v>13358</v>
      </c>
      <c r="H2793" s="23" t="s">
        <v>13402</v>
      </c>
      <c r="I2793" s="23" t="s">
        <v>13362</v>
      </c>
      <c r="J2793" s="21" t="s">
        <v>13363</v>
      </c>
      <c r="K2793" s="21"/>
      <c r="L2793" s="21"/>
      <c r="M2793" s="26"/>
      <c r="N2793" s="44">
        <v>0</v>
      </c>
      <c r="O2793" s="22" t="s">
        <v>276</v>
      </c>
      <c r="P2793" s="44"/>
      <c r="Q2793" s="24">
        <f t="shared" ref="Q2793:Q2802" si="440">IF(P2793="en cours",N2793,IF(P2793="OK",0,IF(N2793-P2793&lt;0,0,N2793-P2793)))</f>
        <v>0</v>
      </c>
      <c r="R2793" s="24">
        <f t="shared" ref="R2793:R2802" si="441">IF(P2793="OK",N2793-Q2793,IF(P2793="en cours",N2793-Q2793,P2793))</f>
        <v>0</v>
      </c>
    </row>
    <row r="2794" spans="2:19" hidden="1" x14ac:dyDescent="0.25">
      <c r="B2794" s="21" t="s">
        <v>395</v>
      </c>
      <c r="C2794" s="22" t="s">
        <v>158</v>
      </c>
      <c r="D2794" s="22"/>
      <c r="E2794" s="21" t="s">
        <v>0</v>
      </c>
      <c r="F2794" s="21" t="s">
        <v>11538</v>
      </c>
      <c r="G2794" s="147" t="s">
        <v>13358</v>
      </c>
      <c r="H2794" s="23" t="s">
        <v>13402</v>
      </c>
      <c r="I2794" s="23" t="s">
        <v>13362</v>
      </c>
      <c r="J2794" s="21" t="s">
        <v>13365</v>
      </c>
      <c r="K2794" s="21"/>
      <c r="L2794" s="21" t="s">
        <v>13384</v>
      </c>
      <c r="M2794" s="26">
        <v>45918</v>
      </c>
      <c r="N2794" s="44">
        <f>0.1*278000</f>
        <v>27800</v>
      </c>
      <c r="O2794" s="22" t="s">
        <v>276</v>
      </c>
      <c r="P2794" s="44">
        <v>27800</v>
      </c>
      <c r="Q2794" s="24">
        <f t="shared" si="440"/>
        <v>0</v>
      </c>
      <c r="R2794" s="24">
        <f t="shared" si="441"/>
        <v>27800</v>
      </c>
    </row>
    <row r="2795" spans="2:19" hidden="1" x14ac:dyDescent="0.25">
      <c r="B2795" s="21" t="s">
        <v>395</v>
      </c>
      <c r="C2795" s="22" t="s">
        <v>158</v>
      </c>
      <c r="D2795" s="22"/>
      <c r="E2795" s="21" t="s">
        <v>0</v>
      </c>
      <c r="F2795" s="21" t="s">
        <v>11538</v>
      </c>
      <c r="G2795" s="147" t="s">
        <v>13358</v>
      </c>
      <c r="H2795" s="23" t="s">
        <v>13402</v>
      </c>
      <c r="I2795" s="23" t="s">
        <v>13362</v>
      </c>
      <c r="J2795" s="21" t="s">
        <v>13366</v>
      </c>
      <c r="K2795" s="21"/>
      <c r="L2795" s="21"/>
      <c r="M2795" s="26"/>
      <c r="N2795" s="44">
        <v>0</v>
      </c>
      <c r="O2795" s="22" t="s">
        <v>276</v>
      </c>
      <c r="P2795" s="44"/>
      <c r="Q2795" s="24">
        <f t="shared" si="440"/>
        <v>0</v>
      </c>
      <c r="R2795" s="24">
        <f t="shared" si="441"/>
        <v>0</v>
      </c>
    </row>
    <row r="2796" spans="2:19" hidden="1" x14ac:dyDescent="0.25">
      <c r="B2796" s="21" t="s">
        <v>395</v>
      </c>
      <c r="C2796" s="22" t="s">
        <v>158</v>
      </c>
      <c r="D2796" s="22"/>
      <c r="E2796" s="21" t="s">
        <v>0</v>
      </c>
      <c r="F2796" s="21" t="s">
        <v>11538</v>
      </c>
      <c r="G2796" s="147" t="s">
        <v>13358</v>
      </c>
      <c r="H2796" s="23" t="s">
        <v>13402</v>
      </c>
      <c r="I2796" s="23" t="s">
        <v>13362</v>
      </c>
      <c r="J2796" s="21" t="s">
        <v>13367</v>
      </c>
      <c r="K2796" s="21"/>
      <c r="L2796" s="21" t="s">
        <v>13384</v>
      </c>
      <c r="M2796" s="26">
        <v>45918</v>
      </c>
      <c r="N2796" s="44">
        <f t="shared" ref="N2796:N2802" si="442">0.1*278000</f>
        <v>27800</v>
      </c>
      <c r="O2796" s="22" t="s">
        <v>276</v>
      </c>
      <c r="P2796" s="44">
        <v>27800</v>
      </c>
      <c r="Q2796" s="24">
        <f t="shared" si="440"/>
        <v>0</v>
      </c>
      <c r="R2796" s="24">
        <f t="shared" si="441"/>
        <v>27800</v>
      </c>
    </row>
    <row r="2797" spans="2:19" hidden="1" x14ac:dyDescent="0.25">
      <c r="B2797" s="21" t="s">
        <v>395</v>
      </c>
      <c r="C2797" s="22" t="s">
        <v>158</v>
      </c>
      <c r="D2797" s="22"/>
      <c r="E2797" s="21" t="s">
        <v>0</v>
      </c>
      <c r="F2797" s="21" t="s">
        <v>11538</v>
      </c>
      <c r="G2797" s="147" t="s">
        <v>13358</v>
      </c>
      <c r="H2797" s="23" t="s">
        <v>13402</v>
      </c>
      <c r="I2797" s="23" t="s">
        <v>13362</v>
      </c>
      <c r="J2797" s="21" t="s">
        <v>13368</v>
      </c>
      <c r="K2797" s="21"/>
      <c r="L2797" s="21"/>
      <c r="M2797" s="26"/>
      <c r="N2797" s="44">
        <v>0</v>
      </c>
      <c r="O2797" s="22" t="s">
        <v>276</v>
      </c>
      <c r="P2797" s="44"/>
      <c r="Q2797" s="24">
        <f t="shared" si="440"/>
        <v>0</v>
      </c>
      <c r="R2797" s="24">
        <f t="shared" si="441"/>
        <v>0</v>
      </c>
    </row>
    <row r="2798" spans="2:19" hidden="1" x14ac:dyDescent="0.25">
      <c r="B2798" s="21" t="s">
        <v>395</v>
      </c>
      <c r="C2798" s="22" t="s">
        <v>158</v>
      </c>
      <c r="D2798" s="22"/>
      <c r="E2798" s="21" t="s">
        <v>0</v>
      </c>
      <c r="F2798" s="21" t="s">
        <v>11538</v>
      </c>
      <c r="G2798" s="147" t="s">
        <v>13358</v>
      </c>
      <c r="H2798" s="23" t="s">
        <v>13402</v>
      </c>
      <c r="I2798" s="23" t="s">
        <v>13362</v>
      </c>
      <c r="J2798" s="21" t="s">
        <v>13369</v>
      </c>
      <c r="K2798" s="21"/>
      <c r="L2798" s="21" t="s">
        <v>13384</v>
      </c>
      <c r="M2798" s="26">
        <v>45918</v>
      </c>
      <c r="N2798" s="44">
        <f t="shared" si="442"/>
        <v>27800</v>
      </c>
      <c r="O2798" s="22" t="s">
        <v>276</v>
      </c>
      <c r="P2798" s="44">
        <v>27800</v>
      </c>
      <c r="Q2798" s="24">
        <f t="shared" si="440"/>
        <v>0</v>
      </c>
      <c r="R2798" s="24">
        <f t="shared" si="441"/>
        <v>27800</v>
      </c>
    </row>
    <row r="2799" spans="2:19" hidden="1" x14ac:dyDescent="0.25">
      <c r="B2799" s="21" t="s">
        <v>395</v>
      </c>
      <c r="C2799" s="22" t="s">
        <v>158</v>
      </c>
      <c r="D2799" s="22"/>
      <c r="E2799" s="21" t="s">
        <v>0</v>
      </c>
      <c r="F2799" s="21" t="s">
        <v>11538</v>
      </c>
      <c r="G2799" s="147" t="s">
        <v>13358</v>
      </c>
      <c r="H2799" s="23" t="s">
        <v>13403</v>
      </c>
      <c r="I2799" s="23" t="s">
        <v>13362</v>
      </c>
      <c r="J2799" s="21" t="s">
        <v>13370</v>
      </c>
      <c r="K2799" s="21"/>
      <c r="L2799" s="21" t="s">
        <v>13985</v>
      </c>
      <c r="M2799" s="26">
        <v>46052</v>
      </c>
      <c r="N2799" s="44">
        <f t="shared" si="442"/>
        <v>27800</v>
      </c>
      <c r="O2799" s="22" t="s">
        <v>276</v>
      </c>
      <c r="P2799" s="44">
        <v>27800</v>
      </c>
      <c r="Q2799" s="24">
        <f t="shared" si="440"/>
        <v>0</v>
      </c>
      <c r="R2799" s="24">
        <f t="shared" si="441"/>
        <v>27800</v>
      </c>
    </row>
    <row r="2800" spans="2:19" hidden="1" x14ac:dyDescent="0.25">
      <c r="C2800" s="4" t="s">
        <v>158</v>
      </c>
      <c r="E2800" s="5" t="s">
        <v>0</v>
      </c>
      <c r="F2800" s="5" t="s">
        <v>11538</v>
      </c>
      <c r="G2800" s="146" t="s">
        <v>13358</v>
      </c>
      <c r="H2800" s="7" t="s">
        <v>13403</v>
      </c>
      <c r="I2800" s="7" t="s">
        <v>13362</v>
      </c>
      <c r="J2800" s="5" t="s">
        <v>13371</v>
      </c>
      <c r="M2800" s="12"/>
      <c r="N2800" s="45">
        <f t="shared" si="442"/>
        <v>27800</v>
      </c>
      <c r="O2800" s="4" t="s">
        <v>276</v>
      </c>
      <c r="Q2800" s="3">
        <f t="shared" si="440"/>
        <v>27800</v>
      </c>
      <c r="R2800" s="3">
        <f t="shared" si="441"/>
        <v>0</v>
      </c>
    </row>
    <row r="2801" spans="2:18" hidden="1" x14ac:dyDescent="0.25">
      <c r="C2801" s="4" t="s">
        <v>158</v>
      </c>
      <c r="E2801" s="5" t="s">
        <v>0</v>
      </c>
      <c r="F2801" s="5" t="s">
        <v>11538</v>
      </c>
      <c r="G2801" s="146" t="s">
        <v>13358</v>
      </c>
      <c r="H2801" s="7" t="s">
        <v>13402</v>
      </c>
      <c r="I2801" s="7" t="s">
        <v>13362</v>
      </c>
      <c r="J2801" s="5" t="s">
        <v>13372</v>
      </c>
      <c r="M2801" s="12"/>
      <c r="N2801" s="45">
        <f t="shared" si="442"/>
        <v>27800</v>
      </c>
      <c r="O2801" s="4" t="s">
        <v>276</v>
      </c>
      <c r="Q2801" s="3">
        <f t="shared" si="440"/>
        <v>27800</v>
      </c>
      <c r="R2801" s="3">
        <f t="shared" si="441"/>
        <v>0</v>
      </c>
    </row>
    <row r="2802" spans="2:18" hidden="1" x14ac:dyDescent="0.25">
      <c r="B2802" s="21" t="s">
        <v>395</v>
      </c>
      <c r="C2802" s="22" t="s">
        <v>158</v>
      </c>
      <c r="D2802" s="22"/>
      <c r="E2802" s="21" t="s">
        <v>0</v>
      </c>
      <c r="F2802" s="21" t="s">
        <v>11538</v>
      </c>
      <c r="G2802" s="147" t="s">
        <v>13358</v>
      </c>
      <c r="H2802" s="23" t="s">
        <v>13403</v>
      </c>
      <c r="I2802" s="23" t="s">
        <v>13362</v>
      </c>
      <c r="J2802" s="21" t="s">
        <v>13373</v>
      </c>
      <c r="K2802" s="21"/>
      <c r="L2802" s="21" t="s">
        <v>13629</v>
      </c>
      <c r="M2802" s="26">
        <v>46002</v>
      </c>
      <c r="N2802" s="44">
        <f t="shared" si="442"/>
        <v>27800</v>
      </c>
      <c r="O2802" s="22" t="s">
        <v>276</v>
      </c>
      <c r="P2802" s="44">
        <v>27800</v>
      </c>
      <c r="Q2802" s="24">
        <f t="shared" si="440"/>
        <v>0</v>
      </c>
      <c r="R2802" s="24">
        <f t="shared" si="441"/>
        <v>27800</v>
      </c>
    </row>
    <row r="2803" spans="2:18" hidden="1" x14ac:dyDescent="0.25">
      <c r="B2803" s="21" t="s">
        <v>395</v>
      </c>
      <c r="C2803" s="22" t="s">
        <v>158</v>
      </c>
      <c r="D2803" s="22"/>
      <c r="E2803" s="21" t="s">
        <v>0</v>
      </c>
      <c r="F2803" s="21" t="s">
        <v>11538</v>
      </c>
      <c r="G2803" s="147" t="s">
        <v>13358</v>
      </c>
      <c r="H2803" s="23" t="s">
        <v>13403</v>
      </c>
      <c r="I2803" s="23" t="s">
        <v>13362</v>
      </c>
      <c r="J2803" s="21" t="s">
        <v>13374</v>
      </c>
      <c r="K2803" s="21"/>
      <c r="L2803" s="21"/>
      <c r="M2803" s="23"/>
      <c r="N2803" s="44">
        <v>0</v>
      </c>
      <c r="O2803" s="22" t="s">
        <v>276</v>
      </c>
      <c r="P2803" s="44"/>
      <c r="Q2803" s="24">
        <f t="shared" ref="Q2803:Q2805" si="443">IF(P2803="en cours",N2803,IF(P2803="OK",0,IF(N2803-P2803&lt;0,0,N2803-P2803)))</f>
        <v>0</v>
      </c>
      <c r="R2803" s="24">
        <f t="shared" ref="R2803:R2805" si="444">IF(P2803="OK",N2803-Q2803,IF(P2803="en cours",N2803-Q2803,P2803))</f>
        <v>0</v>
      </c>
    </row>
    <row r="2804" spans="2:18" hidden="1" x14ac:dyDescent="0.25">
      <c r="C2804" s="4" t="s">
        <v>158</v>
      </c>
      <c r="E2804" s="5" t="s">
        <v>0</v>
      </c>
      <c r="F2804" s="5" t="s">
        <v>11538</v>
      </c>
      <c r="G2804" s="146" t="s">
        <v>13358</v>
      </c>
      <c r="H2804" s="7" t="s">
        <v>13403</v>
      </c>
      <c r="I2804" s="7" t="s">
        <v>13362</v>
      </c>
      <c r="J2804" s="5" t="s">
        <v>13375</v>
      </c>
      <c r="N2804" s="45">
        <v>40000</v>
      </c>
      <c r="O2804" s="4" t="s">
        <v>276</v>
      </c>
      <c r="Q2804" s="3">
        <f t="shared" si="443"/>
        <v>40000</v>
      </c>
      <c r="R2804" s="3">
        <f t="shared" si="444"/>
        <v>0</v>
      </c>
    </row>
    <row r="2805" spans="2:18" hidden="1" x14ac:dyDescent="0.25">
      <c r="C2805" s="4" t="s">
        <v>158</v>
      </c>
      <c r="E2805" s="5" t="s">
        <v>0</v>
      </c>
      <c r="F2805" s="5" t="s">
        <v>11538</v>
      </c>
      <c r="G2805" s="146" t="s">
        <v>13358</v>
      </c>
      <c r="H2805" s="7" t="s">
        <v>13404</v>
      </c>
      <c r="I2805" s="7" t="s">
        <v>13376</v>
      </c>
      <c r="J2805" s="5" t="s">
        <v>13359</v>
      </c>
      <c r="L2805" s="5" t="s">
        <v>13383</v>
      </c>
      <c r="M2805" s="12">
        <v>45987</v>
      </c>
      <c r="N2805" s="45">
        <v>50000</v>
      </c>
      <c r="O2805" s="4" t="s">
        <v>276</v>
      </c>
      <c r="P2805" s="45">
        <f>47166.67</f>
        <v>47166.67</v>
      </c>
      <c r="Q2805" s="3">
        <f t="shared" si="443"/>
        <v>2833.3300000000017</v>
      </c>
      <c r="R2805" s="3">
        <f t="shared" si="444"/>
        <v>47166.67</v>
      </c>
    </row>
    <row r="2806" spans="2:18" hidden="1" x14ac:dyDescent="0.25">
      <c r="C2806" s="4" t="s">
        <v>158</v>
      </c>
      <c r="E2806" s="5" t="s">
        <v>0</v>
      </c>
      <c r="F2806" s="5" t="s">
        <v>11538</v>
      </c>
      <c r="G2806" s="146" t="s">
        <v>13358</v>
      </c>
      <c r="H2806" s="7" t="s">
        <v>13405</v>
      </c>
      <c r="I2806" s="7" t="s">
        <v>13377</v>
      </c>
      <c r="J2806" s="5" t="s">
        <v>13359</v>
      </c>
      <c r="L2806" s="5" t="s">
        <v>14265</v>
      </c>
      <c r="M2806" s="12" t="s">
        <v>14266</v>
      </c>
      <c r="N2806" s="45">
        <v>25000</v>
      </c>
      <c r="O2806" s="4" t="s">
        <v>276</v>
      </c>
      <c r="P2806" s="45">
        <f>13625+1125+4000</f>
        <v>18750</v>
      </c>
      <c r="Q2806" s="3">
        <f t="shared" ref="Q2806:Q2811" si="445">IF(P2806="en cours",N2806,IF(P2806="OK",0,IF(N2806-P2806&lt;0,0,N2806-P2806)))</f>
        <v>6250</v>
      </c>
      <c r="R2806" s="3">
        <f t="shared" ref="R2806:R2811" si="446">IF(P2806="OK",N2806-Q2806,IF(P2806="en cours",N2806-Q2806,P2806))</f>
        <v>18750</v>
      </c>
    </row>
    <row r="2807" spans="2:18" hidden="1" x14ac:dyDescent="0.25">
      <c r="B2807" s="21" t="s">
        <v>395</v>
      </c>
      <c r="C2807" s="22" t="s">
        <v>2450</v>
      </c>
      <c r="D2807" s="22"/>
      <c r="E2807" s="21" t="s">
        <v>10</v>
      </c>
      <c r="F2807" s="21" t="s">
        <v>9721</v>
      </c>
      <c r="G2807" s="147" t="s">
        <v>6506</v>
      </c>
      <c r="H2807" s="23" t="s">
        <v>13400</v>
      </c>
      <c r="I2807" s="23" t="s">
        <v>13406</v>
      </c>
      <c r="J2807" s="21" t="s">
        <v>6557</v>
      </c>
      <c r="K2807" s="21"/>
      <c r="L2807" s="21" t="s">
        <v>13824</v>
      </c>
      <c r="M2807" s="26">
        <v>46030</v>
      </c>
      <c r="N2807" s="44">
        <v>3210</v>
      </c>
      <c r="O2807" s="22" t="s">
        <v>15</v>
      </c>
      <c r="P2807" s="44">
        <v>3210</v>
      </c>
      <c r="Q2807" s="24">
        <f t="shared" si="445"/>
        <v>0</v>
      </c>
      <c r="R2807" s="24">
        <f t="shared" si="446"/>
        <v>3210</v>
      </c>
    </row>
    <row r="2808" spans="2:18" hidden="1" x14ac:dyDescent="0.25">
      <c r="B2808" s="21" t="s">
        <v>395</v>
      </c>
      <c r="C2808" s="22" t="s">
        <v>2450</v>
      </c>
      <c r="D2808" s="22"/>
      <c r="E2808" s="21" t="s">
        <v>10</v>
      </c>
      <c r="F2808" s="21" t="s">
        <v>9721</v>
      </c>
      <c r="G2808" s="147" t="s">
        <v>9989</v>
      </c>
      <c r="H2808" s="23" t="s">
        <v>13407</v>
      </c>
      <c r="I2808" s="23" t="s">
        <v>13408</v>
      </c>
      <c r="J2808" s="21" t="s">
        <v>6557</v>
      </c>
      <c r="K2808" s="21"/>
      <c r="L2808" s="21" t="s">
        <v>13446</v>
      </c>
      <c r="M2808" s="26">
        <v>45995</v>
      </c>
      <c r="N2808" s="44">
        <v>1114.8</v>
      </c>
      <c r="O2808" s="22" t="s">
        <v>15</v>
      </c>
      <c r="P2808" s="44">
        <v>1114.8</v>
      </c>
      <c r="Q2808" s="24">
        <f t="shared" si="445"/>
        <v>0</v>
      </c>
      <c r="R2808" s="24">
        <f t="shared" si="446"/>
        <v>1114.8</v>
      </c>
    </row>
    <row r="2809" spans="2:18" hidden="1" x14ac:dyDescent="0.25">
      <c r="B2809" s="21" t="s">
        <v>395</v>
      </c>
      <c r="C2809" s="22" t="s">
        <v>158</v>
      </c>
      <c r="D2809" s="22"/>
      <c r="E2809" s="21" t="s">
        <v>0</v>
      </c>
      <c r="F2809" s="21" t="s">
        <v>13300</v>
      </c>
      <c r="G2809" s="147" t="s">
        <v>13409</v>
      </c>
      <c r="H2809" s="23" t="s">
        <v>13410</v>
      </c>
      <c r="I2809" s="23" t="s">
        <v>13411</v>
      </c>
      <c r="J2809" s="21" t="s">
        <v>13412</v>
      </c>
      <c r="K2809" s="21"/>
      <c r="L2809" s="21" t="s">
        <v>13830</v>
      </c>
      <c r="M2809" s="26">
        <v>46023</v>
      </c>
      <c r="N2809" s="44">
        <v>1751.7</v>
      </c>
      <c r="O2809" s="22" t="s">
        <v>15</v>
      </c>
      <c r="P2809" s="44">
        <v>1751.7</v>
      </c>
      <c r="Q2809" s="24">
        <f t="shared" si="445"/>
        <v>0</v>
      </c>
      <c r="R2809" s="24">
        <f t="shared" si="446"/>
        <v>1751.7</v>
      </c>
    </row>
    <row r="2810" spans="2:18" hidden="1" x14ac:dyDescent="0.25">
      <c r="B2810" s="21" t="s">
        <v>395</v>
      </c>
      <c r="C2810" s="22" t="s">
        <v>158</v>
      </c>
      <c r="D2810" s="22"/>
      <c r="E2810" s="21" t="s">
        <v>0</v>
      </c>
      <c r="F2810" s="21" t="s">
        <v>13300</v>
      </c>
      <c r="G2810" s="147" t="s">
        <v>13409</v>
      </c>
      <c r="H2810" s="23" t="s">
        <v>13413</v>
      </c>
      <c r="I2810" s="23" t="s">
        <v>13414</v>
      </c>
      <c r="J2810" s="21" t="s">
        <v>13415</v>
      </c>
      <c r="K2810" s="21"/>
      <c r="L2810" s="21" t="s">
        <v>13641</v>
      </c>
      <c r="M2810" s="26">
        <v>46009</v>
      </c>
      <c r="N2810" s="44">
        <v>1971.69</v>
      </c>
      <c r="O2810" s="22" t="s">
        <v>15</v>
      </c>
      <c r="P2810" s="44">
        <v>1971.69</v>
      </c>
      <c r="Q2810" s="24">
        <f t="shared" si="445"/>
        <v>0</v>
      </c>
      <c r="R2810" s="24">
        <f t="shared" si="446"/>
        <v>1971.69</v>
      </c>
    </row>
    <row r="2811" spans="2:18" hidden="1" x14ac:dyDescent="0.25">
      <c r="B2811" s="21" t="s">
        <v>395</v>
      </c>
      <c r="C2811" s="22" t="s">
        <v>158</v>
      </c>
      <c r="D2811" s="22"/>
      <c r="E2811" s="21" t="s">
        <v>10</v>
      </c>
      <c r="F2811" s="21" t="s">
        <v>9721</v>
      </c>
      <c r="G2811" s="147" t="s">
        <v>11065</v>
      </c>
      <c r="H2811" s="23" t="s">
        <v>13416</v>
      </c>
      <c r="I2811" s="23" t="s">
        <v>13417</v>
      </c>
      <c r="J2811" s="21" t="s">
        <v>6557</v>
      </c>
      <c r="K2811" s="21"/>
      <c r="L2811" s="21" t="s">
        <v>13663</v>
      </c>
      <c r="M2811" s="26" t="s">
        <v>13664</v>
      </c>
      <c r="N2811" s="44">
        <v>337.89</v>
      </c>
      <c r="O2811" s="22" t="s">
        <v>15</v>
      </c>
      <c r="P2811" s="44">
        <f>283.29+54.6</f>
        <v>337.89000000000004</v>
      </c>
      <c r="Q2811" s="24">
        <f t="shared" si="445"/>
        <v>0</v>
      </c>
      <c r="R2811" s="24">
        <f t="shared" si="446"/>
        <v>337.89000000000004</v>
      </c>
    </row>
    <row r="2812" spans="2:18" hidden="1" x14ac:dyDescent="0.25">
      <c r="C2812" s="4" t="s">
        <v>1940</v>
      </c>
      <c r="E2812" s="5" t="s">
        <v>0</v>
      </c>
      <c r="F2812" s="5" t="s">
        <v>13300</v>
      </c>
      <c r="G2812" s="146" t="s">
        <v>2192</v>
      </c>
      <c r="H2812" s="7" t="s">
        <v>13418</v>
      </c>
      <c r="J2812" s="5" t="s">
        <v>13631</v>
      </c>
      <c r="L2812" s="5" t="s">
        <v>13630</v>
      </c>
      <c r="M2812" s="12">
        <v>45989</v>
      </c>
      <c r="N2812" s="45">
        <v>1693</v>
      </c>
      <c r="O2812" s="4" t="s">
        <v>15</v>
      </c>
      <c r="P2812" s="45">
        <f>1693</f>
        <v>1693</v>
      </c>
      <c r="Q2812" s="3">
        <f t="shared" ref="Q2812:Q2814" si="447">IF(P2812="en cours",N2812,IF(P2812="OK",0,IF(N2812-P2812&lt;0,0,N2812-P2812)))</f>
        <v>0</v>
      </c>
      <c r="R2812" s="3">
        <f t="shared" ref="R2812:R2814" si="448">IF(P2812="OK",N2812-Q2812,IF(P2812="en cours",N2812-Q2812,P2812))</f>
        <v>1693</v>
      </c>
    </row>
    <row r="2813" spans="2:18" hidden="1" x14ac:dyDescent="0.25">
      <c r="B2813" s="21" t="s">
        <v>395</v>
      </c>
      <c r="C2813" s="22" t="s">
        <v>2450</v>
      </c>
      <c r="D2813" s="22"/>
      <c r="E2813" s="21" t="s">
        <v>0</v>
      </c>
      <c r="F2813" s="21" t="s">
        <v>13327</v>
      </c>
      <c r="G2813" s="147" t="s">
        <v>7266</v>
      </c>
      <c r="H2813" s="23" t="s">
        <v>13447</v>
      </c>
      <c r="I2813" s="23" t="s">
        <v>13448</v>
      </c>
      <c r="J2813" s="21" t="s">
        <v>13449</v>
      </c>
      <c r="K2813" s="47"/>
      <c r="L2813" s="21" t="s">
        <v>13450</v>
      </c>
      <c r="M2813" s="26">
        <v>45986</v>
      </c>
      <c r="N2813" s="44">
        <v>7200</v>
      </c>
      <c r="O2813" s="22" t="s">
        <v>15</v>
      </c>
      <c r="P2813" s="44">
        <v>7200</v>
      </c>
      <c r="Q2813" s="24">
        <f t="shared" si="447"/>
        <v>0</v>
      </c>
      <c r="R2813" s="24">
        <f t="shared" si="448"/>
        <v>7200</v>
      </c>
    </row>
    <row r="2814" spans="2:18" hidden="1" x14ac:dyDescent="0.25">
      <c r="B2814" s="21" t="s">
        <v>395</v>
      </c>
      <c r="C2814" s="22" t="s">
        <v>158</v>
      </c>
      <c r="D2814" s="22"/>
      <c r="E2814" s="21" t="s">
        <v>9707</v>
      </c>
      <c r="F2814" s="21" t="s">
        <v>12316</v>
      </c>
      <c r="G2814" s="147" t="s">
        <v>9536</v>
      </c>
      <c r="H2814" s="23" t="s">
        <v>13563</v>
      </c>
      <c r="I2814" s="23" t="s">
        <v>13564</v>
      </c>
      <c r="J2814" s="21" t="s">
        <v>13453</v>
      </c>
      <c r="K2814" s="21"/>
      <c r="L2814" s="21" t="s">
        <v>14395</v>
      </c>
      <c r="M2814" s="26">
        <v>46002</v>
      </c>
      <c r="N2814" s="44">
        <v>24887.16</v>
      </c>
      <c r="O2814" s="22" t="s">
        <v>276</v>
      </c>
      <c r="P2814" s="44">
        <v>24887.16</v>
      </c>
      <c r="Q2814" s="44">
        <f t="shared" si="447"/>
        <v>0</v>
      </c>
      <c r="R2814" s="24">
        <f t="shared" si="448"/>
        <v>24887.16</v>
      </c>
    </row>
    <row r="2815" spans="2:18" hidden="1" x14ac:dyDescent="0.25">
      <c r="C2815" s="4" t="s">
        <v>158</v>
      </c>
      <c r="E2815" s="5" t="s">
        <v>9707</v>
      </c>
      <c r="F2815" s="5" t="s">
        <v>12316</v>
      </c>
      <c r="G2815" s="146" t="s">
        <v>9536</v>
      </c>
      <c r="H2815" s="7" t="s">
        <v>13563</v>
      </c>
      <c r="I2815" s="7" t="s">
        <v>13564</v>
      </c>
      <c r="J2815" s="5" t="s">
        <v>13452</v>
      </c>
      <c r="L2815" s="5" t="s">
        <v>14396</v>
      </c>
      <c r="M2815" s="7" t="s">
        <v>14397</v>
      </c>
      <c r="N2815" s="45">
        <f>497743.2-24887.16</f>
        <v>472856.04000000004</v>
      </c>
      <c r="O2815" s="4" t="s">
        <v>276</v>
      </c>
      <c r="P2815" s="45">
        <f>15314+9222</f>
        <v>24536</v>
      </c>
      <c r="Q2815" s="45">
        <f t="shared" ref="Q2815" si="449">IF(P2815="en cours",N2815,IF(P2815="OK",0,IF(N2815-P2815&lt;0,0,N2815-P2815)))</f>
        <v>448320.04000000004</v>
      </c>
      <c r="R2815" s="3">
        <f t="shared" ref="R2815" si="450">IF(P2815="OK",N2815-Q2815,IF(P2815="en cours",N2815-Q2815,P2815))</f>
        <v>24536</v>
      </c>
    </row>
    <row r="2816" spans="2:18" hidden="1" x14ac:dyDescent="0.25">
      <c r="C2816" s="4" t="s">
        <v>158</v>
      </c>
      <c r="E2816" s="5" t="s">
        <v>159</v>
      </c>
      <c r="F2816" s="5" t="s">
        <v>13462</v>
      </c>
      <c r="G2816" s="146" t="s">
        <v>9722</v>
      </c>
      <c r="H2816" s="7" t="s">
        <v>13459</v>
      </c>
      <c r="I2816" s="7" t="s">
        <v>13460</v>
      </c>
      <c r="J2816" s="5" t="s">
        <v>13461</v>
      </c>
      <c r="L2816" s="5" t="s">
        <v>14372</v>
      </c>
      <c r="M2816" s="12" t="s">
        <v>14373</v>
      </c>
      <c r="N2816" s="45">
        <v>10750</v>
      </c>
      <c r="O2816" s="4" t="s">
        <v>15</v>
      </c>
      <c r="P2816" s="45">
        <f>1500+1500</f>
        <v>3000</v>
      </c>
      <c r="Q2816" s="45">
        <f t="shared" ref="Q2816:Q2825" si="451">IF(P2816="en cours",N2816,IF(P2816="OK",0,IF(N2816-P2816&lt;0,0,N2816-P2816)))</f>
        <v>7750</v>
      </c>
      <c r="R2816" s="3">
        <f t="shared" ref="R2816:R2825" si="452">IF(P2816="OK",N2816-Q2816,IF(P2816="en cours",N2816-Q2816,P2816))</f>
        <v>3000</v>
      </c>
    </row>
    <row r="2817" spans="1:20" s="165" customFormat="1" hidden="1" x14ac:dyDescent="0.25">
      <c r="A2817"/>
      <c r="B2817" s="21" t="s">
        <v>395</v>
      </c>
      <c r="C2817" s="22" t="s">
        <v>158</v>
      </c>
      <c r="D2817" s="22"/>
      <c r="E2817" s="21" t="s">
        <v>10</v>
      </c>
      <c r="F2817" s="21" t="s">
        <v>9721</v>
      </c>
      <c r="G2817" s="147" t="s">
        <v>7573</v>
      </c>
      <c r="H2817" s="23" t="s">
        <v>13499</v>
      </c>
      <c r="I2817" s="23" t="s">
        <v>13500</v>
      </c>
      <c r="J2817" s="21" t="s">
        <v>6557</v>
      </c>
      <c r="K2817" s="21"/>
      <c r="L2817" s="21" t="s">
        <v>13677</v>
      </c>
      <c r="M2817" s="26">
        <v>46007</v>
      </c>
      <c r="N2817" s="44">
        <v>220</v>
      </c>
      <c r="O2817" s="22" t="s">
        <v>15</v>
      </c>
      <c r="P2817" s="44">
        <v>220</v>
      </c>
      <c r="Q2817" s="24">
        <f t="shared" si="451"/>
        <v>0</v>
      </c>
      <c r="R2817" s="24">
        <f t="shared" si="452"/>
        <v>220</v>
      </c>
      <c r="S2817" s="21"/>
      <c r="T2817" s="21"/>
    </row>
    <row r="2818" spans="1:20" hidden="1" x14ac:dyDescent="0.25">
      <c r="B2818" s="21" t="s">
        <v>395</v>
      </c>
      <c r="C2818" s="22" t="s">
        <v>158</v>
      </c>
      <c r="D2818" s="22"/>
      <c r="E2818" s="21" t="s">
        <v>10</v>
      </c>
      <c r="F2818" s="21" t="s">
        <v>9721</v>
      </c>
      <c r="G2818" s="147" t="s">
        <v>1090</v>
      </c>
      <c r="H2818" s="23" t="s">
        <v>13501</v>
      </c>
      <c r="I2818" s="23" t="s">
        <v>13502</v>
      </c>
      <c r="J2818" s="21" t="s">
        <v>6557</v>
      </c>
      <c r="K2818" s="21"/>
      <c r="L2818" s="21" t="s">
        <v>13723</v>
      </c>
      <c r="M2818" s="26" t="s">
        <v>13724</v>
      </c>
      <c r="N2818" s="44">
        <v>1542.6</v>
      </c>
      <c r="O2818" s="22" t="s">
        <v>15</v>
      </c>
      <c r="P2818" s="44">
        <f>1026.9+515.7</f>
        <v>1542.6000000000001</v>
      </c>
      <c r="Q2818" s="24">
        <f t="shared" si="451"/>
        <v>0</v>
      </c>
      <c r="R2818" s="24">
        <f t="shared" si="452"/>
        <v>1542.6000000000001</v>
      </c>
    </row>
    <row r="2819" spans="1:20" hidden="1" x14ac:dyDescent="0.25">
      <c r="B2819" s="21" t="s">
        <v>395</v>
      </c>
      <c r="C2819" s="22" t="s">
        <v>158</v>
      </c>
      <c r="D2819" s="22"/>
      <c r="E2819" s="21" t="s">
        <v>10</v>
      </c>
      <c r="F2819" s="21" t="s">
        <v>9721</v>
      </c>
      <c r="G2819" s="147" t="s">
        <v>7313</v>
      </c>
      <c r="H2819" s="23" t="s">
        <v>13503</v>
      </c>
      <c r="I2819" s="23" t="s">
        <v>13504</v>
      </c>
      <c r="J2819" s="21" t="s">
        <v>6557</v>
      </c>
      <c r="K2819" s="21"/>
      <c r="L2819" s="21" t="s">
        <v>13627</v>
      </c>
      <c r="M2819" s="26">
        <v>46006</v>
      </c>
      <c r="N2819" s="44">
        <v>433.69</v>
      </c>
      <c r="O2819" s="22" t="s">
        <v>15</v>
      </c>
      <c r="P2819" s="44">
        <v>433.69</v>
      </c>
      <c r="Q2819" s="24">
        <f t="shared" si="451"/>
        <v>0</v>
      </c>
      <c r="R2819" s="24">
        <f t="shared" si="452"/>
        <v>433.69</v>
      </c>
    </row>
    <row r="2820" spans="1:20" hidden="1" x14ac:dyDescent="0.25">
      <c r="C2820" s="4" t="s">
        <v>12863</v>
      </c>
      <c r="E2820" s="5" t="s">
        <v>0</v>
      </c>
      <c r="F2820" s="5" t="s">
        <v>13300</v>
      </c>
      <c r="G2820" s="146" t="s">
        <v>509</v>
      </c>
      <c r="H2820" s="7" t="s">
        <v>13505</v>
      </c>
      <c r="J2820" s="5" t="s">
        <v>13506</v>
      </c>
      <c r="L2820" s="5" t="s">
        <v>14150</v>
      </c>
      <c r="M2820" s="12" t="s">
        <v>14151</v>
      </c>
      <c r="N2820" s="45">
        <v>80068.710000000006</v>
      </c>
      <c r="O2820" s="4" t="s">
        <v>15</v>
      </c>
      <c r="P2820" s="45">
        <f>8144+378+1332</f>
        <v>9854</v>
      </c>
      <c r="Q2820" s="45">
        <f t="shared" si="451"/>
        <v>70214.710000000006</v>
      </c>
      <c r="R2820" s="118">
        <f t="shared" si="452"/>
        <v>9854</v>
      </c>
    </row>
    <row r="2821" spans="1:20" hidden="1" x14ac:dyDescent="0.25">
      <c r="C2821" s="4" t="s">
        <v>13507</v>
      </c>
      <c r="E2821" s="5" t="s">
        <v>75</v>
      </c>
      <c r="F2821" s="5" t="s">
        <v>9755</v>
      </c>
      <c r="G2821" s="146" t="s">
        <v>7453</v>
      </c>
      <c r="H2821" s="7" t="s">
        <v>13508</v>
      </c>
      <c r="I2821" s="7" t="s">
        <v>13509</v>
      </c>
      <c r="J2821" s="5" t="s">
        <v>13510</v>
      </c>
      <c r="N2821" s="45">
        <v>280753</v>
      </c>
      <c r="O2821" s="4" t="s">
        <v>15</v>
      </c>
      <c r="Q2821" s="45">
        <f t="shared" si="451"/>
        <v>280753</v>
      </c>
      <c r="R2821" s="118">
        <f t="shared" si="452"/>
        <v>0</v>
      </c>
    </row>
    <row r="2822" spans="1:20" hidden="1" x14ac:dyDescent="0.25">
      <c r="B2822" s="21" t="s">
        <v>395</v>
      </c>
      <c r="C2822" s="22" t="s">
        <v>2450</v>
      </c>
      <c r="D2822" s="22"/>
      <c r="E2822" s="21" t="s">
        <v>0</v>
      </c>
      <c r="F2822" s="21" t="s">
        <v>9823</v>
      </c>
      <c r="G2822" s="147" t="s">
        <v>8757</v>
      </c>
      <c r="H2822" s="23" t="s">
        <v>13515</v>
      </c>
      <c r="I2822" s="23" t="s">
        <v>13516</v>
      </c>
      <c r="J2822" s="21" t="s">
        <v>11520</v>
      </c>
      <c r="K2822" s="21"/>
      <c r="L2822" s="21" t="s">
        <v>13658</v>
      </c>
      <c r="M2822" s="26">
        <v>45996</v>
      </c>
      <c r="N2822" s="44">
        <v>3500</v>
      </c>
      <c r="O2822" s="22" t="s">
        <v>337</v>
      </c>
      <c r="P2822" s="44">
        <v>3500</v>
      </c>
      <c r="Q2822" s="24">
        <f t="shared" si="451"/>
        <v>0</v>
      </c>
      <c r="R2822" s="24">
        <f t="shared" si="452"/>
        <v>3500</v>
      </c>
    </row>
    <row r="2823" spans="1:20" hidden="1" x14ac:dyDescent="0.25">
      <c r="C2823" s="4" t="s">
        <v>8972</v>
      </c>
      <c r="E2823" s="5" t="s">
        <v>75</v>
      </c>
      <c r="F2823" s="5" t="s">
        <v>9783</v>
      </c>
      <c r="G2823" s="146" t="s">
        <v>7232</v>
      </c>
      <c r="H2823" s="7" t="s">
        <v>13518</v>
      </c>
      <c r="I2823" s="7" t="s">
        <v>13519</v>
      </c>
      <c r="J2823" s="5" t="s">
        <v>13517</v>
      </c>
      <c r="N2823" s="45">
        <v>5500</v>
      </c>
      <c r="O2823" s="4" t="s">
        <v>276</v>
      </c>
      <c r="Q2823" s="45">
        <f t="shared" si="451"/>
        <v>5500</v>
      </c>
      <c r="R2823" s="118">
        <f t="shared" si="452"/>
        <v>0</v>
      </c>
    </row>
    <row r="2824" spans="1:20" hidden="1" x14ac:dyDescent="0.25">
      <c r="C2824" s="4" t="s">
        <v>2450</v>
      </c>
      <c r="E2824" s="5" t="s">
        <v>75</v>
      </c>
      <c r="F2824" s="5" t="s">
        <v>9819</v>
      </c>
      <c r="G2824" s="146" t="s">
        <v>9295</v>
      </c>
      <c r="H2824" s="7" t="s">
        <v>13520</v>
      </c>
      <c r="I2824" s="7" t="s">
        <v>13521</v>
      </c>
      <c r="J2824" s="5" t="s">
        <v>13522</v>
      </c>
      <c r="L2824" s="5" t="s">
        <v>13693</v>
      </c>
      <c r="M2824" s="12">
        <v>46021</v>
      </c>
      <c r="N2824" s="45">
        <v>38019</v>
      </c>
      <c r="O2824" s="4" t="s">
        <v>15</v>
      </c>
      <c r="P2824" s="45">
        <f>19010</f>
        <v>19010</v>
      </c>
      <c r="Q2824" s="45">
        <f t="shared" si="451"/>
        <v>19009</v>
      </c>
      <c r="R2824" s="118">
        <f t="shared" si="452"/>
        <v>19010</v>
      </c>
    </row>
    <row r="2825" spans="1:20" hidden="1" x14ac:dyDescent="0.25">
      <c r="C2825" s="4" t="s">
        <v>6267</v>
      </c>
      <c r="E2825" s="5" t="s">
        <v>75</v>
      </c>
      <c r="F2825" s="5" t="s">
        <v>13525</v>
      </c>
      <c r="G2825" s="146" t="s">
        <v>12283</v>
      </c>
      <c r="H2825" s="7" t="s">
        <v>13523</v>
      </c>
      <c r="I2825" s="7" t="s">
        <v>13524</v>
      </c>
      <c r="J2825" s="5" t="s">
        <v>13528</v>
      </c>
      <c r="L2825" s="5" t="s">
        <v>13692</v>
      </c>
      <c r="M2825" s="12">
        <v>46015</v>
      </c>
      <c r="N2825" s="45">
        <v>14185.49</v>
      </c>
      <c r="O2825" s="4" t="s">
        <v>15</v>
      </c>
      <c r="P2825" s="45">
        <f>2360.48</f>
        <v>2360.48</v>
      </c>
      <c r="Q2825" s="45">
        <f t="shared" si="451"/>
        <v>11825.01</v>
      </c>
      <c r="R2825" s="45">
        <f t="shared" si="452"/>
        <v>2360.48</v>
      </c>
    </row>
    <row r="2826" spans="1:20" hidden="1" x14ac:dyDescent="0.25">
      <c r="C2826" s="4" t="s">
        <v>6675</v>
      </c>
      <c r="E2826" s="5" t="s">
        <v>75</v>
      </c>
      <c r="F2826" s="5" t="s">
        <v>13525</v>
      </c>
      <c r="G2826" s="146" t="s">
        <v>12283</v>
      </c>
      <c r="H2826" s="7" t="s">
        <v>13526</v>
      </c>
      <c r="I2826" s="7" t="s">
        <v>13527</v>
      </c>
      <c r="J2826" s="5" t="s">
        <v>13529</v>
      </c>
      <c r="L2826" s="5" t="s">
        <v>13691</v>
      </c>
      <c r="M2826" s="12">
        <v>46015</v>
      </c>
      <c r="N2826" s="45">
        <v>14014.61</v>
      </c>
      <c r="O2826" s="4" t="s">
        <v>15</v>
      </c>
      <c r="P2826" s="45">
        <f>2360.48</f>
        <v>2360.48</v>
      </c>
      <c r="Q2826" s="45">
        <f t="shared" ref="Q2826:Q2833" si="453">IF(P2826="en cours",N2826,IF(P2826="OK",0,IF(N2826-P2826&lt;0,0,N2826-P2826)))</f>
        <v>11654.130000000001</v>
      </c>
      <c r="R2826" s="45">
        <f t="shared" ref="R2826:R2833" si="454">IF(P2826="OK",N2826-Q2826,IF(P2826="en cours",N2826-Q2826,P2826))</f>
        <v>2360.48</v>
      </c>
    </row>
    <row r="2827" spans="1:20" hidden="1" x14ac:dyDescent="0.25">
      <c r="B2827" s="21" t="s">
        <v>395</v>
      </c>
      <c r="C2827" s="22" t="s">
        <v>158</v>
      </c>
      <c r="D2827" s="22"/>
      <c r="E2827" s="21" t="s">
        <v>0</v>
      </c>
      <c r="F2827" s="21" t="s">
        <v>11538</v>
      </c>
      <c r="G2827" s="147" t="s">
        <v>13358</v>
      </c>
      <c r="H2827" s="23" t="s">
        <v>13530</v>
      </c>
      <c r="I2827" s="23" t="s">
        <v>13531</v>
      </c>
      <c r="J2827" s="21" t="s">
        <v>13981</v>
      </c>
      <c r="K2827" s="21"/>
      <c r="L2827" s="21" t="s">
        <v>13985</v>
      </c>
      <c r="M2827" s="26">
        <v>46052</v>
      </c>
      <c r="N2827" s="44">
        <f>0.4*105000</f>
        <v>42000</v>
      </c>
      <c r="O2827" s="22" t="s">
        <v>276</v>
      </c>
      <c r="P2827" s="44">
        <v>42000</v>
      </c>
      <c r="Q2827" s="24">
        <f t="shared" si="453"/>
        <v>0</v>
      </c>
      <c r="R2827" s="24">
        <f t="shared" si="454"/>
        <v>42000</v>
      </c>
    </row>
    <row r="2828" spans="1:20" hidden="1" x14ac:dyDescent="0.25">
      <c r="C2828" s="4" t="s">
        <v>158</v>
      </c>
      <c r="E2828" s="5" t="s">
        <v>0</v>
      </c>
      <c r="F2828" s="5" t="s">
        <v>11538</v>
      </c>
      <c r="G2828" s="146" t="s">
        <v>13358</v>
      </c>
      <c r="H2828" s="7" t="s">
        <v>13530</v>
      </c>
      <c r="I2828" s="7" t="s">
        <v>13531</v>
      </c>
      <c r="J2828" s="5" t="s">
        <v>13982</v>
      </c>
      <c r="N2828" s="45">
        <f>0.2*105000</f>
        <v>21000</v>
      </c>
      <c r="O2828" s="4" t="s">
        <v>276</v>
      </c>
      <c r="Q2828" s="3">
        <f t="shared" si="453"/>
        <v>21000</v>
      </c>
      <c r="R2828" s="3">
        <f t="shared" si="454"/>
        <v>0</v>
      </c>
    </row>
    <row r="2829" spans="1:20" hidden="1" x14ac:dyDescent="0.25">
      <c r="C2829" s="4" t="s">
        <v>158</v>
      </c>
      <c r="E2829" s="5" t="s">
        <v>0</v>
      </c>
      <c r="F2829" s="5" t="s">
        <v>11538</v>
      </c>
      <c r="G2829" s="146" t="s">
        <v>13358</v>
      </c>
      <c r="H2829" s="7" t="s">
        <v>13530</v>
      </c>
      <c r="I2829" s="7" t="s">
        <v>13531</v>
      </c>
      <c r="J2829" s="5" t="s">
        <v>13983</v>
      </c>
      <c r="N2829" s="45">
        <f t="shared" ref="N2829:N2830" si="455">0.2*105000</f>
        <v>21000</v>
      </c>
      <c r="O2829" s="4" t="s">
        <v>276</v>
      </c>
      <c r="Q2829" s="3">
        <f t="shared" ref="Q2829" si="456">IF(P2829="en cours",N2829,IF(P2829="OK",0,IF(N2829-P2829&lt;0,0,N2829-P2829)))</f>
        <v>21000</v>
      </c>
      <c r="R2829" s="3">
        <f t="shared" ref="R2829" si="457">IF(P2829="OK",N2829-Q2829,IF(P2829="en cours",N2829-Q2829,P2829))</f>
        <v>0</v>
      </c>
    </row>
    <row r="2830" spans="1:20" hidden="1" x14ac:dyDescent="0.25">
      <c r="C2830" s="4" t="s">
        <v>158</v>
      </c>
      <c r="E2830" s="5" t="s">
        <v>0</v>
      </c>
      <c r="F2830" s="5" t="s">
        <v>11538</v>
      </c>
      <c r="G2830" s="146" t="s">
        <v>13358</v>
      </c>
      <c r="H2830" s="7" t="s">
        <v>13530</v>
      </c>
      <c r="I2830" s="7" t="s">
        <v>13531</v>
      </c>
      <c r="J2830" s="5" t="s">
        <v>13984</v>
      </c>
      <c r="N2830" s="45">
        <f t="shared" si="455"/>
        <v>21000</v>
      </c>
      <c r="O2830" s="4" t="s">
        <v>276</v>
      </c>
      <c r="Q2830" s="3">
        <f t="shared" si="453"/>
        <v>21000</v>
      </c>
      <c r="R2830" s="3">
        <f t="shared" si="454"/>
        <v>0</v>
      </c>
    </row>
    <row r="2831" spans="1:20" hidden="1" x14ac:dyDescent="0.25">
      <c r="B2831" s="21" t="s">
        <v>395</v>
      </c>
      <c r="C2831" s="22" t="s">
        <v>2450</v>
      </c>
      <c r="D2831" s="22"/>
      <c r="E2831" s="21" t="s">
        <v>0</v>
      </c>
      <c r="F2831" s="21" t="s">
        <v>11538</v>
      </c>
      <c r="G2831" s="147" t="s">
        <v>11668</v>
      </c>
      <c r="H2831" s="23" t="s">
        <v>13532</v>
      </c>
      <c r="I2831" s="23" t="s">
        <v>13536</v>
      </c>
      <c r="J2831" s="21" t="s">
        <v>13695</v>
      </c>
      <c r="K2831" s="21"/>
      <c r="L2831" s="21" t="s">
        <v>13880</v>
      </c>
      <c r="M2831" s="26">
        <v>46043</v>
      </c>
      <c r="N2831" s="44">
        <v>31755</v>
      </c>
      <c r="O2831" s="22" t="s">
        <v>341</v>
      </c>
      <c r="P2831" s="44">
        <v>31755</v>
      </c>
      <c r="Q2831" s="24">
        <f t="shared" si="453"/>
        <v>0</v>
      </c>
      <c r="R2831" s="24">
        <f t="shared" si="454"/>
        <v>31755</v>
      </c>
    </row>
    <row r="2832" spans="1:20" hidden="1" x14ac:dyDescent="0.25">
      <c r="C2832" s="4" t="s">
        <v>2450</v>
      </c>
      <c r="E2832" s="5" t="s">
        <v>10</v>
      </c>
      <c r="F2832" s="5" t="s">
        <v>13525</v>
      </c>
      <c r="G2832" s="146" t="s">
        <v>11153</v>
      </c>
      <c r="H2832" s="7" t="s">
        <v>13537</v>
      </c>
      <c r="I2832" s="7" t="s">
        <v>13538</v>
      </c>
      <c r="J2832" s="5" t="s">
        <v>13539</v>
      </c>
      <c r="N2832" s="45">
        <v>9000</v>
      </c>
      <c r="O2832" s="4" t="s">
        <v>15</v>
      </c>
      <c r="Q2832" s="45">
        <f t="shared" si="453"/>
        <v>9000</v>
      </c>
      <c r="R2832" s="3">
        <f t="shared" si="454"/>
        <v>0</v>
      </c>
    </row>
    <row r="2833" spans="2:19" hidden="1" x14ac:dyDescent="0.25">
      <c r="C2833" s="4" t="s">
        <v>2450</v>
      </c>
      <c r="E2833" s="5" t="s">
        <v>10</v>
      </c>
      <c r="F2833" s="5" t="s">
        <v>13525</v>
      </c>
      <c r="G2833" s="146" t="s">
        <v>11153</v>
      </c>
      <c r="H2833" s="7" t="s">
        <v>13537</v>
      </c>
      <c r="I2833" s="7" t="s">
        <v>13538</v>
      </c>
      <c r="J2833" s="5" t="s">
        <v>13540</v>
      </c>
      <c r="N2833" s="45">
        <f>53710.5-9000</f>
        <v>44710.5</v>
      </c>
      <c r="O2833" s="4" t="s">
        <v>15</v>
      </c>
      <c r="Q2833" s="45">
        <f t="shared" si="453"/>
        <v>44710.5</v>
      </c>
      <c r="R2833" s="3">
        <f t="shared" si="454"/>
        <v>0</v>
      </c>
    </row>
    <row r="2834" spans="2:19" hidden="1" x14ac:dyDescent="0.25">
      <c r="B2834" s="21" t="s">
        <v>395</v>
      </c>
      <c r="C2834" s="22" t="s">
        <v>2450</v>
      </c>
      <c r="D2834" s="22"/>
      <c r="E2834" s="21" t="s">
        <v>75</v>
      </c>
      <c r="F2834" s="21" t="s">
        <v>9755</v>
      </c>
      <c r="G2834" s="147" t="s">
        <v>7453</v>
      </c>
      <c r="H2834" s="23" t="s">
        <v>13541</v>
      </c>
      <c r="I2834" s="23" t="s">
        <v>13542</v>
      </c>
      <c r="J2834" s="21" t="s">
        <v>13543</v>
      </c>
      <c r="K2834" s="21"/>
      <c r="L2834" s="21" t="s">
        <v>13686</v>
      </c>
      <c r="M2834" s="26">
        <v>46013</v>
      </c>
      <c r="N2834" s="44">
        <f>0.5*24204</f>
        <v>12102</v>
      </c>
      <c r="O2834" s="22" t="s">
        <v>15</v>
      </c>
      <c r="P2834" s="44">
        <v>12102</v>
      </c>
      <c r="Q2834" s="44">
        <f t="shared" ref="Q2834:Q2835" si="458">IF(P2834="en cours",N2834,IF(P2834="OK",0,IF(N2834-P2834&lt;0,0,N2834-P2834)))</f>
        <v>0</v>
      </c>
      <c r="R2834" s="24">
        <f t="shared" ref="R2834:R2835" si="459">IF(P2834="OK",N2834-Q2834,IF(P2834="en cours",N2834-Q2834,P2834))</f>
        <v>12102</v>
      </c>
      <c r="S2834" s="21"/>
    </row>
    <row r="2835" spans="2:19" hidden="1" x14ac:dyDescent="0.25">
      <c r="C2835" s="4" t="s">
        <v>2450</v>
      </c>
      <c r="E2835" s="5" t="s">
        <v>75</v>
      </c>
      <c r="F2835" s="5" t="s">
        <v>9755</v>
      </c>
      <c r="G2835" s="146" t="s">
        <v>7453</v>
      </c>
      <c r="H2835" s="7" t="s">
        <v>13541</v>
      </c>
      <c r="I2835" s="7" t="s">
        <v>13542</v>
      </c>
      <c r="J2835" s="5" t="s">
        <v>13544</v>
      </c>
      <c r="N2835" s="45">
        <f>0.5*24204</f>
        <v>12102</v>
      </c>
      <c r="O2835" s="4" t="s">
        <v>15</v>
      </c>
      <c r="Q2835" s="45">
        <f t="shared" si="458"/>
        <v>12102</v>
      </c>
      <c r="R2835" s="3">
        <f t="shared" si="459"/>
        <v>0</v>
      </c>
    </row>
    <row r="2836" spans="2:19" hidden="1" x14ac:dyDescent="0.25">
      <c r="C2836" s="4" t="s">
        <v>2450</v>
      </c>
      <c r="E2836" s="5" t="s">
        <v>0</v>
      </c>
      <c r="F2836" s="5" t="s">
        <v>13545</v>
      </c>
      <c r="G2836" s="146" t="s">
        <v>8633</v>
      </c>
      <c r="H2836" s="7" t="s">
        <v>13546</v>
      </c>
      <c r="I2836" s="7" t="s">
        <v>13547</v>
      </c>
      <c r="J2836" s="5" t="s">
        <v>13548</v>
      </c>
      <c r="N2836" s="45">
        <f>0.5*197350</f>
        <v>98675</v>
      </c>
      <c r="O2836" s="4" t="s">
        <v>15</v>
      </c>
      <c r="Q2836" s="3">
        <f t="shared" ref="Q2836:Q2854" si="460">IF(P2836="en cours",N2836,IF(P2836="OK",0,IF(N2836-P2836&lt;0,0,N2836-P2836)))</f>
        <v>98675</v>
      </c>
      <c r="R2836" s="3">
        <f t="shared" ref="R2836:R2854" si="461">IF(P2836="OK",N2836-Q2836,IF(P2836="en cours",N2836-Q2836,P2836))</f>
        <v>0</v>
      </c>
    </row>
    <row r="2837" spans="2:19" hidden="1" x14ac:dyDescent="0.25">
      <c r="C2837" s="4" t="s">
        <v>2450</v>
      </c>
      <c r="E2837" s="5" t="s">
        <v>0</v>
      </c>
      <c r="F2837" s="5" t="s">
        <v>13545</v>
      </c>
      <c r="G2837" s="146" t="s">
        <v>8633</v>
      </c>
      <c r="H2837" s="7" t="s">
        <v>13546</v>
      </c>
      <c r="I2837" s="7" t="s">
        <v>13547</v>
      </c>
      <c r="J2837" s="5" t="s">
        <v>13549</v>
      </c>
      <c r="N2837" s="45">
        <f>0.5*197350</f>
        <v>98675</v>
      </c>
      <c r="O2837" s="4" t="s">
        <v>15</v>
      </c>
      <c r="Q2837" s="3">
        <f t="shared" si="460"/>
        <v>98675</v>
      </c>
      <c r="R2837" s="3">
        <f t="shared" si="461"/>
        <v>0</v>
      </c>
    </row>
    <row r="2838" spans="2:19" hidden="1" x14ac:dyDescent="0.25">
      <c r="C2838" s="4" t="s">
        <v>2450</v>
      </c>
      <c r="E2838" s="5" t="s">
        <v>0</v>
      </c>
      <c r="F2838" s="5" t="s">
        <v>13545</v>
      </c>
      <c r="G2838" s="146" t="s">
        <v>8633</v>
      </c>
      <c r="H2838" s="7" t="s">
        <v>13546</v>
      </c>
      <c r="I2838" s="7" t="s">
        <v>13547</v>
      </c>
      <c r="J2838" s="5" t="s">
        <v>13550</v>
      </c>
      <c r="N2838" s="45">
        <f>0.5*(157900+307900)</f>
        <v>232900</v>
      </c>
      <c r="O2838" s="4" t="s">
        <v>15</v>
      </c>
      <c r="Q2838" s="3">
        <f t="shared" si="460"/>
        <v>232900</v>
      </c>
      <c r="R2838" s="3">
        <f t="shared" si="461"/>
        <v>0</v>
      </c>
    </row>
    <row r="2839" spans="2:19" hidden="1" x14ac:dyDescent="0.25">
      <c r="C2839" s="4" t="s">
        <v>2450</v>
      </c>
      <c r="E2839" s="5" t="s">
        <v>0</v>
      </c>
      <c r="F2839" s="5" t="s">
        <v>13545</v>
      </c>
      <c r="G2839" s="146" t="s">
        <v>8633</v>
      </c>
      <c r="H2839" s="7" t="s">
        <v>13546</v>
      </c>
      <c r="I2839" s="7" t="s">
        <v>13547</v>
      </c>
      <c r="J2839" s="5" t="s">
        <v>13551</v>
      </c>
      <c r="N2839" s="45">
        <f>0.5*(157900+307900)</f>
        <v>232900</v>
      </c>
      <c r="O2839" s="4" t="s">
        <v>15</v>
      </c>
      <c r="Q2839" s="3">
        <f t="shared" si="460"/>
        <v>232900</v>
      </c>
      <c r="R2839" s="3">
        <f t="shared" si="461"/>
        <v>0</v>
      </c>
    </row>
    <row r="2840" spans="2:19" hidden="1" x14ac:dyDescent="0.25">
      <c r="C2840" s="4" t="s">
        <v>2450</v>
      </c>
      <c r="E2840" s="5" t="s">
        <v>0</v>
      </c>
      <c r="F2840" s="5" t="s">
        <v>13545</v>
      </c>
      <c r="G2840" s="146" t="s">
        <v>8633</v>
      </c>
      <c r="H2840" s="7" t="s">
        <v>13546</v>
      </c>
      <c r="I2840" s="7" t="s">
        <v>13547</v>
      </c>
      <c r="J2840" s="5" t="s">
        <v>13552</v>
      </c>
      <c r="N2840" s="45">
        <v>112300</v>
      </c>
      <c r="O2840" s="4" t="s">
        <v>15</v>
      </c>
      <c r="Q2840" s="3">
        <f t="shared" si="460"/>
        <v>112300</v>
      </c>
      <c r="R2840" s="3">
        <f t="shared" si="461"/>
        <v>0</v>
      </c>
    </row>
    <row r="2841" spans="2:19" hidden="1" x14ac:dyDescent="0.25">
      <c r="C2841" s="4" t="s">
        <v>2450</v>
      </c>
      <c r="E2841" s="5" t="s">
        <v>0</v>
      </c>
      <c r="F2841" s="5" t="s">
        <v>13545</v>
      </c>
      <c r="G2841" s="146" t="s">
        <v>8633</v>
      </c>
      <c r="H2841" s="7" t="s">
        <v>13546</v>
      </c>
      <c r="I2841" s="7" t="s">
        <v>13547</v>
      </c>
      <c r="J2841" s="5" t="s">
        <v>13553</v>
      </c>
      <c r="N2841" s="45">
        <f>0.4*(1135600+24900)</f>
        <v>464200</v>
      </c>
      <c r="O2841" s="4" t="s">
        <v>15</v>
      </c>
      <c r="Q2841" s="3">
        <f t="shared" si="460"/>
        <v>464200</v>
      </c>
      <c r="R2841" s="3">
        <f t="shared" si="461"/>
        <v>0</v>
      </c>
    </row>
    <row r="2842" spans="2:19" hidden="1" x14ac:dyDescent="0.25">
      <c r="C2842" s="4" t="s">
        <v>2450</v>
      </c>
      <c r="E2842" s="5" t="s">
        <v>0</v>
      </c>
      <c r="F2842" s="5" t="s">
        <v>13545</v>
      </c>
      <c r="G2842" s="146" t="s">
        <v>8633</v>
      </c>
      <c r="H2842" s="7" t="s">
        <v>13546</v>
      </c>
      <c r="I2842" s="7" t="s">
        <v>13547</v>
      </c>
      <c r="J2842" s="5" t="s">
        <v>13554</v>
      </c>
      <c r="N2842" s="45">
        <f>0.4*(1135600+24900)</f>
        <v>464200</v>
      </c>
      <c r="O2842" s="4" t="s">
        <v>15</v>
      </c>
      <c r="Q2842" s="3">
        <f t="shared" si="460"/>
        <v>464200</v>
      </c>
      <c r="R2842" s="3">
        <f t="shared" si="461"/>
        <v>0</v>
      </c>
    </row>
    <row r="2843" spans="2:19" hidden="1" x14ac:dyDescent="0.25">
      <c r="C2843" s="4" t="s">
        <v>2450</v>
      </c>
      <c r="E2843" s="5" t="s">
        <v>0</v>
      </c>
      <c r="F2843" s="5" t="s">
        <v>13545</v>
      </c>
      <c r="G2843" s="146" t="s">
        <v>8633</v>
      </c>
      <c r="H2843" s="7" t="s">
        <v>13546</v>
      </c>
      <c r="I2843" s="7" t="s">
        <v>13547</v>
      </c>
      <c r="J2843" s="5" t="s">
        <v>13555</v>
      </c>
      <c r="N2843" s="45">
        <f>0.2*(1135600+24900)+12000+18000</f>
        <v>262100</v>
      </c>
      <c r="O2843" s="4" t="s">
        <v>15</v>
      </c>
      <c r="Q2843" s="3">
        <f t="shared" si="460"/>
        <v>262100</v>
      </c>
      <c r="R2843" s="3">
        <f t="shared" si="461"/>
        <v>0</v>
      </c>
    </row>
    <row r="2844" spans="2:19" hidden="1" x14ac:dyDescent="0.25">
      <c r="C2844" s="4" t="s">
        <v>6047</v>
      </c>
      <c r="E2844" s="5" t="s">
        <v>75</v>
      </c>
      <c r="F2844" s="5" t="s">
        <v>9819</v>
      </c>
      <c r="G2844" s="146" t="s">
        <v>10232</v>
      </c>
      <c r="H2844" s="7" t="s">
        <v>13556</v>
      </c>
      <c r="I2844" s="7" t="s">
        <v>13557</v>
      </c>
      <c r="J2844" s="5" t="s">
        <v>13560</v>
      </c>
      <c r="L2844" s="5" t="s">
        <v>14336</v>
      </c>
      <c r="M2844" s="12" t="s">
        <v>14337</v>
      </c>
      <c r="N2844" s="45">
        <v>565705</v>
      </c>
      <c r="O2844" s="4" t="s">
        <v>15</v>
      </c>
      <c r="P2844" s="45">
        <f>183210+31386</f>
        <v>214596</v>
      </c>
      <c r="Q2844" s="3">
        <f t="shared" si="460"/>
        <v>351109</v>
      </c>
      <c r="R2844" s="3">
        <f t="shared" si="461"/>
        <v>214596</v>
      </c>
    </row>
    <row r="2845" spans="2:19" hidden="1" x14ac:dyDescent="0.25">
      <c r="B2845" s="21" t="s">
        <v>395</v>
      </c>
      <c r="C2845" s="22" t="s">
        <v>13507</v>
      </c>
      <c r="D2845" s="22"/>
      <c r="E2845" s="21" t="s">
        <v>75</v>
      </c>
      <c r="F2845" s="21" t="s">
        <v>10002</v>
      </c>
      <c r="G2845" s="147" t="s">
        <v>11668</v>
      </c>
      <c r="H2845" s="23" t="s">
        <v>13567</v>
      </c>
      <c r="I2845" s="23" t="s">
        <v>13568</v>
      </c>
      <c r="J2845" s="21" t="s">
        <v>13569</v>
      </c>
      <c r="K2845" s="21"/>
      <c r="L2845" s="21" t="s">
        <v>13649</v>
      </c>
      <c r="M2845" s="26">
        <v>46010</v>
      </c>
      <c r="N2845" s="44">
        <f>0.2*1697899</f>
        <v>339579.80000000005</v>
      </c>
      <c r="O2845" s="22" t="s">
        <v>341</v>
      </c>
      <c r="P2845" s="44">
        <f>339580</f>
        <v>339580</v>
      </c>
      <c r="Q2845" s="24">
        <f>IF(P2845="en cours",N2845,IF(P2845="OK",0,IF(N2845-P2845&lt;0,0,N2845-P2845)))</f>
        <v>0</v>
      </c>
      <c r="R2845" s="24">
        <f t="shared" si="461"/>
        <v>339580</v>
      </c>
    </row>
    <row r="2846" spans="2:19" hidden="1" x14ac:dyDescent="0.25">
      <c r="B2846" s="21" t="s">
        <v>395</v>
      </c>
      <c r="C2846" s="22" t="s">
        <v>13507</v>
      </c>
      <c r="D2846" s="22"/>
      <c r="E2846" s="21" t="s">
        <v>75</v>
      </c>
      <c r="F2846" s="21" t="s">
        <v>10002</v>
      </c>
      <c r="G2846" s="147" t="s">
        <v>11668</v>
      </c>
      <c r="H2846" s="23" t="s">
        <v>13567</v>
      </c>
      <c r="I2846" s="23" t="s">
        <v>13568</v>
      </c>
      <c r="J2846" s="21" t="s">
        <v>13570</v>
      </c>
      <c r="K2846" s="21"/>
      <c r="L2846" s="21" t="s">
        <v>13694</v>
      </c>
      <c r="M2846" s="26">
        <v>46021</v>
      </c>
      <c r="N2846" s="44">
        <f t="shared" ref="N2846" si="462">0.2*1697899</f>
        <v>339579.80000000005</v>
      </c>
      <c r="O2846" s="22" t="s">
        <v>341</v>
      </c>
      <c r="P2846" s="44">
        <v>339580</v>
      </c>
      <c r="Q2846" s="24">
        <f t="shared" si="460"/>
        <v>0</v>
      </c>
      <c r="R2846" s="24">
        <f t="shared" si="461"/>
        <v>339580</v>
      </c>
    </row>
    <row r="2847" spans="2:19" hidden="1" x14ac:dyDescent="0.25">
      <c r="C2847" s="4" t="s">
        <v>13507</v>
      </c>
      <c r="E2847" s="5" t="s">
        <v>75</v>
      </c>
      <c r="F2847" s="5" t="s">
        <v>10002</v>
      </c>
      <c r="G2847" s="146" t="s">
        <v>11668</v>
      </c>
      <c r="H2847" s="7" t="s">
        <v>14133</v>
      </c>
      <c r="I2847" s="7" t="s">
        <v>14052</v>
      </c>
      <c r="J2847" s="5" t="s">
        <v>13571</v>
      </c>
      <c r="N2847" s="45">
        <f>339580</f>
        <v>339580</v>
      </c>
      <c r="O2847" s="4" t="s">
        <v>341</v>
      </c>
      <c r="Q2847" s="3">
        <f t="shared" si="460"/>
        <v>339580</v>
      </c>
      <c r="R2847" s="3">
        <f t="shared" si="461"/>
        <v>0</v>
      </c>
    </row>
    <row r="2848" spans="2:19" hidden="1" x14ac:dyDescent="0.25">
      <c r="C2848" s="4" t="s">
        <v>13507</v>
      </c>
      <c r="E2848" s="5" t="s">
        <v>75</v>
      </c>
      <c r="F2848" s="5" t="s">
        <v>10002</v>
      </c>
      <c r="G2848" s="146" t="s">
        <v>11668</v>
      </c>
      <c r="H2848" s="7" t="s">
        <v>14133</v>
      </c>
      <c r="I2848" s="7" t="s">
        <v>14052</v>
      </c>
      <c r="J2848" s="5" t="s">
        <v>13572</v>
      </c>
      <c r="N2848" s="45">
        <f t="shared" ref="N2848:N2849" si="463">339580</f>
        <v>339580</v>
      </c>
      <c r="O2848" s="4" t="s">
        <v>341</v>
      </c>
      <c r="Q2848" s="3">
        <f t="shared" si="460"/>
        <v>339580</v>
      </c>
      <c r="R2848" s="3">
        <f t="shared" si="461"/>
        <v>0</v>
      </c>
    </row>
    <row r="2849" spans="2:18" hidden="1" x14ac:dyDescent="0.25">
      <c r="C2849" s="4" t="s">
        <v>13507</v>
      </c>
      <c r="E2849" s="5" t="s">
        <v>75</v>
      </c>
      <c r="F2849" s="5" t="s">
        <v>10002</v>
      </c>
      <c r="G2849" s="146" t="s">
        <v>11668</v>
      </c>
      <c r="H2849" s="7" t="s">
        <v>14133</v>
      </c>
      <c r="I2849" s="7" t="s">
        <v>14052</v>
      </c>
      <c r="J2849" s="5" t="s">
        <v>13573</v>
      </c>
      <c r="N2849" s="45">
        <f t="shared" si="463"/>
        <v>339580</v>
      </c>
      <c r="O2849" s="4" t="s">
        <v>341</v>
      </c>
      <c r="Q2849" s="3">
        <f t="shared" si="460"/>
        <v>339580</v>
      </c>
      <c r="R2849" s="3">
        <f t="shared" si="461"/>
        <v>0</v>
      </c>
    </row>
    <row r="2850" spans="2:18" hidden="1" x14ac:dyDescent="0.25">
      <c r="C2850" s="4" t="s">
        <v>13507</v>
      </c>
      <c r="E2850" s="5" t="s">
        <v>75</v>
      </c>
      <c r="F2850" s="5" t="s">
        <v>10002</v>
      </c>
      <c r="G2850" s="146" t="s">
        <v>11668</v>
      </c>
      <c r="H2850" s="7" t="s">
        <v>14133</v>
      </c>
      <c r="I2850" s="7" t="s">
        <v>14052</v>
      </c>
      <c r="J2850" s="5" t="s">
        <v>13574</v>
      </c>
      <c r="N2850" s="45">
        <v>200065</v>
      </c>
      <c r="O2850" s="4" t="s">
        <v>341</v>
      </c>
      <c r="Q2850" s="3">
        <f t="shared" si="460"/>
        <v>200065</v>
      </c>
      <c r="R2850" s="3">
        <f t="shared" si="461"/>
        <v>0</v>
      </c>
    </row>
    <row r="2851" spans="2:18" hidden="1" x14ac:dyDescent="0.25">
      <c r="C2851" s="4" t="s">
        <v>13507</v>
      </c>
      <c r="E2851" s="5" t="s">
        <v>75</v>
      </c>
      <c r="F2851" s="5" t="s">
        <v>10002</v>
      </c>
      <c r="G2851" s="146" t="s">
        <v>11668</v>
      </c>
      <c r="H2851" s="7" t="s">
        <v>14133</v>
      </c>
      <c r="I2851" s="7" t="s">
        <v>14052</v>
      </c>
      <c r="J2851" s="5" t="s">
        <v>13575</v>
      </c>
      <c r="N2851" s="45">
        <v>100031</v>
      </c>
      <c r="O2851" s="4" t="s">
        <v>341</v>
      </c>
      <c r="Q2851" s="3">
        <f t="shared" si="460"/>
        <v>100031</v>
      </c>
      <c r="R2851" s="3">
        <f t="shared" si="461"/>
        <v>0</v>
      </c>
    </row>
    <row r="2852" spans="2:18" hidden="1" x14ac:dyDescent="0.25">
      <c r="B2852" s="21" t="s">
        <v>395</v>
      </c>
      <c r="C2852" s="22" t="s">
        <v>13507</v>
      </c>
      <c r="D2852" s="22"/>
      <c r="E2852" s="21" t="s">
        <v>75</v>
      </c>
      <c r="F2852" s="21" t="s">
        <v>10002</v>
      </c>
      <c r="G2852" s="147" t="s">
        <v>11668</v>
      </c>
      <c r="H2852" s="23" t="s">
        <v>14133</v>
      </c>
      <c r="I2852" s="23" t="s">
        <v>14052</v>
      </c>
      <c r="J2852" s="21" t="s">
        <v>14103</v>
      </c>
      <c r="K2852" s="21"/>
      <c r="L2852" s="21" t="s">
        <v>14237</v>
      </c>
      <c r="M2852" s="26">
        <v>46072</v>
      </c>
      <c r="N2852" s="44">
        <v>100031</v>
      </c>
      <c r="O2852" s="22" t="s">
        <v>341</v>
      </c>
      <c r="P2852" s="44">
        <v>100031</v>
      </c>
      <c r="Q2852" s="24">
        <f t="shared" ref="Q2852:Q2853" si="464">IF(P2852="en cours",N2852,IF(P2852="OK",0,IF(N2852-P2852&lt;0,0,N2852-P2852)))</f>
        <v>0</v>
      </c>
      <c r="R2852" s="24">
        <f t="shared" ref="R2852:R2853" si="465">IF(P2852="OK",N2852-Q2852,IF(P2852="en cours",N2852-Q2852,P2852))</f>
        <v>100031</v>
      </c>
    </row>
    <row r="2853" spans="2:18" hidden="1" x14ac:dyDescent="0.25">
      <c r="C2853" s="4" t="s">
        <v>13507</v>
      </c>
      <c r="E2853" s="5" t="s">
        <v>75</v>
      </c>
      <c r="F2853" s="5" t="s">
        <v>10002</v>
      </c>
      <c r="G2853" s="146" t="s">
        <v>11668</v>
      </c>
      <c r="H2853" s="7" t="s">
        <v>14133</v>
      </c>
      <c r="I2853" s="7" t="s">
        <v>14052</v>
      </c>
      <c r="J2853" s="5" t="s">
        <v>14104</v>
      </c>
      <c r="N2853" s="45">
        <v>100031</v>
      </c>
      <c r="O2853" s="4" t="s">
        <v>341</v>
      </c>
      <c r="Q2853" s="3">
        <f t="shared" si="464"/>
        <v>100031</v>
      </c>
      <c r="R2853" s="3">
        <f t="shared" si="465"/>
        <v>0</v>
      </c>
    </row>
    <row r="2854" spans="2:18" hidden="1" x14ac:dyDescent="0.25">
      <c r="C2854" s="4" t="s">
        <v>13507</v>
      </c>
      <c r="E2854" s="5" t="s">
        <v>75</v>
      </c>
      <c r="F2854" s="5" t="s">
        <v>10002</v>
      </c>
      <c r="G2854" s="146" t="s">
        <v>11668</v>
      </c>
      <c r="H2854" s="7" t="s">
        <v>14133</v>
      </c>
      <c r="I2854" s="7" t="s">
        <v>14052</v>
      </c>
      <c r="J2854" s="5" t="s">
        <v>13576</v>
      </c>
      <c r="N2854" s="45">
        <v>20000</v>
      </c>
      <c r="O2854" s="4" t="s">
        <v>341</v>
      </c>
      <c r="Q2854" s="3">
        <f t="shared" si="460"/>
        <v>20000</v>
      </c>
      <c r="R2854" s="3">
        <f t="shared" si="461"/>
        <v>0</v>
      </c>
    </row>
    <row r="2855" spans="2:18" hidden="1" x14ac:dyDescent="0.25">
      <c r="C2855" s="4" t="s">
        <v>8972</v>
      </c>
      <c r="E2855" s="5" t="s">
        <v>75</v>
      </c>
      <c r="F2855" s="5" t="s">
        <v>9783</v>
      </c>
      <c r="G2855" s="146" t="s">
        <v>12676</v>
      </c>
      <c r="H2855" s="7" t="s">
        <v>13577</v>
      </c>
      <c r="I2855" s="7" t="s">
        <v>13578</v>
      </c>
      <c r="J2855" s="5" t="s">
        <v>13579</v>
      </c>
      <c r="N2855" s="45">
        <v>13700</v>
      </c>
      <c r="O2855" s="4" t="s">
        <v>276</v>
      </c>
      <c r="Q2855" s="3">
        <f t="shared" ref="Q2855:Q2868" si="466">IF(P2855="en cours",N2855,IF(P2855="OK",0,IF(N2855-P2855&lt;0,0,N2855-P2855)))</f>
        <v>13700</v>
      </c>
      <c r="R2855" s="3">
        <f t="shared" ref="R2855:R2868" si="467">IF(P2855="OK",N2855-Q2855,IF(P2855="en cours",N2855-Q2855,P2855))</f>
        <v>0</v>
      </c>
    </row>
    <row r="2856" spans="2:18" hidden="1" x14ac:dyDescent="0.25">
      <c r="C2856" s="4" t="s">
        <v>13507</v>
      </c>
      <c r="E2856" s="5" t="s">
        <v>0</v>
      </c>
      <c r="F2856" s="5" t="s">
        <v>13300</v>
      </c>
      <c r="G2856" s="146" t="s">
        <v>509</v>
      </c>
      <c r="H2856" s="7" t="s">
        <v>13580</v>
      </c>
      <c r="J2856" s="5" t="s">
        <v>13581</v>
      </c>
      <c r="L2856" s="5" t="s">
        <v>14148</v>
      </c>
      <c r="M2856" s="12" t="s">
        <v>14149</v>
      </c>
      <c r="N2856" s="45">
        <v>35468.36</v>
      </c>
      <c r="O2856" s="4" t="s">
        <v>15</v>
      </c>
      <c r="P2856" s="45">
        <f>10529+12013.62</f>
        <v>22542.620000000003</v>
      </c>
      <c r="Q2856" s="3">
        <f t="shared" si="466"/>
        <v>12925.739999999998</v>
      </c>
      <c r="R2856" s="3">
        <f t="shared" si="467"/>
        <v>22542.620000000003</v>
      </c>
    </row>
    <row r="2857" spans="2:18" hidden="1" x14ac:dyDescent="0.25">
      <c r="B2857" s="21" t="s">
        <v>395</v>
      </c>
      <c r="C2857" s="22" t="s">
        <v>2450</v>
      </c>
      <c r="D2857" s="22"/>
      <c r="E2857" s="21" t="s">
        <v>75</v>
      </c>
      <c r="F2857" s="21" t="s">
        <v>9558</v>
      </c>
      <c r="G2857" s="147" t="s">
        <v>12872</v>
      </c>
      <c r="H2857" s="23" t="s">
        <v>13582</v>
      </c>
      <c r="I2857" s="23" t="s">
        <v>13583</v>
      </c>
      <c r="J2857" s="21" t="s">
        <v>13584</v>
      </c>
      <c r="K2857" s="21"/>
      <c r="L2857" s="21" t="s">
        <v>13634</v>
      </c>
      <c r="M2857" s="26">
        <v>46008</v>
      </c>
      <c r="N2857" s="44">
        <f>((0.6*40000)-0.03*24000)</f>
        <v>23280</v>
      </c>
      <c r="O2857" s="22" t="s">
        <v>15</v>
      </c>
      <c r="P2857" s="44">
        <v>23280</v>
      </c>
      <c r="Q2857" s="24">
        <f t="shared" si="466"/>
        <v>0</v>
      </c>
      <c r="R2857" s="24">
        <f t="shared" si="467"/>
        <v>23280</v>
      </c>
    </row>
    <row r="2858" spans="2:18" hidden="1" x14ac:dyDescent="0.25">
      <c r="C2858" s="4" t="s">
        <v>2450</v>
      </c>
      <c r="E2858" s="5" t="s">
        <v>75</v>
      </c>
      <c r="F2858" s="5" t="s">
        <v>9558</v>
      </c>
      <c r="G2858" s="146" t="s">
        <v>12872</v>
      </c>
      <c r="H2858" s="7" t="s">
        <v>13582</v>
      </c>
      <c r="I2858" s="7" t="s">
        <v>13583</v>
      </c>
      <c r="J2858" s="5" t="s">
        <v>13585</v>
      </c>
      <c r="N2858" s="45">
        <f>((0.4*40000)-0.03*16000)</f>
        <v>15520</v>
      </c>
      <c r="O2858" s="4" t="s">
        <v>15</v>
      </c>
      <c r="Q2858" s="3">
        <f t="shared" si="466"/>
        <v>15520</v>
      </c>
      <c r="R2858" s="3">
        <f t="shared" si="467"/>
        <v>0</v>
      </c>
    </row>
    <row r="2859" spans="2:18" hidden="1" x14ac:dyDescent="0.25">
      <c r="B2859" s="21" t="s">
        <v>395</v>
      </c>
      <c r="C2859" s="22" t="s">
        <v>2450</v>
      </c>
      <c r="D2859" s="22"/>
      <c r="E2859" s="21" t="s">
        <v>75</v>
      </c>
      <c r="F2859" s="21" t="s">
        <v>9558</v>
      </c>
      <c r="G2859" s="147" t="s">
        <v>12872</v>
      </c>
      <c r="H2859" s="23" t="s">
        <v>13582</v>
      </c>
      <c r="I2859" s="23" t="s">
        <v>13583</v>
      </c>
      <c r="J2859" s="21" t="s">
        <v>13586</v>
      </c>
      <c r="K2859" s="21"/>
      <c r="L2859" s="21" t="s">
        <v>13634</v>
      </c>
      <c r="M2859" s="26">
        <v>46008</v>
      </c>
      <c r="N2859" s="44">
        <f>((0.6*40000)-0.03*24000)</f>
        <v>23280</v>
      </c>
      <c r="O2859" s="22" t="s">
        <v>15</v>
      </c>
      <c r="P2859" s="44">
        <v>23280</v>
      </c>
      <c r="Q2859" s="24">
        <f t="shared" si="466"/>
        <v>0</v>
      </c>
      <c r="R2859" s="24">
        <f t="shared" si="467"/>
        <v>23280</v>
      </c>
    </row>
    <row r="2860" spans="2:18" hidden="1" x14ac:dyDescent="0.25">
      <c r="C2860" s="4" t="s">
        <v>2450</v>
      </c>
      <c r="E2860" s="5" t="s">
        <v>75</v>
      </c>
      <c r="F2860" s="5" t="s">
        <v>9558</v>
      </c>
      <c r="G2860" s="146" t="s">
        <v>12872</v>
      </c>
      <c r="H2860" s="7" t="s">
        <v>13582</v>
      </c>
      <c r="I2860" s="7" t="s">
        <v>13583</v>
      </c>
      <c r="J2860" s="5" t="s">
        <v>13587</v>
      </c>
      <c r="N2860" s="45">
        <f>((0.4*40000)-0.03*16000)</f>
        <v>15520</v>
      </c>
      <c r="O2860" s="4" t="s">
        <v>15</v>
      </c>
      <c r="Q2860" s="3">
        <f t="shared" si="466"/>
        <v>15520</v>
      </c>
      <c r="R2860" s="3">
        <f t="shared" si="467"/>
        <v>0</v>
      </c>
    </row>
    <row r="2861" spans="2:18" hidden="1" x14ac:dyDescent="0.25">
      <c r="B2861" s="21" t="s">
        <v>395</v>
      </c>
      <c r="C2861" s="22" t="s">
        <v>2450</v>
      </c>
      <c r="D2861" s="22"/>
      <c r="E2861" s="21" t="s">
        <v>75</v>
      </c>
      <c r="F2861" s="21" t="s">
        <v>9558</v>
      </c>
      <c r="G2861" s="147" t="s">
        <v>12872</v>
      </c>
      <c r="H2861" s="23" t="s">
        <v>13582</v>
      </c>
      <c r="I2861" s="23" t="s">
        <v>13583</v>
      </c>
      <c r="J2861" s="21" t="s">
        <v>13588</v>
      </c>
      <c r="K2861" s="21"/>
      <c r="L2861" s="21" t="s">
        <v>13634</v>
      </c>
      <c r="M2861" s="26">
        <v>46008</v>
      </c>
      <c r="N2861" s="44">
        <f>((0.6*40000)-0.03*24000)</f>
        <v>23280</v>
      </c>
      <c r="O2861" s="22" t="s">
        <v>15</v>
      </c>
      <c r="P2861" s="44">
        <v>23280</v>
      </c>
      <c r="Q2861" s="24">
        <f t="shared" si="466"/>
        <v>0</v>
      </c>
      <c r="R2861" s="24">
        <f t="shared" si="467"/>
        <v>23280</v>
      </c>
    </row>
    <row r="2862" spans="2:18" hidden="1" x14ac:dyDescent="0.25">
      <c r="C2862" s="4" t="s">
        <v>2450</v>
      </c>
      <c r="E2862" s="5" t="s">
        <v>75</v>
      </c>
      <c r="F2862" s="5" t="s">
        <v>9558</v>
      </c>
      <c r="G2862" s="146" t="s">
        <v>12872</v>
      </c>
      <c r="H2862" s="7" t="s">
        <v>13582</v>
      </c>
      <c r="I2862" s="7" t="s">
        <v>13583</v>
      </c>
      <c r="J2862" s="5" t="s">
        <v>13589</v>
      </c>
      <c r="N2862" s="45">
        <f>((0.4*40000)-0.03*16000)</f>
        <v>15520</v>
      </c>
      <c r="O2862" s="4" t="s">
        <v>15</v>
      </c>
      <c r="Q2862" s="3">
        <f t="shared" si="466"/>
        <v>15520</v>
      </c>
      <c r="R2862" s="3">
        <f t="shared" si="467"/>
        <v>0</v>
      </c>
    </row>
    <row r="2863" spans="2:18" hidden="1" x14ac:dyDescent="0.25">
      <c r="B2863" s="21" t="s">
        <v>395</v>
      </c>
      <c r="C2863" s="22" t="s">
        <v>2450</v>
      </c>
      <c r="D2863" s="22"/>
      <c r="E2863" s="21" t="s">
        <v>75</v>
      </c>
      <c r="F2863" s="21" t="s">
        <v>9558</v>
      </c>
      <c r="G2863" s="147" t="s">
        <v>12872</v>
      </c>
      <c r="H2863" s="23" t="s">
        <v>13582</v>
      </c>
      <c r="I2863" s="23" t="s">
        <v>13583</v>
      </c>
      <c r="J2863" s="21" t="s">
        <v>13590</v>
      </c>
      <c r="K2863" s="21"/>
      <c r="L2863" s="21" t="s">
        <v>13634</v>
      </c>
      <c r="M2863" s="26">
        <v>46008</v>
      </c>
      <c r="N2863" s="44">
        <f>((0.5*135530)-0.03*67765)</f>
        <v>65732.05</v>
      </c>
      <c r="O2863" s="22" t="s">
        <v>15</v>
      </c>
      <c r="P2863" s="44">
        <v>65732.5</v>
      </c>
      <c r="Q2863" s="24">
        <f t="shared" si="466"/>
        <v>0</v>
      </c>
      <c r="R2863" s="24">
        <f t="shared" si="467"/>
        <v>65732.5</v>
      </c>
    </row>
    <row r="2864" spans="2:18" hidden="1" x14ac:dyDescent="0.25">
      <c r="C2864" s="4" t="s">
        <v>2450</v>
      </c>
      <c r="E2864" s="5" t="s">
        <v>75</v>
      </c>
      <c r="F2864" s="5" t="s">
        <v>9558</v>
      </c>
      <c r="G2864" s="146" t="s">
        <v>12872</v>
      </c>
      <c r="H2864" s="7" t="s">
        <v>13582</v>
      </c>
      <c r="I2864" s="7" t="s">
        <v>13583</v>
      </c>
      <c r="J2864" s="5" t="s">
        <v>13590</v>
      </c>
      <c r="N2864" s="45">
        <f>((0.5*135530)-0.03*67765)</f>
        <v>65732.05</v>
      </c>
      <c r="O2864" s="4" t="s">
        <v>15</v>
      </c>
      <c r="Q2864" s="3">
        <f t="shared" si="466"/>
        <v>65732.05</v>
      </c>
      <c r="R2864" s="3">
        <f t="shared" si="467"/>
        <v>0</v>
      </c>
    </row>
    <row r="2865" spans="2:18" hidden="1" x14ac:dyDescent="0.25">
      <c r="B2865" s="21" t="s">
        <v>395</v>
      </c>
      <c r="C2865" s="547" t="s">
        <v>2450</v>
      </c>
      <c r="D2865" s="548" t="s">
        <v>1451</v>
      </c>
      <c r="E2865" s="549" t="s">
        <v>10610</v>
      </c>
      <c r="F2865" s="549" t="s">
        <v>13591</v>
      </c>
      <c r="G2865" s="550" t="s">
        <v>7453</v>
      </c>
      <c r="H2865" s="551" t="s">
        <v>13592</v>
      </c>
      <c r="I2865" s="551" t="s">
        <v>13578</v>
      </c>
      <c r="J2865" s="549" t="s">
        <v>13593</v>
      </c>
      <c r="K2865" s="549"/>
      <c r="L2865" s="549" t="s">
        <v>13881</v>
      </c>
      <c r="M2865" s="552">
        <v>46043</v>
      </c>
      <c r="N2865" s="553">
        <f>0.5*31263</f>
        <v>15631.5</v>
      </c>
      <c r="O2865" s="548" t="s">
        <v>15</v>
      </c>
      <c r="P2865" s="553">
        <v>15631.5</v>
      </c>
      <c r="Q2865" s="554">
        <f t="shared" si="466"/>
        <v>0</v>
      </c>
      <c r="R2865" s="555">
        <f t="shared" si="467"/>
        <v>15631.5</v>
      </c>
    </row>
    <row r="2866" spans="2:18" hidden="1" x14ac:dyDescent="0.25">
      <c r="B2866" s="21" t="s">
        <v>395</v>
      </c>
      <c r="C2866" s="547" t="s">
        <v>2450</v>
      </c>
      <c r="D2866" s="548" t="s">
        <v>1451</v>
      </c>
      <c r="E2866" s="549" t="s">
        <v>10610</v>
      </c>
      <c r="F2866" s="549" t="s">
        <v>13591</v>
      </c>
      <c r="G2866" s="550" t="s">
        <v>7453</v>
      </c>
      <c r="H2866" s="551" t="s">
        <v>13592</v>
      </c>
      <c r="I2866" s="551" t="s">
        <v>13578</v>
      </c>
      <c r="J2866" s="549" t="s">
        <v>13594</v>
      </c>
      <c r="K2866" s="549"/>
      <c r="L2866" s="549" t="s">
        <v>14202</v>
      </c>
      <c r="M2866" s="552">
        <v>46066</v>
      </c>
      <c r="N2866" s="553">
        <f>0.5*31263</f>
        <v>15631.5</v>
      </c>
      <c r="O2866" s="548" t="s">
        <v>15</v>
      </c>
      <c r="P2866" s="553">
        <v>15631.5</v>
      </c>
      <c r="Q2866" s="554">
        <f t="shared" si="466"/>
        <v>0</v>
      </c>
      <c r="R2866" s="555">
        <f t="shared" si="467"/>
        <v>15631.5</v>
      </c>
    </row>
    <row r="2867" spans="2:18" hidden="1" x14ac:dyDescent="0.25">
      <c r="C2867" s="537" t="s">
        <v>2450</v>
      </c>
      <c r="D2867" s="4" t="s">
        <v>1451</v>
      </c>
      <c r="E2867" s="5" t="s">
        <v>10610</v>
      </c>
      <c r="F2867" s="5" t="s">
        <v>13591</v>
      </c>
      <c r="G2867" s="146" t="s">
        <v>7453</v>
      </c>
      <c r="H2867" s="7" t="s">
        <v>13595</v>
      </c>
      <c r="I2867" s="7" t="s">
        <v>13578</v>
      </c>
      <c r="J2867" s="5" t="s">
        <v>13596</v>
      </c>
      <c r="N2867" s="45">
        <f>0.5*49127</f>
        <v>24563.5</v>
      </c>
      <c r="O2867" s="4" t="s">
        <v>15</v>
      </c>
      <c r="Q2867" s="3">
        <f t="shared" si="466"/>
        <v>24563.5</v>
      </c>
      <c r="R2867" s="538">
        <f t="shared" si="467"/>
        <v>0</v>
      </c>
    </row>
    <row r="2868" spans="2:18" ht="16.5" hidden="1" thickBot="1" x14ac:dyDescent="0.3">
      <c r="C2868" s="539" t="s">
        <v>2450</v>
      </c>
      <c r="D2868" s="540" t="s">
        <v>1451</v>
      </c>
      <c r="E2868" s="541" t="s">
        <v>10610</v>
      </c>
      <c r="F2868" s="541" t="s">
        <v>13591</v>
      </c>
      <c r="G2868" s="542" t="s">
        <v>7453</v>
      </c>
      <c r="H2868" s="543" t="s">
        <v>13595</v>
      </c>
      <c r="I2868" s="543" t="s">
        <v>13578</v>
      </c>
      <c r="J2868" s="541" t="s">
        <v>13597</v>
      </c>
      <c r="K2868" s="541"/>
      <c r="L2868" s="541"/>
      <c r="M2868" s="543"/>
      <c r="N2868" s="544">
        <f>0.5*49127</f>
        <v>24563.5</v>
      </c>
      <c r="O2868" s="540" t="s">
        <v>15</v>
      </c>
      <c r="P2868" s="544"/>
      <c r="Q2868" s="545">
        <f t="shared" si="466"/>
        <v>24563.5</v>
      </c>
      <c r="R2868" s="546">
        <f t="shared" si="467"/>
        <v>0</v>
      </c>
    </row>
    <row r="2869" spans="2:18" hidden="1" x14ac:dyDescent="0.25">
      <c r="C2869" s="533" t="s">
        <v>2450</v>
      </c>
      <c r="D2869" s="452" t="s">
        <v>1451</v>
      </c>
      <c r="E2869" s="453" t="s">
        <v>10610</v>
      </c>
      <c r="F2869" s="453" t="s">
        <v>13591</v>
      </c>
      <c r="G2869" s="454" t="s">
        <v>6474</v>
      </c>
      <c r="H2869" s="455" t="s">
        <v>13598</v>
      </c>
      <c r="I2869" s="455" t="s">
        <v>13599</v>
      </c>
      <c r="J2869" s="453" t="s">
        <v>13602</v>
      </c>
      <c r="K2869" s="453"/>
      <c r="L2869" s="453"/>
      <c r="M2869" s="455"/>
      <c r="N2869" s="534">
        <f>0.5*7853</f>
        <v>3926.5</v>
      </c>
      <c r="O2869" s="452" t="s">
        <v>15</v>
      </c>
      <c r="P2869" s="534"/>
      <c r="Q2869" s="535">
        <f t="shared" ref="Q2869:Q2890" si="468">IF(P2869="en cours",N2869,IF(P2869="OK",0,IF(N2869-P2869&lt;0,0,N2869-P2869)))</f>
        <v>3926.5</v>
      </c>
      <c r="R2869" s="536">
        <f t="shared" ref="R2869:R2890" si="469">IF(P2869="OK",N2869-Q2869,IF(P2869="en cours",N2869-Q2869,P2869))</f>
        <v>0</v>
      </c>
    </row>
    <row r="2870" spans="2:18" hidden="1" x14ac:dyDescent="0.25">
      <c r="C2870" s="537" t="s">
        <v>2450</v>
      </c>
      <c r="D2870" s="4" t="s">
        <v>1451</v>
      </c>
      <c r="E2870" s="5" t="s">
        <v>10610</v>
      </c>
      <c r="F2870" s="5" t="s">
        <v>13591</v>
      </c>
      <c r="G2870" s="146" t="s">
        <v>6474</v>
      </c>
      <c r="H2870" s="7" t="s">
        <v>13598</v>
      </c>
      <c r="I2870" s="7" t="s">
        <v>13599</v>
      </c>
      <c r="J2870" s="5" t="s">
        <v>13603</v>
      </c>
      <c r="N2870" s="45">
        <f>0.5*7853</f>
        <v>3926.5</v>
      </c>
      <c r="O2870" s="4" t="s">
        <v>15</v>
      </c>
      <c r="Q2870" s="3">
        <f t="shared" si="468"/>
        <v>3926.5</v>
      </c>
      <c r="R2870" s="538">
        <f t="shared" si="469"/>
        <v>0</v>
      </c>
    </row>
    <row r="2871" spans="2:18" hidden="1" x14ac:dyDescent="0.25">
      <c r="B2871" s="21" t="s">
        <v>395</v>
      </c>
      <c r="C2871" s="568" t="s">
        <v>2450</v>
      </c>
      <c r="D2871" s="22" t="s">
        <v>1451</v>
      </c>
      <c r="E2871" s="21" t="s">
        <v>10610</v>
      </c>
      <c r="F2871" s="21" t="s">
        <v>13591</v>
      </c>
      <c r="G2871" s="147" t="s">
        <v>6474</v>
      </c>
      <c r="H2871" s="23" t="s">
        <v>13600</v>
      </c>
      <c r="I2871" s="23" t="s">
        <v>13599</v>
      </c>
      <c r="J2871" s="21" t="s">
        <v>13602</v>
      </c>
      <c r="K2871" s="21"/>
      <c r="L2871" s="21" t="s">
        <v>14356</v>
      </c>
      <c r="M2871" s="26">
        <v>46085</v>
      </c>
      <c r="N2871" s="44">
        <f>0.5*10994</f>
        <v>5497</v>
      </c>
      <c r="O2871" s="22" t="s">
        <v>15</v>
      </c>
      <c r="P2871" s="44">
        <v>5497</v>
      </c>
      <c r="Q2871" s="24">
        <f t="shared" si="468"/>
        <v>0</v>
      </c>
      <c r="R2871" s="24">
        <f t="shared" si="469"/>
        <v>5497</v>
      </c>
    </row>
    <row r="2872" spans="2:18" hidden="1" x14ac:dyDescent="0.25">
      <c r="C2872" s="537" t="s">
        <v>2450</v>
      </c>
      <c r="D2872" s="4" t="s">
        <v>1451</v>
      </c>
      <c r="E2872" s="5" t="s">
        <v>10610</v>
      </c>
      <c r="F2872" s="5" t="s">
        <v>13591</v>
      </c>
      <c r="G2872" s="146" t="s">
        <v>6474</v>
      </c>
      <c r="H2872" s="7" t="s">
        <v>13600</v>
      </c>
      <c r="I2872" s="7" t="s">
        <v>13599</v>
      </c>
      <c r="J2872" s="5" t="s">
        <v>13604</v>
      </c>
      <c r="N2872" s="45">
        <f>0.5*10994</f>
        <v>5497</v>
      </c>
      <c r="O2872" s="4" t="s">
        <v>15</v>
      </c>
      <c r="Q2872" s="3">
        <f t="shared" si="468"/>
        <v>5497</v>
      </c>
      <c r="R2872" s="538">
        <f t="shared" si="469"/>
        <v>0</v>
      </c>
    </row>
    <row r="2873" spans="2:18" hidden="1" x14ac:dyDescent="0.25">
      <c r="C2873" s="537" t="s">
        <v>2450</v>
      </c>
      <c r="D2873" s="4" t="s">
        <v>1451</v>
      </c>
      <c r="E2873" s="5" t="s">
        <v>10610</v>
      </c>
      <c r="F2873" s="5" t="s">
        <v>13591</v>
      </c>
      <c r="G2873" s="146" t="s">
        <v>6474</v>
      </c>
      <c r="H2873" s="7" t="s">
        <v>13601</v>
      </c>
      <c r="I2873" s="7" t="s">
        <v>13599</v>
      </c>
      <c r="J2873" s="5" t="s">
        <v>13605</v>
      </c>
      <c r="N2873" s="45">
        <f>0.5*7853</f>
        <v>3926.5</v>
      </c>
      <c r="O2873" s="4" t="s">
        <v>15</v>
      </c>
      <c r="Q2873" s="3">
        <f t="shared" si="468"/>
        <v>3926.5</v>
      </c>
      <c r="R2873" s="538">
        <f t="shared" si="469"/>
        <v>0</v>
      </c>
    </row>
    <row r="2874" spans="2:18" hidden="1" x14ac:dyDescent="0.25">
      <c r="C2874" s="537" t="s">
        <v>2450</v>
      </c>
      <c r="D2874" s="4" t="s">
        <v>1451</v>
      </c>
      <c r="E2874" s="5" t="s">
        <v>10610</v>
      </c>
      <c r="F2874" s="5" t="s">
        <v>13591</v>
      </c>
      <c r="G2874" s="146" t="s">
        <v>6474</v>
      </c>
      <c r="H2874" s="7" t="s">
        <v>13601</v>
      </c>
      <c r="I2874" s="7" t="s">
        <v>13599</v>
      </c>
      <c r="J2874" s="5" t="s">
        <v>13606</v>
      </c>
      <c r="N2874" s="45">
        <f>0.5*7853</f>
        <v>3926.5</v>
      </c>
      <c r="O2874" s="4" t="s">
        <v>15</v>
      </c>
      <c r="Q2874" s="3">
        <f t="shared" si="468"/>
        <v>3926.5</v>
      </c>
      <c r="R2874" s="538">
        <f t="shared" si="469"/>
        <v>0</v>
      </c>
    </row>
    <row r="2875" spans="2:18" hidden="1" x14ac:dyDescent="0.25">
      <c r="C2875" s="537" t="s">
        <v>2450</v>
      </c>
      <c r="D2875" s="4" t="s">
        <v>1451</v>
      </c>
      <c r="E2875" s="5" t="s">
        <v>10610</v>
      </c>
      <c r="F2875" s="5" t="s">
        <v>13591</v>
      </c>
      <c r="G2875" s="146" t="s">
        <v>6474</v>
      </c>
      <c r="H2875" s="7" t="s">
        <v>13607</v>
      </c>
      <c r="I2875" s="7" t="s">
        <v>13599</v>
      </c>
      <c r="J2875" s="5" t="s">
        <v>13605</v>
      </c>
      <c r="N2875" s="45">
        <f>0.5*10994</f>
        <v>5497</v>
      </c>
      <c r="O2875" s="4" t="s">
        <v>15</v>
      </c>
      <c r="Q2875" s="3">
        <f t="shared" si="468"/>
        <v>5497</v>
      </c>
      <c r="R2875" s="538">
        <f t="shared" si="469"/>
        <v>0</v>
      </c>
    </row>
    <row r="2876" spans="2:18" hidden="1" x14ac:dyDescent="0.25">
      <c r="C2876" s="537" t="s">
        <v>2450</v>
      </c>
      <c r="D2876" s="4" t="s">
        <v>1451</v>
      </c>
      <c r="E2876" s="5" t="s">
        <v>10610</v>
      </c>
      <c r="F2876" s="5" t="s">
        <v>13591</v>
      </c>
      <c r="G2876" s="146" t="s">
        <v>6474</v>
      </c>
      <c r="H2876" s="7" t="s">
        <v>13607</v>
      </c>
      <c r="I2876" s="7" t="s">
        <v>13599</v>
      </c>
      <c r="J2876" s="5" t="s">
        <v>13608</v>
      </c>
      <c r="N2876" s="45">
        <f>0.5*10994</f>
        <v>5497</v>
      </c>
      <c r="O2876" s="4" t="s">
        <v>15</v>
      </c>
      <c r="Q2876" s="3">
        <f t="shared" si="468"/>
        <v>5497</v>
      </c>
      <c r="R2876" s="538">
        <f t="shared" si="469"/>
        <v>0</v>
      </c>
    </row>
    <row r="2877" spans="2:18" hidden="1" x14ac:dyDescent="0.25">
      <c r="C2877" s="537" t="s">
        <v>2450</v>
      </c>
      <c r="D2877" s="4" t="s">
        <v>1451</v>
      </c>
      <c r="E2877" s="5" t="s">
        <v>10610</v>
      </c>
      <c r="F2877" s="5" t="s">
        <v>13591</v>
      </c>
      <c r="G2877" s="146" t="s">
        <v>6474</v>
      </c>
      <c r="H2877" s="7" t="s">
        <v>13609</v>
      </c>
      <c r="I2877" s="7" t="s">
        <v>13599</v>
      </c>
      <c r="J2877" s="5" t="s">
        <v>13610</v>
      </c>
      <c r="N2877" s="45">
        <f>0.75*13662</f>
        <v>10246.5</v>
      </c>
      <c r="O2877" s="4" t="s">
        <v>15</v>
      </c>
      <c r="Q2877" s="3">
        <f t="shared" si="468"/>
        <v>10246.5</v>
      </c>
      <c r="R2877" s="538">
        <f t="shared" si="469"/>
        <v>0</v>
      </c>
    </row>
    <row r="2878" spans="2:18" hidden="1" x14ac:dyDescent="0.25">
      <c r="C2878" s="537" t="s">
        <v>2450</v>
      </c>
      <c r="D2878" s="4" t="s">
        <v>1451</v>
      </c>
      <c r="E2878" s="5" t="s">
        <v>10610</v>
      </c>
      <c r="F2878" s="5" t="s">
        <v>13591</v>
      </c>
      <c r="G2878" s="146" t="s">
        <v>6474</v>
      </c>
      <c r="H2878" s="7" t="s">
        <v>13609</v>
      </c>
      <c r="I2878" s="7" t="s">
        <v>13599</v>
      </c>
      <c r="J2878" s="5" t="s">
        <v>13611</v>
      </c>
      <c r="N2878" s="45">
        <f>0.25*13662</f>
        <v>3415.5</v>
      </c>
      <c r="O2878" s="4" t="s">
        <v>15</v>
      </c>
      <c r="Q2878" s="3">
        <f t="shared" si="468"/>
        <v>3415.5</v>
      </c>
      <c r="R2878" s="538">
        <f t="shared" si="469"/>
        <v>0</v>
      </c>
    </row>
    <row r="2879" spans="2:18" hidden="1" x14ac:dyDescent="0.25">
      <c r="C2879" s="537" t="s">
        <v>2450</v>
      </c>
      <c r="D2879" s="4" t="s">
        <v>1451</v>
      </c>
      <c r="E2879" s="5" t="s">
        <v>10610</v>
      </c>
      <c r="F2879" s="5" t="s">
        <v>13591</v>
      </c>
      <c r="G2879" s="146" t="s">
        <v>6474</v>
      </c>
      <c r="H2879" s="7" t="s">
        <v>13612</v>
      </c>
      <c r="I2879" s="7" t="s">
        <v>13599</v>
      </c>
      <c r="J2879" s="5" t="s">
        <v>13613</v>
      </c>
      <c r="N2879" s="45">
        <f>0.75*13662</f>
        <v>10246.5</v>
      </c>
      <c r="O2879" s="4" t="s">
        <v>15</v>
      </c>
      <c r="Q2879" s="3">
        <f t="shared" si="468"/>
        <v>10246.5</v>
      </c>
      <c r="R2879" s="538">
        <f t="shared" si="469"/>
        <v>0</v>
      </c>
    </row>
    <row r="2880" spans="2:18" hidden="1" x14ac:dyDescent="0.25">
      <c r="C2880" s="537" t="s">
        <v>2450</v>
      </c>
      <c r="D2880" s="4" t="s">
        <v>1451</v>
      </c>
      <c r="E2880" s="5" t="s">
        <v>10610</v>
      </c>
      <c r="F2880" s="5" t="s">
        <v>13591</v>
      </c>
      <c r="G2880" s="146" t="s">
        <v>6474</v>
      </c>
      <c r="H2880" s="7" t="s">
        <v>13612</v>
      </c>
      <c r="I2880" s="7" t="s">
        <v>13599</v>
      </c>
      <c r="J2880" s="5" t="s">
        <v>13614</v>
      </c>
      <c r="N2880" s="45">
        <f>0.25*13662</f>
        <v>3415.5</v>
      </c>
      <c r="O2880" s="4" t="s">
        <v>15</v>
      </c>
      <c r="Q2880" s="3">
        <f t="shared" si="468"/>
        <v>3415.5</v>
      </c>
      <c r="R2880" s="538">
        <f t="shared" si="469"/>
        <v>0</v>
      </c>
    </row>
    <row r="2881" spans="2:19" hidden="1" x14ac:dyDescent="0.25">
      <c r="C2881" s="537" t="s">
        <v>2450</v>
      </c>
      <c r="D2881" s="4" t="s">
        <v>1451</v>
      </c>
      <c r="E2881" s="5" t="s">
        <v>10610</v>
      </c>
      <c r="F2881" s="5" t="s">
        <v>13591</v>
      </c>
      <c r="G2881" s="146" t="s">
        <v>6474</v>
      </c>
      <c r="H2881" s="7" t="s">
        <v>13615</v>
      </c>
      <c r="I2881" s="7" t="s">
        <v>13599</v>
      </c>
      <c r="J2881" s="5" t="s">
        <v>13616</v>
      </c>
      <c r="N2881" s="45">
        <f>0.75*40428</f>
        <v>30321</v>
      </c>
      <c r="O2881" s="4" t="s">
        <v>15</v>
      </c>
      <c r="Q2881" s="3">
        <f t="shared" si="468"/>
        <v>30321</v>
      </c>
      <c r="R2881" s="538">
        <f t="shared" si="469"/>
        <v>0</v>
      </c>
    </row>
    <row r="2882" spans="2:19" hidden="1" x14ac:dyDescent="0.25">
      <c r="C2882" s="537" t="s">
        <v>2450</v>
      </c>
      <c r="D2882" s="4" t="s">
        <v>1451</v>
      </c>
      <c r="E2882" s="5" t="s">
        <v>10610</v>
      </c>
      <c r="F2882" s="5" t="s">
        <v>13591</v>
      </c>
      <c r="G2882" s="146" t="s">
        <v>6474</v>
      </c>
      <c r="H2882" s="7" t="s">
        <v>13615</v>
      </c>
      <c r="I2882" s="7" t="s">
        <v>13599</v>
      </c>
      <c r="J2882" s="5" t="s">
        <v>13617</v>
      </c>
      <c r="N2882" s="45">
        <f>0.25*40428</f>
        <v>10107</v>
      </c>
      <c r="O2882" s="4" t="s">
        <v>15</v>
      </c>
      <c r="Q2882" s="3">
        <f t="shared" si="468"/>
        <v>10107</v>
      </c>
      <c r="R2882" s="538">
        <f t="shared" si="469"/>
        <v>0</v>
      </c>
    </row>
    <row r="2883" spans="2:19" hidden="1" x14ac:dyDescent="0.25">
      <c r="B2883" s="21" t="s">
        <v>395</v>
      </c>
      <c r="C2883" s="568" t="s">
        <v>2450</v>
      </c>
      <c r="D2883" s="22" t="s">
        <v>1451</v>
      </c>
      <c r="E2883" s="21" t="s">
        <v>10610</v>
      </c>
      <c r="F2883" s="21" t="s">
        <v>13591</v>
      </c>
      <c r="G2883" s="147" t="s">
        <v>6474</v>
      </c>
      <c r="H2883" s="23" t="s">
        <v>13618</v>
      </c>
      <c r="I2883" s="23" t="s">
        <v>13599</v>
      </c>
      <c r="J2883" s="21" t="s">
        <v>13619</v>
      </c>
      <c r="K2883" s="21"/>
      <c r="L2883" s="21" t="s">
        <v>14357</v>
      </c>
      <c r="M2883" s="26">
        <v>46085</v>
      </c>
      <c r="N2883" s="44">
        <f>0.75*40428</f>
        <v>30321</v>
      </c>
      <c r="O2883" s="22" t="s">
        <v>15</v>
      </c>
      <c r="P2883" s="44">
        <v>30321</v>
      </c>
      <c r="Q2883" s="24">
        <f t="shared" si="468"/>
        <v>0</v>
      </c>
      <c r="R2883" s="24">
        <f t="shared" si="469"/>
        <v>30321</v>
      </c>
    </row>
    <row r="2884" spans="2:19" ht="16.5" hidden="1" thickBot="1" x14ac:dyDescent="0.3">
      <c r="C2884" s="539" t="s">
        <v>2450</v>
      </c>
      <c r="D2884" s="540" t="s">
        <v>1451</v>
      </c>
      <c r="E2884" s="541" t="s">
        <v>10610</v>
      </c>
      <c r="F2884" s="541" t="s">
        <v>13591</v>
      </c>
      <c r="G2884" s="542" t="s">
        <v>6474</v>
      </c>
      <c r="H2884" s="543" t="s">
        <v>13618</v>
      </c>
      <c r="I2884" s="543" t="s">
        <v>13599</v>
      </c>
      <c r="J2884" s="541" t="s">
        <v>13620</v>
      </c>
      <c r="K2884" s="541"/>
      <c r="L2884" s="541"/>
      <c r="M2884" s="543"/>
      <c r="N2884" s="544">
        <f>0.25*40428</f>
        <v>10107</v>
      </c>
      <c r="O2884" s="540" t="s">
        <v>15</v>
      </c>
      <c r="P2884" s="544"/>
      <c r="Q2884" s="545">
        <f t="shared" si="468"/>
        <v>10107</v>
      </c>
      <c r="R2884" s="546">
        <f t="shared" si="469"/>
        <v>0</v>
      </c>
    </row>
    <row r="2885" spans="2:19" hidden="1" x14ac:dyDescent="0.25">
      <c r="B2885" s="21" t="s">
        <v>395</v>
      </c>
      <c r="C2885" s="547" t="s">
        <v>2450</v>
      </c>
      <c r="D2885" s="548" t="s">
        <v>1451</v>
      </c>
      <c r="E2885" s="549" t="s">
        <v>10</v>
      </c>
      <c r="F2885" s="549" t="s">
        <v>13591</v>
      </c>
      <c r="G2885" s="550" t="s">
        <v>7568</v>
      </c>
      <c r="H2885" s="551" t="s">
        <v>13621</v>
      </c>
      <c r="I2885" s="551" t="s">
        <v>13622</v>
      </c>
      <c r="J2885" s="549" t="s">
        <v>13623</v>
      </c>
      <c r="K2885" s="549"/>
      <c r="L2885" s="549" t="s">
        <v>13687</v>
      </c>
      <c r="M2885" s="552">
        <v>46013</v>
      </c>
      <c r="N2885" s="553">
        <f>0.3*210366</f>
        <v>63109.799999999996</v>
      </c>
      <c r="O2885" s="548" t="s">
        <v>15</v>
      </c>
      <c r="P2885" s="553">
        <v>63109.8</v>
      </c>
      <c r="Q2885" s="554">
        <f t="shared" si="468"/>
        <v>0</v>
      </c>
      <c r="R2885" s="555">
        <f t="shared" si="469"/>
        <v>63109.8</v>
      </c>
    </row>
    <row r="2886" spans="2:19" hidden="1" x14ac:dyDescent="0.25">
      <c r="C2886" s="537" t="s">
        <v>2450</v>
      </c>
      <c r="D2886" s="4" t="s">
        <v>1451</v>
      </c>
      <c r="E2886" s="5" t="s">
        <v>10</v>
      </c>
      <c r="F2886" s="5" t="s">
        <v>13591</v>
      </c>
      <c r="G2886" s="146" t="s">
        <v>7568</v>
      </c>
      <c r="H2886" s="7" t="s">
        <v>13621</v>
      </c>
      <c r="I2886" s="7" t="s">
        <v>13622</v>
      </c>
      <c r="J2886" s="5" t="s">
        <v>13624</v>
      </c>
      <c r="N2886" s="45">
        <f t="shared" ref="N2886:N2887" si="470">0.3*210366</f>
        <v>63109.799999999996</v>
      </c>
      <c r="O2886" s="4" t="s">
        <v>15</v>
      </c>
      <c r="Q2886" s="3">
        <f t="shared" si="468"/>
        <v>63109.799999999996</v>
      </c>
      <c r="R2886" s="538">
        <f t="shared" si="469"/>
        <v>0</v>
      </c>
    </row>
    <row r="2887" spans="2:19" hidden="1" x14ac:dyDescent="0.25">
      <c r="C2887" s="537" t="s">
        <v>2450</v>
      </c>
      <c r="D2887" s="4" t="s">
        <v>1451</v>
      </c>
      <c r="E2887" s="5" t="s">
        <v>10</v>
      </c>
      <c r="F2887" s="5" t="s">
        <v>13591</v>
      </c>
      <c r="G2887" s="146" t="s">
        <v>7568</v>
      </c>
      <c r="H2887" s="7" t="s">
        <v>13621</v>
      </c>
      <c r="I2887" s="7" t="s">
        <v>13622</v>
      </c>
      <c r="J2887" s="5" t="s">
        <v>13625</v>
      </c>
      <c r="N2887" s="45">
        <f t="shared" si="470"/>
        <v>63109.799999999996</v>
      </c>
      <c r="O2887" s="4" t="s">
        <v>15</v>
      </c>
      <c r="Q2887" s="3">
        <f t="shared" si="468"/>
        <v>63109.799999999996</v>
      </c>
      <c r="R2887" s="538">
        <f t="shared" si="469"/>
        <v>0</v>
      </c>
    </row>
    <row r="2888" spans="2:19" ht="16.5" hidden="1" thickBot="1" x14ac:dyDescent="0.3">
      <c r="C2888" s="539" t="s">
        <v>2450</v>
      </c>
      <c r="D2888" s="540" t="s">
        <v>1451</v>
      </c>
      <c r="E2888" s="541" t="s">
        <v>10</v>
      </c>
      <c r="F2888" s="541" t="s">
        <v>13591</v>
      </c>
      <c r="G2888" s="542" t="s">
        <v>7568</v>
      </c>
      <c r="H2888" s="543" t="s">
        <v>13621</v>
      </c>
      <c r="I2888" s="543" t="s">
        <v>13622</v>
      </c>
      <c r="J2888" s="541" t="s">
        <v>13626</v>
      </c>
      <c r="K2888" s="541"/>
      <c r="L2888" s="541"/>
      <c r="M2888" s="543"/>
      <c r="N2888" s="544">
        <f>0.1*210366</f>
        <v>21036.600000000002</v>
      </c>
      <c r="O2888" s="540" t="s">
        <v>15</v>
      </c>
      <c r="P2888" s="544"/>
      <c r="Q2888" s="545">
        <f t="shared" si="468"/>
        <v>21036.600000000002</v>
      </c>
      <c r="R2888" s="546">
        <f t="shared" si="469"/>
        <v>0</v>
      </c>
    </row>
    <row r="2889" spans="2:19" hidden="1" x14ac:dyDescent="0.25">
      <c r="B2889" s="21" t="s">
        <v>395</v>
      </c>
      <c r="C2889" s="175" t="s">
        <v>12834</v>
      </c>
      <c r="D2889" s="22"/>
      <c r="E2889" s="21" t="s">
        <v>0</v>
      </c>
      <c r="F2889" s="21" t="s">
        <v>11538</v>
      </c>
      <c r="G2889" s="147" t="s">
        <v>11668</v>
      </c>
      <c r="H2889" s="23" t="s">
        <v>13719</v>
      </c>
      <c r="I2889" s="23" t="s">
        <v>13720</v>
      </c>
      <c r="J2889" s="21" t="s">
        <v>13721</v>
      </c>
      <c r="K2889" s="21"/>
      <c r="L2889" s="21" t="s">
        <v>13722</v>
      </c>
      <c r="M2889" s="26">
        <v>46021</v>
      </c>
      <c r="N2889" s="44">
        <v>421339</v>
      </c>
      <c r="O2889" s="22" t="s">
        <v>341</v>
      </c>
      <c r="P2889" s="44">
        <f>421339</f>
        <v>421339</v>
      </c>
      <c r="Q2889" s="24">
        <f t="shared" si="468"/>
        <v>0</v>
      </c>
      <c r="R2889" s="24">
        <f t="shared" si="469"/>
        <v>421339</v>
      </c>
      <c r="S2889" s="5" t="s">
        <v>12835</v>
      </c>
    </row>
    <row r="2890" spans="2:19" hidden="1" x14ac:dyDescent="0.25">
      <c r="C2890" s="519" t="s">
        <v>12834</v>
      </c>
      <c r="E2890" s="5" t="s">
        <v>0</v>
      </c>
      <c r="F2890" s="5" t="s">
        <v>11538</v>
      </c>
      <c r="G2890" s="146" t="s">
        <v>11668</v>
      </c>
      <c r="H2890" s="7" t="s">
        <v>13719</v>
      </c>
      <c r="I2890" s="7" t="s">
        <v>13720</v>
      </c>
      <c r="J2890" s="5" t="s">
        <v>14035</v>
      </c>
      <c r="N2890" s="45">
        <v>49705</v>
      </c>
      <c r="O2890" s="4" t="s">
        <v>341</v>
      </c>
      <c r="Q2890" s="3">
        <f t="shared" si="468"/>
        <v>49705</v>
      </c>
      <c r="R2890" s="3">
        <f t="shared" si="469"/>
        <v>0</v>
      </c>
      <c r="S2890" s="5" t="s">
        <v>12835</v>
      </c>
    </row>
    <row r="2891" spans="2:19" hidden="1" x14ac:dyDescent="0.25">
      <c r="C2891" s="4" t="s">
        <v>158</v>
      </c>
      <c r="E2891" s="5" t="s">
        <v>13732</v>
      </c>
      <c r="F2891" s="5" t="s">
        <v>13733</v>
      </c>
      <c r="G2891" s="146" t="s">
        <v>6638</v>
      </c>
      <c r="H2891" s="7" t="s">
        <v>13734</v>
      </c>
      <c r="I2891" s="7" t="s">
        <v>13735</v>
      </c>
      <c r="J2891" s="5" t="s">
        <v>13736</v>
      </c>
      <c r="N2891" s="45">
        <v>4274.05</v>
      </c>
      <c r="O2891" s="4" t="s">
        <v>15</v>
      </c>
      <c r="Q2891" s="3">
        <f t="shared" ref="Q2891:Q2894" si="471">IF(P2891="en cours",N2891,IF(P2891="OK",0,IF(N2891-P2891&lt;0,0,N2891-P2891)))</f>
        <v>4274.05</v>
      </c>
      <c r="R2891" s="3">
        <f t="shared" ref="R2891:R2894" si="472">IF(P2891="OK",N2891-Q2891,IF(P2891="en cours",N2891-Q2891,P2891))</f>
        <v>0</v>
      </c>
    </row>
    <row r="2892" spans="2:19" hidden="1" x14ac:dyDescent="0.25">
      <c r="B2892" s="21" t="s">
        <v>395</v>
      </c>
      <c r="C2892" s="22" t="s">
        <v>2450</v>
      </c>
      <c r="D2892" s="22"/>
      <c r="E2892" s="21" t="s">
        <v>0</v>
      </c>
      <c r="F2892" s="21" t="s">
        <v>13327</v>
      </c>
      <c r="G2892" s="147" t="s">
        <v>7266</v>
      </c>
      <c r="H2892" s="23" t="s">
        <v>13737</v>
      </c>
      <c r="I2892" s="23" t="s">
        <v>13738</v>
      </c>
      <c r="J2892" s="21" t="s">
        <v>13739</v>
      </c>
      <c r="K2892" s="21"/>
      <c r="L2892" s="21" t="s">
        <v>13760</v>
      </c>
      <c r="M2892" s="26">
        <v>46028</v>
      </c>
      <c r="N2892" s="44">
        <v>16416</v>
      </c>
      <c r="O2892" s="22" t="s">
        <v>15</v>
      </c>
      <c r="P2892" s="44">
        <v>16416</v>
      </c>
      <c r="Q2892" s="24">
        <f t="shared" si="471"/>
        <v>0</v>
      </c>
      <c r="R2892" s="24">
        <f t="shared" si="472"/>
        <v>16416</v>
      </c>
    </row>
    <row r="2893" spans="2:19" hidden="1" x14ac:dyDescent="0.25">
      <c r="B2893" s="21" t="s">
        <v>395</v>
      </c>
      <c r="C2893" s="22" t="s">
        <v>2450</v>
      </c>
      <c r="D2893" s="22"/>
      <c r="E2893" s="21" t="s">
        <v>10</v>
      </c>
      <c r="F2893" s="21" t="s">
        <v>13740</v>
      </c>
      <c r="G2893" s="147" t="s">
        <v>8442</v>
      </c>
      <c r="H2893" s="23" t="s">
        <v>13741</v>
      </c>
      <c r="I2893" s="23" t="s">
        <v>13742</v>
      </c>
      <c r="J2893" s="21" t="s">
        <v>6557</v>
      </c>
      <c r="K2893" s="21"/>
      <c r="L2893" s="21" t="s">
        <v>13755</v>
      </c>
      <c r="M2893" s="26">
        <v>46020</v>
      </c>
      <c r="N2893" s="44">
        <v>2065.7600000000002</v>
      </c>
      <c r="O2893" s="22" t="s">
        <v>15</v>
      </c>
      <c r="P2893" s="44">
        <v>2478.91</v>
      </c>
      <c r="Q2893" s="24">
        <f t="shared" si="471"/>
        <v>0</v>
      </c>
      <c r="R2893" s="24">
        <f t="shared" si="472"/>
        <v>2478.91</v>
      </c>
    </row>
    <row r="2894" spans="2:19" hidden="1" x14ac:dyDescent="0.25">
      <c r="C2894" s="4" t="s">
        <v>6267</v>
      </c>
      <c r="E2894" s="5" t="s">
        <v>75</v>
      </c>
      <c r="F2894" s="5" t="s">
        <v>9819</v>
      </c>
      <c r="G2894" s="146" t="s">
        <v>13852</v>
      </c>
      <c r="H2894" s="7" t="s">
        <v>13743</v>
      </c>
      <c r="I2894" s="7" t="s">
        <v>13744</v>
      </c>
      <c r="J2894" s="5" t="s">
        <v>13745</v>
      </c>
      <c r="N2894" s="45">
        <v>76500</v>
      </c>
      <c r="O2894" s="4" t="s">
        <v>15</v>
      </c>
      <c r="Q2894" s="3">
        <f t="shared" si="471"/>
        <v>76500</v>
      </c>
      <c r="R2894" s="3">
        <f t="shared" si="472"/>
        <v>0</v>
      </c>
    </row>
    <row r="2895" spans="2:19" hidden="1" x14ac:dyDescent="0.25">
      <c r="C2895" s="4" t="s">
        <v>2450</v>
      </c>
      <c r="E2895" s="5" t="s">
        <v>75</v>
      </c>
      <c r="F2895" s="5" t="s">
        <v>9558</v>
      </c>
      <c r="G2895" s="146" t="s">
        <v>12100</v>
      </c>
      <c r="H2895" s="7" t="s">
        <v>13746</v>
      </c>
      <c r="J2895" s="5" t="s">
        <v>13747</v>
      </c>
      <c r="N2895" s="45">
        <v>15000</v>
      </c>
      <c r="O2895" s="4" t="s">
        <v>276</v>
      </c>
      <c r="Q2895" s="3">
        <f t="shared" ref="Q2895" si="473">IF(P2895="en cours",N2895,IF(P2895="OK",0,IF(N2895-P2895&lt;0,0,N2895-P2895)))</f>
        <v>15000</v>
      </c>
      <c r="R2895" s="3">
        <f t="shared" ref="R2895" si="474">IF(P2895="OK",N2895-Q2895,IF(P2895="en cours",N2895-Q2895,P2895))</f>
        <v>0</v>
      </c>
    </row>
    <row r="2896" spans="2:19" hidden="1" x14ac:dyDescent="0.25">
      <c r="B2896" s="21" t="s">
        <v>395</v>
      </c>
      <c r="C2896" s="22" t="s">
        <v>2450</v>
      </c>
      <c r="D2896" s="22"/>
      <c r="E2896" s="21" t="s">
        <v>75</v>
      </c>
      <c r="F2896" s="21" t="s">
        <v>9558</v>
      </c>
      <c r="G2896" s="147" t="s">
        <v>12100</v>
      </c>
      <c r="H2896" s="23" t="s">
        <v>13748</v>
      </c>
      <c r="I2896" s="23"/>
      <c r="J2896" s="21" t="s">
        <v>13749</v>
      </c>
      <c r="K2896" s="21"/>
      <c r="L2896" s="21" t="s">
        <v>13753</v>
      </c>
      <c r="M2896" s="26">
        <v>46020</v>
      </c>
      <c r="N2896" s="44">
        <v>28195</v>
      </c>
      <c r="O2896" s="22" t="s">
        <v>276</v>
      </c>
      <c r="P2896" s="44">
        <v>28195</v>
      </c>
      <c r="Q2896" s="24">
        <f t="shared" ref="Q2896:Q2899" si="475">IF(P2896="en cours",N2896,IF(P2896="OK",0,IF(N2896-P2896&lt;0,0,N2896-P2896)))</f>
        <v>0</v>
      </c>
      <c r="R2896" s="24">
        <f t="shared" ref="R2896:R2899" si="476">IF(P2896="OK",N2896-Q2896,IF(P2896="en cours",N2896-Q2896,P2896))</f>
        <v>28195</v>
      </c>
    </row>
    <row r="2897" spans="2:18" hidden="1" x14ac:dyDescent="0.25">
      <c r="B2897" s="21" t="s">
        <v>395</v>
      </c>
      <c r="C2897" s="22" t="s">
        <v>2450</v>
      </c>
      <c r="D2897" s="22"/>
      <c r="E2897" s="21" t="s">
        <v>75</v>
      </c>
      <c r="F2897" s="21" t="s">
        <v>9558</v>
      </c>
      <c r="G2897" s="147" t="s">
        <v>12100</v>
      </c>
      <c r="H2897" s="23" t="s">
        <v>13750</v>
      </c>
      <c r="I2897" s="23"/>
      <c r="J2897" s="21" t="s">
        <v>12385</v>
      </c>
      <c r="K2897" s="21"/>
      <c r="L2897" s="21" t="s">
        <v>14363</v>
      </c>
      <c r="M2897" s="26">
        <v>46081</v>
      </c>
      <c r="N2897" s="44">
        <v>4450</v>
      </c>
      <c r="O2897" s="22" t="s">
        <v>276</v>
      </c>
      <c r="P2897" s="44">
        <v>4450</v>
      </c>
      <c r="Q2897" s="24">
        <f t="shared" si="475"/>
        <v>0</v>
      </c>
      <c r="R2897" s="24">
        <f t="shared" si="476"/>
        <v>4450</v>
      </c>
    </row>
    <row r="2898" spans="2:18" hidden="1" x14ac:dyDescent="0.25">
      <c r="B2898" s="21" t="s">
        <v>395</v>
      </c>
      <c r="C2898" s="22" t="s">
        <v>2450</v>
      </c>
      <c r="D2898" s="22"/>
      <c r="E2898" s="21" t="s">
        <v>75</v>
      </c>
      <c r="F2898" s="21" t="s">
        <v>9558</v>
      </c>
      <c r="G2898" s="147" t="s">
        <v>12100</v>
      </c>
      <c r="H2898" s="23" t="s">
        <v>13751</v>
      </c>
      <c r="I2898" s="23"/>
      <c r="J2898" s="21" t="s">
        <v>13752</v>
      </c>
      <c r="K2898" s="21"/>
      <c r="L2898" s="21" t="s">
        <v>14362</v>
      </c>
      <c r="M2898" s="26">
        <v>46081</v>
      </c>
      <c r="N2898" s="44">
        <v>10700</v>
      </c>
      <c r="O2898" s="22" t="s">
        <v>276</v>
      </c>
      <c r="P2898" s="44">
        <v>10700</v>
      </c>
      <c r="Q2898" s="24">
        <f t="shared" si="475"/>
        <v>0</v>
      </c>
      <c r="R2898" s="24">
        <f t="shared" si="476"/>
        <v>10700</v>
      </c>
    </row>
    <row r="2899" spans="2:18" hidden="1" x14ac:dyDescent="0.25">
      <c r="B2899" s="21" t="s">
        <v>395</v>
      </c>
      <c r="C2899" s="22" t="s">
        <v>2450</v>
      </c>
      <c r="D2899" s="22"/>
      <c r="E2899" s="21" t="s">
        <v>9707</v>
      </c>
      <c r="F2899" s="21" t="s">
        <v>9776</v>
      </c>
      <c r="G2899" s="147" t="s">
        <v>12164</v>
      </c>
      <c r="H2899" s="23" t="s">
        <v>13757</v>
      </c>
      <c r="I2899" s="23"/>
      <c r="J2899" s="21" t="s">
        <v>8544</v>
      </c>
      <c r="K2899" s="21"/>
      <c r="L2899" s="21" t="s">
        <v>13993</v>
      </c>
      <c r="M2899" s="26">
        <v>46053</v>
      </c>
      <c r="N2899" s="44">
        <v>5344.99</v>
      </c>
      <c r="O2899" s="22" t="s">
        <v>15</v>
      </c>
      <c r="P2899" s="44">
        <f>5344.99</f>
        <v>5344.99</v>
      </c>
      <c r="Q2899" s="24">
        <f t="shared" si="475"/>
        <v>0</v>
      </c>
      <c r="R2899" s="24">
        <f t="shared" si="476"/>
        <v>5344.99</v>
      </c>
    </row>
    <row r="2900" spans="2:18" hidden="1" x14ac:dyDescent="0.25">
      <c r="C2900" s="4" t="s">
        <v>158</v>
      </c>
      <c r="E2900" s="5" t="s">
        <v>9808</v>
      </c>
      <c r="F2900" s="5" t="s">
        <v>13762</v>
      </c>
      <c r="G2900" s="146" t="s">
        <v>13763</v>
      </c>
      <c r="H2900" s="7" t="s">
        <v>13766</v>
      </c>
      <c r="I2900" s="7" t="s">
        <v>13767</v>
      </c>
      <c r="J2900" s="5" t="s">
        <v>13765</v>
      </c>
      <c r="K2900" s="115">
        <v>45992</v>
      </c>
      <c r="L2900" s="5" t="s">
        <v>13847</v>
      </c>
      <c r="M2900" s="12">
        <v>46030</v>
      </c>
      <c r="N2900" s="45">
        <f>0.5*50350</f>
        <v>25175</v>
      </c>
      <c r="O2900" s="4" t="s">
        <v>276</v>
      </c>
      <c r="P2900" s="45">
        <v>19175</v>
      </c>
      <c r="Q2900" s="45">
        <f t="shared" ref="Q2900:Q2901" si="477">IF(P2900="en cours",N2900,IF(P2900="OK",0,IF(N2900-P2900&lt;0,0,N2900-P2900)))</f>
        <v>6000</v>
      </c>
      <c r="R2900" s="3">
        <f t="shared" ref="R2900:R2901" si="478">IF(P2900="OK",N2900-Q2900,IF(P2900="en cours",N2900-Q2900,P2900))</f>
        <v>19175</v>
      </c>
    </row>
    <row r="2901" spans="2:18" hidden="1" x14ac:dyDescent="0.25">
      <c r="C2901" s="4" t="s">
        <v>158</v>
      </c>
      <c r="E2901" s="5" t="s">
        <v>9808</v>
      </c>
      <c r="F2901" s="5" t="s">
        <v>13762</v>
      </c>
      <c r="G2901" s="146" t="s">
        <v>13763</v>
      </c>
      <c r="H2901" s="7" t="s">
        <v>13766</v>
      </c>
      <c r="I2901" s="7" t="s">
        <v>13767</v>
      </c>
      <c r="J2901" s="5" t="s">
        <v>13764</v>
      </c>
      <c r="K2901" s="115">
        <v>46054</v>
      </c>
      <c r="N2901" s="45">
        <f>0.5*50350</f>
        <v>25175</v>
      </c>
      <c r="O2901" s="4" t="s">
        <v>276</v>
      </c>
      <c r="Q2901" s="45">
        <f t="shared" si="477"/>
        <v>25175</v>
      </c>
      <c r="R2901" s="3">
        <f t="shared" si="478"/>
        <v>0</v>
      </c>
    </row>
    <row r="2902" spans="2:18" hidden="1" x14ac:dyDescent="0.25">
      <c r="C2902" s="4" t="s">
        <v>158</v>
      </c>
      <c r="E2902" s="5" t="s">
        <v>9808</v>
      </c>
      <c r="F2902" s="5" t="s">
        <v>13762</v>
      </c>
      <c r="G2902" s="146" t="s">
        <v>13763</v>
      </c>
      <c r="H2902" s="7" t="s">
        <v>13768</v>
      </c>
      <c r="I2902" s="7" t="s">
        <v>13769</v>
      </c>
      <c r="J2902" s="5" t="s">
        <v>13770</v>
      </c>
      <c r="K2902" s="115">
        <v>45992</v>
      </c>
      <c r="L2902" s="115" t="s">
        <v>13848</v>
      </c>
      <c r="M2902" s="12">
        <v>46030</v>
      </c>
      <c r="N2902" s="45">
        <f>0.5*55000</f>
        <v>27500</v>
      </c>
      <c r="O2902" s="4" t="s">
        <v>276</v>
      </c>
      <c r="P2902" s="45">
        <v>22000</v>
      </c>
      <c r="Q2902" s="45">
        <f t="shared" ref="Q2902:Q2903" si="479">IF(P2902="en cours",N2902,IF(P2902="OK",0,IF(N2902-P2902&lt;0,0,N2902-P2902)))</f>
        <v>5500</v>
      </c>
      <c r="R2902" s="3">
        <f t="shared" ref="R2902:R2903" si="480">IF(P2902="OK",N2902-Q2902,IF(P2902="en cours",N2902-Q2902,P2902))</f>
        <v>22000</v>
      </c>
    </row>
    <row r="2903" spans="2:18" hidden="1" x14ac:dyDescent="0.25">
      <c r="C2903" s="4" t="s">
        <v>158</v>
      </c>
      <c r="E2903" s="5" t="s">
        <v>9808</v>
      </c>
      <c r="F2903" s="5" t="s">
        <v>13762</v>
      </c>
      <c r="G2903" s="146" t="s">
        <v>13763</v>
      </c>
      <c r="H2903" s="7" t="s">
        <v>13768</v>
      </c>
      <c r="I2903" s="7" t="s">
        <v>13769</v>
      </c>
      <c r="J2903" s="5" t="s">
        <v>13771</v>
      </c>
      <c r="K2903" s="115">
        <v>46357</v>
      </c>
      <c r="L2903" s="115"/>
      <c r="N2903" s="45">
        <f>0.5*55000</f>
        <v>27500</v>
      </c>
      <c r="O2903" s="4" t="s">
        <v>276</v>
      </c>
      <c r="Q2903" s="45">
        <f t="shared" si="479"/>
        <v>27500</v>
      </c>
      <c r="R2903" s="3">
        <f t="shared" si="480"/>
        <v>0</v>
      </c>
    </row>
    <row r="2904" spans="2:18" hidden="1" x14ac:dyDescent="0.25">
      <c r="C2904" s="4" t="s">
        <v>158</v>
      </c>
      <c r="E2904" s="5" t="s">
        <v>10</v>
      </c>
      <c r="F2904" s="5" t="s">
        <v>13772</v>
      </c>
      <c r="G2904" s="146" t="s">
        <v>9319</v>
      </c>
      <c r="H2904" s="7" t="s">
        <v>13773</v>
      </c>
      <c r="I2904" s="7" t="s">
        <v>13774</v>
      </c>
      <c r="J2904" s="5" t="s">
        <v>6557</v>
      </c>
      <c r="K2904" s="115"/>
      <c r="L2904" s="115"/>
      <c r="N2904" s="45">
        <v>524.97</v>
      </c>
      <c r="O2904" s="4" t="s">
        <v>15</v>
      </c>
      <c r="Q2904" s="45">
        <f t="shared" ref="Q2904" si="481">IF(P2904="en cours",N2904,IF(P2904="OK",0,IF(N2904-P2904&lt;0,0,N2904-P2904)))</f>
        <v>524.97</v>
      </c>
      <c r="R2904" s="3">
        <f t="shared" ref="R2904" si="482">IF(P2904="OK",N2904-Q2904,IF(P2904="en cours",N2904-Q2904,P2904))</f>
        <v>0</v>
      </c>
    </row>
    <row r="2905" spans="2:18" hidden="1" x14ac:dyDescent="0.25">
      <c r="C2905" s="4" t="s">
        <v>6047</v>
      </c>
      <c r="E2905" s="5" t="s">
        <v>75</v>
      </c>
      <c r="F2905" s="5" t="s">
        <v>9755</v>
      </c>
      <c r="G2905" s="146" t="s">
        <v>11104</v>
      </c>
      <c r="H2905" s="7" t="s">
        <v>13775</v>
      </c>
      <c r="I2905" s="7" t="s">
        <v>13776</v>
      </c>
      <c r="J2905" s="5" t="s">
        <v>13777</v>
      </c>
      <c r="K2905" s="115"/>
      <c r="L2905" s="115"/>
      <c r="N2905" s="45">
        <v>3794</v>
      </c>
      <c r="O2905" s="4" t="s">
        <v>15</v>
      </c>
      <c r="Q2905" s="45">
        <f t="shared" ref="Q2905:Q2916" si="483">IF(P2905="en cours",N2905,IF(P2905="OK",0,IF(N2905-P2905&lt;0,0,N2905-P2905)))</f>
        <v>3794</v>
      </c>
      <c r="R2905" s="3">
        <f t="shared" ref="R2905:R2916" si="484">IF(P2905="OK",N2905-Q2905,IF(P2905="en cours",N2905-Q2905,P2905))</f>
        <v>0</v>
      </c>
    </row>
    <row r="2906" spans="2:18" hidden="1" x14ac:dyDescent="0.25">
      <c r="B2906" s="21" t="s">
        <v>395</v>
      </c>
      <c r="C2906" s="22" t="s">
        <v>2450</v>
      </c>
      <c r="D2906" s="22"/>
      <c r="E2906" s="21" t="s">
        <v>75</v>
      </c>
      <c r="F2906" s="21" t="s">
        <v>9558</v>
      </c>
      <c r="G2906" s="147" t="s">
        <v>9457</v>
      </c>
      <c r="H2906" s="23" t="s">
        <v>13864</v>
      </c>
      <c r="I2906" s="23" t="s">
        <v>13778</v>
      </c>
      <c r="J2906" s="23" t="s">
        <v>13779</v>
      </c>
      <c r="K2906" s="21"/>
      <c r="L2906" s="21" t="s">
        <v>14312</v>
      </c>
      <c r="M2906" s="26" t="s">
        <v>14313</v>
      </c>
      <c r="N2906" s="44">
        <f>0.5*21998</f>
        <v>10999</v>
      </c>
      <c r="O2906" s="22" t="s">
        <v>276</v>
      </c>
      <c r="P2906" s="44">
        <f>22747.5-22747.5+22747.5-(23497/2)</f>
        <v>10999</v>
      </c>
      <c r="Q2906" s="44">
        <f t="shared" si="483"/>
        <v>0</v>
      </c>
      <c r="R2906" s="24">
        <f t="shared" si="484"/>
        <v>10999</v>
      </c>
    </row>
    <row r="2907" spans="2:18" hidden="1" x14ac:dyDescent="0.25">
      <c r="B2907" s="21" t="s">
        <v>395</v>
      </c>
      <c r="C2907" s="22" t="s">
        <v>2450</v>
      </c>
      <c r="D2907" s="22"/>
      <c r="E2907" s="21" t="s">
        <v>75</v>
      </c>
      <c r="F2907" s="21" t="s">
        <v>9558</v>
      </c>
      <c r="G2907" s="147" t="s">
        <v>9457</v>
      </c>
      <c r="H2907" s="23" t="s">
        <v>13864</v>
      </c>
      <c r="I2907" s="23" t="s">
        <v>13778</v>
      </c>
      <c r="J2907" s="23" t="s">
        <v>13780</v>
      </c>
      <c r="K2907" s="21"/>
      <c r="L2907" s="21" t="s">
        <v>14310</v>
      </c>
      <c r="M2907" s="26" t="s">
        <v>14311</v>
      </c>
      <c r="N2907" s="44">
        <f>0.5*21998</f>
        <v>10999</v>
      </c>
      <c r="O2907" s="22" t="s">
        <v>276</v>
      </c>
      <c r="P2907" s="44">
        <f>22747.5-(23497/2)</f>
        <v>10999</v>
      </c>
      <c r="Q2907" s="44">
        <f>IF(P2907="en cours",N2907,IF(P2907="OK",0,IF(N2907-P2907&lt;0,0,N2907-P2907)))</f>
        <v>0</v>
      </c>
      <c r="R2907" s="24">
        <f t="shared" si="484"/>
        <v>10999</v>
      </c>
    </row>
    <row r="2908" spans="2:18" hidden="1" x14ac:dyDescent="0.25">
      <c r="B2908" s="21" t="s">
        <v>395</v>
      </c>
      <c r="C2908" s="22" t="s">
        <v>2450</v>
      </c>
      <c r="D2908" s="22"/>
      <c r="E2908" s="21" t="s">
        <v>10</v>
      </c>
      <c r="F2908" s="21" t="s">
        <v>9721</v>
      </c>
      <c r="G2908" s="147" t="s">
        <v>12747</v>
      </c>
      <c r="H2908" s="23" t="s">
        <v>13781</v>
      </c>
      <c r="I2908" s="23" t="s">
        <v>13782</v>
      </c>
      <c r="J2908" s="21" t="s">
        <v>13783</v>
      </c>
      <c r="K2908" s="518"/>
      <c r="L2908" s="21" t="s">
        <v>13850</v>
      </c>
      <c r="M2908" s="26">
        <v>46035</v>
      </c>
      <c r="N2908" s="44">
        <f>0.5*38180</f>
        <v>19090</v>
      </c>
      <c r="O2908" s="22" t="s">
        <v>15</v>
      </c>
      <c r="P2908" s="44">
        <v>19090</v>
      </c>
      <c r="Q2908" s="24">
        <f t="shared" si="483"/>
        <v>0</v>
      </c>
      <c r="R2908" s="24">
        <f t="shared" si="484"/>
        <v>19090</v>
      </c>
    </row>
    <row r="2909" spans="2:18" hidden="1" x14ac:dyDescent="0.25">
      <c r="C2909" s="4" t="s">
        <v>2450</v>
      </c>
      <c r="E2909" s="5" t="s">
        <v>10</v>
      </c>
      <c r="F2909" s="5" t="s">
        <v>9721</v>
      </c>
      <c r="G2909" s="146" t="s">
        <v>12747</v>
      </c>
      <c r="H2909" s="7" t="s">
        <v>13781</v>
      </c>
      <c r="I2909" s="7" t="s">
        <v>13782</v>
      </c>
      <c r="J2909" s="5" t="s">
        <v>13784</v>
      </c>
      <c r="K2909" s="115"/>
      <c r="L2909" s="115" t="s">
        <v>14101</v>
      </c>
      <c r="M2909" s="12">
        <v>46062</v>
      </c>
      <c r="N2909" s="45">
        <f>0.3*38180</f>
        <v>11454</v>
      </c>
      <c r="O2909" s="4" t="s">
        <v>15</v>
      </c>
      <c r="P2909" s="45">
        <v>11454</v>
      </c>
      <c r="Q2909" s="45">
        <f t="shared" si="483"/>
        <v>0</v>
      </c>
      <c r="R2909" s="3">
        <f t="shared" si="484"/>
        <v>11454</v>
      </c>
    </row>
    <row r="2910" spans="2:18" hidden="1" x14ac:dyDescent="0.25">
      <c r="C2910" s="4" t="s">
        <v>2450</v>
      </c>
      <c r="E2910" s="5" t="s">
        <v>10</v>
      </c>
      <c r="F2910" s="5" t="s">
        <v>9721</v>
      </c>
      <c r="G2910" s="146" t="s">
        <v>12747</v>
      </c>
      <c r="H2910" s="7" t="s">
        <v>13781</v>
      </c>
      <c r="I2910" s="7" t="s">
        <v>13782</v>
      </c>
      <c r="J2910" s="5" t="s">
        <v>13785</v>
      </c>
      <c r="K2910" s="115"/>
      <c r="L2910" s="115" t="s">
        <v>14101</v>
      </c>
      <c r="M2910" s="12">
        <v>46062</v>
      </c>
      <c r="N2910" s="45">
        <f>0.2*38180</f>
        <v>7636</v>
      </c>
      <c r="O2910" s="4" t="s">
        <v>15</v>
      </c>
      <c r="P2910" s="45">
        <v>7636</v>
      </c>
      <c r="Q2910" s="45">
        <f t="shared" si="483"/>
        <v>0</v>
      </c>
      <c r="R2910" s="3">
        <f t="shared" si="484"/>
        <v>7636</v>
      </c>
    </row>
    <row r="2911" spans="2:18" hidden="1" x14ac:dyDescent="0.25">
      <c r="B2911" s="21" t="s">
        <v>395</v>
      </c>
      <c r="C2911" s="22" t="s">
        <v>2450</v>
      </c>
      <c r="D2911" s="22"/>
      <c r="E2911" s="21" t="s">
        <v>10</v>
      </c>
      <c r="F2911" s="21" t="s">
        <v>13772</v>
      </c>
      <c r="G2911" s="147" t="s">
        <v>8442</v>
      </c>
      <c r="H2911" s="23" t="s">
        <v>13786</v>
      </c>
      <c r="I2911" s="23" t="s">
        <v>13787</v>
      </c>
      <c r="J2911" s="21" t="s">
        <v>6557</v>
      </c>
      <c r="K2911" s="47"/>
      <c r="L2911" s="47" t="s">
        <v>13831</v>
      </c>
      <c r="M2911" s="23" t="s">
        <v>13832</v>
      </c>
      <c r="N2911" s="44">
        <v>6692.58</v>
      </c>
      <c r="O2911" s="22" t="s">
        <v>15</v>
      </c>
      <c r="P2911" s="44">
        <v>6692.58</v>
      </c>
      <c r="Q2911" s="44">
        <f t="shared" si="483"/>
        <v>0</v>
      </c>
      <c r="R2911" s="24">
        <f t="shared" si="484"/>
        <v>6692.58</v>
      </c>
    </row>
    <row r="2912" spans="2:18" hidden="1" x14ac:dyDescent="0.25">
      <c r="B2912" s="21" t="s">
        <v>395</v>
      </c>
      <c r="C2912" s="22" t="s">
        <v>158</v>
      </c>
      <c r="D2912" s="22"/>
      <c r="E2912" s="21" t="s">
        <v>10</v>
      </c>
      <c r="F2912" s="21" t="s">
        <v>13772</v>
      </c>
      <c r="G2912" s="147" t="s">
        <v>9319</v>
      </c>
      <c r="H2912" s="23" t="s">
        <v>13788</v>
      </c>
      <c r="I2912" s="23" t="s">
        <v>13789</v>
      </c>
      <c r="J2912" s="21" t="s">
        <v>13797</v>
      </c>
      <c r="K2912" s="21"/>
      <c r="L2912" s="21" t="s">
        <v>13875</v>
      </c>
      <c r="M2912" s="26">
        <v>46038</v>
      </c>
      <c r="N2912" s="44">
        <v>262.29000000000002</v>
      </c>
      <c r="O2912" s="22" t="s">
        <v>15</v>
      </c>
      <c r="P2912" s="44">
        <v>262.29000000000002</v>
      </c>
      <c r="Q2912" s="24">
        <f t="shared" si="483"/>
        <v>0</v>
      </c>
      <c r="R2912" s="24">
        <f t="shared" si="484"/>
        <v>262.29000000000002</v>
      </c>
    </row>
    <row r="2913" spans="2:19" hidden="1" x14ac:dyDescent="0.25">
      <c r="B2913" s="21" t="s">
        <v>395</v>
      </c>
      <c r="C2913" s="22" t="s">
        <v>158</v>
      </c>
      <c r="D2913" s="22"/>
      <c r="E2913" s="21" t="s">
        <v>10</v>
      </c>
      <c r="F2913" s="21" t="s">
        <v>13792</v>
      </c>
      <c r="G2913" s="147" t="s">
        <v>7313</v>
      </c>
      <c r="H2913" s="23" t="s">
        <v>13790</v>
      </c>
      <c r="I2913" s="23" t="s">
        <v>13791</v>
      </c>
      <c r="J2913" s="21" t="s">
        <v>6557</v>
      </c>
      <c r="K2913" s="21"/>
      <c r="L2913" s="21" t="s">
        <v>13838</v>
      </c>
      <c r="M2913" s="26" t="s">
        <v>13839</v>
      </c>
      <c r="N2913" s="44">
        <v>6335.5</v>
      </c>
      <c r="O2913" s="22" t="s">
        <v>15</v>
      </c>
      <c r="P2913" s="44">
        <f>3438+2897.5</f>
        <v>6335.5</v>
      </c>
      <c r="Q2913" s="24">
        <f t="shared" si="483"/>
        <v>0</v>
      </c>
      <c r="R2913" s="24">
        <f t="shared" si="484"/>
        <v>6335.5</v>
      </c>
    </row>
    <row r="2914" spans="2:19" hidden="1" x14ac:dyDescent="0.25">
      <c r="B2914" s="21" t="s">
        <v>395</v>
      </c>
      <c r="C2914" s="22" t="s">
        <v>158</v>
      </c>
      <c r="D2914" s="22"/>
      <c r="E2914" s="21" t="s">
        <v>0</v>
      </c>
      <c r="F2914" s="21" t="s">
        <v>13300</v>
      </c>
      <c r="G2914" s="147" t="s">
        <v>13409</v>
      </c>
      <c r="H2914" s="23" t="s">
        <v>13793</v>
      </c>
      <c r="I2914" s="23" t="s">
        <v>13794</v>
      </c>
      <c r="J2914" s="21" t="s">
        <v>13412</v>
      </c>
      <c r="K2914" s="21"/>
      <c r="L2914" s="21" t="s">
        <v>14374</v>
      </c>
      <c r="M2914" s="26" t="s">
        <v>14375</v>
      </c>
      <c r="N2914" s="44">
        <v>1751.7</v>
      </c>
      <c r="O2914" s="22" t="s">
        <v>15</v>
      </c>
      <c r="P2914" s="44">
        <f>(1797.48-1797.48)</f>
        <v>0</v>
      </c>
      <c r="Q2914" s="24">
        <f t="shared" si="483"/>
        <v>1751.7</v>
      </c>
      <c r="R2914" s="24">
        <f t="shared" si="484"/>
        <v>0</v>
      </c>
    </row>
    <row r="2915" spans="2:19" hidden="1" x14ac:dyDescent="0.25">
      <c r="B2915" s="21" t="s">
        <v>395</v>
      </c>
      <c r="C2915" s="22" t="s">
        <v>158</v>
      </c>
      <c r="D2915" s="22"/>
      <c r="E2915" s="21" t="s">
        <v>10</v>
      </c>
      <c r="F2915" s="21" t="s">
        <v>13772</v>
      </c>
      <c r="G2915" s="147" t="s">
        <v>8639</v>
      </c>
      <c r="H2915" s="23" t="s">
        <v>13795</v>
      </c>
      <c r="I2915" s="23" t="s">
        <v>13796</v>
      </c>
      <c r="J2915" s="21" t="s">
        <v>6557</v>
      </c>
      <c r="K2915" s="21"/>
      <c r="L2915" s="21" t="s">
        <v>13846</v>
      </c>
      <c r="M2915" s="26">
        <v>46030</v>
      </c>
      <c r="N2915" s="44">
        <v>13218</v>
      </c>
      <c r="O2915" s="22" t="s">
        <v>15</v>
      </c>
      <c r="P2915" s="44">
        <v>13218</v>
      </c>
      <c r="Q2915" s="24">
        <f t="shared" si="483"/>
        <v>0</v>
      </c>
      <c r="R2915" s="24">
        <f t="shared" si="484"/>
        <v>13218</v>
      </c>
    </row>
    <row r="2916" spans="2:19" hidden="1" x14ac:dyDescent="0.25">
      <c r="B2916" s="21" t="s">
        <v>395</v>
      </c>
      <c r="C2916" s="22" t="s">
        <v>2450</v>
      </c>
      <c r="D2916" s="22" t="s">
        <v>1451</v>
      </c>
      <c r="E2916" s="21" t="s">
        <v>10</v>
      </c>
      <c r="F2916" s="21" t="s">
        <v>9755</v>
      </c>
      <c r="G2916" s="147" t="s">
        <v>7453</v>
      </c>
      <c r="H2916" s="23" t="s">
        <v>14174</v>
      </c>
      <c r="I2916" s="23" t="s">
        <v>14173</v>
      </c>
      <c r="J2916" s="21" t="s">
        <v>13798</v>
      </c>
      <c r="K2916" s="21"/>
      <c r="L2916" s="21" t="s">
        <v>14175</v>
      </c>
      <c r="M2916" s="26">
        <v>46063</v>
      </c>
      <c r="N2916" s="44">
        <v>1294</v>
      </c>
      <c r="O2916" s="22" t="s">
        <v>15</v>
      </c>
      <c r="P2916" s="44">
        <v>1294</v>
      </c>
      <c r="Q2916" s="44">
        <f t="shared" si="483"/>
        <v>0</v>
      </c>
      <c r="R2916" s="24">
        <f t="shared" si="484"/>
        <v>1294</v>
      </c>
    </row>
    <row r="2917" spans="2:19" hidden="1" x14ac:dyDescent="0.25">
      <c r="B2917" s="21" t="s">
        <v>395</v>
      </c>
      <c r="C2917" s="22" t="s">
        <v>158</v>
      </c>
      <c r="D2917" s="22"/>
      <c r="E2917" s="21" t="s">
        <v>10</v>
      </c>
      <c r="F2917" s="21" t="s">
        <v>13799</v>
      </c>
      <c r="G2917" s="147" t="s">
        <v>6638</v>
      </c>
      <c r="H2917" s="23" t="s">
        <v>13800</v>
      </c>
      <c r="I2917" s="23" t="s">
        <v>13801</v>
      </c>
      <c r="J2917" s="21" t="s">
        <v>6557</v>
      </c>
      <c r="K2917" s="21"/>
      <c r="L2917" s="21" t="s">
        <v>13837</v>
      </c>
      <c r="M2917" s="26">
        <v>46035</v>
      </c>
      <c r="N2917" s="44">
        <f>562</f>
        <v>562</v>
      </c>
      <c r="O2917" s="22" t="s">
        <v>15</v>
      </c>
      <c r="P2917" s="44">
        <f>562</f>
        <v>562</v>
      </c>
      <c r="Q2917" s="44">
        <f t="shared" ref="Q2917:Q2919" si="485">IF(P2917="en cours",N2917,IF(P2917="OK",0,IF(N2917-P2917&lt;0,0,N2917-P2917)))</f>
        <v>0</v>
      </c>
      <c r="R2917" s="24">
        <f t="shared" ref="R2917:R2919" si="486">IF(P2917="OK",N2917-Q2917,IF(P2917="en cours",N2917-Q2917,P2917))</f>
        <v>562</v>
      </c>
    </row>
    <row r="2918" spans="2:19" hidden="1" x14ac:dyDescent="0.25">
      <c r="B2918" s="21" t="s">
        <v>395</v>
      </c>
      <c r="C2918" s="22" t="s">
        <v>158</v>
      </c>
      <c r="D2918" s="22"/>
      <c r="E2918" s="21" t="s">
        <v>10</v>
      </c>
      <c r="F2918" s="21" t="s">
        <v>13799</v>
      </c>
      <c r="G2918" s="147" t="s">
        <v>6638</v>
      </c>
      <c r="H2918" s="23" t="s">
        <v>13802</v>
      </c>
      <c r="I2918" s="23" t="s">
        <v>13803</v>
      </c>
      <c r="J2918" s="21" t="s">
        <v>6557</v>
      </c>
      <c r="K2918" s="21"/>
      <c r="L2918" s="21" t="s">
        <v>13865</v>
      </c>
      <c r="M2918" s="26">
        <v>46036</v>
      </c>
      <c r="N2918" s="44">
        <v>178</v>
      </c>
      <c r="O2918" s="22" t="s">
        <v>15</v>
      </c>
      <c r="P2918" s="44">
        <v>178</v>
      </c>
      <c r="Q2918" s="44">
        <f t="shared" si="485"/>
        <v>0</v>
      </c>
      <c r="R2918" s="24">
        <f t="shared" si="486"/>
        <v>178</v>
      </c>
    </row>
    <row r="2919" spans="2:19" hidden="1" x14ac:dyDescent="0.25">
      <c r="B2919" s="21" t="s">
        <v>395</v>
      </c>
      <c r="C2919" s="22" t="s">
        <v>2450</v>
      </c>
      <c r="D2919" s="22"/>
      <c r="E2919" s="21" t="s">
        <v>10</v>
      </c>
      <c r="F2919" s="21" t="s">
        <v>13804</v>
      </c>
      <c r="G2919" s="147" t="s">
        <v>11121</v>
      </c>
      <c r="H2919" s="23" t="s">
        <v>13805</v>
      </c>
      <c r="I2919" s="23" t="s">
        <v>13806</v>
      </c>
      <c r="J2919" s="21" t="s">
        <v>6557</v>
      </c>
      <c r="K2919" s="21"/>
      <c r="L2919" s="21" t="s">
        <v>13873</v>
      </c>
      <c r="M2919" s="26">
        <v>46034</v>
      </c>
      <c r="N2919" s="44">
        <v>1308</v>
      </c>
      <c r="O2919" s="22" t="s">
        <v>15</v>
      </c>
      <c r="P2919" s="44">
        <v>1308</v>
      </c>
      <c r="Q2919" s="44">
        <f t="shared" si="485"/>
        <v>0</v>
      </c>
      <c r="R2919" s="24">
        <f t="shared" si="486"/>
        <v>1308</v>
      </c>
    </row>
    <row r="2920" spans="2:19" hidden="1" x14ac:dyDescent="0.25">
      <c r="B2920" s="21" t="s">
        <v>395</v>
      </c>
      <c r="C2920" s="22" t="s">
        <v>2450</v>
      </c>
      <c r="D2920" s="22"/>
      <c r="E2920" s="21" t="s">
        <v>0</v>
      </c>
      <c r="F2920" s="21" t="s">
        <v>9823</v>
      </c>
      <c r="G2920" s="147" t="s">
        <v>3687</v>
      </c>
      <c r="H2920" s="23" t="s">
        <v>13807</v>
      </c>
      <c r="I2920" s="23" t="s">
        <v>13808</v>
      </c>
      <c r="J2920" s="21" t="s">
        <v>13809</v>
      </c>
      <c r="K2920" s="21"/>
      <c r="L2920" s="21" t="s">
        <v>14111</v>
      </c>
      <c r="M2920" s="26">
        <v>46038</v>
      </c>
      <c r="N2920" s="44">
        <f>5500+500</f>
        <v>6000</v>
      </c>
      <c r="O2920" s="22" t="s">
        <v>15</v>
      </c>
      <c r="P2920" s="44">
        <f>2150+3850</f>
        <v>6000</v>
      </c>
      <c r="Q2920" s="24">
        <f t="shared" ref="Q2920:Q2924" si="487">IF(P2920="en cours",N2920,IF(P2920="OK",0,IF(N2920-P2920&lt;0,0,N2920-P2920)))</f>
        <v>0</v>
      </c>
      <c r="R2920" s="24">
        <f t="shared" ref="R2920:R2924" si="488">IF(P2920="OK",N2920-Q2920,IF(P2920="en cours",N2920-Q2920,P2920))</f>
        <v>6000</v>
      </c>
      <c r="S2920" s="21"/>
    </row>
    <row r="2921" spans="2:19" hidden="1" x14ac:dyDescent="0.25">
      <c r="C2921" s="4" t="s">
        <v>2450</v>
      </c>
      <c r="E2921" s="5" t="s">
        <v>0</v>
      </c>
      <c r="F2921" s="5" t="s">
        <v>9823</v>
      </c>
      <c r="G2921" s="146" t="s">
        <v>3687</v>
      </c>
      <c r="H2921" s="7" t="s">
        <v>13810</v>
      </c>
      <c r="I2921" s="7" t="s">
        <v>13811</v>
      </c>
      <c r="J2921" s="5" t="s">
        <v>13812</v>
      </c>
      <c r="N2921" s="45">
        <f>0.3*(5600+5600)</f>
        <v>3360</v>
      </c>
      <c r="O2921" s="4" t="s">
        <v>15</v>
      </c>
      <c r="Q2921" s="3">
        <f t="shared" si="487"/>
        <v>3360</v>
      </c>
      <c r="R2921" s="3">
        <f t="shared" si="488"/>
        <v>0</v>
      </c>
    </row>
    <row r="2922" spans="2:19" hidden="1" x14ac:dyDescent="0.25">
      <c r="C2922" s="4" t="s">
        <v>2450</v>
      </c>
      <c r="E2922" s="5" t="s">
        <v>0</v>
      </c>
      <c r="F2922" s="5" t="s">
        <v>9823</v>
      </c>
      <c r="G2922" s="146" t="s">
        <v>3687</v>
      </c>
      <c r="H2922" s="7" t="s">
        <v>13810</v>
      </c>
      <c r="I2922" s="7" t="s">
        <v>13811</v>
      </c>
      <c r="J2922" s="5" t="s">
        <v>13813</v>
      </c>
      <c r="L2922" s="5" t="s">
        <v>13872</v>
      </c>
      <c r="M2922" s="12">
        <v>46038</v>
      </c>
      <c r="N2922" s="45">
        <f>0.7*(5600+5600)</f>
        <v>7839.9999999999991</v>
      </c>
      <c r="O2922" s="4" t="s">
        <v>15</v>
      </c>
      <c r="P2922" s="45">
        <v>5600</v>
      </c>
      <c r="Q2922" s="3">
        <f t="shared" si="487"/>
        <v>2239.9999999999991</v>
      </c>
      <c r="R2922" s="3">
        <f t="shared" si="488"/>
        <v>5600</v>
      </c>
    </row>
    <row r="2923" spans="2:19" hidden="1" x14ac:dyDescent="0.25">
      <c r="C2923" s="4" t="s">
        <v>2450</v>
      </c>
      <c r="E2923" s="5" t="s">
        <v>0</v>
      </c>
      <c r="F2923" s="5" t="s">
        <v>9823</v>
      </c>
      <c r="G2923" s="146" t="s">
        <v>3687</v>
      </c>
      <c r="H2923" s="7" t="s">
        <v>13810</v>
      </c>
      <c r="I2923" s="7" t="s">
        <v>13811</v>
      </c>
      <c r="J2923" s="5" t="s">
        <v>13814</v>
      </c>
      <c r="N2923" s="45">
        <f>0.15*(5600+5600)</f>
        <v>1680</v>
      </c>
      <c r="O2923" s="4" t="s">
        <v>15</v>
      </c>
      <c r="Q2923" s="3">
        <f t="shared" si="487"/>
        <v>1680</v>
      </c>
      <c r="R2923" s="3">
        <f t="shared" si="488"/>
        <v>0</v>
      </c>
    </row>
    <row r="2924" spans="2:19" hidden="1" x14ac:dyDescent="0.25">
      <c r="B2924" s="21" t="s">
        <v>395</v>
      </c>
      <c r="C2924" s="22" t="s">
        <v>158</v>
      </c>
      <c r="D2924" s="22"/>
      <c r="E2924" s="21" t="s">
        <v>10</v>
      </c>
      <c r="F2924" s="21" t="s">
        <v>13772</v>
      </c>
      <c r="G2924" s="147" t="s">
        <v>9319</v>
      </c>
      <c r="H2924" s="23" t="s">
        <v>13815</v>
      </c>
      <c r="I2924" s="23" t="s">
        <v>13816</v>
      </c>
      <c r="J2924" s="21" t="s">
        <v>13817</v>
      </c>
      <c r="K2924" s="21"/>
      <c r="L2924" s="21" t="s">
        <v>13945</v>
      </c>
      <c r="M2924" s="26">
        <v>46051</v>
      </c>
      <c r="N2924" s="44">
        <v>4923.72</v>
      </c>
      <c r="O2924" s="22" t="s">
        <v>15</v>
      </c>
      <c r="P2924" s="44">
        <v>4923.72</v>
      </c>
      <c r="Q2924" s="24">
        <f t="shared" si="487"/>
        <v>0</v>
      </c>
      <c r="R2924" s="24">
        <f t="shared" si="488"/>
        <v>4923.72</v>
      </c>
    </row>
    <row r="2925" spans="2:19" hidden="1" x14ac:dyDescent="0.25">
      <c r="B2925" s="21" t="s">
        <v>395</v>
      </c>
      <c r="C2925" s="22" t="s">
        <v>158</v>
      </c>
      <c r="D2925" s="22"/>
      <c r="E2925" s="21" t="s">
        <v>75</v>
      </c>
      <c r="F2925" s="21" t="s">
        <v>9558</v>
      </c>
      <c r="G2925" s="147" t="s">
        <v>13818</v>
      </c>
      <c r="H2925" s="23" t="s">
        <v>13819</v>
      </c>
      <c r="I2925" s="23" t="s">
        <v>13820</v>
      </c>
      <c r="J2925" s="21" t="s">
        <v>13821</v>
      </c>
      <c r="K2925" s="21"/>
      <c r="L2925" s="21" t="s">
        <v>13882</v>
      </c>
      <c r="M2925" s="26">
        <v>46043</v>
      </c>
      <c r="N2925" s="44">
        <v>5000</v>
      </c>
      <c r="O2925" s="22" t="s">
        <v>276</v>
      </c>
      <c r="P2925" s="44">
        <v>5000</v>
      </c>
      <c r="Q2925" s="24">
        <f t="shared" ref="Q2925:Q2926" si="489">IF(P2925="en cours",N2925,IF(P2925="OK",0,IF(N2925-P2925&lt;0,0,N2925-P2925)))</f>
        <v>0</v>
      </c>
      <c r="R2925" s="24">
        <f t="shared" ref="R2925:R2926" si="490">IF(P2925="OK",N2925-Q2925,IF(P2925="en cours",N2925-Q2925,P2925))</f>
        <v>5000</v>
      </c>
      <c r="S2925" s="21"/>
    </row>
    <row r="2926" spans="2:19" hidden="1" x14ac:dyDescent="0.25">
      <c r="B2926" s="21" t="s">
        <v>395</v>
      </c>
      <c r="C2926" s="22" t="s">
        <v>2450</v>
      </c>
      <c r="D2926" s="22"/>
      <c r="E2926" s="21" t="s">
        <v>75</v>
      </c>
      <c r="F2926" s="21" t="s">
        <v>11253</v>
      </c>
      <c r="G2926" s="147" t="s">
        <v>155</v>
      </c>
      <c r="H2926" s="23" t="s">
        <v>13826</v>
      </c>
      <c r="I2926" s="23"/>
      <c r="J2926" s="21" t="s">
        <v>13827</v>
      </c>
      <c r="K2926" s="21"/>
      <c r="L2926" s="21" t="s">
        <v>13828</v>
      </c>
      <c r="M2926" s="26" t="s">
        <v>13829</v>
      </c>
      <c r="N2926" s="44">
        <v>15880</v>
      </c>
      <c r="O2926" s="22" t="s">
        <v>15</v>
      </c>
      <c r="P2926" s="44">
        <f>7940+7940</f>
        <v>15880</v>
      </c>
      <c r="Q2926" s="24">
        <f t="shared" si="489"/>
        <v>0</v>
      </c>
      <c r="R2926" s="24">
        <f t="shared" si="490"/>
        <v>15880</v>
      </c>
    </row>
    <row r="2927" spans="2:19" hidden="1" x14ac:dyDescent="0.25">
      <c r="C2927" s="4" t="s">
        <v>2450</v>
      </c>
      <c r="E2927" s="5" t="s">
        <v>75</v>
      </c>
      <c r="F2927" s="5" t="s">
        <v>9755</v>
      </c>
      <c r="G2927" s="146" t="s">
        <v>7453</v>
      </c>
      <c r="H2927" s="7" t="s">
        <v>13854</v>
      </c>
      <c r="I2927" s="7" t="s">
        <v>13855</v>
      </c>
      <c r="J2927" s="5" t="s">
        <v>13856</v>
      </c>
      <c r="N2927" s="45">
        <v>1294</v>
      </c>
      <c r="O2927" s="4" t="s">
        <v>15</v>
      </c>
      <c r="Q2927" s="3">
        <f t="shared" ref="Q2927" si="491">IF(P2927="en cours",N2927,IF(P2927="OK",0,IF(N2927-P2927&lt;0,0,N2927-P2927)))</f>
        <v>1294</v>
      </c>
      <c r="R2927" s="3">
        <f t="shared" ref="R2927" si="492">IF(P2927="OK",N2927-Q2927,IF(P2927="en cours",N2927-Q2927,P2927))</f>
        <v>0</v>
      </c>
    </row>
    <row r="2928" spans="2:19" hidden="1" x14ac:dyDescent="0.25">
      <c r="B2928" s="21" t="s">
        <v>395</v>
      </c>
      <c r="C2928" s="22" t="s">
        <v>14243</v>
      </c>
      <c r="D2928" s="22"/>
      <c r="E2928" s="21" t="s">
        <v>10</v>
      </c>
      <c r="F2928" s="21" t="s">
        <v>9819</v>
      </c>
      <c r="G2928" s="147" t="s">
        <v>13857</v>
      </c>
      <c r="H2928" s="23" t="s">
        <v>13859</v>
      </c>
      <c r="I2928" s="23" t="s">
        <v>13858</v>
      </c>
      <c r="J2928" s="21" t="s">
        <v>14241</v>
      </c>
      <c r="K2928" s="21"/>
      <c r="L2928" s="21" t="s">
        <v>14240</v>
      </c>
      <c r="M2928" s="26">
        <v>46076</v>
      </c>
      <c r="N2928" s="44">
        <f>23000+104.12</f>
        <v>23104.12</v>
      </c>
      <c r="O2928" s="22" t="s">
        <v>15</v>
      </c>
      <c r="P2928" s="44">
        <f>23000+104.12</f>
        <v>23104.12</v>
      </c>
      <c r="Q2928" s="24">
        <f t="shared" ref="Q2928" si="493">IF(P2928="en cours",N2928,IF(P2928="OK",0,IF(N2928-P2928&lt;0,0,N2928-P2928)))</f>
        <v>0</v>
      </c>
      <c r="R2928" s="24">
        <f t="shared" ref="R2928" si="494">IF(P2928="OK",N2928-Q2928,IF(P2928="en cours",N2928-Q2928,P2928))</f>
        <v>23104.12</v>
      </c>
      <c r="S2928" s="5" t="s">
        <v>14242</v>
      </c>
    </row>
    <row r="2929" spans="2:18" hidden="1" x14ac:dyDescent="0.25">
      <c r="C2929" s="4" t="s">
        <v>158</v>
      </c>
      <c r="E2929" s="5" t="s">
        <v>10</v>
      </c>
      <c r="F2929" s="5" t="s">
        <v>13799</v>
      </c>
      <c r="G2929" s="146" t="s">
        <v>7313</v>
      </c>
      <c r="H2929" s="7" t="s">
        <v>13860</v>
      </c>
      <c r="I2929" s="7" t="s">
        <v>13861</v>
      </c>
      <c r="J2929" s="5" t="s">
        <v>6557</v>
      </c>
      <c r="L2929" s="5" t="s">
        <v>13883</v>
      </c>
      <c r="M2929" s="7" t="s">
        <v>13884</v>
      </c>
      <c r="N2929" s="45">
        <v>9693.49</v>
      </c>
      <c r="O2929" s="4" t="s">
        <v>15</v>
      </c>
      <c r="P2929" s="45">
        <f>2652.65+1107.84+5933</f>
        <v>9693.49</v>
      </c>
      <c r="Q2929" s="3">
        <f t="shared" ref="Q2929" si="495">IF(P2929="en cours",N2929,IF(P2929="OK",0,IF(N2929-P2929&lt;0,0,N2929-P2929)))</f>
        <v>0</v>
      </c>
      <c r="R2929" s="3">
        <f t="shared" ref="R2929" si="496">IF(P2929="OK",N2929-Q2929,IF(P2929="en cours",N2929-Q2929,P2929))</f>
        <v>9693.49</v>
      </c>
    </row>
    <row r="2930" spans="2:18" hidden="1" x14ac:dyDescent="0.25">
      <c r="B2930" s="21" t="s">
        <v>395</v>
      </c>
      <c r="C2930" s="22" t="s">
        <v>2450</v>
      </c>
      <c r="D2930" s="22"/>
      <c r="E2930" s="21" t="s">
        <v>0</v>
      </c>
      <c r="F2930" s="21" t="s">
        <v>9823</v>
      </c>
      <c r="G2930" s="147" t="s">
        <v>92</v>
      </c>
      <c r="H2930" s="23" t="s">
        <v>13862</v>
      </c>
      <c r="I2930" s="23" t="s">
        <v>13863</v>
      </c>
      <c r="J2930" s="21" t="s">
        <v>11521</v>
      </c>
      <c r="K2930" s="21"/>
      <c r="L2930" s="21" t="s">
        <v>13866</v>
      </c>
      <c r="M2930" s="26">
        <v>46038</v>
      </c>
      <c r="N2930" s="44">
        <v>2300</v>
      </c>
      <c r="O2930" s="22" t="s">
        <v>15</v>
      </c>
      <c r="P2930" s="44">
        <v>2300</v>
      </c>
      <c r="Q2930" s="24">
        <f t="shared" ref="Q2930:Q2945" si="497">IF(P2930="en cours",N2930,IF(P2930="OK",0,IF(N2930-P2930&lt;0,0,N2930-P2930)))</f>
        <v>0</v>
      </c>
      <c r="R2930" s="24">
        <f t="shared" ref="R2930" si="498">IF(P2930="OK",N2930-Q2930,IF(P2930="en cours",N2930-Q2930,P2930))</f>
        <v>2300</v>
      </c>
    </row>
    <row r="2931" spans="2:18" hidden="1" x14ac:dyDescent="0.25">
      <c r="B2931" s="21" t="s">
        <v>395</v>
      </c>
      <c r="C2931" s="22" t="s">
        <v>12863</v>
      </c>
      <c r="D2931" s="22"/>
      <c r="E2931" s="21" t="s">
        <v>75</v>
      </c>
      <c r="F2931" s="21" t="s">
        <v>10002</v>
      </c>
      <c r="G2931" s="147" t="s">
        <v>13924</v>
      </c>
      <c r="H2931" s="23" t="s">
        <v>13885</v>
      </c>
      <c r="I2931" s="23" t="s">
        <v>13886</v>
      </c>
      <c r="J2931" s="21" t="s">
        <v>13892</v>
      </c>
      <c r="K2931" s="47"/>
      <c r="L2931" s="21" t="s">
        <v>13902</v>
      </c>
      <c r="M2931" s="26">
        <v>46038</v>
      </c>
      <c r="N2931" s="44">
        <v>236238</v>
      </c>
      <c r="O2931" s="22" t="s">
        <v>15</v>
      </c>
      <c r="P2931" s="44">
        <f>236238</f>
        <v>236238</v>
      </c>
      <c r="Q2931" s="24">
        <f t="shared" si="497"/>
        <v>0</v>
      </c>
      <c r="R2931" s="24">
        <f t="shared" ref="R2931:R2945" si="499">IF(P2931="OK",N2931-Q2931,IF(P2931="en cours",M2931-Q2931,P2931))</f>
        <v>236238</v>
      </c>
    </row>
    <row r="2932" spans="2:18" hidden="1" x14ac:dyDescent="0.25">
      <c r="C2932" s="4" t="s">
        <v>12863</v>
      </c>
      <c r="E2932" s="5" t="s">
        <v>75</v>
      </c>
      <c r="F2932" s="5" t="s">
        <v>10002</v>
      </c>
      <c r="G2932" s="146" t="s">
        <v>13924</v>
      </c>
      <c r="H2932" s="7" t="s">
        <v>13885</v>
      </c>
      <c r="I2932" s="7" t="s">
        <v>13886</v>
      </c>
      <c r="J2932" s="5" t="s">
        <v>13893</v>
      </c>
      <c r="K2932" s="115">
        <v>46082</v>
      </c>
      <c r="N2932" s="45">
        <v>177179</v>
      </c>
      <c r="O2932" s="4" t="s">
        <v>15</v>
      </c>
      <c r="Q2932" s="3">
        <f t="shared" si="497"/>
        <v>177179</v>
      </c>
      <c r="R2932" s="3">
        <f t="shared" si="499"/>
        <v>0</v>
      </c>
    </row>
    <row r="2933" spans="2:18" hidden="1" x14ac:dyDescent="0.25">
      <c r="C2933" s="4" t="s">
        <v>12863</v>
      </c>
      <c r="E2933" s="5" t="s">
        <v>75</v>
      </c>
      <c r="F2933" s="5" t="s">
        <v>10002</v>
      </c>
      <c r="G2933" s="146" t="s">
        <v>13924</v>
      </c>
      <c r="H2933" s="7" t="s">
        <v>13885</v>
      </c>
      <c r="I2933" s="7" t="s">
        <v>13886</v>
      </c>
      <c r="J2933" s="5" t="s">
        <v>13894</v>
      </c>
      <c r="K2933" s="115">
        <v>46126</v>
      </c>
      <c r="N2933" s="45">
        <v>118119</v>
      </c>
      <c r="O2933" s="4" t="s">
        <v>15</v>
      </c>
      <c r="Q2933" s="3">
        <f t="shared" si="497"/>
        <v>118119</v>
      </c>
      <c r="R2933" s="3">
        <f t="shared" si="499"/>
        <v>0</v>
      </c>
    </row>
    <row r="2934" spans="2:18" hidden="1" x14ac:dyDescent="0.25">
      <c r="C2934" s="4" t="s">
        <v>12863</v>
      </c>
      <c r="E2934" s="5" t="s">
        <v>75</v>
      </c>
      <c r="F2934" s="5" t="s">
        <v>10002</v>
      </c>
      <c r="G2934" s="146" t="s">
        <v>13924</v>
      </c>
      <c r="H2934" s="7" t="s">
        <v>13885</v>
      </c>
      <c r="I2934" s="7" t="s">
        <v>13886</v>
      </c>
      <c r="J2934" s="5" t="s">
        <v>13895</v>
      </c>
      <c r="K2934" s="115">
        <v>46143</v>
      </c>
      <c r="N2934" s="45">
        <v>118119</v>
      </c>
      <c r="O2934" s="4" t="s">
        <v>15</v>
      </c>
      <c r="Q2934" s="3">
        <f t="shared" si="497"/>
        <v>118119</v>
      </c>
      <c r="R2934" s="3">
        <f t="shared" si="499"/>
        <v>0</v>
      </c>
    </row>
    <row r="2935" spans="2:18" hidden="1" x14ac:dyDescent="0.25">
      <c r="C2935" s="4" t="s">
        <v>12863</v>
      </c>
      <c r="E2935" s="5" t="s">
        <v>75</v>
      </c>
      <c r="F2935" s="5" t="s">
        <v>10002</v>
      </c>
      <c r="G2935" s="146" t="s">
        <v>13924</v>
      </c>
      <c r="H2935" s="7" t="s">
        <v>13885</v>
      </c>
      <c r="I2935" s="7" t="s">
        <v>13886</v>
      </c>
      <c r="J2935" s="5" t="s">
        <v>13896</v>
      </c>
      <c r="K2935" s="115">
        <v>46150</v>
      </c>
      <c r="N2935" s="45">
        <v>118119</v>
      </c>
      <c r="O2935" s="4" t="s">
        <v>15</v>
      </c>
      <c r="Q2935" s="3">
        <f t="shared" si="497"/>
        <v>118119</v>
      </c>
      <c r="R2935" s="3">
        <f t="shared" si="499"/>
        <v>0</v>
      </c>
    </row>
    <row r="2936" spans="2:18" hidden="1" x14ac:dyDescent="0.25">
      <c r="C2936" s="4" t="s">
        <v>12863</v>
      </c>
      <c r="E2936" s="5" t="s">
        <v>75</v>
      </c>
      <c r="F2936" s="5" t="s">
        <v>10002</v>
      </c>
      <c r="G2936" s="146" t="s">
        <v>13924</v>
      </c>
      <c r="H2936" s="7" t="s">
        <v>13885</v>
      </c>
      <c r="I2936" s="7" t="s">
        <v>13886</v>
      </c>
      <c r="J2936" s="5" t="s">
        <v>13897</v>
      </c>
      <c r="K2936" s="115">
        <v>46144</v>
      </c>
      <c r="N2936" s="45">
        <v>106306</v>
      </c>
      <c r="O2936" s="4" t="s">
        <v>15</v>
      </c>
      <c r="Q2936" s="3">
        <f t="shared" si="497"/>
        <v>106306</v>
      </c>
      <c r="R2936" s="3">
        <f t="shared" si="499"/>
        <v>0</v>
      </c>
    </row>
    <row r="2937" spans="2:18" hidden="1" x14ac:dyDescent="0.25">
      <c r="C2937" s="4" t="s">
        <v>12863</v>
      </c>
      <c r="E2937" s="5" t="s">
        <v>75</v>
      </c>
      <c r="F2937" s="5" t="s">
        <v>10002</v>
      </c>
      <c r="G2937" s="146" t="s">
        <v>13924</v>
      </c>
      <c r="H2937" s="7" t="s">
        <v>13885</v>
      </c>
      <c r="I2937" s="7" t="s">
        <v>13886</v>
      </c>
      <c r="J2937" s="5" t="s">
        <v>13898</v>
      </c>
      <c r="K2937" s="115">
        <v>46252</v>
      </c>
      <c r="N2937" s="45">
        <v>94495</v>
      </c>
      <c r="O2937" s="4" t="s">
        <v>15</v>
      </c>
      <c r="Q2937" s="3">
        <f t="shared" si="497"/>
        <v>94495</v>
      </c>
      <c r="R2937" s="3">
        <f t="shared" si="499"/>
        <v>0</v>
      </c>
    </row>
    <row r="2938" spans="2:18" hidden="1" x14ac:dyDescent="0.25">
      <c r="C2938" s="4" t="s">
        <v>12863</v>
      </c>
      <c r="E2938" s="5" t="s">
        <v>75</v>
      </c>
      <c r="F2938" s="5" t="s">
        <v>10002</v>
      </c>
      <c r="G2938" s="146" t="s">
        <v>13924</v>
      </c>
      <c r="H2938" s="7" t="s">
        <v>13885</v>
      </c>
      <c r="I2938" s="7" t="s">
        <v>13886</v>
      </c>
      <c r="J2938" s="5" t="s">
        <v>13899</v>
      </c>
      <c r="K2938" s="115">
        <v>46266</v>
      </c>
      <c r="N2938" s="45">
        <v>94495</v>
      </c>
      <c r="O2938" s="4" t="s">
        <v>15</v>
      </c>
      <c r="Q2938" s="3">
        <f t="shared" si="497"/>
        <v>94495</v>
      </c>
      <c r="R2938" s="3">
        <f t="shared" si="499"/>
        <v>0</v>
      </c>
    </row>
    <row r="2939" spans="2:18" hidden="1" x14ac:dyDescent="0.25">
      <c r="C2939" s="4" t="s">
        <v>12863</v>
      </c>
      <c r="E2939" s="5" t="s">
        <v>75</v>
      </c>
      <c r="F2939" s="5" t="s">
        <v>10002</v>
      </c>
      <c r="G2939" s="146" t="s">
        <v>13924</v>
      </c>
      <c r="H2939" s="7" t="s">
        <v>13885</v>
      </c>
      <c r="I2939" s="7" t="s">
        <v>13886</v>
      </c>
      <c r="J2939" s="5" t="s">
        <v>13900</v>
      </c>
      <c r="K2939" s="115">
        <v>46329</v>
      </c>
      <c r="N2939" s="45">
        <v>59060</v>
      </c>
      <c r="O2939" s="4" t="s">
        <v>15</v>
      </c>
      <c r="Q2939" s="3">
        <f t="shared" si="497"/>
        <v>59060</v>
      </c>
      <c r="R2939" s="3">
        <f t="shared" si="499"/>
        <v>0</v>
      </c>
    </row>
    <row r="2940" spans="2:18" hidden="1" x14ac:dyDescent="0.25">
      <c r="C2940" s="4" t="s">
        <v>12863</v>
      </c>
      <c r="E2940" s="5" t="s">
        <v>75</v>
      </c>
      <c r="F2940" s="5" t="s">
        <v>10002</v>
      </c>
      <c r="G2940" s="146" t="s">
        <v>13924</v>
      </c>
      <c r="H2940" s="7" t="s">
        <v>13885</v>
      </c>
      <c r="I2940" s="7" t="s">
        <v>13886</v>
      </c>
      <c r="J2940" s="5" t="s">
        <v>13901</v>
      </c>
      <c r="K2940" s="115">
        <v>46343</v>
      </c>
      <c r="N2940" s="45">
        <v>59060</v>
      </c>
      <c r="O2940" s="4" t="s">
        <v>15</v>
      </c>
      <c r="Q2940" s="3">
        <f t="shared" si="497"/>
        <v>59060</v>
      </c>
      <c r="R2940" s="3">
        <f t="shared" si="499"/>
        <v>0</v>
      </c>
    </row>
    <row r="2941" spans="2:18" hidden="1" x14ac:dyDescent="0.25">
      <c r="B2941" s="21" t="s">
        <v>395</v>
      </c>
      <c r="C2941" s="22" t="s">
        <v>12863</v>
      </c>
      <c r="D2941" s="22"/>
      <c r="E2941" s="21" t="s">
        <v>75</v>
      </c>
      <c r="F2941" s="21" t="s">
        <v>10002</v>
      </c>
      <c r="G2941" s="147" t="s">
        <v>13924</v>
      </c>
      <c r="H2941" s="23" t="s">
        <v>13885</v>
      </c>
      <c r="I2941" s="23" t="s">
        <v>13886</v>
      </c>
      <c r="J2941" s="21" t="s">
        <v>13890</v>
      </c>
      <c r="K2941" s="21"/>
      <c r="L2941" s="21" t="s">
        <v>13904</v>
      </c>
      <c r="M2941" s="26">
        <v>46038</v>
      </c>
      <c r="N2941" s="44">
        <v>21372</v>
      </c>
      <c r="O2941" s="22" t="s">
        <v>15</v>
      </c>
      <c r="P2941" s="44">
        <v>21372</v>
      </c>
      <c r="Q2941" s="24">
        <f t="shared" si="497"/>
        <v>0</v>
      </c>
      <c r="R2941" s="24">
        <f t="shared" si="499"/>
        <v>21372</v>
      </c>
    </row>
    <row r="2942" spans="2:18" hidden="1" x14ac:dyDescent="0.25">
      <c r="C2942" s="4" t="s">
        <v>12863</v>
      </c>
      <c r="E2942" s="5" t="s">
        <v>75</v>
      </c>
      <c r="F2942" s="5" t="s">
        <v>10002</v>
      </c>
      <c r="G2942" s="146" t="s">
        <v>13924</v>
      </c>
      <c r="H2942" s="7" t="s">
        <v>13885</v>
      </c>
      <c r="I2942" s="7" t="s">
        <v>13886</v>
      </c>
      <c r="J2942" s="5" t="s">
        <v>13887</v>
      </c>
      <c r="N2942" s="45">
        <f>106859-N2941</f>
        <v>85487</v>
      </c>
      <c r="O2942" s="4" t="s">
        <v>15</v>
      </c>
      <c r="Q2942" s="3">
        <f t="shared" si="497"/>
        <v>85487</v>
      </c>
      <c r="R2942" s="3">
        <f t="shared" si="499"/>
        <v>0</v>
      </c>
    </row>
    <row r="2943" spans="2:18" hidden="1" x14ac:dyDescent="0.25">
      <c r="B2943" s="21" t="s">
        <v>395</v>
      </c>
      <c r="C2943" s="22" t="s">
        <v>12863</v>
      </c>
      <c r="D2943" s="22"/>
      <c r="E2943" s="21" t="s">
        <v>75</v>
      </c>
      <c r="F2943" s="21" t="s">
        <v>10002</v>
      </c>
      <c r="G2943" s="147" t="s">
        <v>13924</v>
      </c>
      <c r="H2943" s="23" t="s">
        <v>13885</v>
      </c>
      <c r="I2943" s="23" t="s">
        <v>13886</v>
      </c>
      <c r="J2943" s="21" t="s">
        <v>13889</v>
      </c>
      <c r="K2943" s="21"/>
      <c r="L2943" s="21" t="s">
        <v>13903</v>
      </c>
      <c r="M2943" s="26">
        <v>46038</v>
      </c>
      <c r="N2943" s="44">
        <v>24346</v>
      </c>
      <c r="O2943" s="22" t="s">
        <v>15</v>
      </c>
      <c r="P2943" s="44">
        <v>24346</v>
      </c>
      <c r="Q2943" s="24">
        <f t="shared" si="497"/>
        <v>0</v>
      </c>
      <c r="R2943" s="24">
        <f t="shared" si="499"/>
        <v>24346</v>
      </c>
    </row>
    <row r="2944" spans="2:18" hidden="1" x14ac:dyDescent="0.25">
      <c r="B2944" s="21" t="s">
        <v>395</v>
      </c>
      <c r="C2944" s="22" t="s">
        <v>12863</v>
      </c>
      <c r="D2944" s="22"/>
      <c r="E2944" s="21" t="s">
        <v>75</v>
      </c>
      <c r="F2944" s="21" t="s">
        <v>10002</v>
      </c>
      <c r="G2944" s="147" t="s">
        <v>13924</v>
      </c>
      <c r="H2944" s="23" t="s">
        <v>13885</v>
      </c>
      <c r="I2944" s="23" t="s">
        <v>13886</v>
      </c>
      <c r="J2944" s="21" t="s">
        <v>13891</v>
      </c>
      <c r="K2944" s="21"/>
      <c r="L2944" s="21" t="s">
        <v>13905</v>
      </c>
      <c r="M2944" s="26">
        <v>46038</v>
      </c>
      <c r="N2944" s="44">
        <v>48693</v>
      </c>
      <c r="O2944" s="22" t="s">
        <v>15</v>
      </c>
      <c r="P2944" s="44">
        <v>48693</v>
      </c>
      <c r="Q2944" s="24">
        <f t="shared" ref="Q2944" si="500">IF(P2944="en cours",N2944,IF(P2944="OK",0,IF(N2944-P2944&lt;0,0,N2944-P2944)))</f>
        <v>0</v>
      </c>
      <c r="R2944" s="24">
        <f t="shared" ref="R2944" si="501">IF(P2944="OK",N2944-Q2944,IF(P2944="en cours",M2944-Q2944,P2944))</f>
        <v>48693</v>
      </c>
    </row>
    <row r="2945" spans="2:19" hidden="1" x14ac:dyDescent="0.25">
      <c r="B2945"/>
      <c r="C2945" s="4" t="s">
        <v>12863</v>
      </c>
      <c r="E2945" s="5" t="s">
        <v>75</v>
      </c>
      <c r="F2945" s="5" t="s">
        <v>10002</v>
      </c>
      <c r="G2945" s="146" t="s">
        <v>13924</v>
      </c>
      <c r="H2945" s="7" t="s">
        <v>13885</v>
      </c>
      <c r="I2945" s="7" t="s">
        <v>13886</v>
      </c>
      <c r="J2945" s="5" t="s">
        <v>13888</v>
      </c>
      <c r="N2945" s="45">
        <f>243464-(N2943+N2944)</f>
        <v>170425</v>
      </c>
      <c r="O2945" s="4" t="s">
        <v>15</v>
      </c>
      <c r="Q2945" s="3">
        <f t="shared" si="497"/>
        <v>170425</v>
      </c>
      <c r="R2945" s="3">
        <f t="shared" si="499"/>
        <v>0</v>
      </c>
    </row>
    <row r="2946" spans="2:19" hidden="1" x14ac:dyDescent="0.25">
      <c r="C2946" s="4" t="s">
        <v>2450</v>
      </c>
      <c r="E2946" s="5" t="s">
        <v>7137</v>
      </c>
      <c r="F2946" s="5" t="s">
        <v>11545</v>
      </c>
      <c r="G2946" s="146" t="s">
        <v>13906</v>
      </c>
      <c r="H2946" s="7" t="s">
        <v>13907</v>
      </c>
      <c r="I2946" s="7" t="s">
        <v>13908</v>
      </c>
      <c r="J2946" s="5" t="s">
        <v>13909</v>
      </c>
      <c r="N2946" s="45">
        <v>24920</v>
      </c>
      <c r="O2946" s="4" t="s">
        <v>341</v>
      </c>
      <c r="Q2946" s="3">
        <f t="shared" ref="Q2946" si="502">IF(P2946="en cours",N2946,IF(P2946="OK",0,IF(N2946-P2946&lt;0,0,N2946-P2946)))</f>
        <v>24920</v>
      </c>
      <c r="R2946" s="3">
        <f t="shared" ref="R2946" si="503">IF(P2946="OK",N2946-Q2946,IF(P2946="en cours",M2946-Q2946,P2946))</f>
        <v>0</v>
      </c>
    </row>
    <row r="2947" spans="2:19" hidden="1" x14ac:dyDescent="0.25">
      <c r="B2947" s="21" t="s">
        <v>395</v>
      </c>
      <c r="C2947" s="22" t="s">
        <v>158</v>
      </c>
      <c r="D2947" s="22"/>
      <c r="E2947" s="21" t="s">
        <v>10</v>
      </c>
      <c r="F2947" s="21" t="s">
        <v>13799</v>
      </c>
      <c r="G2947" s="147" t="s">
        <v>11065</v>
      </c>
      <c r="H2947" s="23" t="s">
        <v>13910</v>
      </c>
      <c r="I2947" s="23" t="s">
        <v>13911</v>
      </c>
      <c r="J2947" s="21" t="s">
        <v>6557</v>
      </c>
      <c r="K2947" s="21"/>
      <c r="L2947" s="21" t="s">
        <v>13929</v>
      </c>
      <c r="M2947" s="26" t="s">
        <v>13930</v>
      </c>
      <c r="N2947" s="44">
        <v>336.6</v>
      </c>
      <c r="O2947" s="22" t="s">
        <v>15</v>
      </c>
      <c r="P2947" s="44">
        <f>(81.6+25)+230</f>
        <v>336.6</v>
      </c>
      <c r="Q2947" s="24">
        <f t="shared" ref="Q2947:Q2949" si="504">IF(P2947="en cours",N2947,IF(P2947="OK",0,IF(N2947-P2947&lt;0,0,N2947-P2947)))</f>
        <v>0</v>
      </c>
      <c r="R2947" s="24">
        <f t="shared" ref="R2947:R2949" si="505">IF(P2947="OK",N2947-Q2947,IF(P2947="en cours",M2947-Q2947,P2947))</f>
        <v>336.6</v>
      </c>
    </row>
    <row r="2948" spans="2:19" hidden="1" x14ac:dyDescent="0.25">
      <c r="B2948" s="21" t="s">
        <v>395</v>
      </c>
      <c r="C2948" s="22" t="s">
        <v>158</v>
      </c>
      <c r="D2948" s="22"/>
      <c r="E2948" s="21" t="s">
        <v>10</v>
      </c>
      <c r="F2948" s="21" t="s">
        <v>9721</v>
      </c>
      <c r="G2948" s="147" t="s">
        <v>1090</v>
      </c>
      <c r="H2948" s="23" t="s">
        <v>13912</v>
      </c>
      <c r="I2948" s="23" t="s">
        <v>13913</v>
      </c>
      <c r="J2948" s="21" t="s">
        <v>6557</v>
      </c>
      <c r="K2948" s="21"/>
      <c r="L2948" s="21" t="s">
        <v>13928</v>
      </c>
      <c r="M2948" s="26">
        <v>46042</v>
      </c>
      <c r="N2948" s="44">
        <v>2260.15</v>
      </c>
      <c r="O2948" s="22" t="s">
        <v>15</v>
      </c>
      <c r="P2948" s="44">
        <f>2260.15</f>
        <v>2260.15</v>
      </c>
      <c r="Q2948" s="24">
        <f t="shared" si="504"/>
        <v>0</v>
      </c>
      <c r="R2948" s="24">
        <f t="shared" si="505"/>
        <v>2260.15</v>
      </c>
    </row>
    <row r="2949" spans="2:19" hidden="1" x14ac:dyDescent="0.25">
      <c r="B2949" s="21" t="s">
        <v>395</v>
      </c>
      <c r="C2949" s="22" t="s">
        <v>2450</v>
      </c>
      <c r="D2949" s="22"/>
      <c r="E2949" s="21" t="s">
        <v>10</v>
      </c>
      <c r="F2949" s="21" t="s">
        <v>9721</v>
      </c>
      <c r="G2949" s="147" t="s">
        <v>9009</v>
      </c>
      <c r="H2949" s="23" t="s">
        <v>13914</v>
      </c>
      <c r="I2949" s="23" t="s">
        <v>13915</v>
      </c>
      <c r="J2949" s="21" t="s">
        <v>13916</v>
      </c>
      <c r="K2949" s="21"/>
      <c r="L2949" s="21" t="s">
        <v>13965</v>
      </c>
      <c r="M2949" s="26">
        <v>46048</v>
      </c>
      <c r="N2949" s="44">
        <v>1040</v>
      </c>
      <c r="O2949" s="22" t="s">
        <v>15</v>
      </c>
      <c r="P2949" s="44">
        <v>1040</v>
      </c>
      <c r="Q2949" s="24">
        <f t="shared" si="504"/>
        <v>0</v>
      </c>
      <c r="R2949" s="24">
        <f t="shared" si="505"/>
        <v>1040</v>
      </c>
    </row>
    <row r="2950" spans="2:19" hidden="1" x14ac:dyDescent="0.25">
      <c r="B2950" s="21" t="s">
        <v>395</v>
      </c>
      <c r="C2950" s="22" t="s">
        <v>2450</v>
      </c>
      <c r="D2950" s="22"/>
      <c r="E2950" s="21" t="s">
        <v>10</v>
      </c>
      <c r="F2950" s="21" t="s">
        <v>9721</v>
      </c>
      <c r="G2950" s="147" t="s">
        <v>9863</v>
      </c>
      <c r="H2950" s="23" t="s">
        <v>13917</v>
      </c>
      <c r="I2950" s="23" t="s">
        <v>13918</v>
      </c>
      <c r="J2950" s="21" t="s">
        <v>6557</v>
      </c>
      <c r="K2950" s="21"/>
      <c r="L2950" s="21" t="s">
        <v>14059</v>
      </c>
      <c r="M2950" s="26" t="s">
        <v>14235</v>
      </c>
      <c r="N2950" s="44">
        <v>1731.5</v>
      </c>
      <c r="O2950" s="22" t="s">
        <v>15</v>
      </c>
      <c r="P2950" s="44">
        <f>508.26+1223.24</f>
        <v>1731.5</v>
      </c>
      <c r="Q2950" s="24">
        <f t="shared" ref="Q2950:Q2951" si="506">IF(P2950="en cours",N2950,IF(P2950="OK",0,IF(N2950-P2950&lt;0,0,N2950-P2950)))</f>
        <v>0</v>
      </c>
      <c r="R2950" s="24">
        <f t="shared" ref="R2950:R2951" si="507">IF(P2950="OK",N2950-Q2950,IF(P2950="en cours",M2950-Q2950,P2950))</f>
        <v>1731.5</v>
      </c>
      <c r="S2950" s="21"/>
    </row>
    <row r="2951" spans="2:19" hidden="1" x14ac:dyDescent="0.25">
      <c r="B2951" s="21" t="s">
        <v>395</v>
      </c>
      <c r="C2951" s="22" t="s">
        <v>12863</v>
      </c>
      <c r="D2951" s="22"/>
      <c r="E2951" s="21" t="s">
        <v>75</v>
      </c>
      <c r="F2951" s="21" t="s">
        <v>10002</v>
      </c>
      <c r="G2951" s="147" t="s">
        <v>12772</v>
      </c>
      <c r="H2951" s="23" t="s">
        <v>13919</v>
      </c>
      <c r="I2951" s="23" t="s">
        <v>13920</v>
      </c>
      <c r="J2951" s="21" t="s">
        <v>13921</v>
      </c>
      <c r="K2951" s="21"/>
      <c r="L2951" s="21" t="s">
        <v>14244</v>
      </c>
      <c r="M2951" s="26">
        <v>46053</v>
      </c>
      <c r="N2951" s="44">
        <v>152.25</v>
      </c>
      <c r="O2951" s="22" t="s">
        <v>15</v>
      </c>
      <c r="P2951" s="44">
        <v>152.25</v>
      </c>
      <c r="Q2951" s="24">
        <f t="shared" si="506"/>
        <v>0</v>
      </c>
      <c r="R2951" s="24">
        <f t="shared" si="507"/>
        <v>152.25</v>
      </c>
      <c r="S2951" s="21"/>
    </row>
    <row r="2952" spans="2:19" hidden="1" x14ac:dyDescent="0.25">
      <c r="C2952" s="4" t="s">
        <v>158</v>
      </c>
      <c r="E2952" s="5" t="s">
        <v>10</v>
      </c>
      <c r="F2952" s="5" t="s">
        <v>13772</v>
      </c>
      <c r="G2952" s="146" t="s">
        <v>12872</v>
      </c>
      <c r="H2952" s="7" t="s">
        <v>13922</v>
      </c>
      <c r="I2952" s="7" t="s">
        <v>13923</v>
      </c>
      <c r="J2952" s="5" t="s">
        <v>6557</v>
      </c>
      <c r="N2952" s="45">
        <v>38602</v>
      </c>
      <c r="O2952" s="4" t="s">
        <v>15</v>
      </c>
      <c r="Q2952" s="3">
        <f t="shared" ref="Q2952:Q2954" si="508">IF(P2952="en cours",N2952,IF(P2952="OK",0,IF(N2952-P2952&lt;0,0,N2952-P2952)))</f>
        <v>38602</v>
      </c>
      <c r="R2952" s="3">
        <f t="shared" ref="R2952:R2953" si="509">IF(P2952="OK",N2952-Q2952,IF(P2952="en cours",M2952-Q2952,P2952))</f>
        <v>0</v>
      </c>
    </row>
    <row r="2953" spans="2:19" hidden="1" x14ac:dyDescent="0.25">
      <c r="C2953" s="4" t="s">
        <v>2450</v>
      </c>
      <c r="E2953" s="5" t="s">
        <v>0</v>
      </c>
      <c r="F2953" s="5" t="s">
        <v>9823</v>
      </c>
      <c r="G2953" s="146" t="s">
        <v>8757</v>
      </c>
      <c r="H2953" s="7" t="s">
        <v>13933</v>
      </c>
      <c r="I2953" s="7" t="s">
        <v>13934</v>
      </c>
      <c r="J2953" s="5" t="s">
        <v>11520</v>
      </c>
      <c r="L2953" s="5" t="s">
        <v>14060</v>
      </c>
      <c r="M2953" s="12" t="s">
        <v>14061</v>
      </c>
      <c r="N2953" s="45">
        <v>3523.5</v>
      </c>
      <c r="O2953" s="4" t="s">
        <v>337</v>
      </c>
      <c r="P2953" s="45">
        <f>1174.5+1174.5</f>
        <v>2349</v>
      </c>
      <c r="Q2953" s="3">
        <f t="shared" si="508"/>
        <v>1174.5</v>
      </c>
      <c r="R2953" s="3">
        <f t="shared" si="509"/>
        <v>2349</v>
      </c>
    </row>
    <row r="2954" spans="2:19" hidden="1" x14ac:dyDescent="0.25">
      <c r="B2954" s="21" t="s">
        <v>395</v>
      </c>
      <c r="C2954" s="22" t="s">
        <v>2450</v>
      </c>
      <c r="D2954" s="22"/>
      <c r="E2954" s="21" t="s">
        <v>0</v>
      </c>
      <c r="F2954" s="21" t="s">
        <v>13327</v>
      </c>
      <c r="G2954" s="147" t="s">
        <v>7266</v>
      </c>
      <c r="H2954" s="23" t="s">
        <v>13935</v>
      </c>
      <c r="I2954" s="23" t="s">
        <v>13936</v>
      </c>
      <c r="J2954" s="21" t="s">
        <v>13937</v>
      </c>
      <c r="K2954" s="21"/>
      <c r="L2954" s="21" t="s">
        <v>13970</v>
      </c>
      <c r="M2954" s="26">
        <v>46051</v>
      </c>
      <c r="N2954" s="44">
        <v>3220</v>
      </c>
      <c r="O2954" s="22" t="s">
        <v>15</v>
      </c>
      <c r="P2954" s="44">
        <v>3220</v>
      </c>
      <c r="Q2954" s="24">
        <f t="shared" si="508"/>
        <v>0</v>
      </c>
      <c r="R2954" s="24">
        <f>IF(P2954="OK",N2954-Q2954,IF(P2954="en cours",M2954-Q2954,P2954))</f>
        <v>3220</v>
      </c>
    </row>
    <row r="2955" spans="2:19" hidden="1" x14ac:dyDescent="0.25">
      <c r="B2955" s="21" t="s">
        <v>395</v>
      </c>
      <c r="C2955" s="22" t="s">
        <v>6267</v>
      </c>
      <c r="D2955" s="22"/>
      <c r="E2955" s="21" t="s">
        <v>75</v>
      </c>
      <c r="F2955" s="21" t="s">
        <v>13939</v>
      </c>
      <c r="G2955" s="147" t="s">
        <v>8398</v>
      </c>
      <c r="H2955" s="23" t="s">
        <v>8399</v>
      </c>
      <c r="I2955" s="23" t="s">
        <v>8402</v>
      </c>
      <c r="J2955" s="21" t="s">
        <v>8401</v>
      </c>
      <c r="K2955" s="377"/>
      <c r="L2955" s="21" t="s">
        <v>8919</v>
      </c>
      <c r="M2955" s="26">
        <v>45119</v>
      </c>
      <c r="N2955" s="44">
        <f>50%*122509</f>
        <v>61254.5</v>
      </c>
      <c r="O2955" s="22" t="s">
        <v>8400</v>
      </c>
      <c r="P2955" s="44">
        <v>61254</v>
      </c>
      <c r="Q2955" s="44">
        <v>0</v>
      </c>
      <c r="R2955" s="116">
        <f t="shared" ref="R2955" si="510">IF(P2955="OK",N2955-Q2955,IF(P2955="en cours",N2955-Q2955,P2955))</f>
        <v>61254</v>
      </c>
    </row>
    <row r="2956" spans="2:19" hidden="1" x14ac:dyDescent="0.25">
      <c r="B2956" s="21"/>
      <c r="C2956" s="22" t="s">
        <v>6267</v>
      </c>
      <c r="D2956" s="22"/>
      <c r="E2956" s="21" t="s">
        <v>75</v>
      </c>
      <c r="F2956" s="21" t="s">
        <v>13939</v>
      </c>
      <c r="G2956" s="147" t="s">
        <v>8398</v>
      </c>
      <c r="H2956" s="23" t="s">
        <v>8399</v>
      </c>
      <c r="I2956" s="23" t="s">
        <v>8402</v>
      </c>
      <c r="J2956" s="21" t="s">
        <v>13938</v>
      </c>
      <c r="K2956" s="377"/>
      <c r="L2956" s="21" t="s">
        <v>8919</v>
      </c>
      <c r="M2956" s="26">
        <v>46080</v>
      </c>
      <c r="N2956" s="44">
        <f>50%*122509</f>
        <v>61254.5</v>
      </c>
      <c r="O2956" s="22" t="s">
        <v>8400</v>
      </c>
      <c r="P2956" s="44">
        <v>4284.1099999999997</v>
      </c>
      <c r="Q2956" s="44">
        <v>0</v>
      </c>
      <c r="R2956" s="116">
        <f t="shared" ref="R2956:R2957" si="511">IF(P2956="OK",N2956-Q2956,IF(P2956="en cours",N2956-Q2956,P2956))</f>
        <v>4284.1099999999997</v>
      </c>
    </row>
    <row r="2957" spans="2:19" hidden="1" x14ac:dyDescent="0.25">
      <c r="B2957" s="21" t="s">
        <v>395</v>
      </c>
      <c r="C2957" s="22" t="s">
        <v>158</v>
      </c>
      <c r="D2957" s="22"/>
      <c r="E2957" s="21" t="s">
        <v>10</v>
      </c>
      <c r="F2957" s="21" t="s">
        <v>13799</v>
      </c>
      <c r="G2957" s="147" t="s">
        <v>6638</v>
      </c>
      <c r="H2957" s="23" t="s">
        <v>13940</v>
      </c>
      <c r="I2957" s="23" t="s">
        <v>13941</v>
      </c>
      <c r="J2957" s="21" t="s">
        <v>6557</v>
      </c>
      <c r="K2957" s="21"/>
      <c r="L2957" s="21" t="s">
        <v>13962</v>
      </c>
      <c r="M2957" s="26" t="s">
        <v>13963</v>
      </c>
      <c r="N2957" s="44">
        <v>2114.1</v>
      </c>
      <c r="O2957" s="22" t="s">
        <v>15</v>
      </c>
      <c r="P2957" s="44">
        <f>1560.6+553.5</f>
        <v>2114.1</v>
      </c>
      <c r="Q2957" s="24">
        <f t="shared" ref="Q2957" si="512">IF(P2957="en cours",N2957,IF(P2957="OK",0,IF(N2957-P2957&lt;0,0,N2957-P2957)))</f>
        <v>0</v>
      </c>
      <c r="R2957" s="24">
        <f t="shared" si="511"/>
        <v>2114.1</v>
      </c>
    </row>
    <row r="2958" spans="2:19" hidden="1" x14ac:dyDescent="0.25">
      <c r="C2958" s="4" t="s">
        <v>158</v>
      </c>
      <c r="E2958" s="5" t="s">
        <v>10</v>
      </c>
      <c r="F2958" s="5" t="s">
        <v>9721</v>
      </c>
      <c r="G2958" s="146" t="s">
        <v>7315</v>
      </c>
      <c r="H2958" s="7" t="s">
        <v>13946</v>
      </c>
      <c r="I2958" s="7" t="s">
        <v>13947</v>
      </c>
      <c r="J2958" s="5" t="s">
        <v>6557</v>
      </c>
      <c r="L2958" s="5" t="s">
        <v>14198</v>
      </c>
      <c r="M2958" s="12" t="s">
        <v>14197</v>
      </c>
      <c r="N2958" s="45">
        <v>2240.3200000000002</v>
      </c>
      <c r="O2958" s="4" t="s">
        <v>15</v>
      </c>
      <c r="P2958" s="45">
        <f>1761.44+314.88+164</f>
        <v>2240.3200000000002</v>
      </c>
      <c r="Q2958" s="3">
        <f t="shared" ref="Q2958:Q2961" si="513">IF(P2958="en cours",N2958,IF(P2958="OK",0,IF(N2958-P2958&lt;0,0,N2958-P2958)))</f>
        <v>0</v>
      </c>
      <c r="R2958" s="3">
        <f t="shared" ref="R2958:R2961" si="514">IF(P2958="OK",N2958-Q2958,IF(P2958="en cours",N2958-Q2958,P2958))</f>
        <v>2240.3200000000002</v>
      </c>
    </row>
    <row r="2959" spans="2:19" hidden="1" x14ac:dyDescent="0.25">
      <c r="C2959" s="4" t="s">
        <v>2450</v>
      </c>
      <c r="E2959" s="5" t="s">
        <v>7137</v>
      </c>
      <c r="F2959" s="5" t="s">
        <v>11545</v>
      </c>
      <c r="G2959" s="146" t="s">
        <v>846</v>
      </c>
      <c r="H2959" s="7" t="s">
        <v>13948</v>
      </c>
      <c r="I2959" s="7" t="s">
        <v>13949</v>
      </c>
      <c r="J2959" s="5" t="s">
        <v>13950</v>
      </c>
      <c r="N2959" s="45">
        <v>15400</v>
      </c>
      <c r="O2959" s="4" t="s">
        <v>15</v>
      </c>
      <c r="Q2959" s="3">
        <f t="shared" si="513"/>
        <v>15400</v>
      </c>
      <c r="R2959" s="3">
        <f t="shared" si="514"/>
        <v>0</v>
      </c>
    </row>
    <row r="2960" spans="2:19" hidden="1" x14ac:dyDescent="0.25">
      <c r="B2960" s="21" t="s">
        <v>395</v>
      </c>
      <c r="C2960" s="22" t="s">
        <v>158</v>
      </c>
      <c r="D2960" s="22"/>
      <c r="E2960" s="21" t="s">
        <v>9808</v>
      </c>
      <c r="F2960" s="21" t="s">
        <v>13762</v>
      </c>
      <c r="G2960" s="147" t="s">
        <v>13951</v>
      </c>
      <c r="H2960" s="107" t="s">
        <v>13952</v>
      </c>
      <c r="I2960" s="23" t="s">
        <v>13952</v>
      </c>
      <c r="J2960" s="21" t="s">
        <v>13959</v>
      </c>
      <c r="K2960" s="21"/>
      <c r="L2960" s="21" t="s">
        <v>13961</v>
      </c>
      <c r="M2960" s="26">
        <v>46050</v>
      </c>
      <c r="N2960" s="44">
        <v>5000</v>
      </c>
      <c r="O2960" s="22" t="s">
        <v>276</v>
      </c>
      <c r="P2960" s="44">
        <v>5000</v>
      </c>
      <c r="Q2960" s="24">
        <f t="shared" si="513"/>
        <v>0</v>
      </c>
      <c r="R2960" s="24">
        <f t="shared" si="514"/>
        <v>5000</v>
      </c>
    </row>
    <row r="2961" spans="2:19" hidden="1" x14ac:dyDescent="0.25">
      <c r="B2961" s="21" t="s">
        <v>395</v>
      </c>
      <c r="C2961" s="22" t="s">
        <v>158</v>
      </c>
      <c r="D2961" s="22"/>
      <c r="E2961" s="21" t="s">
        <v>9808</v>
      </c>
      <c r="F2961" s="21" t="s">
        <v>13762</v>
      </c>
      <c r="G2961" s="147" t="s">
        <v>13953</v>
      </c>
      <c r="H2961" s="107" t="s">
        <v>13954</v>
      </c>
      <c r="I2961" s="23" t="s">
        <v>13954</v>
      </c>
      <c r="J2961" s="21" t="s">
        <v>13958</v>
      </c>
      <c r="K2961" s="21"/>
      <c r="L2961" s="21" t="s">
        <v>13960</v>
      </c>
      <c r="M2961" s="26">
        <v>46200</v>
      </c>
      <c r="N2961" s="44">
        <v>5000</v>
      </c>
      <c r="O2961" s="22" t="s">
        <v>276</v>
      </c>
      <c r="P2961" s="44">
        <v>5000</v>
      </c>
      <c r="Q2961" s="24">
        <f t="shared" si="513"/>
        <v>0</v>
      </c>
      <c r="R2961" s="24">
        <f t="shared" si="514"/>
        <v>5000</v>
      </c>
    </row>
    <row r="2962" spans="2:19" hidden="1" x14ac:dyDescent="0.25">
      <c r="C2962" s="4" t="s">
        <v>2450</v>
      </c>
      <c r="E2962" s="5" t="s">
        <v>0</v>
      </c>
      <c r="F2962" s="5" t="s">
        <v>13327</v>
      </c>
      <c r="G2962" s="146" t="s">
        <v>7266</v>
      </c>
      <c r="H2962" s="7" t="s">
        <v>13956</v>
      </c>
      <c r="I2962" s="7" t="s">
        <v>13955</v>
      </c>
      <c r="J2962" s="5" t="s">
        <v>13957</v>
      </c>
      <c r="N2962" s="45">
        <v>12420</v>
      </c>
      <c r="O2962" s="4" t="s">
        <v>15</v>
      </c>
      <c r="Q2962" s="3">
        <f t="shared" ref="Q2962:Q2964" si="515">IF(P2962="en cours",N2962,IF(P2962="OK",0,IF(N2962-P2962&lt;0,0,N2962-P2962)))</f>
        <v>12420</v>
      </c>
      <c r="R2962" s="3">
        <f>IF(P2962="OK",N2962-Q2962,IF(P2962="en cours",M2962-Q2962,P2962))</f>
        <v>0</v>
      </c>
    </row>
    <row r="2963" spans="2:19" hidden="1" x14ac:dyDescent="0.25">
      <c r="B2963" s="21" t="s">
        <v>395</v>
      </c>
      <c r="C2963" s="22" t="s">
        <v>2450</v>
      </c>
      <c r="D2963" s="22"/>
      <c r="E2963" s="21" t="s">
        <v>75</v>
      </c>
      <c r="F2963" s="21" t="s">
        <v>9558</v>
      </c>
      <c r="G2963" s="147" t="s">
        <v>12100</v>
      </c>
      <c r="H2963" s="23" t="s">
        <v>13996</v>
      </c>
      <c r="I2963" s="23"/>
      <c r="J2963" s="21" t="s">
        <v>13997</v>
      </c>
      <c r="K2963" s="21"/>
      <c r="L2963" s="21" t="s">
        <v>13998</v>
      </c>
      <c r="M2963" s="26">
        <v>46053</v>
      </c>
      <c r="N2963" s="44">
        <v>3965</v>
      </c>
      <c r="O2963" s="22" t="s">
        <v>276</v>
      </c>
      <c r="P2963" s="44">
        <f>3965</f>
        <v>3965</v>
      </c>
      <c r="Q2963" s="24">
        <f t="shared" si="515"/>
        <v>0</v>
      </c>
      <c r="R2963" s="24">
        <f>IF(P2963="OK",N2963-Q2963,IF(P2963="en cours",M2963-Q2963,P2963))</f>
        <v>3965</v>
      </c>
    </row>
    <row r="2964" spans="2:19" hidden="1" x14ac:dyDescent="0.25">
      <c r="C2964" s="4" t="s">
        <v>2450</v>
      </c>
      <c r="E2964" s="5" t="s">
        <v>10</v>
      </c>
      <c r="F2964" s="5" t="s">
        <v>9721</v>
      </c>
      <c r="G2964" s="146" t="s">
        <v>14007</v>
      </c>
      <c r="H2964" s="7" t="s">
        <v>14005</v>
      </c>
      <c r="I2964" s="7" t="s">
        <v>14006</v>
      </c>
      <c r="J2964" s="5" t="s">
        <v>14008</v>
      </c>
      <c r="L2964" s="5" t="s">
        <v>14277</v>
      </c>
      <c r="M2964" s="12">
        <v>46080</v>
      </c>
      <c r="N2964" s="45">
        <v>159196.76</v>
      </c>
      <c r="O2964" s="4" t="s">
        <v>276</v>
      </c>
      <c r="P2964" s="45">
        <v>3090.78</v>
      </c>
      <c r="Q2964" s="3">
        <f t="shared" si="515"/>
        <v>156105.98000000001</v>
      </c>
      <c r="R2964" s="3">
        <f t="shared" ref="R2964" si="516">IF(P2964="OK",N2964-Q2964,IF(P2964="en cours",N2964-Q2964,P2964))</f>
        <v>3090.78</v>
      </c>
    </row>
    <row r="2965" spans="2:19" hidden="1" x14ac:dyDescent="0.25">
      <c r="B2965" s="21" t="s">
        <v>395</v>
      </c>
      <c r="C2965" s="22" t="s">
        <v>158</v>
      </c>
      <c r="D2965" s="22"/>
      <c r="E2965" s="21" t="s">
        <v>11054</v>
      </c>
      <c r="F2965" s="21" t="s">
        <v>9815</v>
      </c>
      <c r="G2965" s="147" t="s">
        <v>12467</v>
      </c>
      <c r="H2965" s="23" t="s">
        <v>14009</v>
      </c>
      <c r="I2965" s="23" t="s">
        <v>14010</v>
      </c>
      <c r="J2965" s="21" t="s">
        <v>14011</v>
      </c>
      <c r="K2965" s="21"/>
      <c r="L2965" s="21" t="s">
        <v>14230</v>
      </c>
      <c r="M2965" s="26">
        <v>46077</v>
      </c>
      <c r="N2965" s="44">
        <v>42500</v>
      </c>
      <c r="O2965" s="22" t="s">
        <v>276</v>
      </c>
      <c r="P2965" s="44">
        <v>42500</v>
      </c>
      <c r="Q2965" s="24">
        <f t="shared" ref="Q2965:Q2966" si="517">IF(P2965="en cours",N2965,IF(P2965="OK",0,IF(N2965-P2965&lt;0,0,N2965-P2965)))</f>
        <v>0</v>
      </c>
      <c r="R2965" s="24">
        <f t="shared" ref="R2965:R2966" si="518">IF(P2965="OK",N2965-Q2965,IF(P2965="en cours",N2965-Q2965,P2965))</f>
        <v>42500</v>
      </c>
      <c r="S2965" s="21"/>
    </row>
    <row r="2966" spans="2:19" hidden="1" x14ac:dyDescent="0.25">
      <c r="C2966" s="4" t="s">
        <v>158</v>
      </c>
      <c r="E2966" s="5" t="s">
        <v>11054</v>
      </c>
      <c r="F2966" s="5" t="s">
        <v>9815</v>
      </c>
      <c r="G2966" s="146" t="s">
        <v>12467</v>
      </c>
      <c r="H2966" s="7" t="s">
        <v>14009</v>
      </c>
      <c r="I2966" s="7" t="s">
        <v>14010</v>
      </c>
      <c r="J2966" s="5" t="s">
        <v>14012</v>
      </c>
      <c r="N2966" s="45">
        <v>32500</v>
      </c>
      <c r="O2966" s="4" t="s">
        <v>276</v>
      </c>
      <c r="Q2966" s="3">
        <f t="shared" si="517"/>
        <v>32500</v>
      </c>
      <c r="R2966" s="3">
        <f t="shared" si="518"/>
        <v>0</v>
      </c>
    </row>
    <row r="2967" spans="2:19" hidden="1" x14ac:dyDescent="0.25">
      <c r="B2967" s="21" t="s">
        <v>395</v>
      </c>
      <c r="C2967" s="22" t="s">
        <v>2450</v>
      </c>
      <c r="D2967" s="22"/>
      <c r="E2967" s="21" t="s">
        <v>0</v>
      </c>
      <c r="F2967" s="21" t="s">
        <v>13327</v>
      </c>
      <c r="G2967" s="147" t="s">
        <v>3687</v>
      </c>
      <c r="H2967" s="23" t="s">
        <v>14013</v>
      </c>
      <c r="I2967" s="23" t="s">
        <v>14014</v>
      </c>
      <c r="J2967" s="21" t="s">
        <v>14015</v>
      </c>
      <c r="K2967" s="21"/>
      <c r="L2967" s="21" t="s">
        <v>14275</v>
      </c>
      <c r="M2967" s="26">
        <v>46078</v>
      </c>
      <c r="N2967" s="44">
        <v>4500</v>
      </c>
      <c r="O2967" s="22" t="s">
        <v>15</v>
      </c>
      <c r="P2967" s="44">
        <v>4500</v>
      </c>
      <c r="Q2967" s="24">
        <f t="shared" ref="Q2967:Q2978" si="519">IF(P2967="en cours",N2967,IF(P2967="OK",0,IF(N2967-P2967&lt;0,0,N2967-P2967)))</f>
        <v>0</v>
      </c>
      <c r="R2967" s="24">
        <f t="shared" ref="R2967:R2978" si="520">IF(P2967="OK",N2967-Q2967,IF(P2967="en cours",N2967-Q2967,P2967))</f>
        <v>4500</v>
      </c>
      <c r="S2967" s="21"/>
    </row>
    <row r="2968" spans="2:19" hidden="1" x14ac:dyDescent="0.25">
      <c r="B2968" s="21" t="s">
        <v>395</v>
      </c>
      <c r="C2968" s="22" t="s">
        <v>2450</v>
      </c>
      <c r="D2968" s="22"/>
      <c r="E2968" s="21" t="s">
        <v>0</v>
      </c>
      <c r="F2968" s="21" t="s">
        <v>13327</v>
      </c>
      <c r="G2968" s="147" t="s">
        <v>7266</v>
      </c>
      <c r="H2968" s="23" t="s">
        <v>14037</v>
      </c>
      <c r="I2968" s="23" t="s">
        <v>14016</v>
      </c>
      <c r="J2968" s="21" t="s">
        <v>14017</v>
      </c>
      <c r="K2968" s="21"/>
      <c r="L2968" s="21" t="s">
        <v>14042</v>
      </c>
      <c r="M2968" s="26">
        <v>46058</v>
      </c>
      <c r="N2968" s="44">
        <v>3348</v>
      </c>
      <c r="O2968" s="22" t="s">
        <v>15</v>
      </c>
      <c r="P2968" s="44">
        <v>3348</v>
      </c>
      <c r="Q2968" s="24">
        <f t="shared" si="519"/>
        <v>0</v>
      </c>
      <c r="R2968" s="24">
        <f t="shared" si="520"/>
        <v>3348</v>
      </c>
    </row>
    <row r="2969" spans="2:19" hidden="1" x14ac:dyDescent="0.25">
      <c r="C2969" s="4" t="s">
        <v>2450</v>
      </c>
      <c r="E2969" s="5" t="s">
        <v>0</v>
      </c>
      <c r="F2969" s="5" t="s">
        <v>13327</v>
      </c>
      <c r="G2969" s="146" t="s">
        <v>7266</v>
      </c>
      <c r="H2969" s="7" t="s">
        <v>14037</v>
      </c>
      <c r="I2969" s="7" t="s">
        <v>14016</v>
      </c>
      <c r="J2969" s="5" t="s">
        <v>14018</v>
      </c>
      <c r="N2969" s="45">
        <v>231012</v>
      </c>
      <c r="O2969" s="4" t="s">
        <v>15</v>
      </c>
      <c r="Q2969" s="3">
        <f t="shared" si="519"/>
        <v>231012</v>
      </c>
      <c r="R2969" s="3">
        <f t="shared" si="520"/>
        <v>0</v>
      </c>
    </row>
    <row r="2970" spans="2:19" hidden="1" x14ac:dyDescent="0.25">
      <c r="B2970" s="21" t="s">
        <v>395</v>
      </c>
      <c r="C2970" s="22" t="s">
        <v>2450</v>
      </c>
      <c r="D2970" s="22"/>
      <c r="E2970" s="21" t="s">
        <v>0</v>
      </c>
      <c r="F2970" s="21" t="s">
        <v>13327</v>
      </c>
      <c r="G2970" s="147" t="s">
        <v>7266</v>
      </c>
      <c r="H2970" s="23" t="s">
        <v>14037</v>
      </c>
      <c r="I2970" s="23" t="s">
        <v>14016</v>
      </c>
      <c r="J2970" s="21" t="s">
        <v>14019</v>
      </c>
      <c r="K2970" s="21"/>
      <c r="L2970" s="21" t="s">
        <v>14042</v>
      </c>
      <c r="M2970" s="26">
        <v>46058</v>
      </c>
      <c r="N2970" s="44">
        <v>58125</v>
      </c>
      <c r="O2970" s="22" t="s">
        <v>15</v>
      </c>
      <c r="P2970" s="44">
        <v>58125</v>
      </c>
      <c r="Q2970" s="24">
        <f t="shared" si="519"/>
        <v>0</v>
      </c>
      <c r="R2970" s="24">
        <f t="shared" si="520"/>
        <v>58125</v>
      </c>
    </row>
    <row r="2971" spans="2:19" hidden="1" x14ac:dyDescent="0.25">
      <c r="C2971" s="4" t="s">
        <v>2450</v>
      </c>
      <c r="E2971" s="5" t="s">
        <v>0</v>
      </c>
      <c r="F2971" s="5" t="s">
        <v>9823</v>
      </c>
      <c r="G2971" s="146" t="s">
        <v>10296</v>
      </c>
      <c r="H2971" s="7" t="s">
        <v>14020</v>
      </c>
      <c r="I2971" s="7" t="s">
        <v>14021</v>
      </c>
      <c r="J2971" s="5" t="s">
        <v>11216</v>
      </c>
      <c r="N2971" s="45">
        <v>16964</v>
      </c>
      <c r="O2971" s="4" t="s">
        <v>15</v>
      </c>
      <c r="Q2971" s="3">
        <f t="shared" si="519"/>
        <v>16964</v>
      </c>
      <c r="R2971" s="3">
        <f t="shared" si="520"/>
        <v>0</v>
      </c>
    </row>
    <row r="2972" spans="2:19" hidden="1" x14ac:dyDescent="0.25">
      <c r="B2972" s="21" t="s">
        <v>395</v>
      </c>
      <c r="C2972" s="22" t="s">
        <v>2450</v>
      </c>
      <c r="D2972" s="22"/>
      <c r="E2972" s="21" t="s">
        <v>10</v>
      </c>
      <c r="F2972" s="21" t="s">
        <v>13792</v>
      </c>
      <c r="G2972" s="147" t="s">
        <v>1201</v>
      </c>
      <c r="H2972" s="23" t="s">
        <v>14022</v>
      </c>
      <c r="I2972" s="23" t="s">
        <v>14023</v>
      </c>
      <c r="J2972" s="21" t="s">
        <v>6557</v>
      </c>
      <c r="K2972" s="21"/>
      <c r="L2972" s="21" t="s">
        <v>14279</v>
      </c>
      <c r="M2972" s="26" t="s">
        <v>14280</v>
      </c>
      <c r="N2972" s="44">
        <v>1256.5</v>
      </c>
      <c r="O2972" s="22" t="s">
        <v>15</v>
      </c>
      <c r="P2972" s="44">
        <f>1089.2+34.5+132.8</f>
        <v>1256.5</v>
      </c>
      <c r="Q2972" s="24">
        <f t="shared" si="519"/>
        <v>0</v>
      </c>
      <c r="R2972" s="24">
        <f t="shared" si="520"/>
        <v>1256.5</v>
      </c>
    </row>
    <row r="2973" spans="2:19" hidden="1" x14ac:dyDescent="0.25">
      <c r="B2973" s="21" t="s">
        <v>395</v>
      </c>
      <c r="C2973" s="22" t="s">
        <v>2450</v>
      </c>
      <c r="D2973" s="22"/>
      <c r="E2973" s="21" t="s">
        <v>10</v>
      </c>
      <c r="F2973" s="21" t="s">
        <v>9721</v>
      </c>
      <c r="G2973" s="147" t="s">
        <v>12747</v>
      </c>
      <c r="H2973" s="23" t="s">
        <v>14024</v>
      </c>
      <c r="I2973" s="23" t="s">
        <v>14025</v>
      </c>
      <c r="J2973" s="21" t="s">
        <v>14026</v>
      </c>
      <c r="K2973" s="21"/>
      <c r="L2973" s="21" t="s">
        <v>14100</v>
      </c>
      <c r="M2973" s="26">
        <v>46062</v>
      </c>
      <c r="N2973" s="44">
        <f>0.5*95750</f>
        <v>47875</v>
      </c>
      <c r="O2973" s="22" t="s">
        <v>15</v>
      </c>
      <c r="P2973" s="44">
        <f>47875</f>
        <v>47875</v>
      </c>
      <c r="Q2973" s="24">
        <f t="shared" si="519"/>
        <v>0</v>
      </c>
      <c r="R2973" s="24">
        <f t="shared" si="520"/>
        <v>47875</v>
      </c>
    </row>
    <row r="2974" spans="2:19" hidden="1" x14ac:dyDescent="0.25">
      <c r="C2974" s="4" t="s">
        <v>2450</v>
      </c>
      <c r="E2974" s="5" t="s">
        <v>10</v>
      </c>
      <c r="F2974" s="5" t="s">
        <v>9721</v>
      </c>
      <c r="G2974" s="146" t="s">
        <v>12747</v>
      </c>
      <c r="H2974" s="7" t="s">
        <v>14024</v>
      </c>
      <c r="I2974" s="7" t="s">
        <v>14025</v>
      </c>
      <c r="J2974" s="5" t="s">
        <v>14027</v>
      </c>
      <c r="N2974" s="45">
        <f>0.3*95750</f>
        <v>28725</v>
      </c>
      <c r="O2974" s="4" t="s">
        <v>15</v>
      </c>
      <c r="Q2974" s="3">
        <f t="shared" si="519"/>
        <v>28725</v>
      </c>
      <c r="R2974" s="3">
        <f t="shared" si="520"/>
        <v>0</v>
      </c>
    </row>
    <row r="2975" spans="2:19" hidden="1" x14ac:dyDescent="0.25">
      <c r="C2975" s="4" t="s">
        <v>2450</v>
      </c>
      <c r="E2975" s="5" t="s">
        <v>10</v>
      </c>
      <c r="F2975" s="5" t="s">
        <v>9721</v>
      </c>
      <c r="G2975" s="146" t="s">
        <v>12747</v>
      </c>
      <c r="H2975" s="7" t="s">
        <v>14024</v>
      </c>
      <c r="I2975" s="7" t="s">
        <v>14025</v>
      </c>
      <c r="J2975" s="5" t="s">
        <v>14028</v>
      </c>
      <c r="N2975" s="45">
        <f>0.2*95750</f>
        <v>19150</v>
      </c>
      <c r="O2975" s="4" t="s">
        <v>15</v>
      </c>
      <c r="Q2975" s="3">
        <f t="shared" si="519"/>
        <v>19150</v>
      </c>
      <c r="R2975" s="3">
        <f t="shared" si="520"/>
        <v>0</v>
      </c>
    </row>
    <row r="2976" spans="2:19" hidden="1" x14ac:dyDescent="0.25">
      <c r="C2976" s="4" t="s">
        <v>2450</v>
      </c>
      <c r="E2976" s="5" t="s">
        <v>10</v>
      </c>
      <c r="F2976" s="5" t="s">
        <v>9721</v>
      </c>
      <c r="G2976" s="146" t="s">
        <v>12747</v>
      </c>
      <c r="H2976" s="7" t="s">
        <v>14024</v>
      </c>
      <c r="I2976" s="7" t="s">
        <v>14025</v>
      </c>
      <c r="J2976" s="5" t="s">
        <v>14029</v>
      </c>
      <c r="N2976" s="45">
        <v>85280</v>
      </c>
      <c r="O2976" s="4" t="s">
        <v>15</v>
      </c>
      <c r="Q2976" s="3">
        <f t="shared" si="519"/>
        <v>85280</v>
      </c>
      <c r="R2976" s="3">
        <f t="shared" si="520"/>
        <v>0</v>
      </c>
    </row>
    <row r="2977" spans="2:19" hidden="1" x14ac:dyDescent="0.25">
      <c r="C2977" s="4" t="s">
        <v>2450</v>
      </c>
      <c r="E2977" s="5" t="s">
        <v>0</v>
      </c>
      <c r="F2977" s="5" t="s">
        <v>9773</v>
      </c>
      <c r="G2977" s="146" t="s">
        <v>8633</v>
      </c>
      <c r="H2977" s="7" t="s">
        <v>14030</v>
      </c>
      <c r="I2977" s="7" t="s">
        <v>14031</v>
      </c>
      <c r="J2977" s="5" t="s">
        <v>14032</v>
      </c>
      <c r="L2977" s="5" t="s">
        <v>14314</v>
      </c>
      <c r="M2977" s="12">
        <v>46077</v>
      </c>
      <c r="N2977" s="45">
        <v>43208</v>
      </c>
      <c r="O2977" s="4" t="s">
        <v>15</v>
      </c>
      <c r="P2977" s="45">
        <f>23790</f>
        <v>23790</v>
      </c>
      <c r="Q2977" s="45">
        <f t="shared" si="519"/>
        <v>19418</v>
      </c>
      <c r="R2977" s="3">
        <f t="shared" si="520"/>
        <v>23790</v>
      </c>
    </row>
    <row r="2978" spans="2:19" hidden="1" x14ac:dyDescent="0.25">
      <c r="B2978" s="21" t="s">
        <v>395</v>
      </c>
      <c r="C2978" s="175" t="s">
        <v>12834</v>
      </c>
      <c r="D2978" s="22"/>
      <c r="E2978" s="21" t="s">
        <v>0</v>
      </c>
      <c r="F2978" s="21" t="s">
        <v>11538</v>
      </c>
      <c r="G2978" s="147" t="s">
        <v>11668</v>
      </c>
      <c r="H2978" s="23" t="s">
        <v>14034</v>
      </c>
      <c r="I2978" s="23" t="s">
        <v>14033</v>
      </c>
      <c r="J2978" s="21" t="s">
        <v>14036</v>
      </c>
      <c r="K2978" s="21"/>
      <c r="L2978" s="21" t="s">
        <v>14102</v>
      </c>
      <c r="M2978" s="26">
        <v>46063</v>
      </c>
      <c r="N2978" s="44">
        <v>23569</v>
      </c>
      <c r="O2978" s="22" t="s">
        <v>341</v>
      </c>
      <c r="P2978" s="44">
        <v>23569</v>
      </c>
      <c r="Q2978" s="24">
        <f t="shared" si="519"/>
        <v>0</v>
      </c>
      <c r="R2978" s="24">
        <f t="shared" si="520"/>
        <v>23569</v>
      </c>
      <c r="S2978" s="5" t="s">
        <v>12835</v>
      </c>
    </row>
    <row r="2979" spans="2:19" hidden="1" x14ac:dyDescent="0.25">
      <c r="C2979" s="4" t="s">
        <v>2450</v>
      </c>
      <c r="E2979" s="5" t="s">
        <v>0</v>
      </c>
      <c r="F2979" s="5" t="s">
        <v>13327</v>
      </c>
      <c r="G2979" s="146" t="s">
        <v>7266</v>
      </c>
      <c r="H2979" s="7" t="s">
        <v>14038</v>
      </c>
      <c r="J2979" s="5" t="s">
        <v>14039</v>
      </c>
      <c r="N2979" s="45">
        <v>16416</v>
      </c>
      <c r="O2979" s="4" t="s">
        <v>15</v>
      </c>
      <c r="Q2979" s="3">
        <f t="shared" ref="Q2979" si="521">IF(P2979="en cours",N2979,IF(P2979="OK",0,IF(N2979-P2979&lt;0,0,N2979-P2979)))</f>
        <v>16416</v>
      </c>
      <c r="R2979" s="3">
        <f t="shared" ref="R2979" si="522">IF(P2979="OK",N2979-Q2979,IF(P2979="en cours",N2979-Q2979,P2979))</f>
        <v>0</v>
      </c>
    </row>
    <row r="2980" spans="2:19" hidden="1" x14ac:dyDescent="0.25">
      <c r="C2980" s="4" t="s">
        <v>2450</v>
      </c>
      <c r="E2980" s="5" t="s">
        <v>0</v>
      </c>
      <c r="F2980" s="5" t="s">
        <v>13327</v>
      </c>
      <c r="G2980" s="146" t="s">
        <v>7266</v>
      </c>
      <c r="H2980" s="7" t="s">
        <v>14045</v>
      </c>
      <c r="I2980" s="7" t="s">
        <v>14046</v>
      </c>
      <c r="J2980" s="5" t="s">
        <v>14047</v>
      </c>
      <c r="N2980" s="45">
        <v>17600</v>
      </c>
      <c r="O2980" s="4" t="s">
        <v>15</v>
      </c>
      <c r="Q2980" s="3">
        <f t="shared" ref="Q2980:Q2984" si="523">IF(P2980="en cours",N2980,IF(P2980="OK",0,IF(N2980-P2980&lt;0,0,N2980-P2980)))</f>
        <v>17600</v>
      </c>
      <c r="R2980" s="3">
        <f t="shared" ref="R2980:R2984" si="524">IF(P2980="OK",N2980-Q2980,IF(P2980="en cours",N2980-Q2980,P2980))</f>
        <v>0</v>
      </c>
    </row>
    <row r="2981" spans="2:19" hidden="1" x14ac:dyDescent="0.25">
      <c r="B2981" s="21" t="s">
        <v>395</v>
      </c>
      <c r="C2981" s="22" t="s">
        <v>2450</v>
      </c>
      <c r="D2981" s="22"/>
      <c r="E2981" s="21" t="s">
        <v>0</v>
      </c>
      <c r="F2981" s="21" t="s">
        <v>13327</v>
      </c>
      <c r="G2981" s="147" t="s">
        <v>7266</v>
      </c>
      <c r="H2981" s="23" t="s">
        <v>14048</v>
      </c>
      <c r="I2981" s="23" t="s">
        <v>14049</v>
      </c>
      <c r="J2981" s="21" t="s">
        <v>14050</v>
      </c>
      <c r="K2981" s="21"/>
      <c r="L2981" s="21" t="s">
        <v>14381</v>
      </c>
      <c r="M2981" s="26">
        <v>46086</v>
      </c>
      <c r="N2981" s="44">
        <v>15250</v>
      </c>
      <c r="O2981" s="22" t="s">
        <v>15</v>
      </c>
      <c r="P2981" s="44">
        <v>15250</v>
      </c>
      <c r="Q2981" s="24">
        <f t="shared" si="523"/>
        <v>0</v>
      </c>
      <c r="R2981" s="24">
        <f t="shared" si="524"/>
        <v>15250</v>
      </c>
    </row>
    <row r="2982" spans="2:19" hidden="1" x14ac:dyDescent="0.25">
      <c r="C2982" s="4" t="s">
        <v>2450</v>
      </c>
      <c r="E2982" s="5" t="s">
        <v>0</v>
      </c>
      <c r="F2982" s="5" t="s">
        <v>13327</v>
      </c>
      <c r="G2982" s="146" t="s">
        <v>7266</v>
      </c>
      <c r="H2982" s="7" t="s">
        <v>14051</v>
      </c>
      <c r="I2982" s="7" t="s">
        <v>14052</v>
      </c>
      <c r="J2982" s="5" t="s">
        <v>14053</v>
      </c>
      <c r="N2982" s="45">
        <v>6600</v>
      </c>
      <c r="O2982" s="4" t="s">
        <v>15</v>
      </c>
      <c r="Q2982" s="3">
        <f t="shared" si="523"/>
        <v>6600</v>
      </c>
      <c r="R2982" s="3">
        <f t="shared" si="524"/>
        <v>0</v>
      </c>
    </row>
    <row r="2983" spans="2:19" hidden="1" x14ac:dyDescent="0.25">
      <c r="B2983" s="21" t="s">
        <v>395</v>
      </c>
      <c r="C2983" s="22" t="s">
        <v>158</v>
      </c>
      <c r="D2983" s="22"/>
      <c r="E2983" s="21" t="s">
        <v>10</v>
      </c>
      <c r="F2983" s="21" t="s">
        <v>13792</v>
      </c>
      <c r="G2983" s="147" t="s">
        <v>7675</v>
      </c>
      <c r="H2983" s="23" t="s">
        <v>14054</v>
      </c>
      <c r="I2983" s="23" t="s">
        <v>14055</v>
      </c>
      <c r="J2983" s="21" t="s">
        <v>6557</v>
      </c>
      <c r="K2983" s="21"/>
      <c r="L2983" s="21" t="s">
        <v>14112</v>
      </c>
      <c r="M2983" s="23"/>
      <c r="N2983" s="44">
        <v>790.88</v>
      </c>
      <c r="O2983" s="22" t="s">
        <v>15</v>
      </c>
      <c r="P2983" s="44">
        <v>790.88</v>
      </c>
      <c r="Q2983" s="24">
        <f t="shared" si="523"/>
        <v>0</v>
      </c>
      <c r="R2983" s="24">
        <f t="shared" si="524"/>
        <v>790.88</v>
      </c>
      <c r="S2983" s="21"/>
    </row>
    <row r="2984" spans="2:19" hidden="1" x14ac:dyDescent="0.25">
      <c r="C2984" s="4" t="s">
        <v>158</v>
      </c>
      <c r="E2984" s="5" t="s">
        <v>10</v>
      </c>
      <c r="F2984" s="5" t="s">
        <v>13799</v>
      </c>
      <c r="G2984" s="146" t="s">
        <v>7573</v>
      </c>
      <c r="H2984" s="7" t="s">
        <v>14056</v>
      </c>
      <c r="I2984" s="7" t="s">
        <v>14057</v>
      </c>
      <c r="J2984" s="5" t="s">
        <v>14058</v>
      </c>
      <c r="N2984" s="45">
        <v>15534.65</v>
      </c>
      <c r="O2984" s="4" t="s">
        <v>15</v>
      </c>
      <c r="Q2984" s="3">
        <f t="shared" si="523"/>
        <v>15534.65</v>
      </c>
      <c r="R2984" s="3">
        <f t="shared" si="524"/>
        <v>0</v>
      </c>
    </row>
    <row r="2985" spans="2:19" hidden="1" x14ac:dyDescent="0.25">
      <c r="C2985" s="4" t="s">
        <v>2450</v>
      </c>
      <c r="E2985" s="5" t="s">
        <v>0</v>
      </c>
      <c r="F2985" s="5" t="s">
        <v>13327</v>
      </c>
      <c r="G2985" s="146" t="s">
        <v>7266</v>
      </c>
      <c r="H2985" s="7" t="s">
        <v>14062</v>
      </c>
      <c r="I2985" s="7" t="s">
        <v>14063</v>
      </c>
      <c r="J2985" s="5" t="s">
        <v>14064</v>
      </c>
      <c r="N2985" s="45">
        <v>7734</v>
      </c>
      <c r="O2985" s="4" t="s">
        <v>15</v>
      </c>
      <c r="Q2985" s="3">
        <f t="shared" ref="Q2985:Q3012" si="525">IF(P2985="en cours",N2985,IF(P2985="OK",0,IF(N2985-P2985&lt;0,0,N2985-P2985)))</f>
        <v>7734</v>
      </c>
      <c r="R2985" s="3">
        <f t="shared" ref="R2985:R3012" si="526">IF(P2985="OK",N2985-Q2985,IF(P2985="en cours",N2985-Q2985,P2985))</f>
        <v>0</v>
      </c>
    </row>
    <row r="2986" spans="2:19" hidden="1" x14ac:dyDescent="0.25">
      <c r="C2986" s="4" t="s">
        <v>2450</v>
      </c>
      <c r="E2986" s="5" t="s">
        <v>0</v>
      </c>
      <c r="F2986" s="5" t="s">
        <v>13327</v>
      </c>
      <c r="G2986" s="146" t="s">
        <v>7266</v>
      </c>
      <c r="H2986" s="7" t="s">
        <v>14062</v>
      </c>
      <c r="I2986" s="7" t="s">
        <v>14063</v>
      </c>
      <c r="J2986" s="5" t="s">
        <v>14065</v>
      </c>
      <c r="N2986" s="45">
        <v>9234</v>
      </c>
      <c r="O2986" s="4" t="s">
        <v>15</v>
      </c>
      <c r="Q2986" s="3">
        <f t="shared" si="525"/>
        <v>9234</v>
      </c>
      <c r="R2986" s="3">
        <f t="shared" si="526"/>
        <v>0</v>
      </c>
    </row>
    <row r="2987" spans="2:19" hidden="1" x14ac:dyDescent="0.25">
      <c r="C2987" s="4" t="s">
        <v>2450</v>
      </c>
      <c r="E2987" s="5" t="s">
        <v>0</v>
      </c>
      <c r="F2987" s="5" t="s">
        <v>13327</v>
      </c>
      <c r="G2987" s="146" t="s">
        <v>7266</v>
      </c>
      <c r="H2987" s="7" t="s">
        <v>14062</v>
      </c>
      <c r="I2987" s="7" t="s">
        <v>14063</v>
      </c>
      <c r="J2987" s="5" t="s">
        <v>14066</v>
      </c>
      <c r="N2987" s="45">
        <v>7734</v>
      </c>
      <c r="O2987" s="4" t="s">
        <v>15</v>
      </c>
      <c r="Q2987" s="3">
        <f t="shared" si="525"/>
        <v>7734</v>
      </c>
      <c r="R2987" s="3">
        <f t="shared" si="526"/>
        <v>0</v>
      </c>
    </row>
    <row r="2988" spans="2:19" hidden="1" x14ac:dyDescent="0.25">
      <c r="C2988" s="4" t="s">
        <v>2450</v>
      </c>
      <c r="E2988" s="5" t="s">
        <v>0</v>
      </c>
      <c r="F2988" s="5" t="s">
        <v>13327</v>
      </c>
      <c r="G2988" s="146" t="s">
        <v>7266</v>
      </c>
      <c r="H2988" s="7" t="s">
        <v>14062</v>
      </c>
      <c r="I2988" s="7" t="s">
        <v>14063</v>
      </c>
      <c r="J2988" s="5" t="s">
        <v>14067</v>
      </c>
      <c r="N2988" s="45">
        <v>9234</v>
      </c>
      <c r="O2988" s="4" t="s">
        <v>15</v>
      </c>
      <c r="Q2988" s="3">
        <f t="shared" si="525"/>
        <v>9234</v>
      </c>
      <c r="R2988" s="3">
        <f t="shared" si="526"/>
        <v>0</v>
      </c>
    </row>
    <row r="2989" spans="2:19" hidden="1" x14ac:dyDescent="0.25">
      <c r="C2989" s="4" t="s">
        <v>2450</v>
      </c>
      <c r="E2989" s="5" t="s">
        <v>0</v>
      </c>
      <c r="F2989" s="5" t="s">
        <v>13327</v>
      </c>
      <c r="G2989" s="146" t="s">
        <v>7266</v>
      </c>
      <c r="H2989" s="7" t="s">
        <v>14062</v>
      </c>
      <c r="I2989" s="7" t="s">
        <v>14063</v>
      </c>
      <c r="J2989" s="5" t="s">
        <v>14068</v>
      </c>
      <c r="N2989" s="45">
        <v>7734</v>
      </c>
      <c r="O2989" s="4" t="s">
        <v>15</v>
      </c>
      <c r="Q2989" s="3">
        <f t="shared" si="525"/>
        <v>7734</v>
      </c>
      <c r="R2989" s="3">
        <f t="shared" si="526"/>
        <v>0</v>
      </c>
    </row>
    <row r="2990" spans="2:19" hidden="1" x14ac:dyDescent="0.25">
      <c r="C2990" s="4" t="s">
        <v>2450</v>
      </c>
      <c r="E2990" s="5" t="s">
        <v>0</v>
      </c>
      <c r="F2990" s="5" t="s">
        <v>13327</v>
      </c>
      <c r="G2990" s="146" t="s">
        <v>7266</v>
      </c>
      <c r="H2990" s="7" t="s">
        <v>14062</v>
      </c>
      <c r="I2990" s="7" t="s">
        <v>14063</v>
      </c>
      <c r="J2990" s="5" t="s">
        <v>14069</v>
      </c>
      <c r="N2990" s="45">
        <v>9234</v>
      </c>
      <c r="O2990" s="4" t="s">
        <v>15</v>
      </c>
      <c r="Q2990" s="3">
        <f t="shared" si="525"/>
        <v>9234</v>
      </c>
      <c r="R2990" s="3">
        <f t="shared" si="526"/>
        <v>0</v>
      </c>
    </row>
    <row r="2991" spans="2:19" hidden="1" x14ac:dyDescent="0.25">
      <c r="C2991" s="4" t="s">
        <v>2450</v>
      </c>
      <c r="E2991" s="5" t="s">
        <v>0</v>
      </c>
      <c r="F2991" s="5" t="s">
        <v>13327</v>
      </c>
      <c r="G2991" s="146" t="s">
        <v>7266</v>
      </c>
      <c r="H2991" s="7" t="s">
        <v>14062</v>
      </c>
      <c r="I2991" s="7" t="s">
        <v>14063</v>
      </c>
      <c r="J2991" s="5" t="s">
        <v>14070</v>
      </c>
      <c r="N2991" s="45">
        <v>9234</v>
      </c>
      <c r="O2991" s="4" t="s">
        <v>15</v>
      </c>
      <c r="Q2991" s="3">
        <f t="shared" si="525"/>
        <v>9234</v>
      </c>
      <c r="R2991" s="3">
        <f t="shared" si="526"/>
        <v>0</v>
      </c>
    </row>
    <row r="2992" spans="2:19" hidden="1" x14ac:dyDescent="0.25">
      <c r="C2992" s="4" t="s">
        <v>2450</v>
      </c>
      <c r="E2992" s="5" t="s">
        <v>0</v>
      </c>
      <c r="F2992" s="5" t="s">
        <v>13327</v>
      </c>
      <c r="G2992" s="146" t="s">
        <v>7266</v>
      </c>
      <c r="H2992" s="7" t="s">
        <v>14062</v>
      </c>
      <c r="I2992" s="7" t="s">
        <v>14063</v>
      </c>
      <c r="J2992" s="5" t="s">
        <v>14071</v>
      </c>
      <c r="N2992" s="45">
        <v>9234</v>
      </c>
      <c r="O2992" s="4" t="s">
        <v>15</v>
      </c>
      <c r="Q2992" s="3">
        <f t="shared" si="525"/>
        <v>9234</v>
      </c>
      <c r="R2992" s="3">
        <f t="shared" si="526"/>
        <v>0</v>
      </c>
    </row>
    <row r="2993" spans="3:18" hidden="1" x14ac:dyDescent="0.25">
      <c r="C2993" s="4" t="s">
        <v>2450</v>
      </c>
      <c r="E2993" s="5" t="s">
        <v>0</v>
      </c>
      <c r="F2993" s="5" t="s">
        <v>13327</v>
      </c>
      <c r="G2993" s="146" t="s">
        <v>7266</v>
      </c>
      <c r="H2993" s="7" t="s">
        <v>14062</v>
      </c>
      <c r="I2993" s="7" t="s">
        <v>14063</v>
      </c>
      <c r="J2993" s="5" t="s">
        <v>14072</v>
      </c>
      <c r="N2993" s="45">
        <v>9234</v>
      </c>
      <c r="O2993" s="4" t="s">
        <v>15</v>
      </c>
      <c r="Q2993" s="3">
        <f t="shared" si="525"/>
        <v>9234</v>
      </c>
      <c r="R2993" s="3">
        <f t="shared" si="526"/>
        <v>0</v>
      </c>
    </row>
    <row r="2994" spans="3:18" hidden="1" x14ac:dyDescent="0.25">
      <c r="C2994" s="4" t="s">
        <v>2450</v>
      </c>
      <c r="E2994" s="5" t="s">
        <v>0</v>
      </c>
      <c r="F2994" s="5" t="s">
        <v>13327</v>
      </c>
      <c r="G2994" s="146" t="s">
        <v>7266</v>
      </c>
      <c r="H2994" s="7" t="s">
        <v>14062</v>
      </c>
      <c r="I2994" s="7" t="s">
        <v>14063</v>
      </c>
      <c r="J2994" s="5" t="s">
        <v>14073</v>
      </c>
      <c r="N2994" s="45">
        <v>7734</v>
      </c>
      <c r="O2994" s="4" t="s">
        <v>15</v>
      </c>
      <c r="Q2994" s="3">
        <f t="shared" si="525"/>
        <v>7734</v>
      </c>
      <c r="R2994" s="3">
        <f t="shared" si="526"/>
        <v>0</v>
      </c>
    </row>
    <row r="2995" spans="3:18" hidden="1" x14ac:dyDescent="0.25">
      <c r="C2995" s="4" t="s">
        <v>2450</v>
      </c>
      <c r="E2995" s="5" t="s">
        <v>0</v>
      </c>
      <c r="F2995" s="5" t="s">
        <v>13327</v>
      </c>
      <c r="G2995" s="146" t="s">
        <v>7266</v>
      </c>
      <c r="H2995" s="7" t="s">
        <v>14062</v>
      </c>
      <c r="I2995" s="7" t="s">
        <v>14063</v>
      </c>
      <c r="J2995" s="5" t="s">
        <v>14074</v>
      </c>
      <c r="N2995" s="45">
        <v>9234</v>
      </c>
      <c r="O2995" s="4" t="s">
        <v>15</v>
      </c>
      <c r="Q2995" s="3">
        <f t="shared" si="525"/>
        <v>9234</v>
      </c>
      <c r="R2995" s="3">
        <f t="shared" si="526"/>
        <v>0</v>
      </c>
    </row>
    <row r="2996" spans="3:18" hidden="1" x14ac:dyDescent="0.25">
      <c r="C2996" s="4" t="s">
        <v>2450</v>
      </c>
      <c r="E2996" s="5" t="s">
        <v>0</v>
      </c>
      <c r="F2996" s="5" t="s">
        <v>13327</v>
      </c>
      <c r="G2996" s="146" t="s">
        <v>7266</v>
      </c>
      <c r="H2996" s="7" t="s">
        <v>14062</v>
      </c>
      <c r="I2996" s="7" t="s">
        <v>14063</v>
      </c>
      <c r="J2996" s="5" t="s">
        <v>14075</v>
      </c>
      <c r="N2996" s="45">
        <v>7734</v>
      </c>
      <c r="O2996" s="4" t="s">
        <v>15</v>
      </c>
      <c r="Q2996" s="3">
        <f t="shared" si="525"/>
        <v>7734</v>
      </c>
      <c r="R2996" s="3">
        <f t="shared" si="526"/>
        <v>0</v>
      </c>
    </row>
    <row r="2997" spans="3:18" hidden="1" x14ac:dyDescent="0.25">
      <c r="C2997" s="4" t="s">
        <v>2450</v>
      </c>
      <c r="E2997" s="5" t="s">
        <v>0</v>
      </c>
      <c r="F2997" s="5" t="s">
        <v>13327</v>
      </c>
      <c r="G2997" s="146" t="s">
        <v>7266</v>
      </c>
      <c r="H2997" s="7" t="s">
        <v>14062</v>
      </c>
      <c r="I2997" s="7" t="s">
        <v>14063</v>
      </c>
      <c r="J2997" s="5" t="s">
        <v>14076</v>
      </c>
      <c r="N2997" s="45">
        <v>9234</v>
      </c>
      <c r="O2997" s="4" t="s">
        <v>15</v>
      </c>
      <c r="Q2997" s="3">
        <f t="shared" si="525"/>
        <v>9234</v>
      </c>
      <c r="R2997" s="3">
        <f t="shared" si="526"/>
        <v>0</v>
      </c>
    </row>
    <row r="2998" spans="3:18" hidden="1" x14ac:dyDescent="0.25">
      <c r="C2998" s="4" t="s">
        <v>2450</v>
      </c>
      <c r="E2998" s="5" t="s">
        <v>0</v>
      </c>
      <c r="F2998" s="5" t="s">
        <v>13327</v>
      </c>
      <c r="G2998" s="146" t="s">
        <v>7266</v>
      </c>
      <c r="H2998" s="7" t="s">
        <v>14062</v>
      </c>
      <c r="I2998" s="7" t="s">
        <v>14063</v>
      </c>
      <c r="J2998" s="5" t="s">
        <v>14077</v>
      </c>
      <c r="N2998" s="45">
        <v>7734</v>
      </c>
      <c r="O2998" s="4" t="s">
        <v>15</v>
      </c>
      <c r="Q2998" s="3">
        <f t="shared" si="525"/>
        <v>7734</v>
      </c>
      <c r="R2998" s="3">
        <f t="shared" si="526"/>
        <v>0</v>
      </c>
    </row>
    <row r="2999" spans="3:18" hidden="1" x14ac:dyDescent="0.25">
      <c r="C2999" s="4" t="s">
        <v>2450</v>
      </c>
      <c r="E2999" s="5" t="s">
        <v>0</v>
      </c>
      <c r="F2999" s="5" t="s">
        <v>13327</v>
      </c>
      <c r="G2999" s="146" t="s">
        <v>7266</v>
      </c>
      <c r="H2999" s="7" t="s">
        <v>14062</v>
      </c>
      <c r="I2999" s="7" t="s">
        <v>14063</v>
      </c>
      <c r="J2999" s="5" t="s">
        <v>14078</v>
      </c>
      <c r="N2999" s="45">
        <v>9234</v>
      </c>
      <c r="O2999" s="4" t="s">
        <v>15</v>
      </c>
      <c r="Q2999" s="3">
        <f t="shared" si="525"/>
        <v>9234</v>
      </c>
      <c r="R2999" s="3">
        <f t="shared" si="526"/>
        <v>0</v>
      </c>
    </row>
    <row r="3000" spans="3:18" hidden="1" x14ac:dyDescent="0.25">
      <c r="C3000" s="4" t="s">
        <v>2450</v>
      </c>
      <c r="E3000" s="5" t="s">
        <v>0</v>
      </c>
      <c r="F3000" s="5" t="s">
        <v>13327</v>
      </c>
      <c r="G3000" s="146" t="s">
        <v>7266</v>
      </c>
      <c r="H3000" s="7" t="s">
        <v>14062</v>
      </c>
      <c r="I3000" s="7" t="s">
        <v>14063</v>
      </c>
      <c r="J3000" s="5" t="s">
        <v>14079</v>
      </c>
      <c r="N3000" s="45">
        <v>9234</v>
      </c>
      <c r="O3000" s="4" t="s">
        <v>15</v>
      </c>
      <c r="Q3000" s="3">
        <f t="shared" si="525"/>
        <v>9234</v>
      </c>
      <c r="R3000" s="3">
        <f t="shared" si="526"/>
        <v>0</v>
      </c>
    </row>
    <row r="3001" spans="3:18" hidden="1" x14ac:dyDescent="0.25">
      <c r="C3001" s="4" t="s">
        <v>2450</v>
      </c>
      <c r="E3001" s="5" t="s">
        <v>0</v>
      </c>
      <c r="F3001" s="5" t="s">
        <v>13327</v>
      </c>
      <c r="G3001" s="146" t="s">
        <v>7266</v>
      </c>
      <c r="H3001" s="7" t="s">
        <v>14062</v>
      </c>
      <c r="I3001" s="7" t="s">
        <v>14063</v>
      </c>
      <c r="J3001" s="5" t="s">
        <v>14080</v>
      </c>
      <c r="N3001" s="45">
        <v>9234</v>
      </c>
      <c r="O3001" s="4" t="s">
        <v>15</v>
      </c>
      <c r="Q3001" s="3">
        <f t="shared" si="525"/>
        <v>9234</v>
      </c>
      <c r="R3001" s="3">
        <f t="shared" si="526"/>
        <v>0</v>
      </c>
    </row>
    <row r="3002" spans="3:18" hidden="1" x14ac:dyDescent="0.25">
      <c r="C3002" s="4" t="s">
        <v>2450</v>
      </c>
      <c r="E3002" s="5" t="s">
        <v>0</v>
      </c>
      <c r="F3002" s="5" t="s">
        <v>13327</v>
      </c>
      <c r="G3002" s="146" t="s">
        <v>7266</v>
      </c>
      <c r="H3002" s="7" t="s">
        <v>14062</v>
      </c>
      <c r="I3002" s="7" t="s">
        <v>14063</v>
      </c>
      <c r="J3002" s="5" t="s">
        <v>14081</v>
      </c>
      <c r="N3002" s="45">
        <v>9234</v>
      </c>
      <c r="O3002" s="4" t="s">
        <v>15</v>
      </c>
      <c r="Q3002" s="3">
        <f t="shared" si="525"/>
        <v>9234</v>
      </c>
      <c r="R3002" s="3">
        <f t="shared" si="526"/>
        <v>0</v>
      </c>
    </row>
    <row r="3003" spans="3:18" hidden="1" x14ac:dyDescent="0.25">
      <c r="C3003" s="4" t="s">
        <v>2450</v>
      </c>
      <c r="E3003" s="5" t="s">
        <v>0</v>
      </c>
      <c r="F3003" s="5" t="s">
        <v>13327</v>
      </c>
      <c r="G3003" s="146" t="s">
        <v>7266</v>
      </c>
      <c r="H3003" s="7" t="s">
        <v>14062</v>
      </c>
      <c r="I3003" s="7" t="s">
        <v>14063</v>
      </c>
      <c r="J3003" s="5" t="s">
        <v>14082</v>
      </c>
      <c r="N3003" s="45">
        <v>7734</v>
      </c>
      <c r="O3003" s="4" t="s">
        <v>15</v>
      </c>
      <c r="Q3003" s="3">
        <f t="shared" si="525"/>
        <v>7734</v>
      </c>
      <c r="R3003" s="3">
        <f t="shared" si="526"/>
        <v>0</v>
      </c>
    </row>
    <row r="3004" spans="3:18" hidden="1" x14ac:dyDescent="0.25">
      <c r="C3004" s="4" t="s">
        <v>2450</v>
      </c>
      <c r="E3004" s="5" t="s">
        <v>0</v>
      </c>
      <c r="F3004" s="5" t="s">
        <v>13327</v>
      </c>
      <c r="G3004" s="146" t="s">
        <v>7266</v>
      </c>
      <c r="H3004" s="7" t="s">
        <v>14062</v>
      </c>
      <c r="I3004" s="7" t="s">
        <v>14063</v>
      </c>
      <c r="J3004" s="5" t="s">
        <v>14083</v>
      </c>
      <c r="N3004" s="45">
        <v>9234</v>
      </c>
      <c r="O3004" s="4" t="s">
        <v>15</v>
      </c>
      <c r="Q3004" s="3">
        <f t="shared" si="525"/>
        <v>9234</v>
      </c>
      <c r="R3004" s="3">
        <f t="shared" si="526"/>
        <v>0</v>
      </c>
    </row>
    <row r="3005" spans="3:18" hidden="1" x14ac:dyDescent="0.25">
      <c r="C3005" s="4" t="s">
        <v>2450</v>
      </c>
      <c r="E3005" s="5" t="s">
        <v>0</v>
      </c>
      <c r="F3005" s="5" t="s">
        <v>13327</v>
      </c>
      <c r="G3005" s="146" t="s">
        <v>7266</v>
      </c>
      <c r="H3005" s="7" t="s">
        <v>14062</v>
      </c>
      <c r="I3005" s="7" t="s">
        <v>14063</v>
      </c>
      <c r="J3005" s="5" t="s">
        <v>14084</v>
      </c>
      <c r="N3005" s="45">
        <v>7734</v>
      </c>
      <c r="O3005" s="4" t="s">
        <v>15</v>
      </c>
      <c r="Q3005" s="3">
        <f t="shared" si="525"/>
        <v>7734</v>
      </c>
      <c r="R3005" s="3">
        <f t="shared" si="526"/>
        <v>0</v>
      </c>
    </row>
    <row r="3006" spans="3:18" hidden="1" x14ac:dyDescent="0.25">
      <c r="C3006" s="4" t="s">
        <v>2450</v>
      </c>
      <c r="E3006" s="5" t="s">
        <v>0</v>
      </c>
      <c r="F3006" s="5" t="s">
        <v>13327</v>
      </c>
      <c r="G3006" s="146" t="s">
        <v>7266</v>
      </c>
      <c r="H3006" s="7" t="s">
        <v>14062</v>
      </c>
      <c r="I3006" s="7" t="s">
        <v>14063</v>
      </c>
      <c r="J3006" s="5" t="s">
        <v>14085</v>
      </c>
      <c r="N3006" s="45">
        <v>9234</v>
      </c>
      <c r="O3006" s="4" t="s">
        <v>15</v>
      </c>
      <c r="Q3006" s="3">
        <f t="shared" si="525"/>
        <v>9234</v>
      </c>
      <c r="R3006" s="3">
        <f t="shared" si="526"/>
        <v>0</v>
      </c>
    </row>
    <row r="3007" spans="3:18" hidden="1" x14ac:dyDescent="0.25">
      <c r="C3007" s="4" t="s">
        <v>2450</v>
      </c>
      <c r="E3007" s="5" t="s">
        <v>0</v>
      </c>
      <c r="F3007" s="5" t="s">
        <v>13327</v>
      </c>
      <c r="G3007" s="146" t="s">
        <v>7266</v>
      </c>
      <c r="H3007" s="7" t="s">
        <v>14062</v>
      </c>
      <c r="I3007" s="7" t="s">
        <v>14063</v>
      </c>
      <c r="J3007" s="5" t="s">
        <v>14086</v>
      </c>
      <c r="N3007" s="45">
        <v>7734</v>
      </c>
      <c r="O3007" s="4" t="s">
        <v>15</v>
      </c>
      <c r="Q3007" s="3">
        <f t="shared" si="525"/>
        <v>7734</v>
      </c>
      <c r="R3007" s="3">
        <f t="shared" si="526"/>
        <v>0</v>
      </c>
    </row>
    <row r="3008" spans="3:18" hidden="1" x14ac:dyDescent="0.25">
      <c r="C3008" s="4" t="s">
        <v>2450</v>
      </c>
      <c r="E3008" s="5" t="s">
        <v>0</v>
      </c>
      <c r="F3008" s="5" t="s">
        <v>13327</v>
      </c>
      <c r="G3008" s="146" t="s">
        <v>7266</v>
      </c>
      <c r="H3008" s="7" t="s">
        <v>14062</v>
      </c>
      <c r="I3008" s="7" t="s">
        <v>14063</v>
      </c>
      <c r="J3008" s="5" t="s">
        <v>14087</v>
      </c>
      <c r="N3008" s="45">
        <v>9234</v>
      </c>
      <c r="O3008" s="4" t="s">
        <v>15</v>
      </c>
      <c r="Q3008" s="3">
        <f t="shared" si="525"/>
        <v>9234</v>
      </c>
      <c r="R3008" s="3">
        <f t="shared" si="526"/>
        <v>0</v>
      </c>
    </row>
    <row r="3009" spans="2:19" hidden="1" x14ac:dyDescent="0.25">
      <c r="C3009" s="4" t="s">
        <v>2450</v>
      </c>
      <c r="E3009" s="5" t="s">
        <v>0</v>
      </c>
      <c r="F3009" s="5" t="s">
        <v>13327</v>
      </c>
      <c r="G3009" s="146" t="s">
        <v>7266</v>
      </c>
      <c r="H3009" s="7" t="s">
        <v>14062</v>
      </c>
      <c r="I3009" s="7" t="s">
        <v>14063</v>
      </c>
      <c r="J3009" s="5" t="s">
        <v>14088</v>
      </c>
      <c r="N3009" s="45">
        <v>9234</v>
      </c>
      <c r="O3009" s="4" t="s">
        <v>15</v>
      </c>
      <c r="Q3009" s="3">
        <f t="shared" si="525"/>
        <v>9234</v>
      </c>
      <c r="R3009" s="3">
        <f t="shared" si="526"/>
        <v>0</v>
      </c>
    </row>
    <row r="3010" spans="2:19" hidden="1" x14ac:dyDescent="0.25">
      <c r="C3010" s="4" t="s">
        <v>2450</v>
      </c>
      <c r="E3010" s="5" t="s">
        <v>0</v>
      </c>
      <c r="F3010" s="5" t="s">
        <v>13327</v>
      </c>
      <c r="G3010" s="146" t="s">
        <v>7266</v>
      </c>
      <c r="H3010" s="7" t="s">
        <v>14062</v>
      </c>
      <c r="I3010" s="7" t="s">
        <v>14063</v>
      </c>
      <c r="J3010" s="5" t="s">
        <v>14089</v>
      </c>
      <c r="N3010" s="45">
        <v>9234</v>
      </c>
      <c r="O3010" s="4" t="s">
        <v>15</v>
      </c>
      <c r="Q3010" s="3">
        <f t="shared" si="525"/>
        <v>9234</v>
      </c>
      <c r="R3010" s="3">
        <f t="shared" si="526"/>
        <v>0</v>
      </c>
    </row>
    <row r="3011" spans="2:19" hidden="1" x14ac:dyDescent="0.25">
      <c r="C3011" s="4" t="s">
        <v>2450</v>
      </c>
      <c r="E3011" s="5" t="s">
        <v>0</v>
      </c>
      <c r="F3011" s="5" t="s">
        <v>13327</v>
      </c>
      <c r="G3011" s="146" t="s">
        <v>7266</v>
      </c>
      <c r="H3011" s="7" t="s">
        <v>14062</v>
      </c>
      <c r="I3011" s="7" t="s">
        <v>14063</v>
      </c>
      <c r="J3011" s="5" t="s">
        <v>14090</v>
      </c>
      <c r="N3011" s="45">
        <v>9234</v>
      </c>
      <c r="O3011" s="4" t="s">
        <v>15</v>
      </c>
      <c r="Q3011" s="3">
        <f t="shared" si="525"/>
        <v>9234</v>
      </c>
      <c r="R3011" s="3">
        <f t="shared" si="526"/>
        <v>0</v>
      </c>
    </row>
    <row r="3012" spans="2:19" hidden="1" x14ac:dyDescent="0.25">
      <c r="B3012" s="21" t="s">
        <v>395</v>
      </c>
      <c r="C3012" s="22" t="s">
        <v>2450</v>
      </c>
      <c r="D3012" s="22"/>
      <c r="E3012" s="21" t="s">
        <v>0</v>
      </c>
      <c r="F3012" s="21" t="s">
        <v>13327</v>
      </c>
      <c r="G3012" s="147" t="s">
        <v>7266</v>
      </c>
      <c r="H3012" s="23" t="s">
        <v>14062</v>
      </c>
      <c r="I3012" s="23" t="s">
        <v>14063</v>
      </c>
      <c r="J3012" s="21" t="s">
        <v>14091</v>
      </c>
      <c r="K3012" s="21"/>
      <c r="L3012" s="21" t="s">
        <v>14239</v>
      </c>
      <c r="M3012" s="26">
        <v>46073</v>
      </c>
      <c r="N3012" s="44">
        <v>4900</v>
      </c>
      <c r="O3012" s="22" t="s">
        <v>15</v>
      </c>
      <c r="P3012" s="44">
        <v>4900</v>
      </c>
      <c r="Q3012" s="24">
        <f t="shared" si="525"/>
        <v>0</v>
      </c>
      <c r="R3012" s="24">
        <f t="shared" si="526"/>
        <v>4900</v>
      </c>
      <c r="S3012" s="21"/>
    </row>
    <row r="3013" spans="2:19" hidden="1" x14ac:dyDescent="0.25">
      <c r="C3013" s="4" t="s">
        <v>158</v>
      </c>
      <c r="E3013" s="5" t="s">
        <v>159</v>
      </c>
      <c r="F3013" s="5" t="s">
        <v>14092</v>
      </c>
      <c r="G3013" s="146" t="s">
        <v>9722</v>
      </c>
      <c r="H3013" s="7" t="s">
        <v>14093</v>
      </c>
      <c r="I3013" s="7" t="s">
        <v>14094</v>
      </c>
      <c r="J3013" s="5" t="s">
        <v>14095</v>
      </c>
      <c r="N3013" s="45">
        <v>119555</v>
      </c>
      <c r="O3013" s="4" t="s">
        <v>15</v>
      </c>
      <c r="Q3013" s="3">
        <f t="shared" ref="Q3013:Q3014" si="527">IF(P3013="en cours",N3013,IF(P3013="OK",0,IF(N3013-P3013&lt;0,0,N3013-P3013)))</f>
        <v>119555</v>
      </c>
      <c r="R3013" s="3">
        <f t="shared" ref="R3013:R3014" si="528">IF(P3013="OK",N3013-Q3013,IF(P3013="en cours",N3013-Q3013,P3013))</f>
        <v>0</v>
      </c>
    </row>
    <row r="3014" spans="2:19" hidden="1" x14ac:dyDescent="0.25">
      <c r="C3014" s="4" t="s">
        <v>158</v>
      </c>
      <c r="E3014" s="5" t="s">
        <v>159</v>
      </c>
      <c r="F3014" s="5" t="s">
        <v>14092</v>
      </c>
      <c r="G3014" s="146" t="s">
        <v>9722</v>
      </c>
      <c r="H3014" s="7" t="s">
        <v>14093</v>
      </c>
      <c r="I3014" s="7" t="s">
        <v>14094</v>
      </c>
      <c r="J3014" s="5" t="s">
        <v>14096</v>
      </c>
      <c r="N3014" s="45">
        <v>6500</v>
      </c>
      <c r="O3014" s="4" t="s">
        <v>15</v>
      </c>
      <c r="Q3014" s="3">
        <f t="shared" si="527"/>
        <v>6500</v>
      </c>
      <c r="R3014" s="3">
        <f t="shared" si="528"/>
        <v>0</v>
      </c>
    </row>
    <row r="3015" spans="2:19" hidden="1" x14ac:dyDescent="0.25">
      <c r="B3015" s="21" t="s">
        <v>395</v>
      </c>
      <c r="C3015" s="22" t="s">
        <v>2450</v>
      </c>
      <c r="D3015" s="22"/>
      <c r="E3015" s="21" t="s">
        <v>0</v>
      </c>
      <c r="F3015" s="21" t="s">
        <v>13327</v>
      </c>
      <c r="G3015" s="147" t="s">
        <v>7266</v>
      </c>
      <c r="H3015" s="23" t="s">
        <v>14097</v>
      </c>
      <c r="I3015" s="23" t="s">
        <v>14098</v>
      </c>
      <c r="J3015" s="21" t="s">
        <v>14099</v>
      </c>
      <c r="K3015" s="21"/>
      <c r="L3015" s="21" t="s">
        <v>14238</v>
      </c>
      <c r="M3015" s="26">
        <v>46072</v>
      </c>
      <c r="N3015" s="44">
        <v>108960</v>
      </c>
      <c r="O3015" s="22" t="s">
        <v>15</v>
      </c>
      <c r="P3015" s="44">
        <f>108960</f>
        <v>108960</v>
      </c>
      <c r="Q3015" s="24">
        <f t="shared" ref="Q3015:Q3016" si="529">IF(P3015="en cours",N3015,IF(P3015="OK",0,IF(N3015-P3015&lt;0,0,N3015-P3015)))</f>
        <v>0</v>
      </c>
      <c r="R3015" s="24">
        <f t="shared" ref="R3015:R3016" si="530">IF(P3015="OK",N3015-Q3015,IF(P3015="en cours",N3015-Q3015,P3015))</f>
        <v>108960</v>
      </c>
      <c r="S3015" s="21"/>
    </row>
    <row r="3016" spans="2:19" hidden="1" x14ac:dyDescent="0.25">
      <c r="C3016" s="4" t="s">
        <v>2450</v>
      </c>
      <c r="E3016" s="5" t="s">
        <v>7137</v>
      </c>
      <c r="F3016" s="5" t="s">
        <v>11545</v>
      </c>
      <c r="G3016" s="146" t="s">
        <v>9729</v>
      </c>
      <c r="H3016" s="7" t="s">
        <v>14130</v>
      </c>
      <c r="I3016" s="7" t="s">
        <v>14131</v>
      </c>
      <c r="J3016" s="5" t="s">
        <v>14132</v>
      </c>
      <c r="L3016" s="5" t="s">
        <v>14389</v>
      </c>
      <c r="M3016" s="7" t="s">
        <v>14390</v>
      </c>
      <c r="N3016" s="45">
        <v>591000</v>
      </c>
      <c r="O3016" s="4" t="s">
        <v>15</v>
      </c>
      <c r="P3016" s="45">
        <f>3824.1+1549.05+298+27241+1665.85+149+61188</f>
        <v>95915</v>
      </c>
      <c r="Q3016" s="3">
        <f t="shared" si="529"/>
        <v>495085</v>
      </c>
      <c r="R3016" s="3">
        <f t="shared" si="530"/>
        <v>95915</v>
      </c>
    </row>
    <row r="3017" spans="2:19" hidden="1" x14ac:dyDescent="0.25">
      <c r="B3017" s="21" t="s">
        <v>395</v>
      </c>
      <c r="C3017" s="22" t="s">
        <v>158</v>
      </c>
      <c r="D3017" s="22"/>
      <c r="E3017" s="21" t="s">
        <v>10</v>
      </c>
      <c r="F3017" s="21" t="s">
        <v>9721</v>
      </c>
      <c r="G3017" s="147" t="s">
        <v>1090</v>
      </c>
      <c r="H3017" s="23" t="s">
        <v>14154</v>
      </c>
      <c r="I3017" s="23" t="s">
        <v>14155</v>
      </c>
      <c r="J3017" s="21" t="s">
        <v>6557</v>
      </c>
      <c r="K3017" s="21"/>
      <c r="L3017" s="21" t="s">
        <v>14236</v>
      </c>
      <c r="M3017" s="26">
        <v>46072</v>
      </c>
      <c r="N3017" s="44">
        <v>8953.0499999999993</v>
      </c>
      <c r="O3017" s="22" t="s">
        <v>15</v>
      </c>
      <c r="P3017" s="44">
        <v>8953.0499999999993</v>
      </c>
      <c r="Q3017" s="24">
        <f t="shared" ref="Q3017:Q3019" si="531">IF(P3017="en cours",N3017,IF(P3017="OK",0,IF(N3017-P3017&lt;0,0,N3017-P3017)))</f>
        <v>0</v>
      </c>
      <c r="R3017" s="24">
        <f t="shared" ref="R3017:R3019" si="532">IF(P3017="OK",N3017-Q3017,IF(P3017="en cours",N3017-Q3017,P3017))</f>
        <v>8953.0499999999993</v>
      </c>
      <c r="S3017" s="21"/>
    </row>
    <row r="3018" spans="2:19" ht="16.5" hidden="1" customHeight="1" x14ac:dyDescent="0.25">
      <c r="C3018" s="4" t="s">
        <v>2450</v>
      </c>
      <c r="E3018" s="5" t="s">
        <v>0</v>
      </c>
      <c r="F3018" s="5" t="s">
        <v>13120</v>
      </c>
      <c r="G3018" s="146" t="s">
        <v>7266</v>
      </c>
      <c r="H3018" s="7" t="s">
        <v>14156</v>
      </c>
      <c r="I3018" s="7" t="s">
        <v>14157</v>
      </c>
      <c r="J3018" s="5" t="s">
        <v>14158</v>
      </c>
      <c r="N3018" s="45">
        <v>55400</v>
      </c>
      <c r="O3018" s="4" t="s">
        <v>15</v>
      </c>
      <c r="Q3018" s="3">
        <f t="shared" si="531"/>
        <v>55400</v>
      </c>
      <c r="R3018" s="3">
        <f t="shared" si="532"/>
        <v>0</v>
      </c>
    </row>
    <row r="3019" spans="2:19" ht="16.5" hidden="1" customHeight="1" x14ac:dyDescent="0.25">
      <c r="C3019" s="4" t="s">
        <v>2450</v>
      </c>
      <c r="E3019" s="5" t="s">
        <v>0</v>
      </c>
      <c r="F3019" s="5" t="s">
        <v>13120</v>
      </c>
      <c r="G3019" s="146" t="s">
        <v>7266</v>
      </c>
      <c r="H3019" s="7" t="s">
        <v>14156</v>
      </c>
      <c r="I3019" s="7" t="s">
        <v>14157</v>
      </c>
      <c r="J3019" s="5" t="s">
        <v>14159</v>
      </c>
      <c r="N3019" s="45">
        <v>145000</v>
      </c>
      <c r="O3019" s="4" t="s">
        <v>15</v>
      </c>
      <c r="Q3019" s="3">
        <f t="shared" si="531"/>
        <v>145000</v>
      </c>
      <c r="R3019" s="3">
        <f t="shared" si="532"/>
        <v>0</v>
      </c>
    </row>
    <row r="3020" spans="2:19" hidden="1" x14ac:dyDescent="0.25">
      <c r="C3020" s="4" t="s">
        <v>13507</v>
      </c>
      <c r="E3020" s="5" t="s">
        <v>75</v>
      </c>
      <c r="F3020" s="5" t="s">
        <v>14160</v>
      </c>
      <c r="G3020" s="146" t="s">
        <v>11153</v>
      </c>
      <c r="H3020" s="7" t="s">
        <v>14161</v>
      </c>
      <c r="I3020" s="7" t="s">
        <v>14162</v>
      </c>
      <c r="J3020" s="5" t="s">
        <v>14164</v>
      </c>
      <c r="N3020" s="45">
        <v>10000</v>
      </c>
      <c r="O3020" s="4" t="s">
        <v>15</v>
      </c>
      <c r="Q3020" s="3">
        <f t="shared" ref="Q3020:Q3025" si="533">IF(P3020="en cours",N3020,IF(P3020="OK",0,IF(N3020-P3020&lt;0,0,N3020-P3020)))</f>
        <v>10000</v>
      </c>
      <c r="R3020" s="3">
        <f t="shared" ref="R3020:R3025" si="534">IF(P3020="OK",N3020-Q3020,IF(P3020="en cours",N3020-Q3020,P3020))</f>
        <v>0</v>
      </c>
    </row>
    <row r="3021" spans="2:19" hidden="1" x14ac:dyDescent="0.25">
      <c r="C3021" s="4" t="s">
        <v>13507</v>
      </c>
      <c r="E3021" s="5" t="s">
        <v>75</v>
      </c>
      <c r="F3021" s="5" t="s">
        <v>14160</v>
      </c>
      <c r="G3021" s="146" t="s">
        <v>11153</v>
      </c>
      <c r="H3021" s="7" t="s">
        <v>14161</v>
      </c>
      <c r="I3021" s="7" t="s">
        <v>14162</v>
      </c>
      <c r="J3021" s="5" t="s">
        <v>14163</v>
      </c>
      <c r="N3021" s="45">
        <f>63954-10000</f>
        <v>53954</v>
      </c>
      <c r="O3021" s="4" t="s">
        <v>15</v>
      </c>
      <c r="Q3021" s="3">
        <f t="shared" si="533"/>
        <v>53954</v>
      </c>
      <c r="R3021" s="3">
        <f t="shared" si="534"/>
        <v>0</v>
      </c>
    </row>
    <row r="3022" spans="2:19" hidden="1" x14ac:dyDescent="0.25">
      <c r="C3022" s="4" t="s">
        <v>12863</v>
      </c>
      <c r="E3022" s="5" t="s">
        <v>75</v>
      </c>
      <c r="F3022" s="5" t="s">
        <v>14160</v>
      </c>
      <c r="G3022" s="146" t="s">
        <v>11153</v>
      </c>
      <c r="H3022" s="7" t="s">
        <v>14165</v>
      </c>
      <c r="I3022" s="7" t="s">
        <v>14166</v>
      </c>
      <c r="J3022" s="5" t="s">
        <v>14167</v>
      </c>
      <c r="N3022" s="45">
        <f>37000</f>
        <v>37000</v>
      </c>
      <c r="O3022" s="4" t="s">
        <v>15</v>
      </c>
      <c r="Q3022" s="3">
        <f t="shared" si="533"/>
        <v>37000</v>
      </c>
      <c r="R3022" s="3">
        <f t="shared" si="534"/>
        <v>0</v>
      </c>
    </row>
    <row r="3023" spans="2:19" hidden="1" x14ac:dyDescent="0.25">
      <c r="C3023" s="4" t="s">
        <v>12863</v>
      </c>
      <c r="E3023" s="5" t="s">
        <v>75</v>
      </c>
      <c r="F3023" s="5" t="s">
        <v>14160</v>
      </c>
      <c r="G3023" s="146" t="s">
        <v>11153</v>
      </c>
      <c r="H3023" s="7" t="s">
        <v>14165</v>
      </c>
      <c r="I3023" s="7" t="s">
        <v>14166</v>
      </c>
      <c r="J3023" s="5" t="s">
        <v>14168</v>
      </c>
      <c r="N3023" s="45">
        <f>246275-97000</f>
        <v>149275</v>
      </c>
      <c r="O3023" s="4" t="s">
        <v>15</v>
      </c>
      <c r="Q3023" s="3">
        <f t="shared" si="533"/>
        <v>149275</v>
      </c>
      <c r="R3023" s="3">
        <f t="shared" si="534"/>
        <v>0</v>
      </c>
    </row>
    <row r="3024" spans="2:19" hidden="1" x14ac:dyDescent="0.25">
      <c r="B3024" s="21" t="s">
        <v>395</v>
      </c>
      <c r="C3024" s="22" t="s">
        <v>14243</v>
      </c>
      <c r="D3024" s="22"/>
      <c r="E3024" s="21" t="s">
        <v>10</v>
      </c>
      <c r="F3024" s="21" t="s">
        <v>9819</v>
      </c>
      <c r="G3024" s="147" t="s">
        <v>13857</v>
      </c>
      <c r="H3024" s="23" t="s">
        <v>14169</v>
      </c>
      <c r="I3024" s="23" t="s">
        <v>14170</v>
      </c>
      <c r="J3024" s="21" t="s">
        <v>14241</v>
      </c>
      <c r="K3024" s="21"/>
      <c r="L3024" s="21" t="s">
        <v>14384</v>
      </c>
      <c r="M3024" s="26">
        <v>46091</v>
      </c>
      <c r="N3024" s="44">
        <v>1927.98</v>
      </c>
      <c r="O3024" s="22" t="s">
        <v>15</v>
      </c>
      <c r="P3024" s="44">
        <v>1927.98</v>
      </c>
      <c r="Q3024" s="24">
        <f t="shared" si="533"/>
        <v>0</v>
      </c>
      <c r="R3024" s="24">
        <f t="shared" si="534"/>
        <v>1927.98</v>
      </c>
      <c r="S3024" s="5" t="s">
        <v>14242</v>
      </c>
    </row>
    <row r="3025" spans="2:18" hidden="1" x14ac:dyDescent="0.25">
      <c r="B3025" s="21" t="s">
        <v>395</v>
      </c>
      <c r="C3025" s="22" t="s">
        <v>2450</v>
      </c>
      <c r="D3025" s="22"/>
      <c r="E3025" s="21" t="s">
        <v>0</v>
      </c>
      <c r="F3025" s="21" t="s">
        <v>9823</v>
      </c>
      <c r="G3025" s="147" t="s">
        <v>3687</v>
      </c>
      <c r="H3025" s="23" t="s">
        <v>14182</v>
      </c>
      <c r="I3025" s="23" t="s">
        <v>14183</v>
      </c>
      <c r="J3025" s="21" t="s">
        <v>14181</v>
      </c>
      <c r="K3025" s="21"/>
      <c r="L3025" s="21" t="s">
        <v>14269</v>
      </c>
      <c r="M3025" s="26">
        <v>46080</v>
      </c>
      <c r="N3025" s="44">
        <v>12500</v>
      </c>
      <c r="O3025" s="22" t="s">
        <v>15</v>
      </c>
      <c r="P3025" s="44">
        <v>12500</v>
      </c>
      <c r="Q3025" s="24">
        <f t="shared" si="533"/>
        <v>0</v>
      </c>
      <c r="R3025" s="24">
        <f t="shared" si="534"/>
        <v>12500</v>
      </c>
    </row>
    <row r="3026" spans="2:18" hidden="1" x14ac:dyDescent="0.25">
      <c r="C3026" s="4" t="s">
        <v>158</v>
      </c>
      <c r="E3026" s="5" t="s">
        <v>10</v>
      </c>
      <c r="F3026" s="5" t="s">
        <v>9721</v>
      </c>
      <c r="G3026" s="146" t="s">
        <v>11065</v>
      </c>
      <c r="H3026" s="7" t="s">
        <v>14191</v>
      </c>
      <c r="I3026" s="7" t="s">
        <v>14192</v>
      </c>
      <c r="J3026" s="5" t="s">
        <v>6557</v>
      </c>
      <c r="N3026" s="45">
        <v>283.29000000000002</v>
      </c>
      <c r="O3026" s="4" t="s">
        <v>15</v>
      </c>
      <c r="Q3026" s="3">
        <f t="shared" ref="Q3026:Q3028" si="535">IF(P3026="en cours",N3026,IF(P3026="OK",0,IF(N3026-P3026&lt;0,0,N3026-P3026)))</f>
        <v>283.29000000000002</v>
      </c>
      <c r="R3026" s="3">
        <f t="shared" ref="R3026:R3028" si="536">IF(P3026="OK",N3026-Q3026,IF(P3026="en cours",N3026-Q3026,P3026))</f>
        <v>0</v>
      </c>
    </row>
    <row r="3027" spans="2:18" hidden="1" x14ac:dyDescent="0.25">
      <c r="B3027" s="21" t="s">
        <v>395</v>
      </c>
      <c r="C3027" s="22" t="s">
        <v>158</v>
      </c>
      <c r="D3027" s="22"/>
      <c r="E3027" s="21" t="s">
        <v>10</v>
      </c>
      <c r="F3027" s="21" t="s">
        <v>9721</v>
      </c>
      <c r="G3027" s="147" t="s">
        <v>11065</v>
      </c>
      <c r="H3027" s="23" t="s">
        <v>14193</v>
      </c>
      <c r="I3027" s="23" t="s">
        <v>14194</v>
      </c>
      <c r="J3027" s="21" t="s">
        <v>6557</v>
      </c>
      <c r="K3027" s="21"/>
      <c r="L3027" s="21" t="s">
        <v>14199</v>
      </c>
      <c r="M3027" s="26">
        <v>46069</v>
      </c>
      <c r="N3027" s="44">
        <v>324.10000000000002</v>
      </c>
      <c r="O3027" s="22" t="s">
        <v>15</v>
      </c>
      <c r="P3027" s="44">
        <v>324.10000000000002</v>
      </c>
      <c r="Q3027" s="24">
        <f t="shared" si="535"/>
        <v>0</v>
      </c>
      <c r="R3027" s="24">
        <f t="shared" si="536"/>
        <v>324.10000000000002</v>
      </c>
    </row>
    <row r="3028" spans="2:18" hidden="1" x14ac:dyDescent="0.25">
      <c r="B3028" s="21" t="s">
        <v>395</v>
      </c>
      <c r="C3028" s="22" t="s">
        <v>2450</v>
      </c>
      <c r="D3028" s="22"/>
      <c r="E3028" s="21" t="s">
        <v>10</v>
      </c>
      <c r="F3028" s="21" t="s">
        <v>9721</v>
      </c>
      <c r="G3028" s="147" t="s">
        <v>8442</v>
      </c>
      <c r="H3028" s="23" t="s">
        <v>14195</v>
      </c>
      <c r="I3028" s="23" t="s">
        <v>14196</v>
      </c>
      <c r="J3028" s="21" t="s">
        <v>6557</v>
      </c>
      <c r="K3028" s="47"/>
      <c r="L3028" s="47" t="s">
        <v>14328</v>
      </c>
      <c r="M3028" s="23">
        <v>46083</v>
      </c>
      <c r="N3028" s="44">
        <v>3346.29</v>
      </c>
      <c r="O3028" s="22" t="s">
        <v>15</v>
      </c>
      <c r="P3028" s="44">
        <v>3346.29</v>
      </c>
      <c r="Q3028" s="44">
        <f t="shared" si="535"/>
        <v>0</v>
      </c>
      <c r="R3028" s="24">
        <f t="shared" si="536"/>
        <v>3346.29</v>
      </c>
    </row>
    <row r="3029" spans="2:18" hidden="1" x14ac:dyDescent="0.25">
      <c r="C3029" s="4" t="s">
        <v>2450</v>
      </c>
      <c r="E3029" s="5" t="s">
        <v>3234</v>
      </c>
      <c r="F3029" s="5" t="s">
        <v>14205</v>
      </c>
      <c r="G3029" s="146" t="s">
        <v>10752</v>
      </c>
      <c r="H3029" s="7" t="s">
        <v>14206</v>
      </c>
      <c r="I3029" s="7" t="s">
        <v>14207</v>
      </c>
      <c r="J3029" s="5" t="s">
        <v>14208</v>
      </c>
      <c r="N3029" s="45">
        <v>3018</v>
      </c>
      <c r="O3029" s="4" t="s">
        <v>15</v>
      </c>
      <c r="Q3029" s="3">
        <f t="shared" ref="Q3029:Q3030" si="537">IF(P3029="en cours",N3029,IF(P3029="OK",0,IF(N3029-P3029&lt;0,0,N3029-P3029)))</f>
        <v>3018</v>
      </c>
      <c r="R3029" s="3">
        <f t="shared" ref="R3029:R3030" si="538">IF(P3029="OK",N3029-Q3029,IF(P3029="en cours",N3029-Q3029,P3029))</f>
        <v>0</v>
      </c>
    </row>
    <row r="3030" spans="2:18" hidden="1" x14ac:dyDescent="0.25">
      <c r="C3030" s="4" t="s">
        <v>2450</v>
      </c>
      <c r="E3030" s="5" t="s">
        <v>0</v>
      </c>
      <c r="F3030" s="5" t="s">
        <v>9773</v>
      </c>
      <c r="G3030" s="146" t="s">
        <v>10225</v>
      </c>
      <c r="H3030" s="7" t="s">
        <v>14209</v>
      </c>
      <c r="I3030" s="7" t="s">
        <v>14210</v>
      </c>
      <c r="J3030" s="5" t="s">
        <v>14211</v>
      </c>
      <c r="M3030" s="12"/>
      <c r="N3030" s="45">
        <v>35187</v>
      </c>
      <c r="O3030" s="4" t="s">
        <v>276</v>
      </c>
      <c r="Q3030" s="3">
        <f t="shared" si="537"/>
        <v>35187</v>
      </c>
      <c r="R3030" s="3">
        <f t="shared" si="538"/>
        <v>0</v>
      </c>
    </row>
    <row r="3031" spans="2:18" hidden="1" x14ac:dyDescent="0.25">
      <c r="C3031" s="4" t="s">
        <v>2450</v>
      </c>
      <c r="E3031" s="5" t="s">
        <v>10</v>
      </c>
      <c r="F3031" s="5" t="s">
        <v>13591</v>
      </c>
      <c r="G3031" s="146" t="s">
        <v>7568</v>
      </c>
      <c r="H3031" s="7" t="s">
        <v>14218</v>
      </c>
      <c r="I3031" s="7" t="s">
        <v>14219</v>
      </c>
      <c r="J3031" s="5" t="s">
        <v>14222</v>
      </c>
      <c r="N3031" s="45">
        <v>2200</v>
      </c>
      <c r="O3031" s="4" t="s">
        <v>15</v>
      </c>
      <c r="Q3031" s="3">
        <f t="shared" ref="Q3031:Q3040" si="539">IF(P3031="en cours",N3031,IF(P3031="OK",0,IF(N3031-P3031&lt;0,0,N3031-P3031)))</f>
        <v>2200</v>
      </c>
      <c r="R3031" s="3">
        <f t="shared" ref="R3031:R3040" si="540">IF(P3031="OK",N3031-Q3031,IF(P3031="en cours",N3031-Q3031,P3031))</f>
        <v>0</v>
      </c>
    </row>
    <row r="3032" spans="2:18" hidden="1" x14ac:dyDescent="0.25">
      <c r="C3032" s="4" t="s">
        <v>2450</v>
      </c>
      <c r="E3032" s="5" t="s">
        <v>10</v>
      </c>
      <c r="F3032" s="5" t="s">
        <v>13591</v>
      </c>
      <c r="G3032" s="146" t="s">
        <v>7568</v>
      </c>
      <c r="H3032" s="7" t="s">
        <v>14220</v>
      </c>
      <c r="I3032" s="7" t="s">
        <v>14219</v>
      </c>
      <c r="J3032" s="5" t="s">
        <v>14223</v>
      </c>
      <c r="N3032" s="45">
        <v>23750</v>
      </c>
      <c r="O3032" s="4" t="s">
        <v>15</v>
      </c>
      <c r="Q3032" s="3">
        <f t="shared" si="539"/>
        <v>23750</v>
      </c>
      <c r="R3032" s="3">
        <f t="shared" si="540"/>
        <v>0</v>
      </c>
    </row>
    <row r="3033" spans="2:18" hidden="1" x14ac:dyDescent="0.25">
      <c r="C3033" s="4" t="s">
        <v>2450</v>
      </c>
      <c r="E3033" s="5" t="s">
        <v>10</v>
      </c>
      <c r="F3033" s="5" t="s">
        <v>13591</v>
      </c>
      <c r="G3033" s="146" t="s">
        <v>7568</v>
      </c>
      <c r="H3033" s="7" t="s">
        <v>14221</v>
      </c>
      <c r="I3033" s="7" t="s">
        <v>14219</v>
      </c>
      <c r="J3033" s="5" t="s">
        <v>14223</v>
      </c>
      <c r="N3033" s="45">
        <v>23750</v>
      </c>
      <c r="O3033" s="4" t="s">
        <v>15</v>
      </c>
      <c r="Q3033" s="3">
        <f t="shared" si="539"/>
        <v>23750</v>
      </c>
      <c r="R3033" s="3">
        <f t="shared" si="540"/>
        <v>0</v>
      </c>
    </row>
    <row r="3034" spans="2:18" hidden="1" x14ac:dyDescent="0.25">
      <c r="C3034" s="4" t="s">
        <v>2450</v>
      </c>
      <c r="E3034" s="5" t="s">
        <v>10</v>
      </c>
      <c r="F3034" s="5" t="s">
        <v>9721</v>
      </c>
      <c r="G3034" s="146" t="s">
        <v>6393</v>
      </c>
      <c r="H3034" s="58" t="s">
        <v>14224</v>
      </c>
      <c r="I3034" s="7" t="s">
        <v>14224</v>
      </c>
      <c r="J3034" s="5" t="s">
        <v>14227</v>
      </c>
      <c r="N3034" s="45">
        <v>511.76</v>
      </c>
      <c r="O3034" s="4" t="s">
        <v>15</v>
      </c>
      <c r="Q3034" s="3">
        <f t="shared" si="539"/>
        <v>511.76</v>
      </c>
      <c r="R3034" s="3">
        <f t="shared" si="540"/>
        <v>0</v>
      </c>
    </row>
    <row r="3035" spans="2:18" hidden="1" x14ac:dyDescent="0.25">
      <c r="C3035" s="4" t="s">
        <v>2450</v>
      </c>
      <c r="E3035" s="5" t="s">
        <v>10</v>
      </c>
      <c r="F3035" s="5" t="s">
        <v>9721</v>
      </c>
      <c r="G3035" s="146" t="s">
        <v>6393</v>
      </c>
      <c r="H3035" s="58" t="s">
        <v>14225</v>
      </c>
      <c r="I3035" s="7" t="s">
        <v>14225</v>
      </c>
      <c r="J3035" s="5" t="s">
        <v>14228</v>
      </c>
      <c r="N3035" s="45">
        <v>255.88</v>
      </c>
      <c r="O3035" s="4" t="s">
        <v>15</v>
      </c>
      <c r="Q3035" s="3">
        <f t="shared" si="539"/>
        <v>255.88</v>
      </c>
      <c r="R3035" s="3">
        <f t="shared" si="540"/>
        <v>0</v>
      </c>
    </row>
    <row r="3036" spans="2:18" hidden="1" x14ac:dyDescent="0.25">
      <c r="C3036" s="4" t="s">
        <v>2450</v>
      </c>
      <c r="E3036" s="5" t="s">
        <v>10</v>
      </c>
      <c r="F3036" s="5" t="s">
        <v>9721</v>
      </c>
      <c r="G3036" s="146" t="s">
        <v>6393</v>
      </c>
      <c r="H3036" s="58" t="s">
        <v>14226</v>
      </c>
      <c r="I3036" s="7" t="s">
        <v>14226</v>
      </c>
      <c r="J3036" s="5" t="s">
        <v>14229</v>
      </c>
      <c r="N3036" s="45">
        <v>1023.52</v>
      </c>
      <c r="O3036" s="4" t="s">
        <v>15</v>
      </c>
      <c r="Q3036" s="3">
        <f t="shared" si="539"/>
        <v>1023.52</v>
      </c>
      <c r="R3036" s="3">
        <f t="shared" si="540"/>
        <v>0</v>
      </c>
    </row>
    <row r="3037" spans="2:18" hidden="1" x14ac:dyDescent="0.25">
      <c r="C3037" s="4" t="s">
        <v>158</v>
      </c>
      <c r="E3037" s="5" t="s">
        <v>0</v>
      </c>
      <c r="F3037" s="5" t="s">
        <v>11538</v>
      </c>
      <c r="G3037" s="146" t="s">
        <v>13358</v>
      </c>
      <c r="H3037" s="7" t="s">
        <v>14248</v>
      </c>
      <c r="I3037" s="7" t="s">
        <v>14249</v>
      </c>
      <c r="J3037" s="5" t="s">
        <v>14250</v>
      </c>
      <c r="N3037" s="45">
        <v>15000</v>
      </c>
      <c r="O3037" s="4" t="s">
        <v>276</v>
      </c>
      <c r="Q3037" s="3">
        <f t="shared" si="539"/>
        <v>15000</v>
      </c>
      <c r="R3037" s="3">
        <f t="shared" si="540"/>
        <v>0</v>
      </c>
    </row>
    <row r="3038" spans="2:18" hidden="1" x14ac:dyDescent="0.25">
      <c r="B3038" s="21" t="s">
        <v>395</v>
      </c>
      <c r="C3038" s="22" t="s">
        <v>2450</v>
      </c>
      <c r="D3038" s="22"/>
      <c r="E3038" s="21" t="s">
        <v>10</v>
      </c>
      <c r="F3038" s="21" t="s">
        <v>9721</v>
      </c>
      <c r="G3038" s="147" t="s">
        <v>12747</v>
      </c>
      <c r="H3038" s="23" t="s">
        <v>14251</v>
      </c>
      <c r="I3038" s="23" t="s">
        <v>14252</v>
      </c>
      <c r="J3038" s="21" t="s">
        <v>14253</v>
      </c>
      <c r="K3038" s="21"/>
      <c r="L3038" s="21" t="s">
        <v>14264</v>
      </c>
      <c r="M3038" s="26">
        <v>46079</v>
      </c>
      <c r="N3038" s="44">
        <f>0.5*243550</f>
        <v>121775</v>
      </c>
      <c r="O3038" s="22" t="s">
        <v>15</v>
      </c>
      <c r="P3038" s="44">
        <v>121755</v>
      </c>
      <c r="Q3038" s="24">
        <f t="shared" si="539"/>
        <v>20</v>
      </c>
      <c r="R3038" s="24">
        <f t="shared" si="540"/>
        <v>121755</v>
      </c>
    </row>
    <row r="3039" spans="2:18" hidden="1" x14ac:dyDescent="0.25">
      <c r="C3039" s="4" t="s">
        <v>2450</v>
      </c>
      <c r="E3039" s="5" t="s">
        <v>10</v>
      </c>
      <c r="F3039" s="5" t="s">
        <v>9721</v>
      </c>
      <c r="G3039" s="146" t="s">
        <v>12747</v>
      </c>
      <c r="H3039" s="7" t="s">
        <v>14251</v>
      </c>
      <c r="I3039" s="7" t="s">
        <v>14252</v>
      </c>
      <c r="J3039" s="5" t="s">
        <v>14254</v>
      </c>
      <c r="N3039" s="45">
        <f>0.3*243550</f>
        <v>73065</v>
      </c>
      <c r="O3039" s="4" t="s">
        <v>15</v>
      </c>
      <c r="Q3039" s="3">
        <f t="shared" si="539"/>
        <v>73065</v>
      </c>
      <c r="R3039" s="3">
        <f t="shared" si="540"/>
        <v>0</v>
      </c>
    </row>
    <row r="3040" spans="2:18" hidden="1" x14ac:dyDescent="0.25">
      <c r="C3040" s="4" t="s">
        <v>2450</v>
      </c>
      <c r="E3040" s="5" t="s">
        <v>10</v>
      </c>
      <c r="F3040" s="5" t="s">
        <v>9721</v>
      </c>
      <c r="G3040" s="146" t="s">
        <v>12747</v>
      </c>
      <c r="H3040" s="7" t="s">
        <v>14251</v>
      </c>
      <c r="I3040" s="7" t="s">
        <v>14252</v>
      </c>
      <c r="J3040" s="5" t="s">
        <v>14255</v>
      </c>
      <c r="N3040" s="45">
        <f>0.2*243550</f>
        <v>48710</v>
      </c>
      <c r="O3040" s="4" t="s">
        <v>15</v>
      </c>
      <c r="Q3040" s="3">
        <f t="shared" si="539"/>
        <v>48710</v>
      </c>
      <c r="R3040" s="3">
        <f t="shared" si="540"/>
        <v>0</v>
      </c>
    </row>
    <row r="3041" spans="2:18" hidden="1" x14ac:dyDescent="0.25">
      <c r="C3041" s="4" t="s">
        <v>2450</v>
      </c>
      <c r="D3041" s="4" t="s">
        <v>1451</v>
      </c>
      <c r="E3041" s="5" t="s">
        <v>10610</v>
      </c>
      <c r="F3041" s="5" t="s">
        <v>13591</v>
      </c>
      <c r="G3041" s="146" t="s">
        <v>12872</v>
      </c>
      <c r="H3041" s="7" t="s">
        <v>14256</v>
      </c>
      <c r="I3041" s="7" t="s">
        <v>14257</v>
      </c>
      <c r="J3041" s="5" t="s">
        <v>14258</v>
      </c>
      <c r="L3041" s="5" t="s">
        <v>14276</v>
      </c>
      <c r="M3041" s="12">
        <v>46078</v>
      </c>
      <c r="N3041" s="45">
        <v>14625</v>
      </c>
      <c r="O3041" s="4" t="s">
        <v>15</v>
      </c>
      <c r="P3041" s="45">
        <f>N3041*0.5</f>
        <v>7312.5</v>
      </c>
      <c r="Q3041" s="3">
        <f t="shared" ref="Q3041:Q3046" si="541">IF(P3041="en cours",N3041,IF(P3041="OK",0,IF(N3041-P3041&lt;0,0,N3041-P3041)))</f>
        <v>7312.5</v>
      </c>
      <c r="R3041" s="3">
        <f t="shared" ref="R3041:R3046" si="542">IF(P3041="OK",N3041-Q3041,IF(P3041="en cours",N3041-Q3041,P3041))</f>
        <v>7312.5</v>
      </c>
    </row>
    <row r="3042" spans="2:18" hidden="1" x14ac:dyDescent="0.25">
      <c r="C3042" s="4" t="s">
        <v>2450</v>
      </c>
      <c r="D3042" s="4" t="s">
        <v>1451</v>
      </c>
      <c r="E3042" s="5" t="s">
        <v>10610</v>
      </c>
      <c r="F3042" s="5" t="s">
        <v>13591</v>
      </c>
      <c r="G3042" s="146" t="s">
        <v>12872</v>
      </c>
      <c r="H3042" s="7" t="s">
        <v>14256</v>
      </c>
      <c r="I3042" s="7" t="s">
        <v>14257</v>
      </c>
      <c r="J3042" s="5" t="s">
        <v>14259</v>
      </c>
      <c r="L3042" s="5" t="s">
        <v>14276</v>
      </c>
      <c r="M3042" s="12">
        <v>46078</v>
      </c>
      <c r="N3042" s="45">
        <v>11625</v>
      </c>
      <c r="O3042" s="4" t="s">
        <v>15</v>
      </c>
      <c r="P3042" s="45">
        <f t="shared" ref="P3042:P3045" si="543">N3042*0.5</f>
        <v>5812.5</v>
      </c>
      <c r="Q3042" s="3">
        <f t="shared" si="541"/>
        <v>5812.5</v>
      </c>
      <c r="R3042" s="3">
        <f t="shared" si="542"/>
        <v>5812.5</v>
      </c>
    </row>
    <row r="3043" spans="2:18" hidden="1" x14ac:dyDescent="0.25">
      <c r="C3043" s="4" t="s">
        <v>2450</v>
      </c>
      <c r="D3043" s="4" t="s">
        <v>1451</v>
      </c>
      <c r="E3043" s="5" t="s">
        <v>10610</v>
      </c>
      <c r="F3043" s="5" t="s">
        <v>13591</v>
      </c>
      <c r="G3043" s="146" t="s">
        <v>12872</v>
      </c>
      <c r="H3043" s="7" t="s">
        <v>14256</v>
      </c>
      <c r="I3043" s="7" t="s">
        <v>14257</v>
      </c>
      <c r="J3043" s="5" t="s">
        <v>14261</v>
      </c>
      <c r="L3043" s="5" t="s">
        <v>14276</v>
      </c>
      <c r="M3043" s="12">
        <v>46078</v>
      </c>
      <c r="N3043" s="45">
        <v>13875</v>
      </c>
      <c r="O3043" s="4" t="s">
        <v>15</v>
      </c>
      <c r="P3043" s="45">
        <f t="shared" si="543"/>
        <v>6937.5</v>
      </c>
      <c r="Q3043" s="3">
        <f t="shared" si="541"/>
        <v>6937.5</v>
      </c>
      <c r="R3043" s="3">
        <f t="shared" si="542"/>
        <v>6937.5</v>
      </c>
    </row>
    <row r="3044" spans="2:18" hidden="1" x14ac:dyDescent="0.25">
      <c r="C3044" s="4" t="s">
        <v>2450</v>
      </c>
      <c r="D3044" s="4" t="s">
        <v>1451</v>
      </c>
      <c r="E3044" s="5" t="s">
        <v>10610</v>
      </c>
      <c r="F3044" s="5" t="s">
        <v>13591</v>
      </c>
      <c r="G3044" s="146" t="s">
        <v>12872</v>
      </c>
      <c r="H3044" s="7" t="s">
        <v>14256</v>
      </c>
      <c r="I3044" s="7" t="s">
        <v>14257</v>
      </c>
      <c r="J3044" s="5" t="s">
        <v>14260</v>
      </c>
      <c r="L3044" s="5" t="s">
        <v>14276</v>
      </c>
      <c r="M3044" s="12">
        <v>46078</v>
      </c>
      <c r="N3044" s="45">
        <v>22250</v>
      </c>
      <c r="O3044" s="4" t="s">
        <v>15</v>
      </c>
      <c r="P3044" s="45">
        <f t="shared" si="543"/>
        <v>11125</v>
      </c>
      <c r="Q3044" s="3">
        <f t="shared" si="541"/>
        <v>11125</v>
      </c>
      <c r="R3044" s="3">
        <f t="shared" si="542"/>
        <v>11125</v>
      </c>
    </row>
    <row r="3045" spans="2:18" hidden="1" x14ac:dyDescent="0.25">
      <c r="C3045" s="4" t="s">
        <v>2450</v>
      </c>
      <c r="D3045" s="4" t="s">
        <v>1451</v>
      </c>
      <c r="E3045" s="5" t="s">
        <v>10610</v>
      </c>
      <c r="F3045" s="5" t="s">
        <v>13591</v>
      </c>
      <c r="G3045" s="146" t="s">
        <v>12872</v>
      </c>
      <c r="H3045" s="7" t="s">
        <v>14256</v>
      </c>
      <c r="I3045" s="7" t="s">
        <v>14257</v>
      </c>
      <c r="J3045" s="5" t="s">
        <v>14262</v>
      </c>
      <c r="L3045" s="5" t="s">
        <v>14276</v>
      </c>
      <c r="M3045" s="12">
        <v>46078</v>
      </c>
      <c r="N3045" s="45">
        <v>32875</v>
      </c>
      <c r="O3045" s="4" t="s">
        <v>15</v>
      </c>
      <c r="P3045" s="45">
        <f t="shared" si="543"/>
        <v>16437.5</v>
      </c>
      <c r="Q3045" s="3">
        <f t="shared" si="541"/>
        <v>16437.5</v>
      </c>
      <c r="R3045" s="3">
        <f t="shared" si="542"/>
        <v>16437.5</v>
      </c>
    </row>
    <row r="3046" spans="2:18" hidden="1" x14ac:dyDescent="0.25">
      <c r="B3046" s="21" t="s">
        <v>395</v>
      </c>
      <c r="C3046" s="22" t="s">
        <v>2450</v>
      </c>
      <c r="D3046" s="22" t="s">
        <v>1451</v>
      </c>
      <c r="E3046" s="21" t="s">
        <v>10610</v>
      </c>
      <c r="F3046" s="21" t="s">
        <v>13591</v>
      </c>
      <c r="G3046" s="147" t="s">
        <v>12872</v>
      </c>
      <c r="H3046" s="23" t="s">
        <v>14256</v>
      </c>
      <c r="I3046" s="23" t="s">
        <v>14257</v>
      </c>
      <c r="J3046" s="21" t="s">
        <v>14263</v>
      </c>
      <c r="K3046" s="21"/>
      <c r="L3046" s="21" t="s">
        <v>14276</v>
      </c>
      <c r="M3046" s="26">
        <v>46078</v>
      </c>
      <c r="N3046" s="44">
        <v>750</v>
      </c>
      <c r="O3046" s="22" t="s">
        <v>15</v>
      </c>
      <c r="P3046" s="44">
        <v>750</v>
      </c>
      <c r="Q3046" s="24">
        <f t="shared" si="541"/>
        <v>0</v>
      </c>
      <c r="R3046" s="24">
        <f t="shared" si="542"/>
        <v>750</v>
      </c>
    </row>
    <row r="3047" spans="2:18" hidden="1" x14ac:dyDescent="0.25">
      <c r="C3047" s="4" t="s">
        <v>12863</v>
      </c>
      <c r="E3047" s="5" t="s">
        <v>75</v>
      </c>
      <c r="F3047" s="5" t="s">
        <v>10002</v>
      </c>
      <c r="G3047" s="146" t="s">
        <v>14297</v>
      </c>
      <c r="H3047" s="7" t="s">
        <v>14382</v>
      </c>
      <c r="I3047" s="7" t="s">
        <v>14383</v>
      </c>
      <c r="J3047" s="5" t="s">
        <v>14298</v>
      </c>
      <c r="N3047" s="45">
        <v>9311.23</v>
      </c>
      <c r="O3047" s="4" t="s">
        <v>15</v>
      </c>
      <c r="Q3047" s="3">
        <f t="shared" ref="Q3047:Q3050" si="544">IF(P3047="en cours",N3047,IF(P3047="OK",0,IF(N3047-P3047&lt;0,0,N3047-P3047)))</f>
        <v>9311.23</v>
      </c>
      <c r="R3047" s="3">
        <f t="shared" ref="R3047:R3054" si="545">IF(P3047="OK",N3047-Q3047,IF(P3047="en cours",N3047-Q3047,P3047))</f>
        <v>0</v>
      </c>
    </row>
    <row r="3048" spans="2:18" hidden="1" x14ac:dyDescent="0.25">
      <c r="C3048" s="4" t="s">
        <v>12863</v>
      </c>
      <c r="E3048" s="5" t="s">
        <v>75</v>
      </c>
      <c r="F3048" s="5" t="s">
        <v>10002</v>
      </c>
      <c r="G3048" s="146" t="s">
        <v>14297</v>
      </c>
      <c r="H3048" s="7" t="s">
        <v>14382</v>
      </c>
      <c r="I3048" s="7" t="s">
        <v>14383</v>
      </c>
      <c r="J3048" s="5" t="s">
        <v>14299</v>
      </c>
      <c r="N3048" s="45">
        <v>3727.44</v>
      </c>
      <c r="O3048" s="4" t="s">
        <v>15</v>
      </c>
      <c r="Q3048" s="3">
        <f t="shared" si="544"/>
        <v>3727.44</v>
      </c>
      <c r="R3048" s="3">
        <f t="shared" si="545"/>
        <v>0</v>
      </c>
    </row>
    <row r="3049" spans="2:18" hidden="1" x14ac:dyDescent="0.25">
      <c r="C3049" s="4" t="s">
        <v>12863</v>
      </c>
      <c r="E3049" s="5" t="s">
        <v>75</v>
      </c>
      <c r="F3049" s="5" t="s">
        <v>10002</v>
      </c>
      <c r="G3049" s="146" t="s">
        <v>14297</v>
      </c>
      <c r="H3049" s="7" t="s">
        <v>14382</v>
      </c>
      <c r="I3049" s="7" t="s">
        <v>14383</v>
      </c>
      <c r="J3049" s="5" t="s">
        <v>14300</v>
      </c>
      <c r="N3049" s="45">
        <f>46556.17-9311.23</f>
        <v>37244.94</v>
      </c>
      <c r="O3049" s="4" t="s">
        <v>15</v>
      </c>
      <c r="Q3049" s="3">
        <f t="shared" si="544"/>
        <v>37244.94</v>
      </c>
      <c r="R3049" s="3">
        <f t="shared" si="545"/>
        <v>0</v>
      </c>
    </row>
    <row r="3050" spans="2:18" hidden="1" x14ac:dyDescent="0.25">
      <c r="C3050" s="4" t="s">
        <v>12863</v>
      </c>
      <c r="E3050" s="5" t="s">
        <v>75</v>
      </c>
      <c r="F3050" s="5" t="s">
        <v>10002</v>
      </c>
      <c r="G3050" s="146" t="s">
        <v>14297</v>
      </c>
      <c r="H3050" s="7" t="s">
        <v>14382</v>
      </c>
      <c r="I3050" s="7" t="s">
        <v>14383</v>
      </c>
      <c r="J3050" s="5" t="s">
        <v>14301</v>
      </c>
      <c r="N3050" s="45">
        <f>18637.22-3727.44</f>
        <v>14909.78</v>
      </c>
      <c r="O3050" s="4" t="s">
        <v>15</v>
      </c>
      <c r="Q3050" s="3">
        <f t="shared" si="544"/>
        <v>14909.78</v>
      </c>
      <c r="R3050" s="3">
        <f t="shared" si="545"/>
        <v>0</v>
      </c>
    </row>
    <row r="3051" spans="2:18" hidden="1" x14ac:dyDescent="0.25">
      <c r="B3051" s="21" t="s">
        <v>395</v>
      </c>
      <c r="C3051" s="22" t="s">
        <v>6267</v>
      </c>
      <c r="D3051" s="22"/>
      <c r="E3051" s="21" t="s">
        <v>75</v>
      </c>
      <c r="F3051" s="21" t="s">
        <v>13939</v>
      </c>
      <c r="G3051" s="147" t="s">
        <v>8398</v>
      </c>
      <c r="H3051" s="23" t="s">
        <v>14302</v>
      </c>
      <c r="I3051" s="23" t="s">
        <v>14303</v>
      </c>
      <c r="J3051" s="21" t="s">
        <v>14304</v>
      </c>
      <c r="K3051" s="377"/>
      <c r="L3051" s="21" t="s">
        <v>8919</v>
      </c>
      <c r="M3051" s="26">
        <v>46080</v>
      </c>
      <c r="N3051" s="44">
        <v>156200.34</v>
      </c>
      <c r="O3051" s="22" t="s">
        <v>8400</v>
      </c>
      <c r="P3051" s="44">
        <v>156200.34</v>
      </c>
      <c r="Q3051" s="44">
        <v>0</v>
      </c>
      <c r="R3051" s="116">
        <f t="shared" si="545"/>
        <v>156200.34</v>
      </c>
    </row>
    <row r="3052" spans="2:18" hidden="1" x14ac:dyDescent="0.25">
      <c r="C3052" s="4" t="s">
        <v>6047</v>
      </c>
      <c r="E3052" s="5" t="s">
        <v>75</v>
      </c>
      <c r="F3052" s="5" t="s">
        <v>9819</v>
      </c>
      <c r="G3052" s="146" t="s">
        <v>10232</v>
      </c>
      <c r="H3052" s="7" t="s">
        <v>14364</v>
      </c>
      <c r="I3052" s="7" t="s">
        <v>14365</v>
      </c>
      <c r="J3052" s="5" t="s">
        <v>13560</v>
      </c>
      <c r="L3052" s="5" t="s">
        <v>14366</v>
      </c>
      <c r="M3052" s="12">
        <v>46080</v>
      </c>
      <c r="N3052" s="45">
        <v>27545</v>
      </c>
      <c r="O3052" s="4" t="s">
        <v>15</v>
      </c>
      <c r="P3052" s="45">
        <f>15245.5</f>
        <v>15245.5</v>
      </c>
      <c r="Q3052" s="3">
        <f t="shared" ref="Q3052:Q3054" si="546">IF(P3052="en cours",N3052,IF(P3052="OK",0,IF(N3052-P3052&lt;0,0,N3052-P3052)))</f>
        <v>12299.5</v>
      </c>
      <c r="R3052" s="3">
        <f t="shared" si="545"/>
        <v>15245.5</v>
      </c>
    </row>
    <row r="3053" spans="2:18" hidden="1" x14ac:dyDescent="0.25">
      <c r="B3053" s="21" t="s">
        <v>395</v>
      </c>
      <c r="C3053" s="22" t="s">
        <v>2450</v>
      </c>
      <c r="D3053" s="22"/>
      <c r="E3053" s="21" t="s">
        <v>75</v>
      </c>
      <c r="F3053" s="21" t="s">
        <v>9558</v>
      </c>
      <c r="G3053" s="147" t="s">
        <v>12400</v>
      </c>
      <c r="H3053" s="23" t="s">
        <v>14385</v>
      </c>
      <c r="I3053" s="23"/>
      <c r="J3053" s="21" t="s">
        <v>12399</v>
      </c>
      <c r="K3053" s="21"/>
      <c r="L3053" s="21" t="s">
        <v>14386</v>
      </c>
      <c r="M3053" s="26">
        <v>46091</v>
      </c>
      <c r="N3053" s="44">
        <v>1914</v>
      </c>
      <c r="O3053" s="22" t="s">
        <v>341</v>
      </c>
      <c r="P3053" s="44">
        <v>1914</v>
      </c>
      <c r="Q3053" s="24">
        <f t="shared" si="546"/>
        <v>0</v>
      </c>
      <c r="R3053" s="24">
        <f t="shared" si="545"/>
        <v>1914</v>
      </c>
    </row>
    <row r="3054" spans="2:18" hidden="1" x14ac:dyDescent="0.25">
      <c r="C3054" s="4" t="s">
        <v>158</v>
      </c>
      <c r="E3054" s="5" t="s">
        <v>159</v>
      </c>
      <c r="F3054" s="5" t="s">
        <v>14092</v>
      </c>
      <c r="G3054" s="146" t="s">
        <v>9722</v>
      </c>
      <c r="H3054" s="7" t="s">
        <v>14398</v>
      </c>
      <c r="I3054" s="7" t="s">
        <v>14399</v>
      </c>
      <c r="J3054" s="5" t="s">
        <v>14400</v>
      </c>
      <c r="N3054" s="45">
        <v>99101</v>
      </c>
      <c r="O3054" s="4" t="s">
        <v>15</v>
      </c>
      <c r="Q3054" s="3">
        <f t="shared" si="546"/>
        <v>99101</v>
      </c>
      <c r="R3054" s="3">
        <f t="shared" si="545"/>
        <v>0</v>
      </c>
    </row>
    <row r="3055" spans="2:18" hidden="1" x14ac:dyDescent="0.25">
      <c r="C3055" s="4" t="s">
        <v>2450</v>
      </c>
      <c r="E3055" s="5" t="s">
        <v>10</v>
      </c>
      <c r="F3055" s="5" t="s">
        <v>13772</v>
      </c>
      <c r="G3055" s="146" t="s">
        <v>8442</v>
      </c>
      <c r="H3055" s="7" t="s">
        <v>14401</v>
      </c>
      <c r="I3055" s="7" t="s">
        <v>14402</v>
      </c>
      <c r="J3055" s="5" t="s">
        <v>6557</v>
      </c>
      <c r="N3055" s="45">
        <v>776.23</v>
      </c>
      <c r="O3055" s="4" t="s">
        <v>15</v>
      </c>
      <c r="Q3055" s="3">
        <f t="shared" ref="Q3055:Q3065" si="547">IF(P3055="en cours",N3055,IF(P3055="OK",0,IF(N3055-P3055&lt;0,0,N3055-P3055)))</f>
        <v>776.23</v>
      </c>
      <c r="R3055" s="3">
        <f t="shared" ref="R3055:R3065" si="548">IF(P3055="OK",N3055-Q3055,IF(P3055="en cours",N3055-Q3055,P3055))</f>
        <v>0</v>
      </c>
    </row>
    <row r="3056" spans="2:18" hidden="1" x14ac:dyDescent="0.25">
      <c r="B3056" s="21" t="s">
        <v>395</v>
      </c>
      <c r="C3056" s="22" t="s">
        <v>2450</v>
      </c>
      <c r="D3056" s="22"/>
      <c r="E3056" s="21" t="s">
        <v>0</v>
      </c>
      <c r="F3056" s="21" t="s">
        <v>13327</v>
      </c>
      <c r="G3056" s="147" t="s">
        <v>6365</v>
      </c>
      <c r="H3056" s="23" t="s">
        <v>14403</v>
      </c>
      <c r="I3056" s="23" t="s">
        <v>14404</v>
      </c>
      <c r="J3056" s="21" t="s">
        <v>14405</v>
      </c>
      <c r="K3056" s="21"/>
      <c r="L3056" s="21" t="s">
        <v>14436</v>
      </c>
      <c r="M3056" s="26">
        <v>46087</v>
      </c>
      <c r="N3056" s="44">
        <v>2860</v>
      </c>
      <c r="O3056" s="22" t="s">
        <v>15</v>
      </c>
      <c r="P3056" s="44">
        <v>2860</v>
      </c>
      <c r="Q3056" s="24">
        <f t="shared" si="547"/>
        <v>0</v>
      </c>
      <c r="R3056" s="24">
        <f t="shared" si="548"/>
        <v>2860</v>
      </c>
    </row>
    <row r="3057" spans="3:18" hidden="1" x14ac:dyDescent="0.25">
      <c r="C3057" s="4" t="s">
        <v>158</v>
      </c>
      <c r="E3057" s="5" t="s">
        <v>3234</v>
      </c>
      <c r="F3057" s="5" t="s">
        <v>13762</v>
      </c>
      <c r="G3057" s="146" t="s">
        <v>14406</v>
      </c>
      <c r="H3057" s="58" t="s">
        <v>14407</v>
      </c>
      <c r="I3057" s="7" t="s">
        <v>14407</v>
      </c>
      <c r="J3057" s="5" t="s">
        <v>14408</v>
      </c>
      <c r="N3057" s="45">
        <v>32752.28</v>
      </c>
      <c r="O3057" s="4" t="s">
        <v>15</v>
      </c>
      <c r="Q3057" s="3">
        <f t="shared" si="547"/>
        <v>32752.28</v>
      </c>
      <c r="R3057" s="3">
        <f t="shared" si="548"/>
        <v>0</v>
      </c>
    </row>
    <row r="3058" spans="3:18" hidden="1" x14ac:dyDescent="0.25">
      <c r="C3058" s="4" t="s">
        <v>158</v>
      </c>
      <c r="E3058" s="5" t="s">
        <v>9808</v>
      </c>
      <c r="F3058" s="5" t="s">
        <v>13762</v>
      </c>
      <c r="G3058" s="146" t="s">
        <v>14409</v>
      </c>
      <c r="H3058" s="58" t="s">
        <v>14410</v>
      </c>
      <c r="I3058" s="7" t="s">
        <v>14410</v>
      </c>
      <c r="J3058" s="5" t="s">
        <v>14411</v>
      </c>
      <c r="N3058" s="45">
        <v>4500</v>
      </c>
      <c r="O3058" s="4" t="s">
        <v>15</v>
      </c>
      <c r="Q3058" s="3">
        <f t="shared" si="547"/>
        <v>4500</v>
      </c>
      <c r="R3058" s="3">
        <f t="shared" si="548"/>
        <v>0</v>
      </c>
    </row>
    <row r="3059" spans="3:18" hidden="1" x14ac:dyDescent="0.25">
      <c r="C3059" s="4" t="s">
        <v>158</v>
      </c>
      <c r="E3059" s="5" t="s">
        <v>10</v>
      </c>
      <c r="F3059" s="5" t="s">
        <v>9721</v>
      </c>
      <c r="G3059" s="146" t="s">
        <v>9319</v>
      </c>
      <c r="H3059" s="7" t="s">
        <v>14412</v>
      </c>
      <c r="I3059" s="7" t="s">
        <v>14413</v>
      </c>
      <c r="J3059" s="5" t="s">
        <v>14414</v>
      </c>
      <c r="N3059" s="45">
        <v>6877.98</v>
      </c>
      <c r="O3059" s="4" t="s">
        <v>15</v>
      </c>
      <c r="Q3059" s="3">
        <f t="shared" si="547"/>
        <v>6877.98</v>
      </c>
      <c r="R3059" s="3">
        <f t="shared" si="548"/>
        <v>0</v>
      </c>
    </row>
    <row r="3060" spans="3:18" hidden="1" x14ac:dyDescent="0.25">
      <c r="C3060" s="4" t="s">
        <v>2450</v>
      </c>
      <c r="E3060" s="5" t="s">
        <v>10</v>
      </c>
      <c r="F3060" s="5" t="s">
        <v>13799</v>
      </c>
      <c r="G3060" s="146" t="s">
        <v>7313</v>
      </c>
      <c r="H3060" s="7" t="s">
        <v>14415</v>
      </c>
      <c r="I3060" s="7" t="s">
        <v>14416</v>
      </c>
      <c r="J3060" s="5" t="s">
        <v>6557</v>
      </c>
      <c r="L3060" s="5" t="s">
        <v>14435</v>
      </c>
      <c r="M3060" s="12">
        <v>46090</v>
      </c>
      <c r="N3060" s="45">
        <v>10947.13</v>
      </c>
      <c r="O3060" s="4" t="s">
        <v>15</v>
      </c>
      <c r="P3060" s="45">
        <f>8865.1+1149.9</f>
        <v>10015</v>
      </c>
      <c r="Q3060" s="3">
        <f t="shared" si="547"/>
        <v>932.1299999999992</v>
      </c>
      <c r="R3060" s="3">
        <f t="shared" si="548"/>
        <v>10015</v>
      </c>
    </row>
    <row r="3061" spans="3:18" hidden="1" x14ac:dyDescent="0.25">
      <c r="C3061" s="4" t="s">
        <v>2450</v>
      </c>
      <c r="E3061" s="5" t="s">
        <v>10</v>
      </c>
      <c r="F3061" s="5" t="s">
        <v>13772</v>
      </c>
      <c r="G3061" s="146" t="s">
        <v>7043</v>
      </c>
      <c r="H3061" s="7" t="s">
        <v>14417</v>
      </c>
      <c r="I3061" s="7" t="s">
        <v>14418</v>
      </c>
      <c r="J3061" s="5" t="s">
        <v>6557</v>
      </c>
      <c r="N3061" s="45">
        <v>5636</v>
      </c>
      <c r="O3061" s="4" t="s">
        <v>15</v>
      </c>
      <c r="Q3061" s="3">
        <f t="shared" si="547"/>
        <v>5636</v>
      </c>
      <c r="R3061" s="3">
        <f t="shared" si="548"/>
        <v>0</v>
      </c>
    </row>
    <row r="3062" spans="3:18" hidden="1" x14ac:dyDescent="0.25">
      <c r="C3062" s="4" t="s">
        <v>2450</v>
      </c>
      <c r="E3062" s="5" t="s">
        <v>10</v>
      </c>
      <c r="F3062" s="5" t="s">
        <v>13772</v>
      </c>
      <c r="G3062" s="146" t="s">
        <v>8442</v>
      </c>
      <c r="H3062" s="7" t="s">
        <v>14419</v>
      </c>
      <c r="I3062" s="7" t="s">
        <v>14420</v>
      </c>
      <c r="J3062" s="5" t="s">
        <v>6557</v>
      </c>
      <c r="N3062" s="45">
        <v>2667.89</v>
      </c>
      <c r="O3062" s="4" t="s">
        <v>15</v>
      </c>
      <c r="Q3062" s="3">
        <f t="shared" si="547"/>
        <v>2667.89</v>
      </c>
      <c r="R3062" s="3">
        <f t="shared" si="548"/>
        <v>0</v>
      </c>
    </row>
    <row r="3063" spans="3:18" hidden="1" x14ac:dyDescent="0.25">
      <c r="C3063" s="4" t="s">
        <v>158</v>
      </c>
      <c r="E3063" s="5" t="s">
        <v>10</v>
      </c>
      <c r="F3063" s="5" t="s">
        <v>9721</v>
      </c>
      <c r="G3063" s="146" t="s">
        <v>1090</v>
      </c>
      <c r="H3063" s="7" t="s">
        <v>14421</v>
      </c>
      <c r="I3063" s="7" t="s">
        <v>14422</v>
      </c>
      <c r="J3063" s="5" t="s">
        <v>6557</v>
      </c>
      <c r="N3063" s="45">
        <v>1585.8</v>
      </c>
      <c r="O3063" s="4" t="s">
        <v>15</v>
      </c>
      <c r="Q3063" s="3">
        <f t="shared" si="547"/>
        <v>1585.8</v>
      </c>
      <c r="R3063" s="3">
        <f t="shared" si="548"/>
        <v>0</v>
      </c>
    </row>
    <row r="3064" spans="3:18" x14ac:dyDescent="0.25">
      <c r="C3064" s="4" t="s">
        <v>2450</v>
      </c>
      <c r="E3064" s="5" t="s">
        <v>0</v>
      </c>
      <c r="F3064" s="5" t="s">
        <v>9773</v>
      </c>
      <c r="G3064" s="146" t="s">
        <v>8633</v>
      </c>
      <c r="H3064" s="7" t="s">
        <v>14426</v>
      </c>
      <c r="I3064" s="7" t="s">
        <v>14427</v>
      </c>
      <c r="J3064" s="5" t="s">
        <v>14428</v>
      </c>
      <c r="N3064" s="45">
        <f>0.5*51490</f>
        <v>25745</v>
      </c>
      <c r="O3064" s="4" t="s">
        <v>15</v>
      </c>
      <c r="Q3064" s="45">
        <f t="shared" si="547"/>
        <v>25745</v>
      </c>
      <c r="R3064" s="3">
        <f t="shared" si="548"/>
        <v>0</v>
      </c>
    </row>
    <row r="3065" spans="3:18" x14ac:dyDescent="0.25">
      <c r="C3065" s="4" t="s">
        <v>2450</v>
      </c>
      <c r="E3065" s="5" t="s">
        <v>0</v>
      </c>
      <c r="F3065" s="5" t="s">
        <v>9773</v>
      </c>
      <c r="G3065" s="146" t="s">
        <v>8633</v>
      </c>
      <c r="H3065" s="7" t="s">
        <v>14426</v>
      </c>
      <c r="I3065" s="7" t="s">
        <v>14427</v>
      </c>
      <c r="J3065" s="5" t="s">
        <v>14429</v>
      </c>
      <c r="N3065" s="45">
        <f>0.5*51490</f>
        <v>25745</v>
      </c>
      <c r="O3065" s="4" t="s">
        <v>15</v>
      </c>
      <c r="Q3065" s="45">
        <f t="shared" si="547"/>
        <v>25745</v>
      </c>
      <c r="R3065" s="3">
        <f t="shared" si="548"/>
        <v>0</v>
      </c>
    </row>
    <row r="3066" spans="3:18" x14ac:dyDescent="0.25">
      <c r="C3066" s="4" t="s">
        <v>14243</v>
      </c>
      <c r="E3066" s="5" t="s">
        <v>10</v>
      </c>
      <c r="F3066" s="5" t="s">
        <v>9819</v>
      </c>
      <c r="G3066" s="146" t="s">
        <v>9295</v>
      </c>
      <c r="H3066" s="7" t="s">
        <v>14430</v>
      </c>
      <c r="I3066" s="7" t="s">
        <v>14431</v>
      </c>
      <c r="J3066" s="5" t="s">
        <v>14432</v>
      </c>
      <c r="N3066" s="45">
        <f>0.5*27649</f>
        <v>13824.5</v>
      </c>
      <c r="O3066" s="4" t="s">
        <v>15</v>
      </c>
      <c r="Q3066" s="45">
        <f t="shared" ref="Q3066:Q3068" si="549">IF(P3066="en cours",N3066,IF(P3066="OK",0,IF(N3066-P3066&lt;0,0,N3066-P3066)))</f>
        <v>13824.5</v>
      </c>
      <c r="R3066" s="3">
        <f t="shared" ref="R3066:R3068" si="550">IF(P3066="OK",N3066-Q3066,IF(P3066="en cours",N3066-Q3066,P3066))</f>
        <v>0</v>
      </c>
    </row>
    <row r="3067" spans="3:18" x14ac:dyDescent="0.25">
      <c r="C3067" s="4" t="s">
        <v>14243</v>
      </c>
      <c r="E3067" s="5" t="s">
        <v>10</v>
      </c>
      <c r="F3067" s="5" t="s">
        <v>9819</v>
      </c>
      <c r="G3067" s="146" t="s">
        <v>9295</v>
      </c>
      <c r="H3067" s="7" t="s">
        <v>14430</v>
      </c>
      <c r="I3067" s="7" t="s">
        <v>14431</v>
      </c>
      <c r="J3067" s="5" t="s">
        <v>14433</v>
      </c>
      <c r="N3067" s="45">
        <f>0.25*27649</f>
        <v>6912.25</v>
      </c>
      <c r="O3067" s="4" t="s">
        <v>15</v>
      </c>
      <c r="Q3067" s="45">
        <f t="shared" si="549"/>
        <v>6912.25</v>
      </c>
      <c r="R3067" s="3">
        <f t="shared" si="550"/>
        <v>0</v>
      </c>
    </row>
    <row r="3068" spans="3:18" x14ac:dyDescent="0.25">
      <c r="C3068" s="4" t="s">
        <v>14243</v>
      </c>
      <c r="E3068" s="5" t="s">
        <v>10</v>
      </c>
      <c r="F3068" s="5" t="s">
        <v>9819</v>
      </c>
      <c r="G3068" s="146" t="s">
        <v>9295</v>
      </c>
      <c r="H3068" s="7" t="s">
        <v>14430</v>
      </c>
      <c r="I3068" s="7" t="s">
        <v>14431</v>
      </c>
      <c r="J3068" s="5" t="s">
        <v>14434</v>
      </c>
      <c r="N3068" s="45">
        <f>0.25*27649</f>
        <v>6912.25</v>
      </c>
      <c r="O3068" s="4" t="s">
        <v>15</v>
      </c>
      <c r="Q3068" s="45">
        <f t="shared" si="549"/>
        <v>6912.25</v>
      </c>
      <c r="R3068" s="3">
        <f t="shared" si="550"/>
        <v>0</v>
      </c>
    </row>
  </sheetData>
  <autoFilter ref="A2:T3063" xr:uid="{00000000-0001-0000-0100-000000000000}">
    <filterColumn colId="1">
      <filters blank="1"/>
    </filterColumn>
    <filterColumn colId="6">
      <filters>
        <filter val="DELPHARM LILLE"/>
      </filters>
    </filterColumn>
  </autoFilter>
  <phoneticPr fontId="52" type="noConversion"/>
  <pageMargins left="0" right="0" top="0.39370078740157483" bottom="0.19685039370078741" header="0.31496062992125984" footer="0.31496062992125984"/>
  <pageSetup paperSize="9" scale="4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C4E4-C759-4B76-8F37-1DE32035F6E8}">
  <sheetPr filterMode="1"/>
  <dimension ref="A1:T3041"/>
  <sheetViews>
    <sheetView topLeftCell="H1" zoomScale="70" zoomScaleNormal="70" workbookViewId="0">
      <pane ySplit="2" topLeftCell="A2929" activePane="bottomLeft" state="frozen"/>
      <selection pane="bottomLeft" activeCell="H2929" sqref="A2929:XFD2929"/>
    </sheetView>
  </sheetViews>
  <sheetFormatPr baseColWidth="10" defaultRowHeight="15" x14ac:dyDescent="0.25"/>
  <cols>
    <col min="7" max="7" width="39.5703125" bestFit="1" customWidth="1"/>
    <col min="8" max="9" width="40.7109375" customWidth="1"/>
    <col min="10" max="10" width="84.140625" customWidth="1"/>
    <col min="11" max="11" width="19.7109375" bestFit="1" customWidth="1"/>
    <col min="12" max="12" width="24.28515625" customWidth="1"/>
    <col min="13" max="13" width="17.28515625" customWidth="1"/>
    <col min="14" max="14" width="23.85546875" customWidth="1"/>
    <col min="15" max="15" width="15.140625" customWidth="1"/>
    <col min="16" max="16" width="17.85546875" bestFit="1" customWidth="1"/>
    <col min="17" max="17" width="17.5703125" customWidth="1"/>
    <col min="18" max="18" width="22.85546875" bestFit="1" customWidth="1"/>
    <col min="19" max="19" width="134.42578125" bestFit="1" customWidth="1"/>
  </cols>
  <sheetData>
    <row r="1" spans="1:20" ht="18.75" x14ac:dyDescent="0.3">
      <c r="N1" s="328">
        <f>SUM(N3:N2964)</f>
        <v>89162264.873861283</v>
      </c>
      <c r="O1" s="328"/>
      <c r="P1" s="328"/>
      <c r="Q1" s="328">
        <f>SUM(Q3:Q687)</f>
        <v>63889.660000000033</v>
      </c>
      <c r="R1" s="328">
        <f>SUM(R3:R2964)</f>
        <v>187844828.28431389</v>
      </c>
    </row>
    <row r="2" spans="1:20" ht="14.25" customHeight="1" x14ac:dyDescent="0.25">
      <c r="A2" t="s">
        <v>6090</v>
      </c>
      <c r="B2" s="5" t="s">
        <v>429</v>
      </c>
      <c r="C2" s="9" t="s">
        <v>4</v>
      </c>
      <c r="D2" s="9" t="s">
        <v>4558</v>
      </c>
      <c r="E2" s="10" t="s">
        <v>5</v>
      </c>
      <c r="F2" s="10" t="s">
        <v>9730</v>
      </c>
      <c r="G2" s="11" t="s">
        <v>6</v>
      </c>
      <c r="H2" s="11" t="s">
        <v>32</v>
      </c>
      <c r="I2" s="11" t="s">
        <v>7830</v>
      </c>
      <c r="J2" s="10" t="s">
        <v>7</v>
      </c>
      <c r="K2" s="11" t="s">
        <v>8</v>
      </c>
      <c r="L2" s="11" t="s">
        <v>1879</v>
      </c>
      <c r="M2" s="11" t="s">
        <v>1857</v>
      </c>
      <c r="N2" s="87" t="s">
        <v>9</v>
      </c>
      <c r="O2" s="9" t="s">
        <v>14</v>
      </c>
      <c r="P2" s="87" t="s">
        <v>18</v>
      </c>
      <c r="Q2" s="87" t="s">
        <v>34</v>
      </c>
      <c r="R2" s="184" t="s">
        <v>33</v>
      </c>
      <c r="S2" s="117" t="s">
        <v>448</v>
      </c>
      <c r="T2" s="5"/>
    </row>
    <row r="3" spans="1:20" ht="15.75" hidden="1" x14ac:dyDescent="0.25">
      <c r="A3" t="s">
        <v>6091</v>
      </c>
      <c r="B3" s="21" t="s">
        <v>395</v>
      </c>
      <c r="C3" s="22">
        <v>220</v>
      </c>
      <c r="D3" s="22"/>
      <c r="E3" s="21" t="s">
        <v>10</v>
      </c>
      <c r="F3" s="21"/>
      <c r="G3" s="147" t="s">
        <v>11</v>
      </c>
      <c r="H3" s="23" t="s">
        <v>351</v>
      </c>
      <c r="I3" s="23"/>
      <c r="J3" s="21" t="s">
        <v>13</v>
      </c>
      <c r="K3" s="21"/>
      <c r="L3" s="21"/>
      <c r="M3" s="26">
        <v>42978</v>
      </c>
      <c r="N3" s="44">
        <v>7885</v>
      </c>
      <c r="O3" s="22" t="s">
        <v>16</v>
      </c>
      <c r="P3" s="22" t="s">
        <v>19</v>
      </c>
      <c r="Q3" s="24">
        <f>IF(P3="en cours",N3,IF(P3="OK",0,IF(N3-P3&lt;0,0,N3-P3)))</f>
        <v>0</v>
      </c>
      <c r="R3" s="24">
        <f>IF(P3="OK",N3-Q3,IF(P3="en cours",N3-Q3,P3))</f>
        <v>7885</v>
      </c>
      <c r="S3" s="5"/>
      <c r="T3" s="5"/>
    </row>
    <row r="4" spans="1:20" ht="15.75" hidden="1" x14ac:dyDescent="0.25">
      <c r="B4" s="5"/>
      <c r="C4" s="4" t="s">
        <v>192</v>
      </c>
      <c r="D4" s="4"/>
      <c r="E4" s="5" t="s">
        <v>10</v>
      </c>
      <c r="F4" s="5"/>
      <c r="G4" s="146" t="s">
        <v>11</v>
      </c>
      <c r="H4" s="7" t="s">
        <v>269</v>
      </c>
      <c r="I4" s="7"/>
      <c r="J4" s="5" t="s">
        <v>193</v>
      </c>
      <c r="K4" s="5"/>
      <c r="L4" s="5"/>
      <c r="M4" s="13"/>
      <c r="N4" s="45">
        <f>1500*0.9</f>
        <v>1350</v>
      </c>
      <c r="O4" s="4" t="s">
        <v>16</v>
      </c>
      <c r="P4" s="4"/>
      <c r="Q4" s="3">
        <f>IF(P4="en cours",N4,IF(P4="OK",0,IF(N4-P4&lt;0,0,N4-P4)))</f>
        <v>1350</v>
      </c>
      <c r="R4" s="3">
        <f>IF(P4="OK",N4-Q4,IF(P4="en cours",N4-Q4,P4))</f>
        <v>0</v>
      </c>
      <c r="S4" s="5" t="s">
        <v>1343</v>
      </c>
      <c r="T4" s="5"/>
    </row>
    <row r="5" spans="1:20" ht="15.75" hidden="1" x14ac:dyDescent="0.25">
      <c r="B5" s="5"/>
      <c r="C5" s="4" t="s">
        <v>192</v>
      </c>
      <c r="D5" s="4"/>
      <c r="E5" s="5" t="s">
        <v>10</v>
      </c>
      <c r="F5" s="5"/>
      <c r="G5" s="146" t="s">
        <v>11</v>
      </c>
      <c r="H5" s="7" t="s">
        <v>269</v>
      </c>
      <c r="I5" s="7"/>
      <c r="J5" s="5" t="s">
        <v>194</v>
      </c>
      <c r="K5" s="5"/>
      <c r="L5" s="5"/>
      <c r="M5" s="13"/>
      <c r="N5" s="45">
        <f>15000*0.9</f>
        <v>13500</v>
      </c>
      <c r="O5" s="4" t="s">
        <v>16</v>
      </c>
      <c r="P5" s="4"/>
      <c r="Q5" s="3">
        <f>IF(P5="en cours",N5,IF(P5="OK",0,IF(N5-P5&lt;0,0,N5-P5)))</f>
        <v>13500</v>
      </c>
      <c r="R5" s="3">
        <f>IF(P5="OK",N5-Q5,IF(P5="en cours",N5-Q5,P5))</f>
        <v>0</v>
      </c>
      <c r="S5" s="5" t="s">
        <v>1343</v>
      </c>
      <c r="T5" s="5"/>
    </row>
    <row r="6" spans="1:20" ht="15.75" hidden="1" x14ac:dyDescent="0.25">
      <c r="A6" t="s">
        <v>6091</v>
      </c>
      <c r="B6" s="21" t="s">
        <v>395</v>
      </c>
      <c r="C6" s="22" t="s">
        <v>2450</v>
      </c>
      <c r="D6" s="22"/>
      <c r="E6" s="21" t="s">
        <v>0</v>
      </c>
      <c r="F6" s="21"/>
      <c r="G6" s="147" t="s">
        <v>36</v>
      </c>
      <c r="H6" s="23" t="s">
        <v>473</v>
      </c>
      <c r="I6" s="23"/>
      <c r="J6" s="21" t="s">
        <v>43</v>
      </c>
      <c r="K6" s="21"/>
      <c r="L6" s="21"/>
      <c r="M6" s="26">
        <v>43014</v>
      </c>
      <c r="N6" s="44">
        <v>350000</v>
      </c>
      <c r="O6" s="22" t="s">
        <v>15</v>
      </c>
      <c r="P6" s="22">
        <v>190000</v>
      </c>
      <c r="Q6" s="24">
        <v>0</v>
      </c>
      <c r="R6" s="24">
        <f>IF(P6="OK",N6-Q6,IF(P6="en cours",N6-Q6,P6))</f>
        <v>190000</v>
      </c>
      <c r="S6" s="5" t="s">
        <v>584</v>
      </c>
      <c r="T6" s="5"/>
    </row>
    <row r="7" spans="1:20" ht="15.75" hidden="1" x14ac:dyDescent="0.25">
      <c r="A7" t="s">
        <v>6091</v>
      </c>
      <c r="B7" s="21" t="s">
        <v>395</v>
      </c>
      <c r="C7" s="22" t="s">
        <v>2450</v>
      </c>
      <c r="D7" s="22"/>
      <c r="E7" s="21" t="s">
        <v>0</v>
      </c>
      <c r="F7" s="21"/>
      <c r="G7" s="147" t="s">
        <v>36</v>
      </c>
      <c r="H7" s="23" t="s">
        <v>46</v>
      </c>
      <c r="I7" s="23"/>
      <c r="J7" s="21" t="s">
        <v>47</v>
      </c>
      <c r="K7" s="21"/>
      <c r="L7" s="21"/>
      <c r="M7" s="26" t="s">
        <v>636</v>
      </c>
      <c r="N7" s="44">
        <v>19898</v>
      </c>
      <c r="O7" s="22" t="s">
        <v>15</v>
      </c>
      <c r="P7" s="22">
        <f>17517+2381</f>
        <v>19898</v>
      </c>
      <c r="Q7" s="24">
        <f t="shared" ref="Q7:Q35" si="0">IF(P7="en cours",N7,IF(P7="OK",0,IF(N7-P7&lt;0,0,N7-P7)))</f>
        <v>0</v>
      </c>
      <c r="R7" s="24">
        <f>IF(P7="OK",N7-Q7,IF(P7="en cours",N7-Q7,P7))</f>
        <v>19898</v>
      </c>
      <c r="S7" s="5"/>
      <c r="T7" s="5"/>
    </row>
    <row r="8" spans="1:20" ht="15.75" hidden="1" x14ac:dyDescent="0.25">
      <c r="A8" t="s">
        <v>6091</v>
      </c>
      <c r="B8" s="21" t="s">
        <v>395</v>
      </c>
      <c r="C8" s="22" t="s">
        <v>2450</v>
      </c>
      <c r="D8" s="22"/>
      <c r="E8" s="21" t="s">
        <v>0</v>
      </c>
      <c r="F8" s="21"/>
      <c r="G8" s="147" t="s">
        <v>36</v>
      </c>
      <c r="H8" s="23" t="s">
        <v>46</v>
      </c>
      <c r="I8" s="23"/>
      <c r="J8" s="21" t="s">
        <v>48</v>
      </c>
      <c r="K8" s="21"/>
      <c r="L8" s="21"/>
      <c r="M8" s="26"/>
      <c r="N8" s="44">
        <v>2381</v>
      </c>
      <c r="O8" s="22" t="s">
        <v>15</v>
      </c>
      <c r="P8" s="22" t="s">
        <v>19</v>
      </c>
      <c r="Q8" s="24">
        <f t="shared" si="0"/>
        <v>0</v>
      </c>
      <c r="R8" s="24">
        <v>0</v>
      </c>
      <c r="S8" s="5" t="s">
        <v>3479</v>
      </c>
      <c r="T8" s="5"/>
    </row>
    <row r="9" spans="1:20" ht="15.75" hidden="1" x14ac:dyDescent="0.25">
      <c r="A9" t="s">
        <v>6091</v>
      </c>
      <c r="B9" s="21" t="s">
        <v>395</v>
      </c>
      <c r="C9" s="22" t="s">
        <v>2427</v>
      </c>
      <c r="D9" s="22"/>
      <c r="E9" s="21" t="s">
        <v>10</v>
      </c>
      <c r="F9" s="21"/>
      <c r="G9" s="147" t="s">
        <v>70</v>
      </c>
      <c r="H9" s="23" t="s">
        <v>409</v>
      </c>
      <c r="I9" s="23"/>
      <c r="J9" s="21" t="s">
        <v>199</v>
      </c>
      <c r="K9" s="21"/>
      <c r="L9" s="21"/>
      <c r="M9" s="26">
        <v>43069</v>
      </c>
      <c r="N9" s="44">
        <v>12880</v>
      </c>
      <c r="O9" s="22" t="s">
        <v>15</v>
      </c>
      <c r="P9" s="22" t="s">
        <v>19</v>
      </c>
      <c r="Q9" s="24">
        <f t="shared" si="0"/>
        <v>0</v>
      </c>
      <c r="R9" s="24">
        <f t="shared" ref="R9:R40" si="1">IF(P9="OK",N9-Q9,IF(P9="en cours",N9-Q9,P9))</f>
        <v>12880</v>
      </c>
      <c r="S9" s="5"/>
      <c r="T9" s="5"/>
    </row>
    <row r="10" spans="1:20" ht="15.75" hidden="1" x14ac:dyDescent="0.25">
      <c r="A10" t="s">
        <v>6091</v>
      </c>
      <c r="B10" s="21" t="s">
        <v>395</v>
      </c>
      <c r="C10" s="22" t="s">
        <v>2427</v>
      </c>
      <c r="D10" s="22"/>
      <c r="E10" s="21" t="s">
        <v>10</v>
      </c>
      <c r="F10" s="21"/>
      <c r="G10" s="147" t="s">
        <v>70</v>
      </c>
      <c r="H10" s="23" t="s">
        <v>599</v>
      </c>
      <c r="I10" s="23"/>
      <c r="J10" s="21" t="s">
        <v>107</v>
      </c>
      <c r="K10" s="21"/>
      <c r="L10" s="21"/>
      <c r="M10" s="26">
        <v>42947</v>
      </c>
      <c r="N10" s="44">
        <v>11900</v>
      </c>
      <c r="O10" s="22" t="s">
        <v>15</v>
      </c>
      <c r="P10" s="22" t="s">
        <v>19</v>
      </c>
      <c r="Q10" s="24">
        <f t="shared" si="0"/>
        <v>0</v>
      </c>
      <c r="R10" s="24">
        <f t="shared" si="1"/>
        <v>11900</v>
      </c>
      <c r="S10" s="5"/>
      <c r="T10" s="5"/>
    </row>
    <row r="11" spans="1:20" ht="15.75" hidden="1" x14ac:dyDescent="0.25">
      <c r="A11" t="s">
        <v>6091</v>
      </c>
      <c r="B11" s="21" t="s">
        <v>395</v>
      </c>
      <c r="C11" s="22" t="s">
        <v>2452</v>
      </c>
      <c r="D11" s="22"/>
      <c r="E11" s="21" t="s">
        <v>75</v>
      </c>
      <c r="F11" s="21"/>
      <c r="G11" s="147" t="s">
        <v>100</v>
      </c>
      <c r="H11" s="23" t="s">
        <v>589</v>
      </c>
      <c r="I11" s="23"/>
      <c r="J11" s="21" t="s">
        <v>453</v>
      </c>
      <c r="K11" s="21"/>
      <c r="L11" s="21"/>
      <c r="M11" s="26"/>
      <c r="N11" s="44">
        <v>119888</v>
      </c>
      <c r="O11" s="22" t="s">
        <v>15</v>
      </c>
      <c r="P11" s="22" t="s">
        <v>19</v>
      </c>
      <c r="Q11" s="24">
        <f t="shared" si="0"/>
        <v>0</v>
      </c>
      <c r="R11" s="24">
        <f t="shared" si="1"/>
        <v>119888</v>
      </c>
      <c r="S11" s="5"/>
      <c r="T11" s="5"/>
    </row>
    <row r="12" spans="1:20" ht="15.75" hidden="1" x14ac:dyDescent="0.25">
      <c r="A12" t="s">
        <v>6091</v>
      </c>
      <c r="B12" s="21" t="s">
        <v>395</v>
      </c>
      <c r="C12" s="22" t="s">
        <v>2452</v>
      </c>
      <c r="D12" s="22"/>
      <c r="E12" s="21" t="s">
        <v>75</v>
      </c>
      <c r="F12" s="21"/>
      <c r="G12" s="147" t="s">
        <v>100</v>
      </c>
      <c r="H12" s="23" t="s">
        <v>589</v>
      </c>
      <c r="I12" s="23"/>
      <c r="J12" s="21" t="s">
        <v>454</v>
      </c>
      <c r="K12" s="21"/>
      <c r="L12" s="21"/>
      <c r="M12" s="26"/>
      <c r="N12" s="44">
        <v>49784</v>
      </c>
      <c r="O12" s="22" t="s">
        <v>15</v>
      </c>
      <c r="P12" s="22" t="s">
        <v>19</v>
      </c>
      <c r="Q12" s="24">
        <f t="shared" si="0"/>
        <v>0</v>
      </c>
      <c r="R12" s="24">
        <f t="shared" si="1"/>
        <v>49784</v>
      </c>
      <c r="S12" s="5"/>
      <c r="T12" s="5"/>
    </row>
    <row r="13" spans="1:20" ht="15.75" hidden="1" x14ac:dyDescent="0.25">
      <c r="A13" t="s">
        <v>6091</v>
      </c>
      <c r="B13" s="21" t="s">
        <v>395</v>
      </c>
      <c r="C13" s="22" t="s">
        <v>2452</v>
      </c>
      <c r="D13" s="22"/>
      <c r="E13" s="21" t="s">
        <v>75</v>
      </c>
      <c r="F13" s="21"/>
      <c r="G13" s="147" t="s">
        <v>100</v>
      </c>
      <c r="H13" s="23" t="s">
        <v>147</v>
      </c>
      <c r="I13" s="23"/>
      <c r="J13" s="21" t="s">
        <v>647</v>
      </c>
      <c r="K13" s="21"/>
      <c r="L13" s="21"/>
      <c r="M13" s="26">
        <v>43152</v>
      </c>
      <c r="N13" s="44">
        <v>70104</v>
      </c>
      <c r="O13" s="22" t="s">
        <v>15</v>
      </c>
      <c r="P13" s="22" t="s">
        <v>19</v>
      </c>
      <c r="Q13" s="24">
        <f t="shared" si="0"/>
        <v>0</v>
      </c>
      <c r="R13" s="24">
        <f t="shared" si="1"/>
        <v>70104</v>
      </c>
      <c r="S13" s="5"/>
      <c r="T13" s="5"/>
    </row>
    <row r="14" spans="1:20" ht="15.75" hidden="1" x14ac:dyDescent="0.25">
      <c r="A14" t="s">
        <v>6091</v>
      </c>
      <c r="B14" s="21" t="s">
        <v>395</v>
      </c>
      <c r="C14" s="22" t="s">
        <v>2452</v>
      </c>
      <c r="D14" s="22"/>
      <c r="E14" s="21" t="s">
        <v>75</v>
      </c>
      <c r="F14" s="21"/>
      <c r="G14" s="147" t="s">
        <v>100</v>
      </c>
      <c r="H14" s="23" t="s">
        <v>147</v>
      </c>
      <c r="I14" s="23"/>
      <c r="J14" s="21" t="s">
        <v>543</v>
      </c>
      <c r="K14" s="21"/>
      <c r="L14" s="21"/>
      <c r="M14" s="26" t="s">
        <v>776</v>
      </c>
      <c r="N14" s="44">
        <v>29833.05</v>
      </c>
      <c r="O14" s="22" t="s">
        <v>15</v>
      </c>
      <c r="P14" s="22">
        <v>29951.79</v>
      </c>
      <c r="Q14" s="24">
        <f t="shared" si="0"/>
        <v>0</v>
      </c>
      <c r="R14" s="24">
        <f t="shared" si="1"/>
        <v>29951.79</v>
      </c>
      <c r="S14" s="5"/>
      <c r="T14" s="5"/>
    </row>
    <row r="15" spans="1:20" ht="15.75" hidden="1" x14ac:dyDescent="0.25">
      <c r="A15" t="s">
        <v>6091</v>
      </c>
      <c r="B15" s="21" t="s">
        <v>395</v>
      </c>
      <c r="C15" s="22" t="s">
        <v>2452</v>
      </c>
      <c r="D15" s="22"/>
      <c r="E15" s="21" t="s">
        <v>75</v>
      </c>
      <c r="F15" s="21"/>
      <c r="G15" s="147" t="s">
        <v>100</v>
      </c>
      <c r="H15" s="23" t="s">
        <v>587</v>
      </c>
      <c r="I15" s="23"/>
      <c r="J15" s="21" t="s">
        <v>588</v>
      </c>
      <c r="K15" s="21"/>
      <c r="L15" s="21"/>
      <c r="M15" s="26">
        <v>43140</v>
      </c>
      <c r="N15" s="44">
        <v>44262</v>
      </c>
      <c r="O15" s="22" t="s">
        <v>15</v>
      </c>
      <c r="P15" s="22" t="s">
        <v>19</v>
      </c>
      <c r="Q15" s="24">
        <f t="shared" si="0"/>
        <v>0</v>
      </c>
      <c r="R15" s="24">
        <f t="shared" si="1"/>
        <v>44262</v>
      </c>
      <c r="S15" s="5"/>
      <c r="T15" s="5"/>
    </row>
    <row r="16" spans="1:20" ht="15.75" hidden="1" x14ac:dyDescent="0.25">
      <c r="A16" t="s">
        <v>6091</v>
      </c>
      <c r="B16" s="21" t="s">
        <v>1088</v>
      </c>
      <c r="C16" s="22" t="s">
        <v>2452</v>
      </c>
      <c r="D16" s="22"/>
      <c r="E16" s="21" t="s">
        <v>75</v>
      </c>
      <c r="F16" s="21"/>
      <c r="G16" s="147" t="s">
        <v>100</v>
      </c>
      <c r="H16" s="30" t="s">
        <v>627</v>
      </c>
      <c r="I16" s="30"/>
      <c r="J16" s="30" t="s">
        <v>624</v>
      </c>
      <c r="K16" s="30"/>
      <c r="L16" s="30"/>
      <c r="M16" s="31"/>
      <c r="N16" s="89">
        <v>68331</v>
      </c>
      <c r="O16" s="22" t="s">
        <v>15</v>
      </c>
      <c r="P16" s="22">
        <f>15561.73+8961.04+(21826.55)+9137.83+(23081.64)</f>
        <v>78568.790000000008</v>
      </c>
      <c r="Q16" s="24">
        <f t="shared" si="0"/>
        <v>0</v>
      </c>
      <c r="R16" s="24">
        <f t="shared" si="1"/>
        <v>78568.790000000008</v>
      </c>
      <c r="S16" s="5"/>
      <c r="T16" s="5"/>
    </row>
    <row r="17" spans="1:20" ht="15.75" hidden="1" x14ac:dyDescent="0.25">
      <c r="A17" t="s">
        <v>6091</v>
      </c>
      <c r="B17" s="21" t="s">
        <v>1088</v>
      </c>
      <c r="C17" s="22" t="s">
        <v>2452</v>
      </c>
      <c r="D17" s="22"/>
      <c r="E17" s="21" t="s">
        <v>75</v>
      </c>
      <c r="F17" s="21"/>
      <c r="G17" s="147" t="s">
        <v>100</v>
      </c>
      <c r="H17" s="30" t="s">
        <v>627</v>
      </c>
      <c r="I17" s="30"/>
      <c r="J17" s="30" t="s">
        <v>626</v>
      </c>
      <c r="K17" s="30"/>
      <c r="L17" s="30"/>
      <c r="M17" s="210" t="s">
        <v>1087</v>
      </c>
      <c r="N17" s="90">
        <f>433013-(N16+N18)</f>
        <v>64682</v>
      </c>
      <c r="O17" s="22" t="s">
        <v>15</v>
      </c>
      <c r="P17" s="22">
        <f>(15886.76)+(854.39+2203.56+1700.86+1651.58+3454.21+974.82+2598.04+7791.73+1506.25+586.65+10566.73+1547.05)+(3077.15+7234.19+1402.55+64.66+1726.57)+(1680.32+120.22+12039.04+314.16+76.5)+853.2</f>
        <v>79911.19</v>
      </c>
      <c r="Q17" s="24">
        <f t="shared" si="0"/>
        <v>0</v>
      </c>
      <c r="R17" s="24">
        <f t="shared" si="1"/>
        <v>79911.19</v>
      </c>
      <c r="S17" s="5"/>
      <c r="T17" s="5"/>
    </row>
    <row r="18" spans="1:20" ht="15.75" hidden="1" x14ac:dyDescent="0.25">
      <c r="A18" t="s">
        <v>6091</v>
      </c>
      <c r="B18" s="21" t="s">
        <v>1088</v>
      </c>
      <c r="C18" s="22" t="s">
        <v>2452</v>
      </c>
      <c r="D18" s="22"/>
      <c r="E18" s="21" t="s">
        <v>75</v>
      </c>
      <c r="F18" s="21"/>
      <c r="G18" s="147" t="s">
        <v>100</v>
      </c>
      <c r="H18" s="30" t="s">
        <v>627</v>
      </c>
      <c r="I18" s="30"/>
      <c r="J18" s="30" t="s">
        <v>625</v>
      </c>
      <c r="K18" s="30"/>
      <c r="L18" s="30"/>
      <c r="M18" s="210" t="s">
        <v>1206</v>
      </c>
      <c r="N18" s="89">
        <v>300000</v>
      </c>
      <c r="O18" s="22" t="s">
        <v>15</v>
      </c>
      <c r="P18" s="22">
        <f>(100000)+(23282.11+42576.68+34449.96+9671.95+1940)+97172.6+495</f>
        <v>309588.30000000005</v>
      </c>
      <c r="Q18" s="24">
        <f t="shared" si="0"/>
        <v>0</v>
      </c>
      <c r="R18" s="24">
        <f t="shared" si="1"/>
        <v>309588.30000000005</v>
      </c>
      <c r="S18" s="118">
        <f>N18-P18</f>
        <v>-9588.3000000000466</v>
      </c>
      <c r="T18" s="5"/>
    </row>
    <row r="19" spans="1:20" ht="15.75" hidden="1" x14ac:dyDescent="0.25">
      <c r="A19" t="s">
        <v>6091</v>
      </c>
      <c r="B19" s="21" t="s">
        <v>395</v>
      </c>
      <c r="C19" s="22" t="s">
        <v>2449</v>
      </c>
      <c r="D19" s="22"/>
      <c r="E19" s="21" t="s">
        <v>10</v>
      </c>
      <c r="F19" s="21"/>
      <c r="G19" s="147" t="s">
        <v>204</v>
      </c>
      <c r="H19" s="23">
        <v>653316</v>
      </c>
      <c r="I19" s="23"/>
      <c r="J19" s="21" t="s">
        <v>203</v>
      </c>
      <c r="K19" s="21"/>
      <c r="L19" s="21"/>
      <c r="M19" s="26"/>
      <c r="N19" s="44">
        <v>3096.7</v>
      </c>
      <c r="O19" s="22" t="s">
        <v>15</v>
      </c>
      <c r="P19" s="22" t="s">
        <v>19</v>
      </c>
      <c r="Q19" s="24">
        <f t="shared" si="0"/>
        <v>0</v>
      </c>
      <c r="R19" s="24">
        <f t="shared" si="1"/>
        <v>3096.7</v>
      </c>
      <c r="S19" s="5"/>
      <c r="T19" s="5"/>
    </row>
    <row r="20" spans="1:20" ht="15.75" hidden="1" x14ac:dyDescent="0.25">
      <c r="A20" t="s">
        <v>6091</v>
      </c>
      <c r="B20" s="21" t="s">
        <v>395</v>
      </c>
      <c r="C20" s="22" t="s">
        <v>2451</v>
      </c>
      <c r="D20" s="22"/>
      <c r="E20" s="21" t="s">
        <v>0</v>
      </c>
      <c r="F20" s="21"/>
      <c r="G20" s="147" t="s">
        <v>1</v>
      </c>
      <c r="H20" s="23"/>
      <c r="I20" s="23"/>
      <c r="J20" s="21" t="s">
        <v>2</v>
      </c>
      <c r="K20" s="21"/>
      <c r="L20" s="21"/>
      <c r="M20" s="46">
        <v>42853</v>
      </c>
      <c r="N20" s="44">
        <v>5000</v>
      </c>
      <c r="O20" s="22" t="s">
        <v>15</v>
      </c>
      <c r="P20" s="22" t="s">
        <v>19</v>
      </c>
      <c r="Q20" s="24">
        <f t="shared" si="0"/>
        <v>0</v>
      </c>
      <c r="R20" s="24">
        <f t="shared" si="1"/>
        <v>5000</v>
      </c>
      <c r="S20" s="5"/>
      <c r="T20" s="5"/>
    </row>
    <row r="21" spans="1:20" ht="15.75" hidden="1" x14ac:dyDescent="0.25">
      <c r="A21" t="s">
        <v>6091</v>
      </c>
      <c r="B21" s="21" t="s">
        <v>395</v>
      </c>
      <c r="C21" s="22" t="s">
        <v>2451</v>
      </c>
      <c r="D21" s="22"/>
      <c r="E21" s="21" t="s">
        <v>0</v>
      </c>
      <c r="F21" s="21"/>
      <c r="G21" s="147" t="s">
        <v>1</v>
      </c>
      <c r="H21" s="23"/>
      <c r="I21" s="23"/>
      <c r="J21" s="21" t="s">
        <v>3</v>
      </c>
      <c r="K21" s="21"/>
      <c r="L21" s="21"/>
      <c r="M21" s="46">
        <v>42705</v>
      </c>
      <c r="N21" s="44">
        <v>5000</v>
      </c>
      <c r="O21" s="22" t="s">
        <v>15</v>
      </c>
      <c r="P21" s="22" t="s">
        <v>19</v>
      </c>
      <c r="Q21" s="24">
        <f t="shared" si="0"/>
        <v>0</v>
      </c>
      <c r="R21" s="24">
        <f t="shared" si="1"/>
        <v>5000</v>
      </c>
      <c r="S21" s="5"/>
      <c r="T21" s="5"/>
    </row>
    <row r="22" spans="1:20" ht="15.75" hidden="1" x14ac:dyDescent="0.25">
      <c r="A22" t="s">
        <v>6091</v>
      </c>
      <c r="B22" s="21" t="s">
        <v>395</v>
      </c>
      <c r="C22" s="22" t="s">
        <v>2449</v>
      </c>
      <c r="D22" s="22"/>
      <c r="E22" s="21" t="s">
        <v>10</v>
      </c>
      <c r="F22" s="21"/>
      <c r="G22" s="147" t="s">
        <v>11</v>
      </c>
      <c r="H22" s="23" t="s">
        <v>352</v>
      </c>
      <c r="I22" s="23"/>
      <c r="J22" s="21" t="s">
        <v>12</v>
      </c>
      <c r="K22" s="21"/>
      <c r="L22" s="21"/>
      <c r="M22" s="46">
        <v>42719</v>
      </c>
      <c r="N22" s="44">
        <v>12420</v>
      </c>
      <c r="O22" s="22" t="s">
        <v>16</v>
      </c>
      <c r="P22" s="22" t="s">
        <v>19</v>
      </c>
      <c r="Q22" s="24">
        <f t="shared" si="0"/>
        <v>0</v>
      </c>
      <c r="R22" s="24">
        <f t="shared" si="1"/>
        <v>12420</v>
      </c>
      <c r="S22" s="5"/>
      <c r="T22" s="5"/>
    </row>
    <row r="23" spans="1:20" ht="15.75" hidden="1" x14ac:dyDescent="0.25">
      <c r="A23" t="s">
        <v>6091</v>
      </c>
      <c r="B23" s="21" t="s">
        <v>395</v>
      </c>
      <c r="C23" s="22" t="s">
        <v>2449</v>
      </c>
      <c r="D23" s="22"/>
      <c r="E23" s="21" t="s">
        <v>10</v>
      </c>
      <c r="F23" s="21"/>
      <c r="G23" s="147" t="s">
        <v>11</v>
      </c>
      <c r="H23" s="23" t="s">
        <v>352</v>
      </c>
      <c r="I23" s="23"/>
      <c r="J23" s="21" t="s">
        <v>13</v>
      </c>
      <c r="K23" s="21"/>
      <c r="L23" s="21"/>
      <c r="M23" s="46">
        <v>42811</v>
      </c>
      <c r="N23" s="44">
        <v>3105</v>
      </c>
      <c r="O23" s="22" t="s">
        <v>16</v>
      </c>
      <c r="P23" s="22" t="s">
        <v>19</v>
      </c>
      <c r="Q23" s="24">
        <f t="shared" si="0"/>
        <v>0</v>
      </c>
      <c r="R23" s="24">
        <f t="shared" si="1"/>
        <v>3105</v>
      </c>
      <c r="S23" s="5"/>
      <c r="T23" s="5"/>
    </row>
    <row r="24" spans="1:20" ht="15.75" hidden="1" x14ac:dyDescent="0.25">
      <c r="A24" t="s">
        <v>6091</v>
      </c>
      <c r="B24" s="21" t="s">
        <v>395</v>
      </c>
      <c r="C24" s="22">
        <v>220</v>
      </c>
      <c r="D24" s="22"/>
      <c r="E24" s="21" t="s">
        <v>10</v>
      </c>
      <c r="F24" s="21"/>
      <c r="G24" s="147" t="s">
        <v>11</v>
      </c>
      <c r="H24" s="23" t="s">
        <v>351</v>
      </c>
      <c r="I24" s="23"/>
      <c r="J24" s="21" t="s">
        <v>12</v>
      </c>
      <c r="K24" s="21"/>
      <c r="L24" s="21"/>
      <c r="M24" s="46">
        <v>42719</v>
      </c>
      <c r="N24" s="44">
        <v>31535</v>
      </c>
      <c r="O24" s="22" t="s">
        <v>16</v>
      </c>
      <c r="P24" s="22" t="s">
        <v>19</v>
      </c>
      <c r="Q24" s="24">
        <f t="shared" si="0"/>
        <v>0</v>
      </c>
      <c r="R24" s="24">
        <f t="shared" si="1"/>
        <v>31535</v>
      </c>
      <c r="S24" s="5"/>
      <c r="T24" s="5"/>
    </row>
    <row r="25" spans="1:20" ht="15.75" hidden="1" x14ac:dyDescent="0.25">
      <c r="A25" t="s">
        <v>6091</v>
      </c>
      <c r="B25" s="21" t="s">
        <v>395</v>
      </c>
      <c r="C25" s="22" t="s">
        <v>2450</v>
      </c>
      <c r="D25" s="22"/>
      <c r="E25" s="21" t="s">
        <v>10</v>
      </c>
      <c r="F25" s="21"/>
      <c r="G25" s="147" t="s">
        <v>11</v>
      </c>
      <c r="H25" s="23" t="s">
        <v>350</v>
      </c>
      <c r="I25" s="23"/>
      <c r="J25" s="21" t="s">
        <v>12</v>
      </c>
      <c r="K25" s="21"/>
      <c r="L25" s="21"/>
      <c r="M25" s="46">
        <v>42688</v>
      </c>
      <c r="N25" s="44">
        <v>34300</v>
      </c>
      <c r="O25" s="22" t="s">
        <v>16</v>
      </c>
      <c r="P25" s="22" t="s">
        <v>19</v>
      </c>
      <c r="Q25" s="24">
        <f t="shared" si="0"/>
        <v>0</v>
      </c>
      <c r="R25" s="24">
        <f t="shared" si="1"/>
        <v>34300</v>
      </c>
      <c r="S25" s="5"/>
      <c r="T25" s="5"/>
    </row>
    <row r="26" spans="1:20" ht="15.75" hidden="1" x14ac:dyDescent="0.25">
      <c r="A26" t="s">
        <v>6091</v>
      </c>
      <c r="B26" s="21" t="s">
        <v>395</v>
      </c>
      <c r="C26" s="22" t="s">
        <v>2450</v>
      </c>
      <c r="D26" s="22"/>
      <c r="E26" s="21" t="s">
        <v>10</v>
      </c>
      <c r="F26" s="21"/>
      <c r="G26" s="147" t="s">
        <v>11</v>
      </c>
      <c r="H26" s="23" t="s">
        <v>350</v>
      </c>
      <c r="I26" s="23"/>
      <c r="J26" s="21" t="s">
        <v>13</v>
      </c>
      <c r="K26" s="21"/>
      <c r="L26" s="21"/>
      <c r="M26" s="46">
        <v>42846</v>
      </c>
      <c r="N26" s="44">
        <v>8590</v>
      </c>
      <c r="O26" s="22" t="s">
        <v>16</v>
      </c>
      <c r="P26" s="22" t="s">
        <v>19</v>
      </c>
      <c r="Q26" s="24">
        <f t="shared" si="0"/>
        <v>0</v>
      </c>
      <c r="R26" s="24">
        <f t="shared" si="1"/>
        <v>8590</v>
      </c>
      <c r="S26" s="5"/>
      <c r="T26" s="5"/>
    </row>
    <row r="27" spans="1:20" ht="15.75" hidden="1" x14ac:dyDescent="0.25">
      <c r="A27" t="s">
        <v>6091</v>
      </c>
      <c r="B27" s="21" t="s">
        <v>395</v>
      </c>
      <c r="C27" s="22" t="s">
        <v>2450</v>
      </c>
      <c r="D27" s="22"/>
      <c r="E27" s="21" t="s">
        <v>10</v>
      </c>
      <c r="F27" s="21"/>
      <c r="G27" s="147" t="str">
        <f>+G26</f>
        <v>360BIOLABS</v>
      </c>
      <c r="H27" s="23" t="s">
        <v>293</v>
      </c>
      <c r="I27" s="23"/>
      <c r="J27" s="21" t="s">
        <v>294</v>
      </c>
      <c r="K27" s="21"/>
      <c r="L27" s="21"/>
      <c r="M27" s="46">
        <v>42811</v>
      </c>
      <c r="N27" s="44">
        <f>6950+946+1242</f>
        <v>9138</v>
      </c>
      <c r="O27" s="22" t="s">
        <v>16</v>
      </c>
      <c r="P27" s="22" t="s">
        <v>19</v>
      </c>
      <c r="Q27" s="24">
        <f t="shared" si="0"/>
        <v>0</v>
      </c>
      <c r="R27" s="24">
        <f t="shared" si="1"/>
        <v>9138</v>
      </c>
      <c r="S27" s="5"/>
      <c r="T27" s="5"/>
    </row>
    <row r="28" spans="1:20" ht="15.75" hidden="1" x14ac:dyDescent="0.25">
      <c r="A28" t="s">
        <v>6091</v>
      </c>
      <c r="B28" s="21" t="s">
        <v>395</v>
      </c>
      <c r="C28" s="22" t="s">
        <v>17</v>
      </c>
      <c r="D28" s="22"/>
      <c r="E28" s="21" t="s">
        <v>10</v>
      </c>
      <c r="F28" s="21"/>
      <c r="G28" s="147" t="s">
        <v>11</v>
      </c>
      <c r="H28" s="23" t="s">
        <v>349</v>
      </c>
      <c r="I28" s="23"/>
      <c r="J28" s="21" t="s">
        <v>12</v>
      </c>
      <c r="K28" s="21"/>
      <c r="L28" s="21"/>
      <c r="M28" s="46">
        <v>42644</v>
      </c>
      <c r="N28" s="44">
        <v>12570</v>
      </c>
      <c r="O28" s="22" t="s">
        <v>16</v>
      </c>
      <c r="P28" s="22" t="s">
        <v>19</v>
      </c>
      <c r="Q28" s="24">
        <f t="shared" si="0"/>
        <v>0</v>
      </c>
      <c r="R28" s="24">
        <f t="shared" si="1"/>
        <v>12570</v>
      </c>
      <c r="S28" s="5"/>
      <c r="T28" s="5"/>
    </row>
    <row r="29" spans="1:20" ht="15.75" hidden="1" x14ac:dyDescent="0.25">
      <c r="A29" t="s">
        <v>6091</v>
      </c>
      <c r="B29" s="21" t="s">
        <v>395</v>
      </c>
      <c r="C29" s="22" t="s">
        <v>17</v>
      </c>
      <c r="D29" s="22"/>
      <c r="E29" s="21" t="s">
        <v>10</v>
      </c>
      <c r="F29" s="21"/>
      <c r="G29" s="147" t="s">
        <v>11</v>
      </c>
      <c r="H29" s="23" t="s">
        <v>349</v>
      </c>
      <c r="I29" s="23"/>
      <c r="J29" s="21" t="s">
        <v>13</v>
      </c>
      <c r="K29" s="21"/>
      <c r="L29" s="21"/>
      <c r="M29" s="46">
        <v>42727</v>
      </c>
      <c r="N29" s="44">
        <v>3150</v>
      </c>
      <c r="O29" s="22" t="s">
        <v>16</v>
      </c>
      <c r="P29" s="22" t="s">
        <v>19</v>
      </c>
      <c r="Q29" s="24">
        <f t="shared" si="0"/>
        <v>0</v>
      </c>
      <c r="R29" s="24">
        <f t="shared" si="1"/>
        <v>3150</v>
      </c>
      <c r="S29" s="5"/>
      <c r="T29" s="5"/>
    </row>
    <row r="30" spans="1:20" ht="15.75" hidden="1" x14ac:dyDescent="0.25">
      <c r="A30" t="s">
        <v>6091</v>
      </c>
      <c r="B30" s="21" t="s">
        <v>395</v>
      </c>
      <c r="C30" s="22" t="s">
        <v>17</v>
      </c>
      <c r="D30" s="22"/>
      <c r="E30" s="21" t="s">
        <v>10</v>
      </c>
      <c r="F30" s="21"/>
      <c r="G30" s="147" t="s">
        <v>11</v>
      </c>
      <c r="H30" s="23" t="s">
        <v>291</v>
      </c>
      <c r="I30" s="23"/>
      <c r="J30" s="21" t="s">
        <v>292</v>
      </c>
      <c r="K30" s="21"/>
      <c r="L30" s="21"/>
      <c r="M30" s="46">
        <v>42794</v>
      </c>
      <c r="N30" s="44">
        <v>7470</v>
      </c>
      <c r="O30" s="22" t="s">
        <v>16</v>
      </c>
      <c r="P30" s="22" t="s">
        <v>19</v>
      </c>
      <c r="Q30" s="24">
        <f t="shared" si="0"/>
        <v>0</v>
      </c>
      <c r="R30" s="24">
        <f t="shared" si="1"/>
        <v>7470</v>
      </c>
      <c r="S30" s="5"/>
      <c r="T30" s="5"/>
    </row>
    <row r="31" spans="1:20" ht="15.75" hidden="1" x14ac:dyDescent="0.25">
      <c r="A31" t="s">
        <v>6091</v>
      </c>
      <c r="B31" s="21" t="s">
        <v>395</v>
      </c>
      <c r="C31" s="22" t="s">
        <v>2451</v>
      </c>
      <c r="D31" s="22"/>
      <c r="E31" s="21" t="s">
        <v>0</v>
      </c>
      <c r="F31" s="21"/>
      <c r="G31" s="147" t="s">
        <v>31</v>
      </c>
      <c r="H31" s="23" t="s">
        <v>396</v>
      </c>
      <c r="I31" s="23"/>
      <c r="J31" s="21" t="s">
        <v>20</v>
      </c>
      <c r="K31" s="21"/>
      <c r="L31" s="21"/>
      <c r="M31" s="46">
        <v>42591</v>
      </c>
      <c r="N31" s="44">
        <v>2880</v>
      </c>
      <c r="O31" s="22" t="s">
        <v>15</v>
      </c>
      <c r="P31" s="22" t="s">
        <v>19</v>
      </c>
      <c r="Q31" s="24">
        <f t="shared" si="0"/>
        <v>0</v>
      </c>
      <c r="R31" s="24">
        <f t="shared" si="1"/>
        <v>2880</v>
      </c>
      <c r="S31" s="5"/>
      <c r="T31" s="5"/>
    </row>
    <row r="32" spans="1:20" ht="15.75" hidden="1" x14ac:dyDescent="0.25">
      <c r="A32" t="s">
        <v>6091</v>
      </c>
      <c r="B32" s="21" t="s">
        <v>395</v>
      </c>
      <c r="C32" s="22" t="s">
        <v>2451</v>
      </c>
      <c r="D32" s="22"/>
      <c r="E32" s="21" t="s">
        <v>0</v>
      </c>
      <c r="F32" s="21"/>
      <c r="G32" s="147" t="s">
        <v>31</v>
      </c>
      <c r="H32" s="23" t="s">
        <v>396</v>
      </c>
      <c r="I32" s="23"/>
      <c r="J32" s="21" t="s">
        <v>21</v>
      </c>
      <c r="K32" s="21"/>
      <c r="L32" s="21"/>
      <c r="M32" s="46">
        <v>42704</v>
      </c>
      <c r="N32" s="44">
        <f>528*2</f>
        <v>1056</v>
      </c>
      <c r="O32" s="22" t="s">
        <v>15</v>
      </c>
      <c r="P32" s="22" t="s">
        <v>19</v>
      </c>
      <c r="Q32" s="24">
        <f t="shared" si="0"/>
        <v>0</v>
      </c>
      <c r="R32" s="24">
        <f t="shared" si="1"/>
        <v>1056</v>
      </c>
      <c r="S32" s="5"/>
      <c r="T32" s="5"/>
    </row>
    <row r="33" spans="1:20" ht="15.75" hidden="1" x14ac:dyDescent="0.25">
      <c r="A33" t="s">
        <v>6091</v>
      </c>
      <c r="B33" s="21" t="s">
        <v>395</v>
      </c>
      <c r="C33" s="22" t="s">
        <v>2451</v>
      </c>
      <c r="D33" s="22"/>
      <c r="E33" s="21" t="s">
        <v>0</v>
      </c>
      <c r="F33" s="21"/>
      <c r="G33" s="147" t="s">
        <v>31</v>
      </c>
      <c r="H33" s="23" t="s">
        <v>396</v>
      </c>
      <c r="I33" s="23"/>
      <c r="J33" s="21" t="s">
        <v>22</v>
      </c>
      <c r="K33" s="21"/>
      <c r="L33" s="21"/>
      <c r="M33" s="46">
        <v>42704</v>
      </c>
      <c r="N33" s="44">
        <v>2360</v>
      </c>
      <c r="O33" s="22" t="s">
        <v>15</v>
      </c>
      <c r="P33" s="22" t="s">
        <v>19</v>
      </c>
      <c r="Q33" s="24">
        <f t="shared" si="0"/>
        <v>0</v>
      </c>
      <c r="R33" s="24">
        <f t="shared" si="1"/>
        <v>2360</v>
      </c>
      <c r="S33" s="5"/>
      <c r="T33" s="5"/>
    </row>
    <row r="34" spans="1:20" ht="15.75" hidden="1" x14ac:dyDescent="0.25">
      <c r="A34" t="s">
        <v>6091</v>
      </c>
      <c r="B34" s="21" t="s">
        <v>395</v>
      </c>
      <c r="C34" s="22" t="s">
        <v>2451</v>
      </c>
      <c r="D34" s="22"/>
      <c r="E34" s="21" t="s">
        <v>0</v>
      </c>
      <c r="F34" s="21"/>
      <c r="G34" s="147" t="s">
        <v>31</v>
      </c>
      <c r="H34" s="23" t="s">
        <v>396</v>
      </c>
      <c r="I34" s="23"/>
      <c r="J34" s="21" t="s">
        <v>21</v>
      </c>
      <c r="K34" s="21"/>
      <c r="L34" s="21"/>
      <c r="M34" s="46" t="s">
        <v>380</v>
      </c>
      <c r="N34" s="44">
        <v>475.2</v>
      </c>
      <c r="O34" s="22" t="s">
        <v>15</v>
      </c>
      <c r="P34" s="22" t="s">
        <v>19</v>
      </c>
      <c r="Q34" s="24">
        <f t="shared" si="0"/>
        <v>0</v>
      </c>
      <c r="R34" s="24">
        <f t="shared" si="1"/>
        <v>475.2</v>
      </c>
      <c r="S34" s="5"/>
      <c r="T34" s="5"/>
    </row>
    <row r="35" spans="1:20" ht="15.75" hidden="1" x14ac:dyDescent="0.25">
      <c r="A35" t="s">
        <v>6091</v>
      </c>
      <c r="B35" s="21" t="s">
        <v>395</v>
      </c>
      <c r="C35" s="22" t="s">
        <v>2451</v>
      </c>
      <c r="D35" s="22"/>
      <c r="E35" s="21" t="s">
        <v>0</v>
      </c>
      <c r="F35" s="21"/>
      <c r="G35" s="147" t="s">
        <v>31</v>
      </c>
      <c r="H35" s="23" t="s">
        <v>397</v>
      </c>
      <c r="I35" s="23"/>
      <c r="J35" s="21" t="s">
        <v>254</v>
      </c>
      <c r="K35" s="21"/>
      <c r="L35" s="21"/>
      <c r="M35" s="46">
        <v>42702</v>
      </c>
      <c r="N35" s="44">
        <f>1433.6</f>
        <v>1433.6</v>
      </c>
      <c r="O35" s="22" t="s">
        <v>15</v>
      </c>
      <c r="P35" s="22" t="s">
        <v>19</v>
      </c>
      <c r="Q35" s="24">
        <f t="shared" si="0"/>
        <v>0</v>
      </c>
      <c r="R35" s="24">
        <f t="shared" si="1"/>
        <v>1433.6</v>
      </c>
      <c r="S35" s="5"/>
      <c r="T35" s="5"/>
    </row>
    <row r="36" spans="1:20" ht="15.75" hidden="1" x14ac:dyDescent="0.25">
      <c r="A36" t="s">
        <v>6091</v>
      </c>
      <c r="B36" s="21" t="s">
        <v>395</v>
      </c>
      <c r="C36" s="22" t="s">
        <v>2451</v>
      </c>
      <c r="D36" s="22"/>
      <c r="E36" s="21" t="s">
        <v>0</v>
      </c>
      <c r="F36" s="21"/>
      <c r="G36" s="147" t="s">
        <v>31</v>
      </c>
      <c r="H36" s="23" t="s">
        <v>397</v>
      </c>
      <c r="I36" s="23"/>
      <c r="J36" s="21" t="s">
        <v>35</v>
      </c>
      <c r="K36" s="21"/>
      <c r="L36" s="21"/>
      <c r="M36" s="46">
        <v>42702</v>
      </c>
      <c r="N36" s="44">
        <v>1425.6</v>
      </c>
      <c r="O36" s="22" t="s">
        <v>15</v>
      </c>
      <c r="P36" s="22">
        <v>475.2</v>
      </c>
      <c r="Q36" s="24">
        <v>0</v>
      </c>
      <c r="R36" s="24">
        <f t="shared" si="1"/>
        <v>475.2</v>
      </c>
      <c r="S36" s="5"/>
      <c r="T36" s="5"/>
    </row>
    <row r="37" spans="1:20" ht="15.75" hidden="1" x14ac:dyDescent="0.25">
      <c r="A37" t="s">
        <v>6091</v>
      </c>
      <c r="B37" s="21" t="s">
        <v>395</v>
      </c>
      <c r="C37" s="22" t="s">
        <v>2451</v>
      </c>
      <c r="D37" s="22"/>
      <c r="E37" s="21" t="s">
        <v>0</v>
      </c>
      <c r="F37" s="21"/>
      <c r="G37" s="147" t="s">
        <v>31</v>
      </c>
      <c r="H37" s="23" t="s">
        <v>397</v>
      </c>
      <c r="I37" s="23"/>
      <c r="J37" s="21" t="s">
        <v>283</v>
      </c>
      <c r="K37" s="21"/>
      <c r="L37" s="21"/>
      <c r="M37" s="46">
        <v>42702</v>
      </c>
      <c r="N37" s="44">
        <v>820.8</v>
      </c>
      <c r="O37" s="22" t="s">
        <v>15</v>
      </c>
      <c r="P37" s="22" t="s">
        <v>19</v>
      </c>
      <c r="Q37" s="24">
        <f t="shared" ref="Q37:Q45" si="2">IF(P37="en cours",N37,IF(P37="OK",0,IF(N37-P37&lt;0,0,N37-P37)))</f>
        <v>0</v>
      </c>
      <c r="R37" s="24">
        <f t="shared" si="1"/>
        <v>820.8</v>
      </c>
      <c r="S37" s="5"/>
      <c r="T37" s="5"/>
    </row>
    <row r="38" spans="1:20" ht="15.75" hidden="1" x14ac:dyDescent="0.25">
      <c r="A38" t="s">
        <v>6091</v>
      </c>
      <c r="B38" s="21" t="s">
        <v>395</v>
      </c>
      <c r="C38" s="22" t="s">
        <v>2451</v>
      </c>
      <c r="D38" s="22"/>
      <c r="E38" s="21" t="s">
        <v>0</v>
      </c>
      <c r="F38" s="21"/>
      <c r="G38" s="147" t="s">
        <v>31</v>
      </c>
      <c r="H38" s="23" t="s">
        <v>397</v>
      </c>
      <c r="I38" s="23"/>
      <c r="J38" s="21" t="s">
        <v>27</v>
      </c>
      <c r="K38" s="21"/>
      <c r="L38" s="21"/>
      <c r="M38" s="26"/>
      <c r="N38" s="44">
        <v>0</v>
      </c>
      <c r="O38" s="22" t="s">
        <v>15</v>
      </c>
      <c r="P38" s="22" t="s">
        <v>19</v>
      </c>
      <c r="Q38" s="24">
        <f t="shared" si="2"/>
        <v>0</v>
      </c>
      <c r="R38" s="24">
        <f t="shared" si="1"/>
        <v>0</v>
      </c>
      <c r="S38" s="5" t="s">
        <v>892</v>
      </c>
      <c r="T38" s="5"/>
    </row>
    <row r="39" spans="1:20" ht="15.75" hidden="1" x14ac:dyDescent="0.25">
      <c r="A39" t="s">
        <v>6091</v>
      </c>
      <c r="B39" s="21" t="s">
        <v>395</v>
      </c>
      <c r="C39" s="22" t="s">
        <v>2451</v>
      </c>
      <c r="D39" s="22"/>
      <c r="E39" s="21" t="s">
        <v>0</v>
      </c>
      <c r="F39" s="21"/>
      <c r="G39" s="147" t="s">
        <v>31</v>
      </c>
      <c r="H39" s="23" t="s">
        <v>398</v>
      </c>
      <c r="I39" s="23"/>
      <c r="J39" s="21" t="s">
        <v>23</v>
      </c>
      <c r="K39" s="21"/>
      <c r="L39" s="21"/>
      <c r="M39" s="46">
        <v>42591</v>
      </c>
      <c r="N39" s="44">
        <v>761.6</v>
      </c>
      <c r="O39" s="22" t="s">
        <v>15</v>
      </c>
      <c r="P39" s="22" t="s">
        <v>19</v>
      </c>
      <c r="Q39" s="24">
        <f t="shared" si="2"/>
        <v>0</v>
      </c>
      <c r="R39" s="24">
        <f t="shared" si="1"/>
        <v>761.6</v>
      </c>
      <c r="S39" s="5"/>
      <c r="T39" s="5"/>
    </row>
    <row r="40" spans="1:20" ht="15.75" hidden="1" x14ac:dyDescent="0.25">
      <c r="A40" t="s">
        <v>6091</v>
      </c>
      <c r="B40" s="21" t="s">
        <v>395</v>
      </c>
      <c r="C40" s="22" t="s">
        <v>2451</v>
      </c>
      <c r="D40" s="22"/>
      <c r="E40" s="21" t="s">
        <v>0</v>
      </c>
      <c r="F40" s="21"/>
      <c r="G40" s="147" t="s">
        <v>31</v>
      </c>
      <c r="H40" s="23" t="s">
        <v>399</v>
      </c>
      <c r="I40" s="23"/>
      <c r="J40" s="21" t="s">
        <v>24</v>
      </c>
      <c r="K40" s="21"/>
      <c r="L40" s="21"/>
      <c r="M40" s="46">
        <v>42768</v>
      </c>
      <c r="N40" s="44">
        <v>8660</v>
      </c>
      <c r="O40" s="22" t="s">
        <v>15</v>
      </c>
      <c r="P40" s="22" t="s">
        <v>19</v>
      </c>
      <c r="Q40" s="24">
        <f t="shared" si="2"/>
        <v>0</v>
      </c>
      <c r="R40" s="24">
        <f t="shared" si="1"/>
        <v>8660</v>
      </c>
      <c r="S40" s="5"/>
      <c r="T40" s="5"/>
    </row>
    <row r="41" spans="1:20" ht="15.75" hidden="1" x14ac:dyDescent="0.25">
      <c r="A41" t="s">
        <v>6091</v>
      </c>
      <c r="B41" s="21" t="s">
        <v>395</v>
      </c>
      <c r="C41" s="22" t="s">
        <v>2451</v>
      </c>
      <c r="D41" s="22"/>
      <c r="E41" s="21" t="s">
        <v>0</v>
      </c>
      <c r="F41" s="21"/>
      <c r="G41" s="147" t="s">
        <v>31</v>
      </c>
      <c r="H41" s="23" t="s">
        <v>399</v>
      </c>
      <c r="I41" s="23"/>
      <c r="J41" s="21" t="s">
        <v>25</v>
      </c>
      <c r="K41" s="21"/>
      <c r="L41" s="21"/>
      <c r="M41" s="46">
        <v>42768</v>
      </c>
      <c r="N41" s="44">
        <v>2160</v>
      </c>
      <c r="O41" s="22" t="s">
        <v>15</v>
      </c>
      <c r="P41" s="22" t="s">
        <v>19</v>
      </c>
      <c r="Q41" s="24">
        <f t="shared" si="2"/>
        <v>0</v>
      </c>
      <c r="R41" s="24">
        <f t="shared" ref="R41:R72" si="3">IF(P41="OK",N41-Q41,IF(P41="en cours",N41-Q41,P41))</f>
        <v>2160</v>
      </c>
      <c r="S41" s="5"/>
      <c r="T41" s="5"/>
    </row>
    <row r="42" spans="1:20" ht="15.75" hidden="1" x14ac:dyDescent="0.25">
      <c r="A42" t="s">
        <v>6091</v>
      </c>
      <c r="B42" s="21" t="s">
        <v>395</v>
      </c>
      <c r="C42" s="22" t="s">
        <v>2451</v>
      </c>
      <c r="D42" s="22"/>
      <c r="E42" s="21" t="s">
        <v>0</v>
      </c>
      <c r="F42" s="21"/>
      <c r="G42" s="147" t="s">
        <v>31</v>
      </c>
      <c r="H42" s="23" t="s">
        <v>399</v>
      </c>
      <c r="I42" s="23"/>
      <c r="J42" s="21" t="s">
        <v>26</v>
      </c>
      <c r="K42" s="21"/>
      <c r="L42" s="21"/>
      <c r="M42" s="46">
        <v>42768</v>
      </c>
      <c r="N42" s="44">
        <v>680</v>
      </c>
      <c r="O42" s="22" t="s">
        <v>15</v>
      </c>
      <c r="P42" s="22" t="s">
        <v>19</v>
      </c>
      <c r="Q42" s="24">
        <f t="shared" si="2"/>
        <v>0</v>
      </c>
      <c r="R42" s="24">
        <f t="shared" si="3"/>
        <v>680</v>
      </c>
      <c r="S42" s="5"/>
      <c r="T42" s="5"/>
    </row>
    <row r="43" spans="1:20" ht="15.75" hidden="1" x14ac:dyDescent="0.25">
      <c r="A43" t="s">
        <v>6091</v>
      </c>
      <c r="B43" s="21" t="s">
        <v>395</v>
      </c>
      <c r="C43" s="22" t="s">
        <v>2451</v>
      </c>
      <c r="D43" s="22"/>
      <c r="E43" s="21" t="s">
        <v>0</v>
      </c>
      <c r="F43" s="21"/>
      <c r="G43" s="147" t="s">
        <v>31</v>
      </c>
      <c r="H43" s="23" t="s">
        <v>399</v>
      </c>
      <c r="I43" s="23"/>
      <c r="J43" s="21" t="s">
        <v>2060</v>
      </c>
      <c r="K43" s="21"/>
      <c r="L43" s="21"/>
      <c r="M43" s="26"/>
      <c r="N43" s="44">
        <v>0</v>
      </c>
      <c r="O43" s="22" t="s">
        <v>15</v>
      </c>
      <c r="P43" s="22" t="s">
        <v>19</v>
      </c>
      <c r="Q43" s="24">
        <f t="shared" si="2"/>
        <v>0</v>
      </c>
      <c r="R43" s="24">
        <f t="shared" si="3"/>
        <v>0</v>
      </c>
      <c r="S43" s="5" t="s">
        <v>892</v>
      </c>
      <c r="T43" s="5"/>
    </row>
    <row r="44" spans="1:20" ht="15.75" hidden="1" x14ac:dyDescent="0.25">
      <c r="A44" t="s">
        <v>6091</v>
      </c>
      <c r="B44" s="21" t="s">
        <v>395</v>
      </c>
      <c r="C44" s="22" t="s">
        <v>2451</v>
      </c>
      <c r="D44" s="22"/>
      <c r="E44" s="21" t="s">
        <v>0</v>
      </c>
      <c r="F44" s="21"/>
      <c r="G44" s="147" t="s">
        <v>31</v>
      </c>
      <c r="H44" s="23" t="s">
        <v>399</v>
      </c>
      <c r="I44" s="23"/>
      <c r="J44" s="21" t="s">
        <v>27</v>
      </c>
      <c r="K44" s="21"/>
      <c r="L44" s="21"/>
      <c r="M44" s="26"/>
      <c r="N44" s="44">
        <v>0</v>
      </c>
      <c r="O44" s="22" t="s">
        <v>15</v>
      </c>
      <c r="P44" s="22" t="s">
        <v>19</v>
      </c>
      <c r="Q44" s="24">
        <f t="shared" si="2"/>
        <v>0</v>
      </c>
      <c r="R44" s="24">
        <f t="shared" si="3"/>
        <v>0</v>
      </c>
      <c r="S44" s="5" t="s">
        <v>892</v>
      </c>
      <c r="T44" s="5"/>
    </row>
    <row r="45" spans="1:20" ht="15.75" hidden="1" x14ac:dyDescent="0.25">
      <c r="A45" t="s">
        <v>6091</v>
      </c>
      <c r="B45" s="21" t="s">
        <v>395</v>
      </c>
      <c r="C45" s="22" t="s">
        <v>2451</v>
      </c>
      <c r="D45" s="22"/>
      <c r="E45" s="21" t="s">
        <v>0</v>
      </c>
      <c r="F45" s="21"/>
      <c r="G45" s="147" t="s">
        <v>31</v>
      </c>
      <c r="H45" s="23" t="s">
        <v>400</v>
      </c>
      <c r="I45" s="23"/>
      <c r="J45" s="21" t="s">
        <v>24</v>
      </c>
      <c r="K45" s="21"/>
      <c r="L45" s="21"/>
      <c r="M45" s="46">
        <v>42768</v>
      </c>
      <c r="N45" s="44">
        <v>23858.3</v>
      </c>
      <c r="O45" s="22" t="s">
        <v>15</v>
      </c>
      <c r="P45" s="22" t="s">
        <v>19</v>
      </c>
      <c r="Q45" s="24">
        <f t="shared" si="2"/>
        <v>0</v>
      </c>
      <c r="R45" s="24">
        <f t="shared" si="3"/>
        <v>23858.3</v>
      </c>
      <c r="S45" s="5"/>
      <c r="T45" s="5"/>
    </row>
    <row r="46" spans="1:20" ht="15.75" hidden="1" x14ac:dyDescent="0.25">
      <c r="A46" t="s">
        <v>6091</v>
      </c>
      <c r="B46" s="21" t="s">
        <v>395</v>
      </c>
      <c r="C46" s="22" t="s">
        <v>2451</v>
      </c>
      <c r="D46" s="22"/>
      <c r="E46" s="21" t="s">
        <v>0</v>
      </c>
      <c r="F46" s="21"/>
      <c r="G46" s="147" t="s">
        <v>31</v>
      </c>
      <c r="H46" s="23" t="s">
        <v>400</v>
      </c>
      <c r="I46" s="23"/>
      <c r="J46" s="21" t="s">
        <v>25</v>
      </c>
      <c r="K46" s="21"/>
      <c r="L46" s="21"/>
      <c r="M46" s="26"/>
      <c r="N46" s="44">
        <v>11588.4</v>
      </c>
      <c r="O46" s="22" t="s">
        <v>15</v>
      </c>
      <c r="P46" s="22">
        <v>4312.3500000000004</v>
      </c>
      <c r="Q46" s="24">
        <v>0</v>
      </c>
      <c r="R46" s="24">
        <f t="shared" si="3"/>
        <v>4312.3500000000004</v>
      </c>
      <c r="S46" s="5"/>
      <c r="T46" s="5"/>
    </row>
    <row r="47" spans="1:20" ht="15.75" hidden="1" x14ac:dyDescent="0.25">
      <c r="A47" t="s">
        <v>6091</v>
      </c>
      <c r="B47" s="21" t="s">
        <v>395</v>
      </c>
      <c r="C47" s="22" t="s">
        <v>2451</v>
      </c>
      <c r="D47" s="22"/>
      <c r="E47" s="21" t="s">
        <v>0</v>
      </c>
      <c r="F47" s="21"/>
      <c r="G47" s="147" t="s">
        <v>31</v>
      </c>
      <c r="H47" s="23" t="s">
        <v>430</v>
      </c>
      <c r="I47" s="23"/>
      <c r="J47" s="21" t="s">
        <v>26</v>
      </c>
      <c r="K47" s="21"/>
      <c r="L47" s="21"/>
      <c r="M47" s="26"/>
      <c r="N47" s="44">
        <v>0</v>
      </c>
      <c r="O47" s="22" t="s">
        <v>15</v>
      </c>
      <c r="P47" s="22" t="s">
        <v>19</v>
      </c>
      <c r="Q47" s="24">
        <f>IF(P47="en cours",N47,IF(P47="OK",0,IF(N47-P47&lt;0,0,N47-P47)))</f>
        <v>0</v>
      </c>
      <c r="R47" s="24">
        <f t="shared" si="3"/>
        <v>0</v>
      </c>
      <c r="S47" s="5"/>
      <c r="T47" s="5"/>
    </row>
    <row r="48" spans="1:20" ht="15.75" hidden="1" x14ac:dyDescent="0.25">
      <c r="A48" t="s">
        <v>6091</v>
      </c>
      <c r="B48" s="21" t="s">
        <v>395</v>
      </c>
      <c r="C48" s="22" t="s">
        <v>2451</v>
      </c>
      <c r="D48" s="22"/>
      <c r="E48" s="21" t="s">
        <v>0</v>
      </c>
      <c r="F48" s="21"/>
      <c r="G48" s="147" t="s">
        <v>31</v>
      </c>
      <c r="H48" s="23" t="s">
        <v>401</v>
      </c>
      <c r="I48" s="23"/>
      <c r="J48" s="21" t="s">
        <v>28</v>
      </c>
      <c r="K48" s="21"/>
      <c r="L48" s="21"/>
      <c r="M48" s="46">
        <v>42768</v>
      </c>
      <c r="N48" s="44">
        <v>2613.6</v>
      </c>
      <c r="O48" s="22" t="s">
        <v>15</v>
      </c>
      <c r="P48" s="22" t="s">
        <v>19</v>
      </c>
      <c r="Q48" s="24">
        <f>IF(P48="en cours",N48,IF(P48="OK",0,IF(N48-P48&lt;0,0,N48-P48)))</f>
        <v>0</v>
      </c>
      <c r="R48" s="24">
        <f t="shared" si="3"/>
        <v>2613.6</v>
      </c>
      <c r="S48" s="5"/>
      <c r="T48" s="5"/>
    </row>
    <row r="49" spans="1:20" ht="15.75" hidden="1" x14ac:dyDescent="0.25">
      <c r="A49" t="s">
        <v>6091</v>
      </c>
      <c r="B49" s="21" t="s">
        <v>395</v>
      </c>
      <c r="C49" s="22" t="s">
        <v>2451</v>
      </c>
      <c r="D49" s="22"/>
      <c r="E49" s="21" t="s">
        <v>0</v>
      </c>
      <c r="F49" s="21"/>
      <c r="G49" s="147" t="s">
        <v>31</v>
      </c>
      <c r="H49" s="23" t="s">
        <v>402</v>
      </c>
      <c r="I49" s="23"/>
      <c r="J49" s="21" t="s">
        <v>29</v>
      </c>
      <c r="K49" s="21"/>
      <c r="L49" s="21"/>
      <c r="M49" s="46">
        <v>42794</v>
      </c>
      <c r="N49" s="44">
        <v>4633.2</v>
      </c>
      <c r="O49" s="22" t="s">
        <v>15</v>
      </c>
      <c r="P49" s="22" t="s">
        <v>19</v>
      </c>
      <c r="Q49" s="24">
        <f>IF(P49="en cours",N49,IF(P49="OK",0,IF(N49-P49&lt;0,0,N49-P49)))</f>
        <v>0</v>
      </c>
      <c r="R49" s="24">
        <f t="shared" si="3"/>
        <v>4633.2</v>
      </c>
      <c r="S49" s="5"/>
      <c r="T49" s="5"/>
    </row>
    <row r="50" spans="1:20" ht="15.75" hidden="1" x14ac:dyDescent="0.25">
      <c r="A50" t="s">
        <v>6091</v>
      </c>
      <c r="B50" s="21" t="s">
        <v>395</v>
      </c>
      <c r="C50" s="22" t="s">
        <v>2451</v>
      </c>
      <c r="D50" s="22"/>
      <c r="E50" s="21" t="s">
        <v>0</v>
      </c>
      <c r="F50" s="21"/>
      <c r="G50" s="147" t="s">
        <v>31</v>
      </c>
      <c r="H50" s="23" t="s">
        <v>431</v>
      </c>
      <c r="I50" s="23"/>
      <c r="J50" s="21" t="s">
        <v>30</v>
      </c>
      <c r="K50" s="21"/>
      <c r="L50" s="21"/>
      <c r="M50" s="46">
        <v>42810</v>
      </c>
      <c r="N50" s="44">
        <v>4466</v>
      </c>
      <c r="O50" s="22" t="s">
        <v>15</v>
      </c>
      <c r="P50" s="22">
        <f>1666+1344+1050+350</f>
        <v>4410</v>
      </c>
      <c r="Q50" s="24">
        <v>0</v>
      </c>
      <c r="R50" s="24">
        <f t="shared" si="3"/>
        <v>4410</v>
      </c>
      <c r="S50" s="5"/>
      <c r="T50" s="5"/>
    </row>
    <row r="51" spans="1:20" ht="15.75" hidden="1" x14ac:dyDescent="0.25">
      <c r="A51" t="s">
        <v>6091</v>
      </c>
      <c r="B51" s="21" t="s">
        <v>395</v>
      </c>
      <c r="C51" s="22" t="s">
        <v>2451</v>
      </c>
      <c r="D51" s="22"/>
      <c r="E51" s="21" t="s">
        <v>0</v>
      </c>
      <c r="F51" s="21"/>
      <c r="G51" s="147" t="s">
        <v>31</v>
      </c>
      <c r="H51" s="23" t="s">
        <v>403</v>
      </c>
      <c r="I51" s="23"/>
      <c r="J51" s="21" t="s">
        <v>30</v>
      </c>
      <c r="K51" s="21"/>
      <c r="L51" s="21"/>
      <c r="M51" s="46">
        <v>42768</v>
      </c>
      <c r="N51" s="44">
        <v>2156</v>
      </c>
      <c r="O51" s="22" t="s">
        <v>15</v>
      </c>
      <c r="P51" s="22" t="s">
        <v>19</v>
      </c>
      <c r="Q51" s="24">
        <f t="shared" ref="Q51:Q83" si="4">IF(P51="en cours",N51,IF(P51="OK",0,IF(N51-P51&lt;0,0,N51-P51)))</f>
        <v>0</v>
      </c>
      <c r="R51" s="24">
        <f t="shared" si="3"/>
        <v>2156</v>
      </c>
      <c r="S51" s="5"/>
      <c r="T51" s="5"/>
    </row>
    <row r="52" spans="1:20" ht="15.75" hidden="1" x14ac:dyDescent="0.25">
      <c r="A52" t="s">
        <v>6091</v>
      </c>
      <c r="B52" s="21" t="s">
        <v>395</v>
      </c>
      <c r="C52" s="22" t="s">
        <v>2451</v>
      </c>
      <c r="D52" s="22"/>
      <c r="E52" s="21" t="s">
        <v>0</v>
      </c>
      <c r="F52" s="21"/>
      <c r="G52" s="147" t="s">
        <v>31</v>
      </c>
      <c r="H52" s="23" t="s">
        <v>404</v>
      </c>
      <c r="I52" s="23"/>
      <c r="J52" s="21" t="s">
        <v>35</v>
      </c>
      <c r="K52" s="21"/>
      <c r="L52" s="21"/>
      <c r="M52" s="46">
        <v>42768</v>
      </c>
      <c r="N52" s="44">
        <v>2257.1999999999998</v>
      </c>
      <c r="O52" s="22" t="s">
        <v>15</v>
      </c>
      <c r="P52" s="22" t="s">
        <v>19</v>
      </c>
      <c r="Q52" s="24">
        <f t="shared" si="4"/>
        <v>0</v>
      </c>
      <c r="R52" s="24">
        <f t="shared" si="3"/>
        <v>2257.1999999999998</v>
      </c>
      <c r="S52" s="5"/>
      <c r="T52" s="5"/>
    </row>
    <row r="53" spans="1:20" ht="15.75" hidden="1" x14ac:dyDescent="0.25">
      <c r="A53" t="s">
        <v>6091</v>
      </c>
      <c r="B53" s="21" t="s">
        <v>395</v>
      </c>
      <c r="C53" s="22" t="s">
        <v>2451</v>
      </c>
      <c r="D53" s="22"/>
      <c r="E53" s="21" t="s">
        <v>10</v>
      </c>
      <c r="F53" s="21"/>
      <c r="G53" s="147" t="s">
        <v>31</v>
      </c>
      <c r="H53" s="23" t="s">
        <v>405</v>
      </c>
      <c r="I53" s="23"/>
      <c r="J53" s="21" t="s">
        <v>280</v>
      </c>
      <c r="K53" s="21"/>
      <c r="L53" s="21"/>
      <c r="M53" s="46">
        <v>42825</v>
      </c>
      <c r="N53" s="44">
        <f>31047*0.4</f>
        <v>12418.800000000001</v>
      </c>
      <c r="O53" s="22" t="s">
        <v>15</v>
      </c>
      <c r="P53" s="22" t="s">
        <v>19</v>
      </c>
      <c r="Q53" s="24">
        <f t="shared" si="4"/>
        <v>0</v>
      </c>
      <c r="R53" s="24">
        <f t="shared" si="3"/>
        <v>12418.800000000001</v>
      </c>
      <c r="S53" s="5"/>
      <c r="T53" s="5"/>
    </row>
    <row r="54" spans="1:20" ht="15.75" hidden="1" x14ac:dyDescent="0.25">
      <c r="A54" t="s">
        <v>6091</v>
      </c>
      <c r="B54" s="21" t="s">
        <v>395</v>
      </c>
      <c r="C54" s="22" t="s">
        <v>2451</v>
      </c>
      <c r="D54" s="22"/>
      <c r="E54" s="21" t="s">
        <v>10</v>
      </c>
      <c r="F54" s="21"/>
      <c r="G54" s="147" t="s">
        <v>31</v>
      </c>
      <c r="H54" s="23" t="s">
        <v>405</v>
      </c>
      <c r="I54" s="23"/>
      <c r="J54" s="21" t="s">
        <v>281</v>
      </c>
      <c r="K54" s="21"/>
      <c r="L54" s="21"/>
      <c r="M54" s="46">
        <v>42893</v>
      </c>
      <c r="N54" s="44">
        <f>31047*0.5</f>
        <v>15523.5</v>
      </c>
      <c r="O54" s="22" t="s">
        <v>15</v>
      </c>
      <c r="P54" s="22" t="s">
        <v>19</v>
      </c>
      <c r="Q54" s="24">
        <f t="shared" si="4"/>
        <v>0</v>
      </c>
      <c r="R54" s="24">
        <f t="shared" si="3"/>
        <v>15523.5</v>
      </c>
      <c r="S54" s="5"/>
      <c r="T54" s="5"/>
    </row>
    <row r="55" spans="1:20" ht="15.75" hidden="1" x14ac:dyDescent="0.25">
      <c r="A55" t="s">
        <v>6091</v>
      </c>
      <c r="B55" s="21" t="s">
        <v>395</v>
      </c>
      <c r="C55" s="22" t="s">
        <v>2451</v>
      </c>
      <c r="D55" s="22"/>
      <c r="E55" s="21" t="s">
        <v>10</v>
      </c>
      <c r="F55" s="21"/>
      <c r="G55" s="147" t="s">
        <v>31</v>
      </c>
      <c r="H55" s="23" t="s">
        <v>405</v>
      </c>
      <c r="I55" s="23"/>
      <c r="J55" s="21" t="s">
        <v>282</v>
      </c>
      <c r="K55" s="21"/>
      <c r="L55" s="21"/>
      <c r="M55" s="46">
        <v>43108</v>
      </c>
      <c r="N55" s="44">
        <f>31047*0.1</f>
        <v>3104.7000000000003</v>
      </c>
      <c r="O55" s="22" t="s">
        <v>15</v>
      </c>
      <c r="P55" s="22" t="s">
        <v>19</v>
      </c>
      <c r="Q55" s="24">
        <f t="shared" si="4"/>
        <v>0</v>
      </c>
      <c r="R55" s="24">
        <f t="shared" si="3"/>
        <v>3104.7000000000003</v>
      </c>
      <c r="S55" s="5"/>
      <c r="T55" s="5"/>
    </row>
    <row r="56" spans="1:20" ht="15.75" hidden="1" x14ac:dyDescent="0.25">
      <c r="A56" t="s">
        <v>6091</v>
      </c>
      <c r="B56" s="21" t="s">
        <v>395</v>
      </c>
      <c r="C56" s="22" t="s">
        <v>2427</v>
      </c>
      <c r="D56" s="22"/>
      <c r="E56" s="21" t="s">
        <v>10</v>
      </c>
      <c r="F56" s="21"/>
      <c r="G56" s="147" t="s">
        <v>63</v>
      </c>
      <c r="H56" s="23" t="s">
        <v>308</v>
      </c>
      <c r="I56" s="23"/>
      <c r="J56" s="21" t="s">
        <v>64</v>
      </c>
      <c r="K56" s="21"/>
      <c r="L56" s="21"/>
      <c r="M56" s="46">
        <v>42692</v>
      </c>
      <c r="N56" s="44">
        <f>50900*50%</f>
        <v>25450</v>
      </c>
      <c r="O56" s="22" t="s">
        <v>15</v>
      </c>
      <c r="P56" s="22" t="s">
        <v>19</v>
      </c>
      <c r="Q56" s="24">
        <f t="shared" si="4"/>
        <v>0</v>
      </c>
      <c r="R56" s="24">
        <f t="shared" si="3"/>
        <v>25450</v>
      </c>
      <c r="S56" s="5"/>
      <c r="T56" s="5"/>
    </row>
    <row r="57" spans="1:20" ht="15.75" hidden="1" x14ac:dyDescent="0.25">
      <c r="A57" t="s">
        <v>6091</v>
      </c>
      <c r="B57" s="21" t="s">
        <v>395</v>
      </c>
      <c r="C57" s="22" t="s">
        <v>2427</v>
      </c>
      <c r="D57" s="22"/>
      <c r="E57" s="21" t="s">
        <v>10</v>
      </c>
      <c r="F57" s="21"/>
      <c r="G57" s="147" t="s">
        <v>63</v>
      </c>
      <c r="H57" s="23" t="s">
        <v>308</v>
      </c>
      <c r="I57" s="23"/>
      <c r="J57" s="21" t="s">
        <v>65</v>
      </c>
      <c r="K57" s="21"/>
      <c r="L57" s="21"/>
      <c r="M57" s="46">
        <v>42755</v>
      </c>
      <c r="N57" s="44">
        <f>50900*30%</f>
        <v>15270</v>
      </c>
      <c r="O57" s="22" t="s">
        <v>15</v>
      </c>
      <c r="P57" s="22" t="s">
        <v>19</v>
      </c>
      <c r="Q57" s="24">
        <f t="shared" si="4"/>
        <v>0</v>
      </c>
      <c r="R57" s="24">
        <f t="shared" si="3"/>
        <v>15270</v>
      </c>
      <c r="S57" s="5"/>
      <c r="T57" s="5"/>
    </row>
    <row r="58" spans="1:20" ht="15.75" hidden="1" x14ac:dyDescent="0.25">
      <c r="A58" t="s">
        <v>6091</v>
      </c>
      <c r="B58" s="21" t="s">
        <v>395</v>
      </c>
      <c r="C58" s="22" t="s">
        <v>2427</v>
      </c>
      <c r="D58" s="22"/>
      <c r="E58" s="21" t="s">
        <v>10</v>
      </c>
      <c r="F58" s="21"/>
      <c r="G58" s="147" t="s">
        <v>63</v>
      </c>
      <c r="H58" s="23" t="s">
        <v>308</v>
      </c>
      <c r="I58" s="23"/>
      <c r="J58" s="21" t="s">
        <v>66</v>
      </c>
      <c r="K58" s="21"/>
      <c r="L58" s="21"/>
      <c r="M58" s="46">
        <v>42888</v>
      </c>
      <c r="N58" s="44">
        <f>50900*20%</f>
        <v>10180</v>
      </c>
      <c r="O58" s="22" t="s">
        <v>15</v>
      </c>
      <c r="P58" s="22" t="s">
        <v>19</v>
      </c>
      <c r="Q58" s="24">
        <f t="shared" si="4"/>
        <v>0</v>
      </c>
      <c r="R58" s="24">
        <f t="shared" si="3"/>
        <v>10180</v>
      </c>
      <c r="S58" s="5"/>
      <c r="T58" s="5"/>
    </row>
    <row r="59" spans="1:20" ht="15.75" hidden="1" x14ac:dyDescent="0.25">
      <c r="A59" t="s">
        <v>6091</v>
      </c>
      <c r="B59" s="21" t="s">
        <v>395</v>
      </c>
      <c r="C59" s="22" t="s">
        <v>2427</v>
      </c>
      <c r="D59" s="22"/>
      <c r="E59" s="21" t="s">
        <v>10</v>
      </c>
      <c r="F59" s="21"/>
      <c r="G59" s="147" t="s">
        <v>63</v>
      </c>
      <c r="H59" s="23" t="s">
        <v>319</v>
      </c>
      <c r="I59" s="23"/>
      <c r="J59" s="21" t="s">
        <v>67</v>
      </c>
      <c r="K59" s="21"/>
      <c r="L59" s="21"/>
      <c r="M59" s="46">
        <v>42716</v>
      </c>
      <c r="N59" s="44">
        <f>35000*50%</f>
        <v>17500</v>
      </c>
      <c r="O59" s="22" t="s">
        <v>15</v>
      </c>
      <c r="P59" s="22" t="s">
        <v>19</v>
      </c>
      <c r="Q59" s="24">
        <f t="shared" si="4"/>
        <v>0</v>
      </c>
      <c r="R59" s="24">
        <f t="shared" si="3"/>
        <v>17500</v>
      </c>
      <c r="S59" s="5"/>
      <c r="T59" s="5"/>
    </row>
    <row r="60" spans="1:20" ht="15.75" hidden="1" x14ac:dyDescent="0.25">
      <c r="A60" t="s">
        <v>6091</v>
      </c>
      <c r="B60" s="21" t="s">
        <v>395</v>
      </c>
      <c r="C60" s="22" t="s">
        <v>2427</v>
      </c>
      <c r="D60" s="22"/>
      <c r="E60" s="21" t="s">
        <v>10</v>
      </c>
      <c r="F60" s="21"/>
      <c r="G60" s="147" t="s">
        <v>63</v>
      </c>
      <c r="H60" s="23" t="s">
        <v>319</v>
      </c>
      <c r="I60" s="23"/>
      <c r="J60" s="21" t="s">
        <v>68</v>
      </c>
      <c r="K60" s="21"/>
      <c r="L60" s="21"/>
      <c r="M60" s="46">
        <v>42779</v>
      </c>
      <c r="N60" s="44">
        <f>35000*30%</f>
        <v>10500</v>
      </c>
      <c r="O60" s="22" t="s">
        <v>15</v>
      </c>
      <c r="P60" s="22" t="s">
        <v>19</v>
      </c>
      <c r="Q60" s="24">
        <f t="shared" si="4"/>
        <v>0</v>
      </c>
      <c r="R60" s="24">
        <f t="shared" si="3"/>
        <v>10500</v>
      </c>
      <c r="S60" s="5"/>
      <c r="T60" s="5"/>
    </row>
    <row r="61" spans="1:20" ht="15.75" hidden="1" x14ac:dyDescent="0.25">
      <c r="A61" t="s">
        <v>6091</v>
      </c>
      <c r="B61" s="21" t="s">
        <v>395</v>
      </c>
      <c r="C61" s="22" t="s">
        <v>2427</v>
      </c>
      <c r="D61" s="22"/>
      <c r="E61" s="21" t="s">
        <v>10</v>
      </c>
      <c r="F61" s="21"/>
      <c r="G61" s="147" t="s">
        <v>63</v>
      </c>
      <c r="H61" s="23" t="s">
        <v>319</v>
      </c>
      <c r="I61" s="23"/>
      <c r="J61" s="21" t="s">
        <v>69</v>
      </c>
      <c r="K61" s="21"/>
      <c r="L61" s="21"/>
      <c r="M61" s="46">
        <v>42888</v>
      </c>
      <c r="N61" s="44">
        <f>35000*20%</f>
        <v>7000</v>
      </c>
      <c r="O61" s="22" t="s">
        <v>15</v>
      </c>
      <c r="P61" s="22" t="s">
        <v>19</v>
      </c>
      <c r="Q61" s="24">
        <f t="shared" si="4"/>
        <v>0</v>
      </c>
      <c r="R61" s="24">
        <f t="shared" si="3"/>
        <v>7000</v>
      </c>
      <c r="S61" s="5"/>
      <c r="T61" s="5"/>
    </row>
    <row r="62" spans="1:20" ht="15.75" hidden="1" x14ac:dyDescent="0.25">
      <c r="A62" t="s">
        <v>6091</v>
      </c>
      <c r="B62" s="21" t="s">
        <v>395</v>
      </c>
      <c r="C62" s="22" t="s">
        <v>2427</v>
      </c>
      <c r="D62" s="22"/>
      <c r="E62" s="21" t="s">
        <v>10</v>
      </c>
      <c r="F62" s="21"/>
      <c r="G62" s="147" t="s">
        <v>70</v>
      </c>
      <c r="H62" s="23" t="s">
        <v>406</v>
      </c>
      <c r="I62" s="23"/>
      <c r="J62" s="21" t="s">
        <v>71</v>
      </c>
      <c r="K62" s="21"/>
      <c r="L62" s="21"/>
      <c r="M62" s="46">
        <v>42704</v>
      </c>
      <c r="N62" s="44">
        <f>60900*50%</f>
        <v>30450</v>
      </c>
      <c r="O62" s="22" t="s">
        <v>15</v>
      </c>
      <c r="P62" s="22" t="s">
        <v>19</v>
      </c>
      <c r="Q62" s="24">
        <f t="shared" si="4"/>
        <v>0</v>
      </c>
      <c r="R62" s="24">
        <f t="shared" si="3"/>
        <v>30450</v>
      </c>
      <c r="S62" s="5"/>
      <c r="T62" s="5"/>
    </row>
    <row r="63" spans="1:20" ht="15.75" hidden="1" x14ac:dyDescent="0.25">
      <c r="A63" t="s">
        <v>6091</v>
      </c>
      <c r="B63" s="21" t="s">
        <v>395</v>
      </c>
      <c r="C63" s="22" t="s">
        <v>2427</v>
      </c>
      <c r="D63" s="22"/>
      <c r="E63" s="21" t="s">
        <v>10</v>
      </c>
      <c r="F63" s="21"/>
      <c r="G63" s="147" t="s">
        <v>70</v>
      </c>
      <c r="H63" s="23" t="s">
        <v>406</v>
      </c>
      <c r="I63" s="23"/>
      <c r="J63" s="21" t="s">
        <v>72</v>
      </c>
      <c r="K63" s="21"/>
      <c r="L63" s="21"/>
      <c r="M63" s="46">
        <v>42765</v>
      </c>
      <c r="N63" s="44">
        <f>60900*30%</f>
        <v>18270</v>
      </c>
      <c r="O63" s="22" t="s">
        <v>15</v>
      </c>
      <c r="P63" s="22" t="s">
        <v>19</v>
      </c>
      <c r="Q63" s="24">
        <f t="shared" si="4"/>
        <v>0</v>
      </c>
      <c r="R63" s="24">
        <f t="shared" si="3"/>
        <v>18270</v>
      </c>
      <c r="S63" s="5"/>
      <c r="T63" s="5"/>
    </row>
    <row r="64" spans="1:20" ht="15.75" hidden="1" x14ac:dyDescent="0.25">
      <c r="A64" t="s">
        <v>6091</v>
      </c>
      <c r="B64" s="21" t="s">
        <v>395</v>
      </c>
      <c r="C64" s="22" t="s">
        <v>2427</v>
      </c>
      <c r="D64" s="22"/>
      <c r="E64" s="21" t="s">
        <v>10</v>
      </c>
      <c r="F64" s="21"/>
      <c r="G64" s="147" t="s">
        <v>70</v>
      </c>
      <c r="H64" s="23" t="s">
        <v>406</v>
      </c>
      <c r="I64" s="23"/>
      <c r="J64" s="21" t="s">
        <v>73</v>
      </c>
      <c r="K64" s="21"/>
      <c r="L64" s="21"/>
      <c r="M64" s="46">
        <v>42947</v>
      </c>
      <c r="N64" s="44">
        <f>60900*20%</f>
        <v>12180</v>
      </c>
      <c r="O64" s="22" t="s">
        <v>15</v>
      </c>
      <c r="P64" s="22" t="s">
        <v>19</v>
      </c>
      <c r="Q64" s="24">
        <f t="shared" si="4"/>
        <v>0</v>
      </c>
      <c r="R64" s="24">
        <f t="shared" si="3"/>
        <v>12180</v>
      </c>
      <c r="S64" s="5"/>
      <c r="T64" s="5"/>
    </row>
    <row r="65" spans="1:20" ht="15.75" hidden="1" x14ac:dyDescent="0.25">
      <c r="A65" t="s">
        <v>6091</v>
      </c>
      <c r="B65" s="21" t="s">
        <v>395</v>
      </c>
      <c r="C65" s="22" t="s">
        <v>2427</v>
      </c>
      <c r="D65" s="22"/>
      <c r="E65" s="21" t="s">
        <v>10</v>
      </c>
      <c r="F65" s="21"/>
      <c r="G65" s="147" t="s">
        <v>70</v>
      </c>
      <c r="H65" s="23" t="s">
        <v>406</v>
      </c>
      <c r="I65" s="23"/>
      <c r="J65" s="21" t="s">
        <v>185</v>
      </c>
      <c r="K65" s="21"/>
      <c r="L65" s="21"/>
      <c r="M65" s="46">
        <v>42765</v>
      </c>
      <c r="N65" s="44">
        <v>3300</v>
      </c>
      <c r="O65" s="22" t="s">
        <v>15</v>
      </c>
      <c r="P65" s="22" t="s">
        <v>19</v>
      </c>
      <c r="Q65" s="24">
        <f t="shared" si="4"/>
        <v>0</v>
      </c>
      <c r="R65" s="24">
        <f t="shared" si="3"/>
        <v>3300</v>
      </c>
      <c r="S65" s="5"/>
      <c r="T65" s="5"/>
    </row>
    <row r="66" spans="1:20" ht="15.75" hidden="1" x14ac:dyDescent="0.25">
      <c r="A66" t="s">
        <v>6091</v>
      </c>
      <c r="B66" s="21" t="s">
        <v>395</v>
      </c>
      <c r="C66" s="22" t="s">
        <v>2427</v>
      </c>
      <c r="D66" s="22"/>
      <c r="E66" s="21" t="s">
        <v>10</v>
      </c>
      <c r="F66" s="21"/>
      <c r="G66" s="147" t="s">
        <v>70</v>
      </c>
      <c r="H66" s="23" t="s">
        <v>407</v>
      </c>
      <c r="I66" s="23"/>
      <c r="J66" s="21" t="s">
        <v>2430</v>
      </c>
      <c r="K66" s="21"/>
      <c r="L66" s="21"/>
      <c r="M66" s="46">
        <v>42573</v>
      </c>
      <c r="N66" s="44">
        <v>46575.61</v>
      </c>
      <c r="O66" s="22" t="s">
        <v>15</v>
      </c>
      <c r="P66" s="22" t="s">
        <v>19</v>
      </c>
      <c r="Q66" s="24">
        <f t="shared" si="4"/>
        <v>0</v>
      </c>
      <c r="R66" s="24">
        <f t="shared" si="3"/>
        <v>46575.61</v>
      </c>
      <c r="S66" s="5"/>
      <c r="T66" s="5"/>
    </row>
    <row r="67" spans="1:20" ht="15.75" hidden="1" x14ac:dyDescent="0.25">
      <c r="A67" t="s">
        <v>6091</v>
      </c>
      <c r="B67" s="21" t="s">
        <v>395</v>
      </c>
      <c r="C67" s="22" t="s">
        <v>2427</v>
      </c>
      <c r="D67" s="22"/>
      <c r="E67" s="21" t="s">
        <v>10</v>
      </c>
      <c r="F67" s="21"/>
      <c r="G67" s="147" t="s">
        <v>70</v>
      </c>
      <c r="H67" s="23" t="s">
        <v>407</v>
      </c>
      <c r="I67" s="23"/>
      <c r="J67" s="21" t="s">
        <v>2431</v>
      </c>
      <c r="K67" s="21"/>
      <c r="L67" s="21"/>
      <c r="M67" s="46">
        <v>42608</v>
      </c>
      <c r="N67" s="44">
        <v>27945.360000000001</v>
      </c>
      <c r="O67" s="22" t="s">
        <v>15</v>
      </c>
      <c r="P67" s="22" t="s">
        <v>19</v>
      </c>
      <c r="Q67" s="24">
        <f t="shared" si="4"/>
        <v>0</v>
      </c>
      <c r="R67" s="24">
        <f t="shared" si="3"/>
        <v>27945.360000000001</v>
      </c>
      <c r="S67" s="5"/>
      <c r="T67" s="5"/>
    </row>
    <row r="68" spans="1:20" ht="15.75" hidden="1" x14ac:dyDescent="0.25">
      <c r="A68" t="s">
        <v>6091</v>
      </c>
      <c r="B68" s="21" t="s">
        <v>395</v>
      </c>
      <c r="C68" s="22" t="s">
        <v>2427</v>
      </c>
      <c r="D68" s="22"/>
      <c r="E68" s="21" t="s">
        <v>10</v>
      </c>
      <c r="F68" s="21"/>
      <c r="G68" s="147" t="s">
        <v>70</v>
      </c>
      <c r="H68" s="23" t="s">
        <v>407</v>
      </c>
      <c r="I68" s="23"/>
      <c r="J68" s="21" t="s">
        <v>2432</v>
      </c>
      <c r="K68" s="21"/>
      <c r="L68" s="21"/>
      <c r="M68" s="46">
        <v>42765</v>
      </c>
      <c r="N68" s="44">
        <v>18630.25</v>
      </c>
      <c r="O68" s="22" t="s">
        <v>15</v>
      </c>
      <c r="P68" s="22" t="s">
        <v>19</v>
      </c>
      <c r="Q68" s="24">
        <f t="shared" si="4"/>
        <v>0</v>
      </c>
      <c r="R68" s="24">
        <f t="shared" si="3"/>
        <v>18630.25</v>
      </c>
      <c r="S68" s="5"/>
      <c r="T68" s="5"/>
    </row>
    <row r="69" spans="1:20" ht="15.75" hidden="1" x14ac:dyDescent="0.25">
      <c r="A69" t="s">
        <v>6091</v>
      </c>
      <c r="B69" s="21" t="s">
        <v>395</v>
      </c>
      <c r="C69" s="22" t="s">
        <v>2427</v>
      </c>
      <c r="D69" s="22"/>
      <c r="E69" s="21" t="s">
        <v>10</v>
      </c>
      <c r="F69" s="21"/>
      <c r="G69" s="147" t="s">
        <v>70</v>
      </c>
      <c r="H69" s="23" t="s">
        <v>408</v>
      </c>
      <c r="I69" s="23"/>
      <c r="J69" s="21" t="s">
        <v>2428</v>
      </c>
      <c r="K69" s="21"/>
      <c r="L69" s="21"/>
      <c r="M69" s="46">
        <v>42475</v>
      </c>
      <c r="N69" s="44">
        <v>16400</v>
      </c>
      <c r="O69" s="22" t="s">
        <v>15</v>
      </c>
      <c r="P69" s="22" t="s">
        <v>19</v>
      </c>
      <c r="Q69" s="24">
        <f t="shared" si="4"/>
        <v>0</v>
      </c>
      <c r="R69" s="24">
        <f t="shared" si="3"/>
        <v>16400</v>
      </c>
      <c r="S69" s="5"/>
      <c r="T69" s="5"/>
    </row>
    <row r="70" spans="1:20" ht="15.75" hidden="1" x14ac:dyDescent="0.25">
      <c r="A70" t="s">
        <v>6091</v>
      </c>
      <c r="B70" s="21" t="s">
        <v>395</v>
      </c>
      <c r="C70" s="22" t="s">
        <v>2427</v>
      </c>
      <c r="D70" s="22"/>
      <c r="E70" s="21" t="s">
        <v>10</v>
      </c>
      <c r="F70" s="21"/>
      <c r="G70" s="147" t="s">
        <v>70</v>
      </c>
      <c r="H70" s="23" t="s">
        <v>408</v>
      </c>
      <c r="I70" s="23"/>
      <c r="J70" s="21" t="s">
        <v>2429</v>
      </c>
      <c r="K70" s="21"/>
      <c r="L70" s="21"/>
      <c r="M70" s="46">
        <v>42516</v>
      </c>
      <c r="N70" s="44">
        <v>9840</v>
      </c>
      <c r="O70" s="22" t="s">
        <v>15</v>
      </c>
      <c r="P70" s="22" t="s">
        <v>19</v>
      </c>
      <c r="Q70" s="24">
        <f t="shared" si="4"/>
        <v>0</v>
      </c>
      <c r="R70" s="24">
        <f t="shared" si="3"/>
        <v>9840</v>
      </c>
      <c r="S70" s="5"/>
      <c r="T70" s="5"/>
    </row>
    <row r="71" spans="1:20" ht="15.75" hidden="1" x14ac:dyDescent="0.25">
      <c r="A71" t="s">
        <v>6091</v>
      </c>
      <c r="B71" s="21" t="s">
        <v>395</v>
      </c>
      <c r="C71" s="22" t="s">
        <v>2427</v>
      </c>
      <c r="D71" s="22"/>
      <c r="E71" s="21" t="s">
        <v>10</v>
      </c>
      <c r="F71" s="21"/>
      <c r="G71" s="147" t="s">
        <v>70</v>
      </c>
      <c r="H71" s="23" t="s">
        <v>408</v>
      </c>
      <c r="I71" s="23"/>
      <c r="J71" s="21" t="s">
        <v>2432</v>
      </c>
      <c r="K71" s="21"/>
      <c r="L71" s="21"/>
      <c r="M71" s="46">
        <v>42573</v>
      </c>
      <c r="N71" s="44">
        <v>6560</v>
      </c>
      <c r="O71" s="22" t="s">
        <v>15</v>
      </c>
      <c r="P71" s="22" t="s">
        <v>19</v>
      </c>
      <c r="Q71" s="24">
        <f t="shared" si="4"/>
        <v>0</v>
      </c>
      <c r="R71" s="24">
        <f t="shared" si="3"/>
        <v>6560</v>
      </c>
      <c r="S71" s="5"/>
      <c r="T71" s="5"/>
    </row>
    <row r="72" spans="1:20" ht="15.75" hidden="1" x14ac:dyDescent="0.25">
      <c r="A72" t="s">
        <v>6091</v>
      </c>
      <c r="B72" s="21" t="s">
        <v>395</v>
      </c>
      <c r="C72" s="22" t="s">
        <v>2427</v>
      </c>
      <c r="D72" s="22"/>
      <c r="E72" s="21" t="s">
        <v>10</v>
      </c>
      <c r="F72" s="21"/>
      <c r="G72" s="147" t="s">
        <v>70</v>
      </c>
      <c r="H72" s="23" t="s">
        <v>409</v>
      </c>
      <c r="I72" s="23"/>
      <c r="J72" s="21" t="s">
        <v>197</v>
      </c>
      <c r="K72" s="21"/>
      <c r="L72" s="21"/>
      <c r="M72" s="46">
        <v>42825</v>
      </c>
      <c r="N72" s="44">
        <v>32200</v>
      </c>
      <c r="O72" s="22" t="s">
        <v>15</v>
      </c>
      <c r="P72" s="22" t="s">
        <v>19</v>
      </c>
      <c r="Q72" s="24">
        <f t="shared" si="4"/>
        <v>0</v>
      </c>
      <c r="R72" s="24">
        <f t="shared" si="3"/>
        <v>32200</v>
      </c>
      <c r="S72" s="5"/>
      <c r="T72" s="5"/>
    </row>
    <row r="73" spans="1:20" ht="15.75" hidden="1" x14ac:dyDescent="0.25">
      <c r="A73" t="s">
        <v>6091</v>
      </c>
      <c r="B73" s="21" t="s">
        <v>395</v>
      </c>
      <c r="C73" s="22" t="s">
        <v>2427</v>
      </c>
      <c r="D73" s="22"/>
      <c r="E73" s="21" t="s">
        <v>10</v>
      </c>
      <c r="F73" s="21"/>
      <c r="G73" s="147" t="s">
        <v>70</v>
      </c>
      <c r="H73" s="23" t="s">
        <v>409</v>
      </c>
      <c r="I73" s="23"/>
      <c r="J73" s="21" t="s">
        <v>198</v>
      </c>
      <c r="K73" s="21"/>
      <c r="L73" s="21"/>
      <c r="M73" s="46">
        <v>42855</v>
      </c>
      <c r="N73" s="44">
        <v>19320</v>
      </c>
      <c r="O73" s="22" t="s">
        <v>15</v>
      </c>
      <c r="P73" s="22" t="s">
        <v>19</v>
      </c>
      <c r="Q73" s="24">
        <f t="shared" si="4"/>
        <v>0</v>
      </c>
      <c r="R73" s="24">
        <f t="shared" ref="R73:R83" si="5">IF(P73="OK",N73-Q73,IF(P73="en cours",N73-Q73,P73))</f>
        <v>19320</v>
      </c>
      <c r="S73" s="5"/>
      <c r="T73" s="5"/>
    </row>
    <row r="74" spans="1:20" ht="15.75" hidden="1" x14ac:dyDescent="0.25">
      <c r="A74" t="s">
        <v>6091</v>
      </c>
      <c r="B74" s="21" t="s">
        <v>395</v>
      </c>
      <c r="C74" s="22" t="s">
        <v>2427</v>
      </c>
      <c r="D74" s="22"/>
      <c r="E74" s="21" t="s">
        <v>10</v>
      </c>
      <c r="F74" s="21"/>
      <c r="G74" s="147" t="s">
        <v>70</v>
      </c>
      <c r="H74" s="23" t="s">
        <v>410</v>
      </c>
      <c r="I74" s="23"/>
      <c r="J74" s="21" t="s">
        <v>197</v>
      </c>
      <c r="K74" s="21"/>
      <c r="L74" s="21"/>
      <c r="M74" s="46" t="s">
        <v>284</v>
      </c>
      <c r="N74" s="44">
        <f>36200*50%</f>
        <v>18100</v>
      </c>
      <c r="O74" s="22" t="s">
        <v>15</v>
      </c>
      <c r="P74" s="22" t="s">
        <v>19</v>
      </c>
      <c r="Q74" s="24">
        <f t="shared" si="4"/>
        <v>0</v>
      </c>
      <c r="R74" s="24">
        <f t="shared" si="5"/>
        <v>18100</v>
      </c>
      <c r="S74" s="5"/>
      <c r="T74" s="5"/>
    </row>
    <row r="75" spans="1:20" ht="15.75" hidden="1" x14ac:dyDescent="0.25">
      <c r="A75" t="s">
        <v>6091</v>
      </c>
      <c r="B75" s="21" t="s">
        <v>395</v>
      </c>
      <c r="C75" s="22" t="s">
        <v>2427</v>
      </c>
      <c r="D75" s="22"/>
      <c r="E75" s="21" t="s">
        <v>10</v>
      </c>
      <c r="F75" s="21"/>
      <c r="G75" s="147" t="s">
        <v>70</v>
      </c>
      <c r="H75" s="23" t="s">
        <v>410</v>
      </c>
      <c r="I75" s="23"/>
      <c r="J75" s="21" t="s">
        <v>198</v>
      </c>
      <c r="K75" s="21"/>
      <c r="L75" s="21"/>
      <c r="M75" s="46" t="s">
        <v>285</v>
      </c>
      <c r="N75" s="44">
        <f>36200*30%</f>
        <v>10860</v>
      </c>
      <c r="O75" s="22" t="s">
        <v>15</v>
      </c>
      <c r="P75" s="22" t="s">
        <v>19</v>
      </c>
      <c r="Q75" s="24">
        <f t="shared" si="4"/>
        <v>0</v>
      </c>
      <c r="R75" s="24">
        <f t="shared" si="5"/>
        <v>10860</v>
      </c>
      <c r="S75" s="5"/>
      <c r="T75" s="5"/>
    </row>
    <row r="76" spans="1:20" ht="15.75" hidden="1" x14ac:dyDescent="0.25">
      <c r="A76" t="s">
        <v>6091</v>
      </c>
      <c r="B76" s="21" t="s">
        <v>395</v>
      </c>
      <c r="C76" s="22" t="s">
        <v>2427</v>
      </c>
      <c r="D76" s="22"/>
      <c r="E76" s="21" t="s">
        <v>10</v>
      </c>
      <c r="F76" s="21"/>
      <c r="G76" s="147" t="s">
        <v>70</v>
      </c>
      <c r="H76" s="23" t="s">
        <v>410</v>
      </c>
      <c r="I76" s="23"/>
      <c r="J76" s="21" t="s">
        <v>199</v>
      </c>
      <c r="K76" s="21"/>
      <c r="L76" s="21"/>
      <c r="M76" s="46" t="s">
        <v>201</v>
      </c>
      <c r="N76" s="44">
        <f>36200*20%</f>
        <v>7240</v>
      </c>
      <c r="O76" s="22" t="s">
        <v>15</v>
      </c>
      <c r="P76" s="22" t="s">
        <v>19</v>
      </c>
      <c r="Q76" s="24">
        <f t="shared" si="4"/>
        <v>0</v>
      </c>
      <c r="R76" s="24">
        <f t="shared" si="5"/>
        <v>7240</v>
      </c>
      <c r="S76" s="5"/>
      <c r="T76" s="5"/>
    </row>
    <row r="77" spans="1:20" ht="15.75" hidden="1" x14ac:dyDescent="0.25">
      <c r="A77" t="s">
        <v>6091</v>
      </c>
      <c r="B77" s="21" t="s">
        <v>395</v>
      </c>
      <c r="C77" s="22" t="s">
        <v>2427</v>
      </c>
      <c r="D77" s="22"/>
      <c r="E77" s="21" t="s">
        <v>10</v>
      </c>
      <c r="F77" s="21"/>
      <c r="G77" s="147" t="s">
        <v>70</v>
      </c>
      <c r="H77" s="23" t="s">
        <v>410</v>
      </c>
      <c r="I77" s="23"/>
      <c r="J77" s="21" t="s">
        <v>200</v>
      </c>
      <c r="K77" s="21"/>
      <c r="L77" s="21"/>
      <c r="M77" s="46" t="s">
        <v>201</v>
      </c>
      <c r="N77" s="44">
        <v>0</v>
      </c>
      <c r="O77" s="22" t="s">
        <v>15</v>
      </c>
      <c r="P77" s="22" t="s">
        <v>19</v>
      </c>
      <c r="Q77" s="24">
        <f t="shared" si="4"/>
        <v>0</v>
      </c>
      <c r="R77" s="24">
        <f t="shared" si="5"/>
        <v>0</v>
      </c>
      <c r="S77" s="5"/>
      <c r="T77" s="5"/>
    </row>
    <row r="78" spans="1:20" ht="15.75" hidden="1" x14ac:dyDescent="0.25">
      <c r="A78" t="s">
        <v>6091</v>
      </c>
      <c r="B78" s="21" t="s">
        <v>395</v>
      </c>
      <c r="C78" s="22" t="s">
        <v>2427</v>
      </c>
      <c r="D78" s="22"/>
      <c r="E78" s="21" t="s">
        <v>10</v>
      </c>
      <c r="F78" s="21"/>
      <c r="G78" s="147" t="s">
        <v>70</v>
      </c>
      <c r="H78" s="23" t="s">
        <v>411</v>
      </c>
      <c r="I78" s="23"/>
      <c r="J78" s="21" t="s">
        <v>197</v>
      </c>
      <c r="K78" s="21"/>
      <c r="L78" s="21"/>
      <c r="M78" s="46" t="s">
        <v>284</v>
      </c>
      <c r="N78" s="44">
        <f>70900*50%</f>
        <v>35450</v>
      </c>
      <c r="O78" s="22" t="s">
        <v>15</v>
      </c>
      <c r="P78" s="22" t="s">
        <v>19</v>
      </c>
      <c r="Q78" s="24">
        <f t="shared" si="4"/>
        <v>0</v>
      </c>
      <c r="R78" s="24">
        <f t="shared" si="5"/>
        <v>35450</v>
      </c>
      <c r="S78" s="5"/>
      <c r="T78" s="5"/>
    </row>
    <row r="79" spans="1:20" ht="15.75" hidden="1" x14ac:dyDescent="0.25">
      <c r="A79" t="s">
        <v>6091</v>
      </c>
      <c r="B79" s="21" t="s">
        <v>395</v>
      </c>
      <c r="C79" s="22" t="s">
        <v>2427</v>
      </c>
      <c r="D79" s="22"/>
      <c r="E79" s="21" t="s">
        <v>10</v>
      </c>
      <c r="F79" s="21"/>
      <c r="G79" s="147" t="s">
        <v>70</v>
      </c>
      <c r="H79" s="23" t="s">
        <v>411</v>
      </c>
      <c r="I79" s="23"/>
      <c r="J79" s="21" t="s">
        <v>198</v>
      </c>
      <c r="K79" s="21"/>
      <c r="L79" s="21"/>
      <c r="M79" s="46" t="s">
        <v>286</v>
      </c>
      <c r="N79" s="44">
        <f>70900*30%</f>
        <v>21270</v>
      </c>
      <c r="O79" s="22" t="s">
        <v>15</v>
      </c>
      <c r="P79" s="22" t="s">
        <v>19</v>
      </c>
      <c r="Q79" s="24">
        <f t="shared" si="4"/>
        <v>0</v>
      </c>
      <c r="R79" s="24">
        <f t="shared" si="5"/>
        <v>21270</v>
      </c>
      <c r="S79" s="5"/>
      <c r="T79" s="5"/>
    </row>
    <row r="80" spans="1:20" ht="15.75" hidden="1" x14ac:dyDescent="0.25">
      <c r="A80" t="s">
        <v>6091</v>
      </c>
      <c r="B80" s="21" t="s">
        <v>395</v>
      </c>
      <c r="C80" s="22" t="s">
        <v>2427</v>
      </c>
      <c r="D80" s="22"/>
      <c r="E80" s="21" t="s">
        <v>10</v>
      </c>
      <c r="F80" s="21"/>
      <c r="G80" s="147" t="s">
        <v>70</v>
      </c>
      <c r="H80" s="23" t="s">
        <v>411</v>
      </c>
      <c r="I80" s="23"/>
      <c r="J80" s="21" t="s">
        <v>199</v>
      </c>
      <c r="K80" s="21"/>
      <c r="L80" s="21"/>
      <c r="M80" s="46" t="s">
        <v>201</v>
      </c>
      <c r="N80" s="44">
        <f>70900*20%</f>
        <v>14180</v>
      </c>
      <c r="O80" s="22" t="s">
        <v>15</v>
      </c>
      <c r="P80" s="22" t="s">
        <v>19</v>
      </c>
      <c r="Q80" s="24">
        <f t="shared" si="4"/>
        <v>0</v>
      </c>
      <c r="R80" s="24">
        <f t="shared" si="5"/>
        <v>14180</v>
      </c>
      <c r="S80" s="5"/>
      <c r="T80" s="5"/>
    </row>
    <row r="81" spans="1:20" ht="15.75" hidden="1" x14ac:dyDescent="0.25">
      <c r="A81" t="s">
        <v>6091</v>
      </c>
      <c r="B81" s="21" t="s">
        <v>395</v>
      </c>
      <c r="C81" s="22" t="s">
        <v>2427</v>
      </c>
      <c r="D81" s="22"/>
      <c r="E81" s="21" t="s">
        <v>10</v>
      </c>
      <c r="F81" s="21"/>
      <c r="G81" s="147" t="s">
        <v>70</v>
      </c>
      <c r="H81" s="23" t="s">
        <v>411</v>
      </c>
      <c r="I81" s="23"/>
      <c r="J81" s="21" t="s">
        <v>200</v>
      </c>
      <c r="K81" s="21"/>
      <c r="L81" s="21"/>
      <c r="M81" s="46" t="s">
        <v>201</v>
      </c>
      <c r="N81" s="44">
        <v>0</v>
      </c>
      <c r="O81" s="22" t="s">
        <v>15</v>
      </c>
      <c r="P81" s="22" t="s">
        <v>19</v>
      </c>
      <c r="Q81" s="24">
        <f t="shared" si="4"/>
        <v>0</v>
      </c>
      <c r="R81" s="24">
        <f t="shared" si="5"/>
        <v>0</v>
      </c>
      <c r="S81" s="5"/>
      <c r="T81" s="5"/>
    </row>
    <row r="82" spans="1:20" ht="15.75" hidden="1" x14ac:dyDescent="0.25">
      <c r="A82" t="s">
        <v>6091</v>
      </c>
      <c r="B82" s="21" t="s">
        <v>395</v>
      </c>
      <c r="C82" s="22" t="s">
        <v>2427</v>
      </c>
      <c r="D82" s="22"/>
      <c r="E82" s="21" t="s">
        <v>10</v>
      </c>
      <c r="F82" s="21"/>
      <c r="G82" s="147" t="s">
        <v>70</v>
      </c>
      <c r="H82" s="23" t="s">
        <v>411</v>
      </c>
      <c r="I82" s="23"/>
      <c r="J82" s="21" t="s">
        <v>377</v>
      </c>
      <c r="K82" s="21"/>
      <c r="L82" s="21"/>
      <c r="M82" s="46" t="s">
        <v>378</v>
      </c>
      <c r="N82" s="44">
        <v>14180</v>
      </c>
      <c r="O82" s="22" t="s">
        <v>15</v>
      </c>
      <c r="P82" s="22" t="s">
        <v>19</v>
      </c>
      <c r="Q82" s="24">
        <f t="shared" si="4"/>
        <v>0</v>
      </c>
      <c r="R82" s="24">
        <f t="shared" si="5"/>
        <v>14180</v>
      </c>
      <c r="S82" s="5"/>
      <c r="T82" s="5"/>
    </row>
    <row r="83" spans="1:20" ht="15.75" hidden="1" x14ac:dyDescent="0.25">
      <c r="A83" t="s">
        <v>6091</v>
      </c>
      <c r="B83" s="21" t="s">
        <v>395</v>
      </c>
      <c r="C83" s="22" t="s">
        <v>2451</v>
      </c>
      <c r="D83" s="22"/>
      <c r="E83" s="21" t="s">
        <v>0</v>
      </c>
      <c r="F83" s="21"/>
      <c r="G83" s="147" t="s">
        <v>76</v>
      </c>
      <c r="H83" s="23"/>
      <c r="I83" s="23"/>
      <c r="J83" s="21" t="s">
        <v>78</v>
      </c>
      <c r="K83" s="21"/>
      <c r="L83" s="21"/>
      <c r="M83" s="46">
        <v>42698</v>
      </c>
      <c r="N83" s="44">
        <f>46428*50%</f>
        <v>23214</v>
      </c>
      <c r="O83" s="22" t="s">
        <v>15</v>
      </c>
      <c r="P83" s="22" t="s">
        <v>19</v>
      </c>
      <c r="Q83" s="24">
        <f t="shared" si="4"/>
        <v>0</v>
      </c>
      <c r="R83" s="24">
        <f t="shared" si="5"/>
        <v>23214</v>
      </c>
      <c r="S83" s="5"/>
      <c r="T83" s="5"/>
    </row>
    <row r="84" spans="1:20" ht="15.75" hidden="1" x14ac:dyDescent="0.25">
      <c r="A84" t="s">
        <v>6091</v>
      </c>
      <c r="B84" s="21" t="s">
        <v>395</v>
      </c>
      <c r="C84" s="22" t="s">
        <v>2451</v>
      </c>
      <c r="D84" s="22"/>
      <c r="E84" s="21" t="s">
        <v>0</v>
      </c>
      <c r="F84" s="21"/>
      <c r="G84" s="147" t="s">
        <v>76</v>
      </c>
      <c r="H84" s="23"/>
      <c r="I84" s="23"/>
      <c r="J84" s="21" t="s">
        <v>79</v>
      </c>
      <c r="K84" s="21"/>
      <c r="L84" s="21"/>
      <c r="M84" s="46">
        <v>43026.239999999998</v>
      </c>
      <c r="N84" s="44">
        <f>83106.12+2857.12-N83</f>
        <v>62749.239999999991</v>
      </c>
      <c r="O84" s="22" t="s">
        <v>15</v>
      </c>
      <c r="P84" s="22" t="s">
        <v>19</v>
      </c>
      <c r="Q84" s="24">
        <v>0</v>
      </c>
      <c r="R84" s="24">
        <v>0</v>
      </c>
      <c r="S84" s="5"/>
      <c r="T84" s="5"/>
    </row>
    <row r="85" spans="1:20" ht="15.75" hidden="1" x14ac:dyDescent="0.25">
      <c r="A85" t="s">
        <v>6091</v>
      </c>
      <c r="B85" s="21" t="s">
        <v>395</v>
      </c>
      <c r="C85" s="22" t="s">
        <v>2451</v>
      </c>
      <c r="D85" s="22"/>
      <c r="E85" s="21" t="s">
        <v>0</v>
      </c>
      <c r="F85" s="21"/>
      <c r="G85" s="147" t="s">
        <v>76</v>
      </c>
      <c r="H85" s="23"/>
      <c r="I85" s="23"/>
      <c r="J85" s="21" t="s">
        <v>80</v>
      </c>
      <c r="K85" s="21"/>
      <c r="L85" s="21"/>
      <c r="M85" s="46">
        <v>9285.6</v>
      </c>
      <c r="N85" s="44">
        <f>46428*20%</f>
        <v>9285.6</v>
      </c>
      <c r="O85" s="22" t="s">
        <v>15</v>
      </c>
      <c r="P85" s="22" t="s">
        <v>19</v>
      </c>
      <c r="Q85" s="24">
        <v>0</v>
      </c>
      <c r="R85" s="24">
        <v>0</v>
      </c>
      <c r="S85" s="5"/>
      <c r="T85" s="5"/>
    </row>
    <row r="86" spans="1:20" ht="15.75" hidden="1" x14ac:dyDescent="0.25">
      <c r="A86" t="s">
        <v>6091</v>
      </c>
      <c r="B86" s="21" t="s">
        <v>395</v>
      </c>
      <c r="C86" s="22" t="s">
        <v>2451</v>
      </c>
      <c r="D86" s="22"/>
      <c r="E86" s="21" t="s">
        <v>0</v>
      </c>
      <c r="F86" s="21"/>
      <c r="G86" s="147" t="s">
        <v>76</v>
      </c>
      <c r="H86" s="23"/>
      <c r="I86" s="23"/>
      <c r="J86" s="21" t="s">
        <v>312</v>
      </c>
      <c r="K86" s="21"/>
      <c r="L86" s="21"/>
      <c r="M86" s="46">
        <v>42838</v>
      </c>
      <c r="N86" s="44">
        <f>N83+N84+N85+-N83</f>
        <v>72034.84</v>
      </c>
      <c r="O86" s="22" t="s">
        <v>15</v>
      </c>
      <c r="P86" s="22">
        <v>75299</v>
      </c>
      <c r="Q86" s="24">
        <f>IF(P86="en cours",N86,IF(P86="OK",0,IF(N86-P86&lt;0,0,N86-P86)))</f>
        <v>0</v>
      </c>
      <c r="R86" s="24">
        <f t="shared" ref="R86:R117" si="6">IF(P86="OK",N86-Q86,IF(P86="en cours",N86-Q86,P86))</f>
        <v>75299</v>
      </c>
      <c r="S86" s="5"/>
      <c r="T86" s="5"/>
    </row>
    <row r="87" spans="1:20" ht="15.75" hidden="1" x14ac:dyDescent="0.25">
      <c r="A87" t="s">
        <v>6091</v>
      </c>
      <c r="B87" s="21" t="s">
        <v>395</v>
      </c>
      <c r="C87" s="22" t="s">
        <v>2451</v>
      </c>
      <c r="D87" s="22"/>
      <c r="E87" s="21" t="s">
        <v>0</v>
      </c>
      <c r="F87" s="21"/>
      <c r="G87" s="147" t="s">
        <v>76</v>
      </c>
      <c r="H87" s="23"/>
      <c r="I87" s="23"/>
      <c r="J87" s="21" t="s">
        <v>313</v>
      </c>
      <c r="K87" s="21"/>
      <c r="L87" s="21"/>
      <c r="M87" s="46"/>
      <c r="N87" s="44">
        <v>0</v>
      </c>
      <c r="O87" s="22" t="s">
        <v>15</v>
      </c>
      <c r="P87" s="22" t="s">
        <v>19</v>
      </c>
      <c r="Q87" s="24">
        <f>IF(P87="en cours",N87,IF(P87="OK",0,IF(N87-P87&lt;0,0,N87-P87)))</f>
        <v>0</v>
      </c>
      <c r="R87" s="24">
        <f t="shared" si="6"/>
        <v>0</v>
      </c>
      <c r="S87" s="5"/>
      <c r="T87" s="5"/>
    </row>
    <row r="88" spans="1:20" ht="15.75" hidden="1" x14ac:dyDescent="0.25">
      <c r="A88" t="s">
        <v>6091</v>
      </c>
      <c r="B88" s="21" t="s">
        <v>395</v>
      </c>
      <c r="C88" s="22" t="s">
        <v>2451</v>
      </c>
      <c r="D88" s="22"/>
      <c r="E88" s="21" t="s">
        <v>0</v>
      </c>
      <c r="F88" s="21"/>
      <c r="G88" s="147" t="s">
        <v>76</v>
      </c>
      <c r="H88" s="23"/>
      <c r="I88" s="23"/>
      <c r="J88" s="21" t="s">
        <v>314</v>
      </c>
      <c r="K88" s="21"/>
      <c r="L88" s="21"/>
      <c r="M88" s="46"/>
      <c r="N88" s="44">
        <v>0</v>
      </c>
      <c r="O88" s="22" t="s">
        <v>15</v>
      </c>
      <c r="P88" s="22" t="s">
        <v>19</v>
      </c>
      <c r="Q88" s="24">
        <f>IF(P88="en cours",N88,IF(P88="OK",0,IF(N88-P88&lt;0,0,N88-P88)))</f>
        <v>0</v>
      </c>
      <c r="R88" s="24">
        <f t="shared" si="6"/>
        <v>0</v>
      </c>
      <c r="S88" s="5"/>
      <c r="T88" s="5"/>
    </row>
    <row r="89" spans="1:20" ht="15.75" hidden="1" x14ac:dyDescent="0.25">
      <c r="A89" t="s">
        <v>6091</v>
      </c>
      <c r="B89" s="21" t="s">
        <v>395</v>
      </c>
      <c r="C89" s="22" t="s">
        <v>2451</v>
      </c>
      <c r="D89" s="22"/>
      <c r="E89" s="21" t="s">
        <v>0</v>
      </c>
      <c r="F89" s="21"/>
      <c r="G89" s="147" t="s">
        <v>76</v>
      </c>
      <c r="H89" s="23"/>
      <c r="I89" s="23"/>
      <c r="J89" s="21" t="s">
        <v>315</v>
      </c>
      <c r="K89" s="21"/>
      <c r="L89" s="21"/>
      <c r="M89" s="46"/>
      <c r="N89" s="44">
        <v>0</v>
      </c>
      <c r="O89" s="22" t="s">
        <v>15</v>
      </c>
      <c r="P89" s="22" t="s">
        <v>19</v>
      </c>
      <c r="Q89" s="24">
        <f>IF(P89="en cours",N89,IF(P89="OK",0,IF(N89-P89&lt;0,0,N89-P89)))</f>
        <v>0</v>
      </c>
      <c r="R89" s="24">
        <f t="shared" si="6"/>
        <v>0</v>
      </c>
      <c r="S89" s="5"/>
      <c r="T89" s="5"/>
    </row>
    <row r="90" spans="1:20" ht="15.75" hidden="1" x14ac:dyDescent="0.25">
      <c r="A90" t="s">
        <v>6091</v>
      </c>
      <c r="B90" s="21" t="s">
        <v>395</v>
      </c>
      <c r="C90" s="22" t="s">
        <v>2451</v>
      </c>
      <c r="D90" s="22"/>
      <c r="E90" s="21" t="s">
        <v>0</v>
      </c>
      <c r="F90" s="21"/>
      <c r="G90" s="147" t="s">
        <v>84</v>
      </c>
      <c r="H90" s="23" t="s">
        <v>317</v>
      </c>
      <c r="I90" s="23"/>
      <c r="J90" s="21" t="s">
        <v>87</v>
      </c>
      <c r="K90" s="21"/>
      <c r="L90" s="21"/>
      <c r="M90" s="46">
        <v>42794</v>
      </c>
      <c r="N90" s="44">
        <v>38829</v>
      </c>
      <c r="O90" s="22" t="s">
        <v>15</v>
      </c>
      <c r="P90" s="22">
        <f>+N90*80%</f>
        <v>31063.200000000001</v>
      </c>
      <c r="Q90" s="24">
        <v>0</v>
      </c>
      <c r="R90" s="24">
        <f t="shared" si="6"/>
        <v>31063.200000000001</v>
      </c>
      <c r="S90" s="5"/>
      <c r="T90" s="5"/>
    </row>
    <row r="91" spans="1:20" ht="15.75" hidden="1" x14ac:dyDescent="0.25">
      <c r="A91" t="s">
        <v>6091</v>
      </c>
      <c r="B91" s="21" t="s">
        <v>395</v>
      </c>
      <c r="C91" s="22" t="s">
        <v>2451</v>
      </c>
      <c r="D91" s="22"/>
      <c r="E91" s="21" t="s">
        <v>0</v>
      </c>
      <c r="F91" s="21"/>
      <c r="G91" s="147" t="s">
        <v>84</v>
      </c>
      <c r="H91" s="23" t="s">
        <v>317</v>
      </c>
      <c r="I91" s="23"/>
      <c r="J91" s="21" t="s">
        <v>85</v>
      </c>
      <c r="K91" s="21"/>
      <c r="L91" s="21"/>
      <c r="M91" s="46">
        <v>42705</v>
      </c>
      <c r="N91" s="44">
        <v>13776</v>
      </c>
      <c r="O91" s="22" t="s">
        <v>15</v>
      </c>
      <c r="P91" s="22" t="s">
        <v>19</v>
      </c>
      <c r="Q91" s="24">
        <f t="shared" ref="Q91:Q126" si="7">IF(P91="en cours",N91,IF(P91="OK",0,IF(N91-P91&lt;0,0,N91-P91)))</f>
        <v>0</v>
      </c>
      <c r="R91" s="24">
        <f t="shared" si="6"/>
        <v>13776</v>
      </c>
      <c r="S91" s="5"/>
      <c r="T91" s="5"/>
    </row>
    <row r="92" spans="1:20" ht="15.75" hidden="1" x14ac:dyDescent="0.25">
      <c r="A92" t="s">
        <v>6091</v>
      </c>
      <c r="B92" s="21" t="s">
        <v>395</v>
      </c>
      <c r="C92" s="22" t="s">
        <v>2451</v>
      </c>
      <c r="D92" s="22"/>
      <c r="E92" s="21" t="s">
        <v>0</v>
      </c>
      <c r="F92" s="21"/>
      <c r="G92" s="147" t="s">
        <v>84</v>
      </c>
      <c r="H92" s="23" t="s">
        <v>317</v>
      </c>
      <c r="I92" s="23"/>
      <c r="J92" s="21" t="s">
        <v>86</v>
      </c>
      <c r="K92" s="21"/>
      <c r="L92" s="21"/>
      <c r="M92" s="46">
        <v>42705</v>
      </c>
      <c r="N92" s="44">
        <v>44309</v>
      </c>
      <c r="O92" s="22" t="s">
        <v>15</v>
      </c>
      <c r="P92" s="22" t="s">
        <v>19</v>
      </c>
      <c r="Q92" s="24">
        <f t="shared" si="7"/>
        <v>0</v>
      </c>
      <c r="R92" s="24">
        <f t="shared" si="6"/>
        <v>44309</v>
      </c>
      <c r="S92" s="5"/>
      <c r="T92" s="5"/>
    </row>
    <row r="93" spans="1:20" ht="15.75" hidden="1" x14ac:dyDescent="0.25">
      <c r="A93" t="s">
        <v>6091</v>
      </c>
      <c r="B93" s="21" t="s">
        <v>395</v>
      </c>
      <c r="C93" s="22" t="s">
        <v>2451</v>
      </c>
      <c r="D93" s="22"/>
      <c r="E93" s="21" t="s">
        <v>0</v>
      </c>
      <c r="F93" s="21"/>
      <c r="G93" s="147" t="s">
        <v>84</v>
      </c>
      <c r="H93" s="23" t="s">
        <v>317</v>
      </c>
      <c r="I93" s="23"/>
      <c r="J93" s="21" t="str">
        <f>+J92</f>
        <v>WP2A</v>
      </c>
      <c r="K93" s="21"/>
      <c r="L93" s="21"/>
      <c r="M93" s="46">
        <v>42765</v>
      </c>
      <c r="N93" s="44">
        <v>55893</v>
      </c>
      <c r="O93" s="22" t="s">
        <v>15</v>
      </c>
      <c r="P93" s="22" t="s">
        <v>19</v>
      </c>
      <c r="Q93" s="24">
        <f t="shared" si="7"/>
        <v>0</v>
      </c>
      <c r="R93" s="24">
        <f t="shared" si="6"/>
        <v>55893</v>
      </c>
      <c r="S93" s="5"/>
      <c r="T93" s="5"/>
    </row>
    <row r="94" spans="1:20" ht="15.75" hidden="1" x14ac:dyDescent="0.25">
      <c r="A94" t="s">
        <v>6091</v>
      </c>
      <c r="B94" s="21" t="s">
        <v>395</v>
      </c>
      <c r="C94" s="22" t="s">
        <v>2451</v>
      </c>
      <c r="D94" s="22"/>
      <c r="E94" s="21" t="s">
        <v>0</v>
      </c>
      <c r="F94" s="21"/>
      <c r="G94" s="147" t="s">
        <v>84</v>
      </c>
      <c r="H94" s="23" t="s">
        <v>318</v>
      </c>
      <c r="I94" s="23"/>
      <c r="J94" s="21" t="s">
        <v>90</v>
      </c>
      <c r="K94" s="21"/>
      <c r="L94" s="21"/>
      <c r="M94" s="46" t="s">
        <v>389</v>
      </c>
      <c r="N94" s="44">
        <v>0</v>
      </c>
      <c r="O94" s="22" t="s">
        <v>15</v>
      </c>
      <c r="P94" s="22" t="s">
        <v>19</v>
      </c>
      <c r="Q94" s="24">
        <f t="shared" si="7"/>
        <v>0</v>
      </c>
      <c r="R94" s="24">
        <f t="shared" si="6"/>
        <v>0</v>
      </c>
      <c r="S94" s="5"/>
      <c r="T94" s="5"/>
    </row>
    <row r="95" spans="1:20" ht="15.75" hidden="1" x14ac:dyDescent="0.25">
      <c r="A95" t="s">
        <v>6091</v>
      </c>
      <c r="B95" s="21" t="s">
        <v>395</v>
      </c>
      <c r="C95" s="22" t="s">
        <v>2451</v>
      </c>
      <c r="D95" s="22"/>
      <c r="E95" s="21" t="s">
        <v>0</v>
      </c>
      <c r="F95" s="21"/>
      <c r="G95" s="147" t="s">
        <v>84</v>
      </c>
      <c r="H95" s="23" t="s">
        <v>318</v>
      </c>
      <c r="I95" s="23"/>
      <c r="J95" s="21" t="s">
        <v>91</v>
      </c>
      <c r="K95" s="21"/>
      <c r="L95" s="21"/>
      <c r="M95" s="46" t="s">
        <v>388</v>
      </c>
      <c r="N95" s="44">
        <v>0</v>
      </c>
      <c r="O95" s="22" t="s">
        <v>15</v>
      </c>
      <c r="P95" s="22" t="s">
        <v>19</v>
      </c>
      <c r="Q95" s="24">
        <f t="shared" si="7"/>
        <v>0</v>
      </c>
      <c r="R95" s="24">
        <f t="shared" si="6"/>
        <v>0</v>
      </c>
      <c r="S95" s="5"/>
      <c r="T95" s="5"/>
    </row>
    <row r="96" spans="1:20" ht="15.75" hidden="1" x14ac:dyDescent="0.25">
      <c r="A96" t="s">
        <v>6091</v>
      </c>
      <c r="B96" s="21" t="s">
        <v>395</v>
      </c>
      <c r="C96" s="22" t="s">
        <v>2451</v>
      </c>
      <c r="D96" s="22"/>
      <c r="E96" s="21" t="s">
        <v>0</v>
      </c>
      <c r="F96" s="21"/>
      <c r="G96" s="147" t="s">
        <v>84</v>
      </c>
      <c r="H96" s="23" t="s">
        <v>318</v>
      </c>
      <c r="I96" s="23"/>
      <c r="J96" s="21" t="s">
        <v>88</v>
      </c>
      <c r="K96" s="21"/>
      <c r="L96" s="21"/>
      <c r="M96" s="46" t="s">
        <v>390</v>
      </c>
      <c r="N96" s="44">
        <v>0</v>
      </c>
      <c r="O96" s="22" t="s">
        <v>15</v>
      </c>
      <c r="P96" s="22" t="s">
        <v>19</v>
      </c>
      <c r="Q96" s="24">
        <f t="shared" si="7"/>
        <v>0</v>
      </c>
      <c r="R96" s="24">
        <f t="shared" si="6"/>
        <v>0</v>
      </c>
      <c r="S96" s="5"/>
      <c r="T96" s="5"/>
    </row>
    <row r="97" spans="1:20" ht="15.75" hidden="1" x14ac:dyDescent="0.25">
      <c r="A97" t="s">
        <v>6091</v>
      </c>
      <c r="B97" s="21" t="s">
        <v>395</v>
      </c>
      <c r="C97" s="22" t="s">
        <v>2451</v>
      </c>
      <c r="D97" s="22"/>
      <c r="E97" s="21" t="s">
        <v>0</v>
      </c>
      <c r="F97" s="21"/>
      <c r="G97" s="147" t="s">
        <v>84</v>
      </c>
      <c r="H97" s="23" t="s">
        <v>318</v>
      </c>
      <c r="I97" s="23"/>
      <c r="J97" s="21" t="s">
        <v>89</v>
      </c>
      <c r="K97" s="21"/>
      <c r="L97" s="21"/>
      <c r="M97" s="46"/>
      <c r="N97" s="44">
        <v>13776</v>
      </c>
      <c r="O97" s="22" t="s">
        <v>15</v>
      </c>
      <c r="P97" s="22" t="s">
        <v>19</v>
      </c>
      <c r="Q97" s="24">
        <f t="shared" si="7"/>
        <v>0</v>
      </c>
      <c r="R97" s="24">
        <f t="shared" si="6"/>
        <v>13776</v>
      </c>
      <c r="S97" s="5"/>
      <c r="T97" s="5"/>
    </row>
    <row r="98" spans="1:20" ht="15.75" hidden="1" x14ac:dyDescent="0.25">
      <c r="A98" t="s">
        <v>6091</v>
      </c>
      <c r="B98" s="21" t="s">
        <v>395</v>
      </c>
      <c r="C98" s="22" t="s">
        <v>2451</v>
      </c>
      <c r="D98" s="22"/>
      <c r="E98" s="21" t="s">
        <v>0</v>
      </c>
      <c r="F98" s="21"/>
      <c r="G98" s="147" t="s">
        <v>84</v>
      </c>
      <c r="H98" s="23" t="s">
        <v>316</v>
      </c>
      <c r="I98" s="23"/>
      <c r="J98" s="21" t="s">
        <v>2059</v>
      </c>
      <c r="K98" s="21"/>
      <c r="L98" s="21"/>
      <c r="M98" s="26"/>
      <c r="N98" s="44">
        <v>0</v>
      </c>
      <c r="O98" s="22" t="s">
        <v>15</v>
      </c>
      <c r="P98" s="22" t="s">
        <v>19</v>
      </c>
      <c r="Q98" s="24">
        <f t="shared" si="7"/>
        <v>0</v>
      </c>
      <c r="R98" s="24">
        <f t="shared" si="6"/>
        <v>0</v>
      </c>
      <c r="S98" s="5"/>
      <c r="T98" s="5"/>
    </row>
    <row r="99" spans="1:20" ht="15.75" hidden="1" x14ac:dyDescent="0.25">
      <c r="A99" t="s">
        <v>6091</v>
      </c>
      <c r="B99" s="21" t="s">
        <v>395</v>
      </c>
      <c r="C99" s="22" t="s">
        <v>2451</v>
      </c>
      <c r="D99" s="22"/>
      <c r="E99" s="21" t="s">
        <v>0</v>
      </c>
      <c r="F99" s="21"/>
      <c r="G99" s="147" t="s">
        <v>84</v>
      </c>
      <c r="H99" s="23" t="s">
        <v>316</v>
      </c>
      <c r="I99" s="23"/>
      <c r="J99" s="21" t="s">
        <v>174</v>
      </c>
      <c r="K99" s="21"/>
      <c r="L99" s="21"/>
      <c r="M99" s="46">
        <v>42704</v>
      </c>
      <c r="N99" s="44">
        <v>25420</v>
      </c>
      <c r="O99" s="22" t="s">
        <v>15</v>
      </c>
      <c r="P99" s="22" t="s">
        <v>19</v>
      </c>
      <c r="Q99" s="24">
        <f t="shared" si="7"/>
        <v>0</v>
      </c>
      <c r="R99" s="24">
        <f t="shared" si="6"/>
        <v>25420</v>
      </c>
      <c r="S99" s="5"/>
      <c r="T99" s="5"/>
    </row>
    <row r="100" spans="1:20" ht="15.75" hidden="1" x14ac:dyDescent="0.25">
      <c r="A100" t="s">
        <v>6091</v>
      </c>
      <c r="B100" s="21" t="s">
        <v>395</v>
      </c>
      <c r="C100" s="22" t="s">
        <v>2451</v>
      </c>
      <c r="D100" s="22"/>
      <c r="E100" s="21" t="s">
        <v>0</v>
      </c>
      <c r="F100" s="21"/>
      <c r="G100" s="147" t="s">
        <v>84</v>
      </c>
      <c r="H100" s="23" t="s">
        <v>316</v>
      </c>
      <c r="I100" s="23"/>
      <c r="J100" s="21" t="s">
        <v>175</v>
      </c>
      <c r="K100" s="21"/>
      <c r="L100" s="21"/>
      <c r="M100" s="46">
        <v>42911</v>
      </c>
      <c r="N100" s="44">
        <v>15871</v>
      </c>
      <c r="O100" s="22" t="s">
        <v>15</v>
      </c>
      <c r="P100" s="22" t="s">
        <v>19</v>
      </c>
      <c r="Q100" s="24">
        <f t="shared" si="7"/>
        <v>0</v>
      </c>
      <c r="R100" s="24">
        <f t="shared" si="6"/>
        <v>15871</v>
      </c>
      <c r="S100" s="5"/>
      <c r="T100" s="5"/>
    </row>
    <row r="101" spans="1:20" ht="15.75" hidden="1" x14ac:dyDescent="0.25">
      <c r="A101" t="s">
        <v>6091</v>
      </c>
      <c r="B101" s="21" t="s">
        <v>395</v>
      </c>
      <c r="C101" s="22" t="s">
        <v>2451</v>
      </c>
      <c r="D101" s="22"/>
      <c r="E101" s="21" t="s">
        <v>0</v>
      </c>
      <c r="F101" s="21"/>
      <c r="G101" s="147" t="s">
        <v>84</v>
      </c>
      <c r="H101" s="23" t="s">
        <v>316</v>
      </c>
      <c r="I101" s="23"/>
      <c r="J101" s="21" t="s">
        <v>176</v>
      </c>
      <c r="K101" s="21"/>
      <c r="L101" s="21"/>
      <c r="M101" s="46">
        <v>42911</v>
      </c>
      <c r="N101" s="44">
        <v>26581</v>
      </c>
      <c r="O101" s="22" t="s">
        <v>15</v>
      </c>
      <c r="P101" s="22" t="s">
        <v>19</v>
      </c>
      <c r="Q101" s="24">
        <f t="shared" si="7"/>
        <v>0</v>
      </c>
      <c r="R101" s="24">
        <f t="shared" si="6"/>
        <v>26581</v>
      </c>
      <c r="S101" s="5"/>
      <c r="T101" s="5"/>
    </row>
    <row r="102" spans="1:20" ht="15.75" hidden="1" x14ac:dyDescent="0.25">
      <c r="A102" t="s">
        <v>6091</v>
      </c>
      <c r="B102" s="21" t="s">
        <v>395</v>
      </c>
      <c r="C102" s="22" t="s">
        <v>2451</v>
      </c>
      <c r="D102" s="22"/>
      <c r="E102" s="21" t="s">
        <v>0</v>
      </c>
      <c r="F102" s="21"/>
      <c r="G102" s="147" t="s">
        <v>84</v>
      </c>
      <c r="H102" s="23" t="s">
        <v>316</v>
      </c>
      <c r="I102" s="23"/>
      <c r="J102" s="21" t="s">
        <v>177</v>
      </c>
      <c r="K102" s="21"/>
      <c r="L102" s="21"/>
      <c r="M102" s="46">
        <v>42911</v>
      </c>
      <c r="N102" s="44">
        <v>10040</v>
      </c>
      <c r="O102" s="22" t="s">
        <v>15</v>
      </c>
      <c r="P102" s="22" t="s">
        <v>19</v>
      </c>
      <c r="Q102" s="24">
        <f t="shared" si="7"/>
        <v>0</v>
      </c>
      <c r="R102" s="24">
        <f t="shared" si="6"/>
        <v>10040</v>
      </c>
      <c r="S102" s="5"/>
      <c r="T102" s="5"/>
    </row>
    <row r="103" spans="1:20" ht="15.75" hidden="1" x14ac:dyDescent="0.25">
      <c r="A103" t="s">
        <v>6091</v>
      </c>
      <c r="B103" s="21" t="s">
        <v>395</v>
      </c>
      <c r="C103" s="22" t="s">
        <v>2451</v>
      </c>
      <c r="D103" s="22"/>
      <c r="E103" s="21" t="s">
        <v>0</v>
      </c>
      <c r="F103" s="21"/>
      <c r="G103" s="147" t="s">
        <v>84</v>
      </c>
      <c r="H103" s="23" t="s">
        <v>316</v>
      </c>
      <c r="I103" s="23"/>
      <c r="J103" s="21" t="s">
        <v>178</v>
      </c>
      <c r="K103" s="21"/>
      <c r="L103" s="21"/>
      <c r="M103" s="46">
        <v>42911</v>
      </c>
      <c r="N103" s="44">
        <v>6470</v>
      </c>
      <c r="O103" s="22" t="s">
        <v>15</v>
      </c>
      <c r="P103" s="22" t="s">
        <v>19</v>
      </c>
      <c r="Q103" s="24">
        <f t="shared" si="7"/>
        <v>0</v>
      </c>
      <c r="R103" s="24">
        <f t="shared" si="6"/>
        <v>6470</v>
      </c>
      <c r="S103" s="5"/>
      <c r="T103" s="5"/>
    </row>
    <row r="104" spans="1:20" ht="15.75" hidden="1" x14ac:dyDescent="0.25">
      <c r="A104" t="s">
        <v>6091</v>
      </c>
      <c r="B104" s="21" t="s">
        <v>395</v>
      </c>
      <c r="C104" s="22" t="s">
        <v>2451</v>
      </c>
      <c r="D104" s="22"/>
      <c r="E104" s="21" t="s">
        <v>0</v>
      </c>
      <c r="F104" s="21"/>
      <c r="G104" s="147" t="s">
        <v>84</v>
      </c>
      <c r="H104" s="23" t="s">
        <v>316</v>
      </c>
      <c r="I104" s="23"/>
      <c r="J104" s="21" t="s">
        <v>179</v>
      </c>
      <c r="K104" s="21"/>
      <c r="L104" s="21"/>
      <c r="M104" s="46">
        <v>42824</v>
      </c>
      <c r="N104" s="44">
        <v>10040</v>
      </c>
      <c r="O104" s="22" t="s">
        <v>15</v>
      </c>
      <c r="P104" s="22" t="s">
        <v>19</v>
      </c>
      <c r="Q104" s="24">
        <f t="shared" si="7"/>
        <v>0</v>
      </c>
      <c r="R104" s="24">
        <f t="shared" si="6"/>
        <v>10040</v>
      </c>
      <c r="S104" s="5"/>
      <c r="T104" s="5"/>
    </row>
    <row r="105" spans="1:20" ht="15.75" hidden="1" x14ac:dyDescent="0.25">
      <c r="A105" t="s">
        <v>6091</v>
      </c>
      <c r="B105" s="21" t="s">
        <v>395</v>
      </c>
      <c r="C105" s="22" t="s">
        <v>2451</v>
      </c>
      <c r="D105" s="22"/>
      <c r="E105" s="21" t="s">
        <v>0</v>
      </c>
      <c r="F105" s="21"/>
      <c r="G105" s="147" t="s">
        <v>84</v>
      </c>
      <c r="H105" s="23" t="s">
        <v>316</v>
      </c>
      <c r="I105" s="23"/>
      <c r="J105" s="21" t="s">
        <v>91</v>
      </c>
      <c r="K105" s="21"/>
      <c r="L105" s="21"/>
      <c r="M105" s="46">
        <v>42855</v>
      </c>
      <c r="N105" s="44">
        <v>12720</v>
      </c>
      <c r="O105" s="22" t="s">
        <v>15</v>
      </c>
      <c r="P105" s="22" t="s">
        <v>19</v>
      </c>
      <c r="Q105" s="24">
        <f t="shared" si="7"/>
        <v>0</v>
      </c>
      <c r="R105" s="24">
        <f t="shared" si="6"/>
        <v>12720</v>
      </c>
      <c r="S105" s="5"/>
      <c r="T105" s="5"/>
    </row>
    <row r="106" spans="1:20" ht="15.75" hidden="1" x14ac:dyDescent="0.25">
      <c r="A106" t="s">
        <v>6091</v>
      </c>
      <c r="B106" s="21" t="s">
        <v>395</v>
      </c>
      <c r="C106" s="22" t="s">
        <v>2451</v>
      </c>
      <c r="D106" s="22"/>
      <c r="E106" s="21" t="s">
        <v>0</v>
      </c>
      <c r="F106" s="21"/>
      <c r="G106" s="147" t="s">
        <v>84</v>
      </c>
      <c r="H106" s="23" t="s">
        <v>316</v>
      </c>
      <c r="I106" s="23"/>
      <c r="J106" s="21" t="s">
        <v>88</v>
      </c>
      <c r="K106" s="21"/>
      <c r="L106" s="21"/>
      <c r="M106" s="46">
        <v>42855</v>
      </c>
      <c r="N106" s="44">
        <v>28279</v>
      </c>
      <c r="O106" s="22" t="s">
        <v>15</v>
      </c>
      <c r="P106" s="22" t="s">
        <v>19</v>
      </c>
      <c r="Q106" s="24">
        <f t="shared" si="7"/>
        <v>0</v>
      </c>
      <c r="R106" s="24">
        <f t="shared" si="6"/>
        <v>28279</v>
      </c>
      <c r="S106" s="5"/>
      <c r="T106" s="5"/>
    </row>
    <row r="107" spans="1:20" ht="15.75" hidden="1" x14ac:dyDescent="0.25">
      <c r="A107" t="s">
        <v>6091</v>
      </c>
      <c r="B107" s="21" t="s">
        <v>395</v>
      </c>
      <c r="C107" s="22" t="s">
        <v>2451</v>
      </c>
      <c r="D107" s="22"/>
      <c r="E107" s="21" t="s">
        <v>0</v>
      </c>
      <c r="F107" s="21"/>
      <c r="G107" s="147" t="s">
        <v>84</v>
      </c>
      <c r="H107" s="23" t="s">
        <v>316</v>
      </c>
      <c r="I107" s="23"/>
      <c r="J107" s="21" t="s">
        <v>89</v>
      </c>
      <c r="K107" s="21"/>
      <c r="L107" s="21"/>
      <c r="M107" s="46">
        <v>42946</v>
      </c>
      <c r="N107" s="44">
        <v>26524</v>
      </c>
      <c r="O107" s="22" t="s">
        <v>15</v>
      </c>
      <c r="P107" s="22" t="s">
        <v>19</v>
      </c>
      <c r="Q107" s="24">
        <f t="shared" si="7"/>
        <v>0</v>
      </c>
      <c r="R107" s="24">
        <f t="shared" si="6"/>
        <v>26524</v>
      </c>
      <c r="S107" s="5"/>
      <c r="T107" s="5"/>
    </row>
    <row r="108" spans="1:20" ht="15.75" hidden="1" x14ac:dyDescent="0.25">
      <c r="A108" t="s">
        <v>6091</v>
      </c>
      <c r="B108" s="21" t="s">
        <v>395</v>
      </c>
      <c r="C108" s="22" t="s">
        <v>2450</v>
      </c>
      <c r="D108" s="22"/>
      <c r="E108" s="21" t="s">
        <v>10</v>
      </c>
      <c r="F108" s="21"/>
      <c r="G108" s="147" t="s">
        <v>92</v>
      </c>
      <c r="H108" s="23">
        <v>1602021</v>
      </c>
      <c r="I108" s="23"/>
      <c r="J108" s="21" t="s">
        <v>93</v>
      </c>
      <c r="K108" s="21"/>
      <c r="L108" s="21"/>
      <c r="M108" s="46">
        <v>42510</v>
      </c>
      <c r="N108" s="44">
        <v>11200</v>
      </c>
      <c r="O108" s="22" t="s">
        <v>15</v>
      </c>
      <c r="P108" s="22" t="s">
        <v>19</v>
      </c>
      <c r="Q108" s="24">
        <f t="shared" si="7"/>
        <v>0</v>
      </c>
      <c r="R108" s="24">
        <f t="shared" si="6"/>
        <v>11200</v>
      </c>
      <c r="S108" s="5"/>
      <c r="T108" s="5"/>
    </row>
    <row r="109" spans="1:20" ht="15.75" hidden="1" x14ac:dyDescent="0.25">
      <c r="A109" t="s">
        <v>6091</v>
      </c>
      <c r="B109" s="21" t="s">
        <v>395</v>
      </c>
      <c r="C109" s="22" t="s">
        <v>2450</v>
      </c>
      <c r="D109" s="22"/>
      <c r="E109" s="21" t="s">
        <v>10</v>
      </c>
      <c r="F109" s="21"/>
      <c r="G109" s="147" t="s">
        <v>92</v>
      </c>
      <c r="H109" s="23">
        <v>1602021</v>
      </c>
      <c r="I109" s="23"/>
      <c r="J109" s="21" t="s">
        <v>94</v>
      </c>
      <c r="K109" s="21"/>
      <c r="L109" s="21"/>
      <c r="M109" s="46">
        <v>42510</v>
      </c>
      <c r="N109" s="44">
        <f>13500+70</f>
        <v>13570</v>
      </c>
      <c r="O109" s="22" t="s">
        <v>15</v>
      </c>
      <c r="P109" s="22" t="s">
        <v>19</v>
      </c>
      <c r="Q109" s="24">
        <f t="shared" si="7"/>
        <v>0</v>
      </c>
      <c r="R109" s="24">
        <f t="shared" si="6"/>
        <v>13570</v>
      </c>
      <c r="S109" s="5"/>
      <c r="T109" s="5"/>
    </row>
    <row r="110" spans="1:20" ht="15.75" hidden="1" x14ac:dyDescent="0.25">
      <c r="A110" t="s">
        <v>6091</v>
      </c>
      <c r="B110" s="21" t="s">
        <v>395</v>
      </c>
      <c r="C110" s="22" t="s">
        <v>2450</v>
      </c>
      <c r="D110" s="22"/>
      <c r="E110" s="21" t="s">
        <v>10</v>
      </c>
      <c r="F110" s="21"/>
      <c r="G110" s="147" t="s">
        <v>92</v>
      </c>
      <c r="H110" s="23" t="s">
        <v>412</v>
      </c>
      <c r="I110" s="23"/>
      <c r="J110" s="21" t="s">
        <v>95</v>
      </c>
      <c r="K110" s="21"/>
      <c r="L110" s="21"/>
      <c r="M110" s="46" t="s">
        <v>297</v>
      </c>
      <c r="N110" s="44">
        <f>8850+70</f>
        <v>8920</v>
      </c>
      <c r="O110" s="22" t="s">
        <v>15</v>
      </c>
      <c r="P110" s="22" t="s">
        <v>19</v>
      </c>
      <c r="Q110" s="24">
        <f t="shared" si="7"/>
        <v>0</v>
      </c>
      <c r="R110" s="24">
        <f t="shared" si="6"/>
        <v>8920</v>
      </c>
      <c r="S110" s="5"/>
      <c r="T110" s="5"/>
    </row>
    <row r="111" spans="1:20" ht="15.75" hidden="1" x14ac:dyDescent="0.25">
      <c r="A111" t="s">
        <v>6091</v>
      </c>
      <c r="B111" s="21" t="s">
        <v>395</v>
      </c>
      <c r="C111" s="22" t="s">
        <v>2450</v>
      </c>
      <c r="D111" s="22"/>
      <c r="E111" s="21" t="s">
        <v>10</v>
      </c>
      <c r="F111" s="21"/>
      <c r="G111" s="147" t="s">
        <v>108</v>
      </c>
      <c r="H111" s="23">
        <v>8340424</v>
      </c>
      <c r="I111" s="23"/>
      <c r="J111" s="21" t="s">
        <v>104</v>
      </c>
      <c r="K111" s="21"/>
      <c r="L111" s="21"/>
      <c r="M111" s="46">
        <v>42488</v>
      </c>
      <c r="N111" s="44">
        <v>418350.7</v>
      </c>
      <c r="O111" s="22" t="s">
        <v>15</v>
      </c>
      <c r="P111" s="22" t="s">
        <v>19</v>
      </c>
      <c r="Q111" s="24">
        <f t="shared" si="7"/>
        <v>0</v>
      </c>
      <c r="R111" s="24">
        <f t="shared" si="6"/>
        <v>418350.7</v>
      </c>
      <c r="S111" s="5"/>
      <c r="T111" s="5"/>
    </row>
    <row r="112" spans="1:20" ht="15.75" hidden="1" x14ac:dyDescent="0.25">
      <c r="A112" t="s">
        <v>6091</v>
      </c>
      <c r="B112" s="21" t="s">
        <v>395</v>
      </c>
      <c r="C112" s="22" t="s">
        <v>2450</v>
      </c>
      <c r="D112" s="22"/>
      <c r="E112" s="21" t="s">
        <v>10</v>
      </c>
      <c r="F112" s="21"/>
      <c r="G112" s="147" t="s">
        <v>108</v>
      </c>
      <c r="H112" s="23">
        <v>8340424</v>
      </c>
      <c r="I112" s="23"/>
      <c r="J112" s="21" t="s">
        <v>105</v>
      </c>
      <c r="K112" s="21"/>
      <c r="L112" s="21"/>
      <c r="M112" s="46">
        <v>42762</v>
      </c>
      <c r="N112" s="44">
        <v>376515.63</v>
      </c>
      <c r="O112" s="22" t="s">
        <v>15</v>
      </c>
      <c r="P112" s="22" t="s">
        <v>19</v>
      </c>
      <c r="Q112" s="24">
        <f t="shared" si="7"/>
        <v>0</v>
      </c>
      <c r="R112" s="24">
        <f t="shared" si="6"/>
        <v>376515.63</v>
      </c>
      <c r="S112" s="5"/>
      <c r="T112" s="5"/>
    </row>
    <row r="113" spans="1:20" ht="15.75" hidden="1" x14ac:dyDescent="0.25">
      <c r="A113" t="s">
        <v>6091</v>
      </c>
      <c r="B113" s="21" t="s">
        <v>395</v>
      </c>
      <c r="C113" s="22" t="s">
        <v>2450</v>
      </c>
      <c r="D113" s="22"/>
      <c r="E113" s="21" t="s">
        <v>10</v>
      </c>
      <c r="F113" s="21"/>
      <c r="G113" s="147" t="s">
        <v>108</v>
      </c>
      <c r="H113" s="23">
        <v>8340424</v>
      </c>
      <c r="I113" s="23"/>
      <c r="J113" s="21" t="s">
        <v>106</v>
      </c>
      <c r="K113" s="21"/>
      <c r="L113" s="21"/>
      <c r="M113" s="46">
        <v>42872</v>
      </c>
      <c r="N113" s="44">
        <v>25960.07</v>
      </c>
      <c r="O113" s="22" t="s">
        <v>15</v>
      </c>
      <c r="P113" s="22" t="s">
        <v>19</v>
      </c>
      <c r="Q113" s="24">
        <f t="shared" si="7"/>
        <v>0</v>
      </c>
      <c r="R113" s="24">
        <f t="shared" si="6"/>
        <v>25960.07</v>
      </c>
      <c r="S113" s="5"/>
      <c r="T113" s="5"/>
    </row>
    <row r="114" spans="1:20" ht="15.75" hidden="1" x14ac:dyDescent="0.25">
      <c r="A114" t="s">
        <v>6091</v>
      </c>
      <c r="B114" s="21" t="s">
        <v>395</v>
      </c>
      <c r="C114" s="22" t="s">
        <v>2450</v>
      </c>
      <c r="D114" s="22"/>
      <c r="E114" s="21" t="s">
        <v>10</v>
      </c>
      <c r="F114" s="21"/>
      <c r="G114" s="147" t="s">
        <v>108</v>
      </c>
      <c r="H114" s="23">
        <v>8340424</v>
      </c>
      <c r="I114" s="23"/>
      <c r="J114" s="21" t="s">
        <v>107</v>
      </c>
      <c r="K114" s="21"/>
      <c r="L114" s="21"/>
      <c r="M114" s="46">
        <v>42540</v>
      </c>
      <c r="N114" s="44">
        <v>4991.1000000000004</v>
      </c>
      <c r="O114" s="22" t="s">
        <v>15</v>
      </c>
      <c r="P114" s="22" t="s">
        <v>19</v>
      </c>
      <c r="Q114" s="24">
        <f t="shared" si="7"/>
        <v>0</v>
      </c>
      <c r="R114" s="24">
        <f t="shared" si="6"/>
        <v>4991.1000000000004</v>
      </c>
      <c r="S114" s="5"/>
      <c r="T114" s="5"/>
    </row>
    <row r="115" spans="1:20" ht="15.75" hidden="1" x14ac:dyDescent="0.25">
      <c r="A115" t="s">
        <v>6091</v>
      </c>
      <c r="B115" s="21" t="s">
        <v>395</v>
      </c>
      <c r="C115" s="22" t="s">
        <v>2451</v>
      </c>
      <c r="D115" s="22"/>
      <c r="E115" s="21" t="s">
        <v>0</v>
      </c>
      <c r="F115" s="21"/>
      <c r="G115" s="147" t="s">
        <v>110</v>
      </c>
      <c r="H115" s="23" t="s">
        <v>416</v>
      </c>
      <c r="I115" s="23"/>
      <c r="J115" s="21" t="s">
        <v>181</v>
      </c>
      <c r="K115" s="21"/>
      <c r="L115" s="21"/>
      <c r="M115" s="26">
        <v>42811</v>
      </c>
      <c r="N115" s="44">
        <f>3150*67%</f>
        <v>2110.5</v>
      </c>
      <c r="O115" s="22" t="e">
        <f>+BASE!#REF!</f>
        <v>#REF!</v>
      </c>
      <c r="P115" s="22" t="s">
        <v>19</v>
      </c>
      <c r="Q115" s="24">
        <f t="shared" si="7"/>
        <v>0</v>
      </c>
      <c r="R115" s="24">
        <f t="shared" si="6"/>
        <v>2110.5</v>
      </c>
      <c r="S115" s="5"/>
      <c r="T115" s="5"/>
    </row>
    <row r="116" spans="1:20" ht="15.75" hidden="1" x14ac:dyDescent="0.25">
      <c r="A116" t="s">
        <v>6091</v>
      </c>
      <c r="B116" s="21" t="s">
        <v>395</v>
      </c>
      <c r="C116" s="22" t="s">
        <v>2451</v>
      </c>
      <c r="D116" s="22"/>
      <c r="E116" s="21" t="s">
        <v>0</v>
      </c>
      <c r="F116" s="21"/>
      <c r="G116" s="147" t="s">
        <v>110</v>
      </c>
      <c r="H116" s="23" t="s">
        <v>416</v>
      </c>
      <c r="I116" s="23"/>
      <c r="J116" s="21" t="s">
        <v>353</v>
      </c>
      <c r="K116" s="21"/>
      <c r="L116" s="21"/>
      <c r="M116" s="26">
        <v>42975</v>
      </c>
      <c r="N116" s="44">
        <f>3150+600-N115</f>
        <v>1639.5</v>
      </c>
      <c r="O116" s="22" t="e">
        <f>+O115</f>
        <v>#REF!</v>
      </c>
      <c r="P116" s="22" t="s">
        <v>19</v>
      </c>
      <c r="Q116" s="24">
        <f t="shared" si="7"/>
        <v>0</v>
      </c>
      <c r="R116" s="24">
        <f t="shared" si="6"/>
        <v>1639.5</v>
      </c>
      <c r="S116" s="5"/>
      <c r="T116" s="5"/>
    </row>
    <row r="117" spans="1:20" ht="15.75" hidden="1" x14ac:dyDescent="0.25">
      <c r="A117" t="s">
        <v>6091</v>
      </c>
      <c r="B117" s="21" t="s">
        <v>395</v>
      </c>
      <c r="C117" s="22" t="s">
        <v>2450</v>
      </c>
      <c r="D117" s="22"/>
      <c r="E117" s="21" t="s">
        <v>75</v>
      </c>
      <c r="F117" s="21"/>
      <c r="G117" s="147" t="str">
        <f>G118</f>
        <v xml:space="preserve">Fundacio' Lluita </v>
      </c>
      <c r="H117" s="23">
        <f>H118</f>
        <v>16172</v>
      </c>
      <c r="I117" s="23"/>
      <c r="J117" s="21" t="s">
        <v>173</v>
      </c>
      <c r="K117" s="21"/>
      <c r="L117" s="21"/>
      <c r="M117" s="28" t="s">
        <v>103</v>
      </c>
      <c r="N117" s="44">
        <v>16797.28</v>
      </c>
      <c r="O117" s="22" t="s">
        <v>15</v>
      </c>
      <c r="P117" s="22" t="s">
        <v>19</v>
      </c>
      <c r="Q117" s="24">
        <f t="shared" si="7"/>
        <v>0</v>
      </c>
      <c r="R117" s="24">
        <f t="shared" si="6"/>
        <v>16797.28</v>
      </c>
      <c r="S117" s="5"/>
      <c r="T117" s="5"/>
    </row>
    <row r="118" spans="1:20" ht="15.75" hidden="1" x14ac:dyDescent="0.25">
      <c r="A118" t="s">
        <v>6091</v>
      </c>
      <c r="B118" s="21" t="s">
        <v>395</v>
      </c>
      <c r="C118" s="22" t="s">
        <v>2450</v>
      </c>
      <c r="D118" s="22"/>
      <c r="E118" s="21" t="s">
        <v>75</v>
      </c>
      <c r="F118" s="21"/>
      <c r="G118" s="147" t="s">
        <v>143</v>
      </c>
      <c r="H118" s="23">
        <v>16172</v>
      </c>
      <c r="I118" s="23"/>
      <c r="J118" s="21" t="s">
        <v>133</v>
      </c>
      <c r="K118" s="21"/>
      <c r="L118" s="21"/>
      <c r="M118" s="28">
        <f>10400-50</f>
        <v>10350</v>
      </c>
      <c r="N118" s="44">
        <v>0</v>
      </c>
      <c r="O118" s="22" t="s">
        <v>15</v>
      </c>
      <c r="P118" s="22"/>
      <c r="Q118" s="24">
        <f t="shared" si="7"/>
        <v>0</v>
      </c>
      <c r="R118" s="24">
        <f t="shared" ref="R118:R149" si="8">IF(P118="OK",N118-Q118,IF(P118="en cours",N118-Q118,P118))</f>
        <v>0</v>
      </c>
      <c r="S118" s="5"/>
      <c r="T118" s="5"/>
    </row>
    <row r="119" spans="1:20" ht="15.75" hidden="1" x14ac:dyDescent="0.25">
      <c r="A119" t="s">
        <v>6091</v>
      </c>
      <c r="B119" s="21" t="s">
        <v>395</v>
      </c>
      <c r="C119" s="22" t="s">
        <v>2450</v>
      </c>
      <c r="D119" s="22"/>
      <c r="E119" s="21" t="s">
        <v>75</v>
      </c>
      <c r="F119" s="21"/>
      <c r="G119" s="147" t="s">
        <v>143</v>
      </c>
      <c r="H119" s="23">
        <v>16172</v>
      </c>
      <c r="I119" s="23"/>
      <c r="J119" s="21" t="s">
        <v>134</v>
      </c>
      <c r="K119" s="21"/>
      <c r="L119" s="21"/>
      <c r="M119" s="28">
        <f>1900+200</f>
        <v>2100</v>
      </c>
      <c r="N119" s="44">
        <v>0</v>
      </c>
      <c r="O119" s="22" t="s">
        <v>15</v>
      </c>
      <c r="P119" s="22"/>
      <c r="Q119" s="24">
        <f t="shared" si="7"/>
        <v>0</v>
      </c>
      <c r="R119" s="24">
        <f t="shared" si="8"/>
        <v>0</v>
      </c>
      <c r="S119" s="5"/>
      <c r="T119" s="5"/>
    </row>
    <row r="120" spans="1:20" ht="15.75" hidden="1" x14ac:dyDescent="0.25">
      <c r="A120" t="s">
        <v>6091</v>
      </c>
      <c r="B120" s="21" t="s">
        <v>395</v>
      </c>
      <c r="C120" s="22" t="s">
        <v>2450</v>
      </c>
      <c r="D120" s="22"/>
      <c r="E120" s="21" t="s">
        <v>75</v>
      </c>
      <c r="F120" s="21"/>
      <c r="G120" s="147" t="s">
        <v>143</v>
      </c>
      <c r="H120" s="23">
        <v>16172</v>
      </c>
      <c r="I120" s="23"/>
      <c r="J120" s="21" t="s">
        <v>135</v>
      </c>
      <c r="K120" s="21"/>
      <c r="L120" s="21"/>
      <c r="M120" s="28">
        <f>20040+8200</f>
        <v>28240</v>
      </c>
      <c r="N120" s="44">
        <v>0</v>
      </c>
      <c r="O120" s="22" t="s">
        <v>15</v>
      </c>
      <c r="P120" s="22"/>
      <c r="Q120" s="24">
        <f t="shared" si="7"/>
        <v>0</v>
      </c>
      <c r="R120" s="24">
        <f t="shared" si="8"/>
        <v>0</v>
      </c>
      <c r="S120" s="5"/>
      <c r="T120" s="5"/>
    </row>
    <row r="121" spans="1:20" ht="15.75" hidden="1" x14ac:dyDescent="0.25">
      <c r="A121" t="s">
        <v>6091</v>
      </c>
      <c r="B121" s="21" t="s">
        <v>395</v>
      </c>
      <c r="C121" s="22" t="s">
        <v>2450</v>
      </c>
      <c r="D121" s="22"/>
      <c r="E121" s="21" t="s">
        <v>75</v>
      </c>
      <c r="F121" s="21"/>
      <c r="G121" s="147" t="s">
        <v>143</v>
      </c>
      <c r="H121" s="23">
        <v>16172</v>
      </c>
      <c r="I121" s="23"/>
      <c r="J121" s="21" t="s">
        <v>136</v>
      </c>
      <c r="K121" s="21"/>
      <c r="L121" s="21"/>
      <c r="M121" s="28">
        <f>84100+134600</f>
        <v>218700</v>
      </c>
      <c r="N121" s="44">
        <v>0</v>
      </c>
      <c r="O121" s="22" t="s">
        <v>15</v>
      </c>
      <c r="P121" s="22"/>
      <c r="Q121" s="24">
        <f t="shared" si="7"/>
        <v>0</v>
      </c>
      <c r="R121" s="24">
        <f t="shared" si="8"/>
        <v>0</v>
      </c>
      <c r="S121" s="5"/>
      <c r="T121" s="5"/>
    </row>
    <row r="122" spans="1:20" ht="15.75" hidden="1" x14ac:dyDescent="0.25">
      <c r="A122" t="s">
        <v>6091</v>
      </c>
      <c r="B122" s="21" t="s">
        <v>395</v>
      </c>
      <c r="C122" s="22" t="s">
        <v>2450</v>
      </c>
      <c r="D122" s="22"/>
      <c r="E122" s="21" t="s">
        <v>75</v>
      </c>
      <c r="F122" s="21"/>
      <c r="G122" s="147" t="s">
        <v>143</v>
      </c>
      <c r="H122" s="23">
        <v>16172</v>
      </c>
      <c r="I122" s="23"/>
      <c r="J122" s="21" t="s">
        <v>137</v>
      </c>
      <c r="K122" s="21"/>
      <c r="L122" s="21"/>
      <c r="M122" s="28">
        <f>16500+8000</f>
        <v>24500</v>
      </c>
      <c r="N122" s="44">
        <v>0</v>
      </c>
      <c r="O122" s="22" t="s">
        <v>15</v>
      </c>
      <c r="P122" s="22"/>
      <c r="Q122" s="24">
        <f t="shared" si="7"/>
        <v>0</v>
      </c>
      <c r="R122" s="24">
        <f t="shared" si="8"/>
        <v>0</v>
      </c>
      <c r="S122" s="5"/>
      <c r="T122" s="5"/>
    </row>
    <row r="123" spans="1:20" ht="15.75" hidden="1" x14ac:dyDescent="0.25">
      <c r="A123" t="s">
        <v>6091</v>
      </c>
      <c r="B123" s="21" t="s">
        <v>395</v>
      </c>
      <c r="C123" s="22" t="s">
        <v>2450</v>
      </c>
      <c r="D123" s="22"/>
      <c r="E123" s="21" t="s">
        <v>75</v>
      </c>
      <c r="F123" s="21"/>
      <c r="G123" s="147" t="s">
        <v>143</v>
      </c>
      <c r="H123" s="23">
        <v>16172</v>
      </c>
      <c r="I123" s="23"/>
      <c r="J123" s="21" t="s">
        <v>138</v>
      </c>
      <c r="K123" s="21"/>
      <c r="L123" s="21"/>
      <c r="M123" s="28">
        <f>412742.72+45110.4</f>
        <v>457853.12</v>
      </c>
      <c r="N123" s="44">
        <v>0</v>
      </c>
      <c r="O123" s="22" t="s">
        <v>15</v>
      </c>
      <c r="P123" s="22"/>
      <c r="Q123" s="24">
        <f t="shared" si="7"/>
        <v>0</v>
      </c>
      <c r="R123" s="24">
        <f t="shared" si="8"/>
        <v>0</v>
      </c>
      <c r="S123" s="5"/>
      <c r="T123" s="5"/>
    </row>
    <row r="124" spans="1:20" ht="15.75" hidden="1" x14ac:dyDescent="0.25">
      <c r="A124" t="s">
        <v>6091</v>
      </c>
      <c r="B124" s="21" t="s">
        <v>395</v>
      </c>
      <c r="C124" s="22" t="s">
        <v>2450</v>
      </c>
      <c r="D124" s="22"/>
      <c r="E124" s="21" t="s">
        <v>75</v>
      </c>
      <c r="F124" s="21"/>
      <c r="G124" s="147" t="s">
        <v>143</v>
      </c>
      <c r="H124" s="23">
        <v>16172</v>
      </c>
      <c r="I124" s="23"/>
      <c r="J124" s="21" t="s">
        <v>139</v>
      </c>
      <c r="K124" s="21"/>
      <c r="L124" s="21"/>
      <c r="M124" s="28">
        <f>112464+12714</f>
        <v>125178</v>
      </c>
      <c r="N124" s="44">
        <v>0</v>
      </c>
      <c r="O124" s="22" t="s">
        <v>15</v>
      </c>
      <c r="P124" s="22"/>
      <c r="Q124" s="24">
        <f t="shared" si="7"/>
        <v>0</v>
      </c>
      <c r="R124" s="24">
        <f t="shared" si="8"/>
        <v>0</v>
      </c>
      <c r="S124" s="5"/>
      <c r="T124" s="5"/>
    </row>
    <row r="125" spans="1:20" ht="15.75" hidden="1" x14ac:dyDescent="0.25">
      <c r="A125" t="s">
        <v>6091</v>
      </c>
      <c r="B125" s="21" t="s">
        <v>395</v>
      </c>
      <c r="C125" s="22" t="s">
        <v>2450</v>
      </c>
      <c r="D125" s="22"/>
      <c r="E125" s="21" t="s">
        <v>75</v>
      </c>
      <c r="F125" s="21"/>
      <c r="G125" s="147" t="s">
        <v>143</v>
      </c>
      <c r="H125" s="23">
        <v>16172</v>
      </c>
      <c r="I125" s="23"/>
      <c r="J125" s="21" t="s">
        <v>140</v>
      </c>
      <c r="K125" s="21"/>
      <c r="L125" s="21"/>
      <c r="M125" s="28">
        <f>77600+5400</f>
        <v>83000</v>
      </c>
      <c r="N125" s="44">
        <v>0</v>
      </c>
      <c r="O125" s="22" t="s">
        <v>15</v>
      </c>
      <c r="P125" s="22"/>
      <c r="Q125" s="24">
        <f t="shared" si="7"/>
        <v>0</v>
      </c>
      <c r="R125" s="24">
        <f t="shared" si="8"/>
        <v>0</v>
      </c>
      <c r="S125" s="5"/>
      <c r="T125" s="5"/>
    </row>
    <row r="126" spans="1:20" ht="15.75" hidden="1" x14ac:dyDescent="0.25">
      <c r="A126" t="s">
        <v>6091</v>
      </c>
      <c r="B126" s="21" t="s">
        <v>395</v>
      </c>
      <c r="C126" s="22" t="s">
        <v>2450</v>
      </c>
      <c r="D126" s="22"/>
      <c r="E126" s="21" t="s">
        <v>75</v>
      </c>
      <c r="F126" s="21"/>
      <c r="G126" s="147" t="s">
        <v>143</v>
      </c>
      <c r="H126" s="23">
        <v>16172</v>
      </c>
      <c r="I126" s="23"/>
      <c r="J126" s="21" t="s">
        <v>141</v>
      </c>
      <c r="K126" s="21"/>
      <c r="L126" s="21"/>
      <c r="M126" s="28">
        <f>27766+8134</f>
        <v>35900</v>
      </c>
      <c r="N126" s="44">
        <v>0</v>
      </c>
      <c r="O126" s="22" t="s">
        <v>15</v>
      </c>
      <c r="P126" s="22"/>
      <c r="Q126" s="24">
        <f t="shared" si="7"/>
        <v>0</v>
      </c>
      <c r="R126" s="24">
        <f t="shared" si="8"/>
        <v>0</v>
      </c>
      <c r="S126" s="5"/>
      <c r="T126" s="5"/>
    </row>
    <row r="127" spans="1:20" ht="15.75" hidden="1" x14ac:dyDescent="0.25">
      <c r="A127" t="s">
        <v>6091</v>
      </c>
      <c r="B127" s="21" t="s">
        <v>395</v>
      </c>
      <c r="C127" s="22" t="s">
        <v>2453</v>
      </c>
      <c r="D127" s="22"/>
      <c r="E127" s="21" t="s">
        <v>75</v>
      </c>
      <c r="F127" s="21"/>
      <c r="G127" s="147" t="s">
        <v>143</v>
      </c>
      <c r="H127" s="23">
        <v>16172</v>
      </c>
      <c r="I127" s="23"/>
      <c r="J127" s="21" t="s">
        <v>266</v>
      </c>
      <c r="K127" s="21"/>
      <c r="L127" s="21"/>
      <c r="M127" s="28" t="s">
        <v>103</v>
      </c>
      <c r="N127" s="114">
        <f>(763512.72+238745.4)-N117</f>
        <v>985460.84</v>
      </c>
      <c r="O127" s="22" t="s">
        <v>15</v>
      </c>
      <c r="P127" s="114">
        <f>181975.43+49996.93+30497.02+66826.58+59651.96+129086.93+167075.84+194412.22+29353.26+50010.26</f>
        <v>958886.43</v>
      </c>
      <c r="Q127" s="24">
        <v>0</v>
      </c>
      <c r="R127" s="24">
        <f t="shared" si="8"/>
        <v>958886.43</v>
      </c>
      <c r="S127" s="5" t="s">
        <v>2802</v>
      </c>
      <c r="T127" s="5"/>
    </row>
    <row r="128" spans="1:20" ht="15.75" hidden="1" x14ac:dyDescent="0.25">
      <c r="A128" t="s">
        <v>6091</v>
      </c>
      <c r="B128" s="21" t="s">
        <v>395</v>
      </c>
      <c r="C128" s="22" t="s">
        <v>2453</v>
      </c>
      <c r="D128" s="22"/>
      <c r="E128" s="21" t="s">
        <v>75</v>
      </c>
      <c r="F128" s="21"/>
      <c r="G128" s="147" t="s">
        <v>143</v>
      </c>
      <c r="H128" s="23">
        <v>16172</v>
      </c>
      <c r="I128" s="23"/>
      <c r="J128" s="21" t="s">
        <v>142</v>
      </c>
      <c r="K128" s="21"/>
      <c r="L128" s="21"/>
      <c r="M128" s="28" t="s">
        <v>103</v>
      </c>
      <c r="N128" s="114">
        <f>76351.27+23874.54</f>
        <v>100225.81</v>
      </c>
      <c r="O128" s="22" t="s">
        <v>15</v>
      </c>
      <c r="P128" s="114">
        <f>18195.74+4999.69+3049.7+6682.66+5965.2+12908.69+16707.58+19441.22+2935.33+5001.03</f>
        <v>95886.840000000011</v>
      </c>
      <c r="Q128" s="24">
        <v>0</v>
      </c>
      <c r="R128" s="24">
        <f t="shared" si="8"/>
        <v>95886.840000000011</v>
      </c>
      <c r="S128" s="5"/>
      <c r="T128" s="5"/>
    </row>
    <row r="129" spans="1:20" ht="15.75" hidden="1" x14ac:dyDescent="0.25">
      <c r="A129" t="s">
        <v>6091</v>
      </c>
      <c r="B129" s="21" t="s">
        <v>395</v>
      </c>
      <c r="C129" s="22" t="s">
        <v>2452</v>
      </c>
      <c r="D129" s="22"/>
      <c r="E129" s="21" t="s">
        <v>75</v>
      </c>
      <c r="F129" s="21"/>
      <c r="G129" s="147" t="s">
        <v>100</v>
      </c>
      <c r="H129" s="23" t="s">
        <v>147</v>
      </c>
      <c r="I129" s="23"/>
      <c r="J129" s="21" t="s">
        <v>144</v>
      </c>
      <c r="K129" s="21"/>
      <c r="L129" s="21"/>
      <c r="M129" s="28">
        <v>0.16400000000000001</v>
      </c>
      <c r="N129" s="44">
        <v>160999.99998042241</v>
      </c>
      <c r="O129" s="22" t="s">
        <v>15</v>
      </c>
      <c r="P129" s="22" t="s">
        <v>19</v>
      </c>
      <c r="Q129" s="24">
        <f t="shared" ref="Q129:Q146" si="9">IF(P129="en cours",N129,IF(P129="OK",0,IF(N129-P129&lt;0,0,N129-P129)))</f>
        <v>0</v>
      </c>
      <c r="R129" s="24">
        <f t="shared" si="8"/>
        <v>160999.99998042241</v>
      </c>
      <c r="S129" s="5"/>
      <c r="T129" s="5"/>
    </row>
    <row r="130" spans="1:20" ht="15.75" hidden="1" x14ac:dyDescent="0.25">
      <c r="A130" t="s">
        <v>6091</v>
      </c>
      <c r="B130" s="21" t="s">
        <v>395</v>
      </c>
      <c r="C130" s="22" t="s">
        <v>2452</v>
      </c>
      <c r="D130" s="22"/>
      <c r="E130" s="21" t="s">
        <v>75</v>
      </c>
      <c r="F130" s="21"/>
      <c r="G130" s="147" t="s">
        <v>100</v>
      </c>
      <c r="H130" s="23" t="s">
        <v>147</v>
      </c>
      <c r="I130" s="23"/>
      <c r="J130" s="21" t="s">
        <v>145</v>
      </c>
      <c r="K130" s="21"/>
      <c r="L130" s="21"/>
      <c r="M130" s="28">
        <v>8.2000000000000003E-2</v>
      </c>
      <c r="N130" s="44">
        <v>81000</v>
      </c>
      <c r="O130" s="22" t="s">
        <v>15</v>
      </c>
      <c r="P130" s="22" t="s">
        <v>19</v>
      </c>
      <c r="Q130" s="24">
        <f t="shared" si="9"/>
        <v>0</v>
      </c>
      <c r="R130" s="24">
        <f t="shared" si="8"/>
        <v>81000</v>
      </c>
      <c r="S130" s="5"/>
      <c r="T130" s="5"/>
    </row>
    <row r="131" spans="1:20" ht="15.75" hidden="1" x14ac:dyDescent="0.25">
      <c r="A131" t="s">
        <v>6091</v>
      </c>
      <c r="B131" s="21" t="s">
        <v>395</v>
      </c>
      <c r="C131" s="22" t="s">
        <v>2452</v>
      </c>
      <c r="D131" s="22"/>
      <c r="E131" s="21" t="s">
        <v>75</v>
      </c>
      <c r="F131" s="21"/>
      <c r="G131" s="147" t="s">
        <v>100</v>
      </c>
      <c r="H131" s="23" t="s">
        <v>147</v>
      </c>
      <c r="I131" s="23"/>
      <c r="J131" s="21" t="s">
        <v>146</v>
      </c>
      <c r="K131" s="21"/>
      <c r="L131" s="21"/>
      <c r="M131" s="28">
        <v>8.2000000000000003E-2</v>
      </c>
      <c r="N131" s="44">
        <v>81000</v>
      </c>
      <c r="O131" s="22" t="s">
        <v>15</v>
      </c>
      <c r="P131" s="22" t="s">
        <v>19</v>
      </c>
      <c r="Q131" s="24">
        <f t="shared" si="9"/>
        <v>0</v>
      </c>
      <c r="R131" s="24">
        <f t="shared" si="8"/>
        <v>81000</v>
      </c>
      <c r="S131" s="5"/>
      <c r="T131" s="5"/>
    </row>
    <row r="132" spans="1:20" ht="15.75" hidden="1" x14ac:dyDescent="0.25">
      <c r="A132" t="s">
        <v>6091</v>
      </c>
      <c r="B132" s="21" t="s">
        <v>395</v>
      </c>
      <c r="C132" s="22" t="s">
        <v>2452</v>
      </c>
      <c r="D132" s="22"/>
      <c r="E132" s="21" t="s">
        <v>75</v>
      </c>
      <c r="F132" s="21"/>
      <c r="G132" s="147" t="s">
        <v>100</v>
      </c>
      <c r="H132" s="23" t="s">
        <v>147</v>
      </c>
      <c r="I132" s="23"/>
      <c r="J132" s="21" t="s">
        <v>226</v>
      </c>
      <c r="K132" s="21"/>
      <c r="L132" s="21"/>
      <c r="M132" s="28">
        <v>9.1999999999999998E-2</v>
      </c>
      <c r="N132" s="44">
        <v>90000</v>
      </c>
      <c r="O132" s="22" t="s">
        <v>15</v>
      </c>
      <c r="P132" s="22" t="s">
        <v>19</v>
      </c>
      <c r="Q132" s="24">
        <f t="shared" si="9"/>
        <v>0</v>
      </c>
      <c r="R132" s="24">
        <f t="shared" si="8"/>
        <v>90000</v>
      </c>
      <c r="S132" s="5"/>
      <c r="T132" s="5"/>
    </row>
    <row r="133" spans="1:20" ht="15.75" hidden="1" x14ac:dyDescent="0.25">
      <c r="A133" t="s">
        <v>6091</v>
      </c>
      <c r="B133" s="21" t="s">
        <v>395</v>
      </c>
      <c r="C133" s="22" t="s">
        <v>2452</v>
      </c>
      <c r="D133" s="22"/>
      <c r="E133" s="21" t="s">
        <v>75</v>
      </c>
      <c r="F133" s="21"/>
      <c r="G133" s="147" t="s">
        <v>100</v>
      </c>
      <c r="H133" s="23" t="s">
        <v>589</v>
      </c>
      <c r="I133" s="23"/>
      <c r="J133" s="21" t="s">
        <v>227</v>
      </c>
      <c r="K133" s="21"/>
      <c r="L133" s="21"/>
      <c r="M133" s="28">
        <v>0.16</v>
      </c>
      <c r="N133" s="44">
        <v>159512</v>
      </c>
      <c r="O133" s="22" t="s">
        <v>15</v>
      </c>
      <c r="P133" s="22" t="s">
        <v>19</v>
      </c>
      <c r="Q133" s="24">
        <f t="shared" si="9"/>
        <v>0</v>
      </c>
      <c r="R133" s="24">
        <f t="shared" si="8"/>
        <v>159512</v>
      </c>
      <c r="S133" s="5"/>
      <c r="T133" s="5"/>
    </row>
    <row r="134" spans="1:20" ht="15.75" hidden="1" x14ac:dyDescent="0.25">
      <c r="A134" t="s">
        <v>6091</v>
      </c>
      <c r="B134" s="21" t="s">
        <v>395</v>
      </c>
      <c r="C134" s="22" t="s">
        <v>2452</v>
      </c>
      <c r="D134" s="22"/>
      <c r="E134" s="21" t="s">
        <v>75</v>
      </c>
      <c r="F134" s="21"/>
      <c r="G134" s="147" t="s">
        <v>100</v>
      </c>
      <c r="H134" s="23" t="s">
        <v>589</v>
      </c>
      <c r="I134" s="23"/>
      <c r="J134" s="21" t="s">
        <v>358</v>
      </c>
      <c r="K134" s="21"/>
      <c r="L134" s="21"/>
      <c r="M134" s="28">
        <v>0.08</v>
      </c>
      <c r="N134" s="44">
        <v>80264</v>
      </c>
      <c r="O134" s="22" t="s">
        <v>15</v>
      </c>
      <c r="P134" s="22" t="s">
        <v>19</v>
      </c>
      <c r="Q134" s="24">
        <f t="shared" si="9"/>
        <v>0</v>
      </c>
      <c r="R134" s="24">
        <f t="shared" si="8"/>
        <v>80264</v>
      </c>
      <c r="S134" s="5"/>
      <c r="T134" s="5"/>
    </row>
    <row r="135" spans="1:20" ht="15.75" hidden="1" x14ac:dyDescent="0.25">
      <c r="A135" t="s">
        <v>6091</v>
      </c>
      <c r="B135" s="21" t="s">
        <v>395</v>
      </c>
      <c r="C135" s="22" t="s">
        <v>2452</v>
      </c>
      <c r="D135" s="22"/>
      <c r="E135" s="21" t="s">
        <v>75</v>
      </c>
      <c r="F135" s="21"/>
      <c r="G135" s="147" t="s">
        <v>100</v>
      </c>
      <c r="H135" s="23" t="s">
        <v>589</v>
      </c>
      <c r="I135" s="23"/>
      <c r="J135" s="21" t="s">
        <v>335</v>
      </c>
      <c r="K135" s="21"/>
      <c r="L135" s="21"/>
      <c r="M135" s="28">
        <v>7.0000000000000007E-2</v>
      </c>
      <c r="N135" s="44">
        <v>70104</v>
      </c>
      <c r="O135" s="22" t="s">
        <v>15</v>
      </c>
      <c r="P135" s="22" t="s">
        <v>19</v>
      </c>
      <c r="Q135" s="24">
        <f t="shared" si="9"/>
        <v>0</v>
      </c>
      <c r="R135" s="24">
        <f t="shared" si="8"/>
        <v>70104</v>
      </c>
      <c r="S135" s="5"/>
      <c r="T135" s="5"/>
    </row>
    <row r="136" spans="1:20" ht="15.75" hidden="1" x14ac:dyDescent="0.25">
      <c r="A136" t="s">
        <v>6091</v>
      </c>
      <c r="B136" s="21" t="s">
        <v>395</v>
      </c>
      <c r="C136" s="22" t="s">
        <v>158</v>
      </c>
      <c r="D136" s="22"/>
      <c r="E136" s="21" t="s">
        <v>159</v>
      </c>
      <c r="F136" s="21"/>
      <c r="G136" s="147" t="s">
        <v>96</v>
      </c>
      <c r="H136" s="23">
        <v>16054</v>
      </c>
      <c r="I136" s="23"/>
      <c r="J136" s="21" t="s">
        <v>298</v>
      </c>
      <c r="K136" s="21"/>
      <c r="L136" s="21"/>
      <c r="M136" s="26">
        <v>42535</v>
      </c>
      <c r="N136" s="44">
        <v>750</v>
      </c>
      <c r="O136" s="22" t="s">
        <v>15</v>
      </c>
      <c r="P136" s="22" t="s">
        <v>19</v>
      </c>
      <c r="Q136" s="24">
        <f t="shared" si="9"/>
        <v>0</v>
      </c>
      <c r="R136" s="24">
        <f t="shared" si="8"/>
        <v>750</v>
      </c>
      <c r="S136" s="5"/>
      <c r="T136" s="5"/>
    </row>
    <row r="137" spans="1:20" ht="15.75" hidden="1" x14ac:dyDescent="0.25">
      <c r="A137" t="s">
        <v>6091</v>
      </c>
      <c r="B137" s="21" t="s">
        <v>395</v>
      </c>
      <c r="C137" s="22" t="s">
        <v>158</v>
      </c>
      <c r="D137" s="22"/>
      <c r="E137" s="21" t="s">
        <v>159</v>
      </c>
      <c r="F137" s="21"/>
      <c r="G137" s="147" t="s">
        <v>96</v>
      </c>
      <c r="H137" s="23">
        <v>16054</v>
      </c>
      <c r="I137" s="23"/>
      <c r="J137" s="21" t="s">
        <v>299</v>
      </c>
      <c r="K137" s="21"/>
      <c r="L137" s="21"/>
      <c r="M137" s="26">
        <v>42535</v>
      </c>
      <c r="N137" s="44">
        <v>3240</v>
      </c>
      <c r="O137" s="22" t="s">
        <v>15</v>
      </c>
      <c r="P137" s="22" t="s">
        <v>19</v>
      </c>
      <c r="Q137" s="24">
        <f t="shared" si="9"/>
        <v>0</v>
      </c>
      <c r="R137" s="24">
        <f t="shared" si="8"/>
        <v>3240</v>
      </c>
      <c r="S137" s="5"/>
      <c r="T137" s="5"/>
    </row>
    <row r="138" spans="1:20" ht="15.75" hidden="1" x14ac:dyDescent="0.25">
      <c r="A138" t="s">
        <v>6091</v>
      </c>
      <c r="B138" s="21" t="s">
        <v>395</v>
      </c>
      <c r="C138" s="22" t="s">
        <v>158</v>
      </c>
      <c r="D138" s="22"/>
      <c r="E138" s="21" t="s">
        <v>159</v>
      </c>
      <c r="F138" s="21"/>
      <c r="G138" s="147" t="s">
        <v>96</v>
      </c>
      <c r="H138" s="23">
        <v>16054</v>
      </c>
      <c r="I138" s="23"/>
      <c r="J138" s="21" t="s">
        <v>300</v>
      </c>
      <c r="K138" s="21"/>
      <c r="L138" s="21"/>
      <c r="M138" s="26">
        <v>42735</v>
      </c>
      <c r="N138" s="44">
        <v>3240</v>
      </c>
      <c r="O138" s="22" t="s">
        <v>15</v>
      </c>
      <c r="P138" s="22" t="s">
        <v>19</v>
      </c>
      <c r="Q138" s="24">
        <f t="shared" si="9"/>
        <v>0</v>
      </c>
      <c r="R138" s="24">
        <f t="shared" si="8"/>
        <v>3240</v>
      </c>
      <c r="S138" s="5"/>
      <c r="T138" s="5"/>
    </row>
    <row r="139" spans="1:20" ht="15.75" hidden="1" x14ac:dyDescent="0.25">
      <c r="A139" t="s">
        <v>6091</v>
      </c>
      <c r="B139" s="21" t="s">
        <v>395</v>
      </c>
      <c r="C139" s="22" t="s">
        <v>2451</v>
      </c>
      <c r="D139" s="22"/>
      <c r="E139" s="21" t="s">
        <v>0</v>
      </c>
      <c r="F139" s="21"/>
      <c r="G139" s="147" t="s">
        <v>161</v>
      </c>
      <c r="H139" s="23" t="s">
        <v>160</v>
      </c>
      <c r="I139" s="23"/>
      <c r="J139" s="21" t="s">
        <v>289</v>
      </c>
      <c r="K139" s="21"/>
      <c r="L139" s="21"/>
      <c r="M139" s="26">
        <v>42545</v>
      </c>
      <c r="N139" s="44">
        <f>25200+955</f>
        <v>26155</v>
      </c>
      <c r="O139" s="22" t="s">
        <v>15</v>
      </c>
      <c r="P139" s="22" t="s">
        <v>19</v>
      </c>
      <c r="Q139" s="24">
        <f t="shared" si="9"/>
        <v>0</v>
      </c>
      <c r="R139" s="24">
        <f t="shared" si="8"/>
        <v>26155</v>
      </c>
      <c r="S139" s="5"/>
      <c r="T139" s="5"/>
    </row>
    <row r="140" spans="1:20" ht="15.75" hidden="1" x14ac:dyDescent="0.25">
      <c r="A140" t="s">
        <v>6091</v>
      </c>
      <c r="B140" s="21" t="s">
        <v>395</v>
      </c>
      <c r="C140" s="22" t="s">
        <v>2451</v>
      </c>
      <c r="D140" s="22"/>
      <c r="E140" s="21" t="s">
        <v>0</v>
      </c>
      <c r="F140" s="21"/>
      <c r="G140" s="147" t="s">
        <v>161</v>
      </c>
      <c r="H140" s="23" t="s">
        <v>160</v>
      </c>
      <c r="I140" s="23"/>
      <c r="J140" s="21" t="s">
        <v>2058</v>
      </c>
      <c r="K140" s="21"/>
      <c r="L140" s="21"/>
      <c r="M140" s="26"/>
      <c r="N140" s="44">
        <v>0</v>
      </c>
      <c r="O140" s="22" t="s">
        <v>15</v>
      </c>
      <c r="P140" s="22" t="s">
        <v>19</v>
      </c>
      <c r="Q140" s="24">
        <f t="shared" si="9"/>
        <v>0</v>
      </c>
      <c r="R140" s="24">
        <f t="shared" si="8"/>
        <v>0</v>
      </c>
      <c r="S140" s="5"/>
      <c r="T140" s="5"/>
    </row>
    <row r="141" spans="1:20" ht="15.75" hidden="1" x14ac:dyDescent="0.25">
      <c r="A141" t="s">
        <v>6091</v>
      </c>
      <c r="B141" s="21" t="s">
        <v>395</v>
      </c>
      <c r="C141" s="22" t="s">
        <v>2451</v>
      </c>
      <c r="D141" s="22"/>
      <c r="E141" s="21" t="s">
        <v>0</v>
      </c>
      <c r="F141" s="21"/>
      <c r="G141" s="147" t="s">
        <v>161</v>
      </c>
      <c r="H141" s="23" t="s">
        <v>330</v>
      </c>
      <c r="I141" s="23"/>
      <c r="J141" s="21" t="s">
        <v>162</v>
      </c>
      <c r="K141" s="21"/>
      <c r="L141" s="21"/>
      <c r="M141" s="26">
        <v>42635</v>
      </c>
      <c r="N141" s="44">
        <f>(12000)*60%</f>
        <v>7200</v>
      </c>
      <c r="O141" s="22" t="s">
        <v>15</v>
      </c>
      <c r="P141" s="22" t="s">
        <v>19</v>
      </c>
      <c r="Q141" s="24">
        <f t="shared" si="9"/>
        <v>0</v>
      </c>
      <c r="R141" s="24">
        <f t="shared" si="8"/>
        <v>7200</v>
      </c>
      <c r="S141" s="5"/>
      <c r="T141" s="5"/>
    </row>
    <row r="142" spans="1:20" ht="15.75" hidden="1" x14ac:dyDescent="0.25">
      <c r="A142" t="s">
        <v>6091</v>
      </c>
      <c r="B142" s="21" t="s">
        <v>395</v>
      </c>
      <c r="C142" s="22" t="s">
        <v>2451</v>
      </c>
      <c r="D142" s="22"/>
      <c r="E142" s="21" t="s">
        <v>0</v>
      </c>
      <c r="F142" s="21"/>
      <c r="G142" s="147" t="s">
        <v>161</v>
      </c>
      <c r="H142" s="23" t="s">
        <v>330</v>
      </c>
      <c r="I142" s="23"/>
      <c r="J142" s="21" t="s">
        <v>2057</v>
      </c>
      <c r="K142" s="21"/>
      <c r="L142" s="21"/>
      <c r="M142" s="26"/>
      <c r="N142" s="44">
        <v>0</v>
      </c>
      <c r="O142" s="22" t="s">
        <v>15</v>
      </c>
      <c r="P142" s="22" t="s">
        <v>19</v>
      </c>
      <c r="Q142" s="24">
        <f t="shared" si="9"/>
        <v>0</v>
      </c>
      <c r="R142" s="24">
        <f t="shared" si="8"/>
        <v>0</v>
      </c>
      <c r="S142" s="5"/>
      <c r="T142" s="5"/>
    </row>
    <row r="143" spans="1:20" ht="15.75" hidden="1" x14ac:dyDescent="0.25">
      <c r="A143" t="s">
        <v>6091</v>
      </c>
      <c r="B143" s="21" t="s">
        <v>395</v>
      </c>
      <c r="C143" s="22" t="s">
        <v>2451</v>
      </c>
      <c r="D143" s="22"/>
      <c r="E143" s="21" t="s">
        <v>0</v>
      </c>
      <c r="F143" s="21"/>
      <c r="G143" s="147" t="s">
        <v>161</v>
      </c>
      <c r="H143" s="23" t="s">
        <v>330</v>
      </c>
      <c r="I143" s="23"/>
      <c r="J143" s="21" t="s">
        <v>288</v>
      </c>
      <c r="K143" s="21"/>
      <c r="L143" s="21"/>
      <c r="M143" s="26"/>
      <c r="N143" s="44">
        <v>0</v>
      </c>
      <c r="O143" s="22" t="s">
        <v>15</v>
      </c>
      <c r="P143" s="22"/>
      <c r="Q143" s="24">
        <f t="shared" si="9"/>
        <v>0</v>
      </c>
      <c r="R143" s="24">
        <f t="shared" si="8"/>
        <v>0</v>
      </c>
      <c r="S143" s="5"/>
      <c r="T143" s="5"/>
    </row>
    <row r="144" spans="1:20" ht="15.75" hidden="1" x14ac:dyDescent="0.25">
      <c r="A144" t="s">
        <v>6091</v>
      </c>
      <c r="B144" s="21" t="s">
        <v>395</v>
      </c>
      <c r="C144" s="22" t="s">
        <v>2451</v>
      </c>
      <c r="D144" s="22"/>
      <c r="E144" s="21" t="s">
        <v>0</v>
      </c>
      <c r="F144" s="21"/>
      <c r="G144" s="147" t="s">
        <v>161</v>
      </c>
      <c r="H144" s="23" t="s">
        <v>311</v>
      </c>
      <c r="I144" s="23"/>
      <c r="J144" s="21" t="s">
        <v>163</v>
      </c>
      <c r="K144" s="21"/>
      <c r="L144" s="21"/>
      <c r="M144" s="26">
        <v>42718</v>
      </c>
      <c r="N144" s="44">
        <f>15000*60%</f>
        <v>9000</v>
      </c>
      <c r="O144" s="22" t="s">
        <v>15</v>
      </c>
      <c r="P144" s="22" t="s">
        <v>19</v>
      </c>
      <c r="Q144" s="24">
        <f t="shared" si="9"/>
        <v>0</v>
      </c>
      <c r="R144" s="24">
        <f t="shared" si="8"/>
        <v>9000</v>
      </c>
      <c r="S144" s="5"/>
      <c r="T144" s="5"/>
    </row>
    <row r="145" spans="1:20" ht="15.75" hidden="1" x14ac:dyDescent="0.25">
      <c r="A145" t="s">
        <v>6091</v>
      </c>
      <c r="B145" s="21" t="s">
        <v>395</v>
      </c>
      <c r="C145" s="22" t="s">
        <v>2451</v>
      </c>
      <c r="D145" s="22"/>
      <c r="E145" s="21" t="s">
        <v>0</v>
      </c>
      <c r="F145" s="21"/>
      <c r="G145" s="147" t="s">
        <v>161</v>
      </c>
      <c r="H145" s="23" t="s">
        <v>311</v>
      </c>
      <c r="I145" s="23"/>
      <c r="J145" s="21" t="s">
        <v>164</v>
      </c>
      <c r="K145" s="21"/>
      <c r="L145" s="21"/>
      <c r="M145" s="26">
        <v>42789</v>
      </c>
      <c r="N145" s="44">
        <v>6000</v>
      </c>
      <c r="O145" s="22" t="s">
        <v>15</v>
      </c>
      <c r="P145" s="22" t="s">
        <v>19</v>
      </c>
      <c r="Q145" s="24">
        <f t="shared" si="9"/>
        <v>0</v>
      </c>
      <c r="R145" s="24">
        <f t="shared" si="8"/>
        <v>6000</v>
      </c>
      <c r="S145" s="5"/>
      <c r="T145" s="5"/>
    </row>
    <row r="146" spans="1:20" ht="15.75" hidden="1" x14ac:dyDescent="0.25">
      <c r="A146" t="s">
        <v>6091</v>
      </c>
      <c r="B146" s="21" t="s">
        <v>395</v>
      </c>
      <c r="C146" s="22" t="s">
        <v>2451</v>
      </c>
      <c r="D146" s="22"/>
      <c r="E146" s="21" t="s">
        <v>0</v>
      </c>
      <c r="F146" s="21"/>
      <c r="G146" s="147" t="s">
        <v>161</v>
      </c>
      <c r="H146" s="23" t="s">
        <v>322</v>
      </c>
      <c r="I146" s="23"/>
      <c r="J146" s="21" t="s">
        <v>3</v>
      </c>
      <c r="K146" s="21"/>
      <c r="L146" s="21"/>
      <c r="M146" s="26">
        <v>42716</v>
      </c>
      <c r="N146" s="44">
        <v>60000</v>
      </c>
      <c r="O146" s="22" t="s">
        <v>15</v>
      </c>
      <c r="P146" s="22" t="s">
        <v>19</v>
      </c>
      <c r="Q146" s="24">
        <f t="shared" si="9"/>
        <v>0</v>
      </c>
      <c r="R146" s="24">
        <f t="shared" si="8"/>
        <v>60000</v>
      </c>
      <c r="S146" s="5"/>
      <c r="T146" s="5"/>
    </row>
    <row r="147" spans="1:20" ht="15.75" hidden="1" x14ac:dyDescent="0.25">
      <c r="A147" t="s">
        <v>6091</v>
      </c>
      <c r="B147" s="21" t="s">
        <v>395</v>
      </c>
      <c r="C147" s="22" t="s">
        <v>2451</v>
      </c>
      <c r="D147" s="22"/>
      <c r="E147" s="21" t="s">
        <v>0</v>
      </c>
      <c r="F147" s="21"/>
      <c r="G147" s="147" t="s">
        <v>161</v>
      </c>
      <c r="H147" s="23" t="s">
        <v>322</v>
      </c>
      <c r="I147" s="23"/>
      <c r="J147" s="21" t="s">
        <v>323</v>
      </c>
      <c r="K147" s="21"/>
      <c r="L147" s="21"/>
      <c r="M147" s="26" t="s">
        <v>336</v>
      </c>
      <c r="N147" s="44">
        <f>355920-N146-36729</f>
        <v>259191</v>
      </c>
      <c r="O147" s="22" t="s">
        <v>15</v>
      </c>
      <c r="P147" s="22">
        <f>10860+34800+111000+69000+18600+600+840+2400</f>
        <v>248100</v>
      </c>
      <c r="Q147" s="24">
        <v>0</v>
      </c>
      <c r="R147" s="24">
        <f t="shared" si="8"/>
        <v>248100</v>
      </c>
      <c r="S147" s="5"/>
      <c r="T147" s="5"/>
    </row>
    <row r="148" spans="1:20" ht="15.75" hidden="1" x14ac:dyDescent="0.25">
      <c r="A148" t="s">
        <v>6091</v>
      </c>
      <c r="B148" s="21" t="s">
        <v>395</v>
      </c>
      <c r="C148" s="22" t="s">
        <v>2451</v>
      </c>
      <c r="D148" s="22"/>
      <c r="E148" s="21" t="s">
        <v>0</v>
      </c>
      <c r="F148" s="21"/>
      <c r="G148" s="147" t="s">
        <v>161</v>
      </c>
      <c r="H148" s="23" t="s">
        <v>310</v>
      </c>
      <c r="I148" s="23"/>
      <c r="J148" s="21" t="s">
        <v>165</v>
      </c>
      <c r="K148" s="21"/>
      <c r="L148" s="21"/>
      <c r="M148" s="26">
        <v>42718</v>
      </c>
      <c r="N148" s="44">
        <f>64000/2</f>
        <v>32000</v>
      </c>
      <c r="O148" s="22" t="s">
        <v>15</v>
      </c>
      <c r="P148" s="22" t="s">
        <v>19</v>
      </c>
      <c r="Q148" s="24">
        <f t="shared" ref="Q148:Q162" si="10">IF(P148="en cours",N148,IF(P148="OK",0,IF(N148-P148&lt;0,0,N148-P148)))</f>
        <v>0</v>
      </c>
      <c r="R148" s="24">
        <f t="shared" si="8"/>
        <v>32000</v>
      </c>
      <c r="S148" s="5"/>
      <c r="T148" s="5"/>
    </row>
    <row r="149" spans="1:20" ht="15.75" hidden="1" x14ac:dyDescent="0.25">
      <c r="A149" t="s">
        <v>6091</v>
      </c>
      <c r="B149" s="21" t="s">
        <v>395</v>
      </c>
      <c r="C149" s="22" t="s">
        <v>2451</v>
      </c>
      <c r="D149" s="22"/>
      <c r="E149" s="21" t="s">
        <v>0</v>
      </c>
      <c r="F149" s="21"/>
      <c r="G149" s="147" t="s">
        <v>161</v>
      </c>
      <c r="H149" s="23" t="s">
        <v>310</v>
      </c>
      <c r="I149" s="23"/>
      <c r="J149" s="21" t="s">
        <v>166</v>
      </c>
      <c r="K149" s="21"/>
      <c r="L149" s="21"/>
      <c r="M149" s="26">
        <v>42923</v>
      </c>
      <c r="N149" s="44">
        <v>32470</v>
      </c>
      <c r="O149" s="22" t="s">
        <v>15</v>
      </c>
      <c r="P149" s="22" t="s">
        <v>19</v>
      </c>
      <c r="Q149" s="24">
        <f t="shared" si="10"/>
        <v>0</v>
      </c>
      <c r="R149" s="24">
        <f t="shared" si="8"/>
        <v>32470</v>
      </c>
      <c r="S149" s="5"/>
      <c r="T149" s="5"/>
    </row>
    <row r="150" spans="1:20" ht="15.75" hidden="1" x14ac:dyDescent="0.25">
      <c r="A150" t="s">
        <v>6091</v>
      </c>
      <c r="B150" s="21" t="s">
        <v>395</v>
      </c>
      <c r="C150" s="22" t="s">
        <v>2451</v>
      </c>
      <c r="D150" s="22"/>
      <c r="E150" s="21" t="s">
        <v>0</v>
      </c>
      <c r="F150" s="21"/>
      <c r="G150" s="147" t="s">
        <v>161</v>
      </c>
      <c r="H150" s="23" t="s">
        <v>447</v>
      </c>
      <c r="I150" s="23"/>
      <c r="J150" s="21" t="s">
        <v>167</v>
      </c>
      <c r="K150" s="21"/>
      <c r="L150" s="21"/>
      <c r="M150" s="26">
        <v>42557</v>
      </c>
      <c r="N150" s="44">
        <f>11500*60%</f>
        <v>6900</v>
      </c>
      <c r="O150" s="22" t="s">
        <v>15</v>
      </c>
      <c r="P150" s="22" t="s">
        <v>19</v>
      </c>
      <c r="Q150" s="24">
        <f t="shared" si="10"/>
        <v>0</v>
      </c>
      <c r="R150" s="24">
        <f t="shared" ref="R150:R181" si="11">IF(P150="OK",N150-Q150,IF(P150="en cours",N150-Q150,P150))</f>
        <v>6900</v>
      </c>
      <c r="S150" s="5"/>
      <c r="T150" s="5"/>
    </row>
    <row r="151" spans="1:20" ht="15.75" hidden="1" x14ac:dyDescent="0.25">
      <c r="A151" t="s">
        <v>6091</v>
      </c>
      <c r="B151" s="21" t="s">
        <v>395</v>
      </c>
      <c r="C151" s="22" t="s">
        <v>2451</v>
      </c>
      <c r="D151" s="22"/>
      <c r="E151" s="21" t="s">
        <v>0</v>
      </c>
      <c r="F151" s="21"/>
      <c r="G151" s="147" t="s">
        <v>161</v>
      </c>
      <c r="H151" s="23" t="s">
        <v>447</v>
      </c>
      <c r="I151" s="23"/>
      <c r="J151" s="21" t="s">
        <v>168</v>
      </c>
      <c r="K151" s="21"/>
      <c r="L151" s="21"/>
      <c r="M151" s="26">
        <v>42678</v>
      </c>
      <c r="N151" s="44">
        <f>11500-N150</f>
        <v>4600</v>
      </c>
      <c r="O151" s="22" t="s">
        <v>15</v>
      </c>
      <c r="P151" s="22" t="s">
        <v>19</v>
      </c>
      <c r="Q151" s="24">
        <f t="shared" si="10"/>
        <v>0</v>
      </c>
      <c r="R151" s="24">
        <f t="shared" si="11"/>
        <v>4600</v>
      </c>
      <c r="S151" s="5"/>
      <c r="T151" s="5"/>
    </row>
    <row r="152" spans="1:20" ht="15.75" hidden="1" x14ac:dyDescent="0.25">
      <c r="A152" t="s">
        <v>6091</v>
      </c>
      <c r="B152" s="21" t="s">
        <v>395</v>
      </c>
      <c r="C152" s="22" t="s">
        <v>2449</v>
      </c>
      <c r="D152" s="22"/>
      <c r="E152" s="21" t="s">
        <v>10</v>
      </c>
      <c r="F152" s="21"/>
      <c r="G152" s="147" t="s">
        <v>188</v>
      </c>
      <c r="H152" s="23" t="s">
        <v>191</v>
      </c>
      <c r="I152" s="23"/>
      <c r="J152" s="21" t="s">
        <v>189</v>
      </c>
      <c r="K152" s="21"/>
      <c r="L152" s="21"/>
      <c r="M152" s="26">
        <v>42797</v>
      </c>
      <c r="N152" s="44">
        <v>48750</v>
      </c>
      <c r="O152" s="22" t="e">
        <f>+BASE!#REF!</f>
        <v>#REF!</v>
      </c>
      <c r="P152" s="22" t="s">
        <v>19</v>
      </c>
      <c r="Q152" s="24">
        <f t="shared" si="10"/>
        <v>0</v>
      </c>
      <c r="R152" s="24">
        <f t="shared" si="11"/>
        <v>48750</v>
      </c>
      <c r="S152" s="5"/>
      <c r="T152" s="5"/>
    </row>
    <row r="153" spans="1:20" ht="15.75" hidden="1" x14ac:dyDescent="0.25">
      <c r="A153" t="s">
        <v>6091</v>
      </c>
      <c r="B153" s="21" t="s">
        <v>395</v>
      </c>
      <c r="C153" s="22" t="s">
        <v>2451</v>
      </c>
      <c r="D153" s="22"/>
      <c r="E153" s="21" t="s">
        <v>0</v>
      </c>
      <c r="F153" s="21"/>
      <c r="G153" s="147" t="s">
        <v>31</v>
      </c>
      <c r="H153" s="23" t="s">
        <v>417</v>
      </c>
      <c r="I153" s="23"/>
      <c r="J153" s="21" t="s">
        <v>228</v>
      </c>
      <c r="K153" s="21"/>
      <c r="L153" s="21"/>
      <c r="M153" s="26">
        <v>42915</v>
      </c>
      <c r="N153" s="44">
        <v>44425.8</v>
      </c>
      <c r="O153" s="22" t="s">
        <v>15</v>
      </c>
      <c r="P153" s="22" t="s">
        <v>19</v>
      </c>
      <c r="Q153" s="24">
        <f t="shared" si="10"/>
        <v>0</v>
      </c>
      <c r="R153" s="24">
        <f t="shared" si="11"/>
        <v>44425.8</v>
      </c>
      <c r="S153" s="5"/>
      <c r="T153" s="5"/>
    </row>
    <row r="154" spans="1:20" ht="15.75" hidden="1" x14ac:dyDescent="0.25">
      <c r="A154" t="s">
        <v>6091</v>
      </c>
      <c r="B154" s="21" t="s">
        <v>395</v>
      </c>
      <c r="C154" s="22" t="s">
        <v>2451</v>
      </c>
      <c r="D154" s="22"/>
      <c r="E154" s="21" t="s">
        <v>0</v>
      </c>
      <c r="F154" s="21"/>
      <c r="G154" s="147" t="s">
        <v>31</v>
      </c>
      <c r="H154" s="23" t="s">
        <v>417</v>
      </c>
      <c r="I154" s="23"/>
      <c r="J154" s="21" t="s">
        <v>229</v>
      </c>
      <c r="K154" s="21"/>
      <c r="L154" s="21"/>
      <c r="M154" s="26">
        <v>42915</v>
      </c>
      <c r="N154" s="44">
        <v>999</v>
      </c>
      <c r="O154" s="22" t="s">
        <v>15</v>
      </c>
      <c r="P154" s="22" t="s">
        <v>19</v>
      </c>
      <c r="Q154" s="24">
        <f t="shared" si="10"/>
        <v>0</v>
      </c>
      <c r="R154" s="24">
        <f t="shared" si="11"/>
        <v>999</v>
      </c>
      <c r="S154" s="5"/>
      <c r="T154" s="5"/>
    </row>
    <row r="155" spans="1:20" ht="15.75" hidden="1" x14ac:dyDescent="0.25">
      <c r="A155" t="s">
        <v>6091</v>
      </c>
      <c r="B155" s="21" t="s">
        <v>395</v>
      </c>
      <c r="C155" s="22" t="s">
        <v>2451</v>
      </c>
      <c r="D155" s="22"/>
      <c r="E155" s="21" t="s">
        <v>0</v>
      </c>
      <c r="F155" s="21"/>
      <c r="G155" s="147" t="s">
        <v>31</v>
      </c>
      <c r="H155" s="23" t="s">
        <v>417</v>
      </c>
      <c r="I155" s="23"/>
      <c r="J155" s="21" t="s">
        <v>230</v>
      </c>
      <c r="K155" s="21"/>
      <c r="L155" s="21"/>
      <c r="M155" s="26">
        <v>42915</v>
      </c>
      <c r="N155" s="44">
        <v>1698.3</v>
      </c>
      <c r="O155" s="22" t="s">
        <v>15</v>
      </c>
      <c r="P155" s="22" t="s">
        <v>19</v>
      </c>
      <c r="Q155" s="24">
        <f t="shared" si="10"/>
        <v>0</v>
      </c>
      <c r="R155" s="24">
        <f t="shared" si="11"/>
        <v>1698.3</v>
      </c>
      <c r="S155" s="5"/>
      <c r="T155" s="5"/>
    </row>
    <row r="156" spans="1:20" ht="15.75" hidden="1" x14ac:dyDescent="0.25">
      <c r="A156" t="s">
        <v>6091</v>
      </c>
      <c r="B156" s="21" t="s">
        <v>395</v>
      </c>
      <c r="C156" s="22" t="s">
        <v>2451</v>
      </c>
      <c r="D156" s="22"/>
      <c r="E156" s="21" t="s">
        <v>0</v>
      </c>
      <c r="F156" s="21"/>
      <c r="G156" s="147" t="s">
        <v>31</v>
      </c>
      <c r="H156" s="23" t="s">
        <v>417</v>
      </c>
      <c r="I156" s="23"/>
      <c r="J156" s="21" t="s">
        <v>231</v>
      </c>
      <c r="K156" s="21"/>
      <c r="L156" s="21"/>
      <c r="M156" s="26">
        <v>42915</v>
      </c>
      <c r="N156" s="44">
        <v>3682.8</v>
      </c>
      <c r="O156" s="22" t="s">
        <v>15</v>
      </c>
      <c r="P156" s="22" t="s">
        <v>19</v>
      </c>
      <c r="Q156" s="24">
        <f t="shared" si="10"/>
        <v>0</v>
      </c>
      <c r="R156" s="24">
        <f t="shared" si="11"/>
        <v>3682.8</v>
      </c>
      <c r="S156" s="5"/>
      <c r="T156" s="5"/>
    </row>
    <row r="157" spans="1:20" ht="15.75" hidden="1" x14ac:dyDescent="0.25">
      <c r="A157" t="s">
        <v>6091</v>
      </c>
      <c r="B157" s="21" t="s">
        <v>395</v>
      </c>
      <c r="C157" s="22" t="s">
        <v>2451</v>
      </c>
      <c r="D157" s="22"/>
      <c r="E157" s="21" t="s">
        <v>0</v>
      </c>
      <c r="F157" s="21"/>
      <c r="G157" s="147" t="s">
        <v>31</v>
      </c>
      <c r="H157" s="23" t="s">
        <v>417</v>
      </c>
      <c r="I157" s="23"/>
      <c r="J157" s="21" t="s">
        <v>232</v>
      </c>
      <c r="K157" s="21"/>
      <c r="L157" s="21"/>
      <c r="M157" s="26">
        <v>42915</v>
      </c>
      <c r="N157" s="44">
        <v>2750</v>
      </c>
      <c r="O157" s="22" t="s">
        <v>15</v>
      </c>
      <c r="P157" s="22" t="s">
        <v>19</v>
      </c>
      <c r="Q157" s="24">
        <f t="shared" si="10"/>
        <v>0</v>
      </c>
      <c r="R157" s="24">
        <f t="shared" si="11"/>
        <v>2750</v>
      </c>
      <c r="S157" s="5"/>
      <c r="T157" s="5"/>
    </row>
    <row r="158" spans="1:20" ht="15.75" hidden="1" x14ac:dyDescent="0.25">
      <c r="A158" t="s">
        <v>6091</v>
      </c>
      <c r="B158" s="21" t="s">
        <v>395</v>
      </c>
      <c r="C158" s="22" t="s">
        <v>2450</v>
      </c>
      <c r="D158" s="22"/>
      <c r="E158" s="21" t="s">
        <v>75</v>
      </c>
      <c r="F158" s="21"/>
      <c r="G158" s="147" t="s">
        <v>98</v>
      </c>
      <c r="H158" s="23" t="s">
        <v>420</v>
      </c>
      <c r="I158" s="23"/>
      <c r="J158" s="21" t="s">
        <v>248</v>
      </c>
      <c r="K158" s="21"/>
      <c r="L158" s="21"/>
      <c r="M158" s="26">
        <v>42902</v>
      </c>
      <c r="N158" s="44">
        <v>241</v>
      </c>
      <c r="O158" s="22" t="s">
        <v>15</v>
      </c>
      <c r="P158" s="22" t="s">
        <v>19</v>
      </c>
      <c r="Q158" s="24">
        <f t="shared" si="10"/>
        <v>0</v>
      </c>
      <c r="R158" s="24">
        <f t="shared" si="11"/>
        <v>241</v>
      </c>
      <c r="S158" s="5"/>
      <c r="T158" s="5"/>
    </row>
    <row r="159" spans="1:20" ht="15.75" hidden="1" x14ac:dyDescent="0.25">
      <c r="A159" t="s">
        <v>6091</v>
      </c>
      <c r="B159" s="21" t="s">
        <v>395</v>
      </c>
      <c r="C159" s="22" t="s">
        <v>2450</v>
      </c>
      <c r="D159" s="22"/>
      <c r="E159" s="21" t="s">
        <v>75</v>
      </c>
      <c r="F159" s="21"/>
      <c r="G159" s="147" t="s">
        <v>98</v>
      </c>
      <c r="H159" s="23" t="s">
        <v>421</v>
      </c>
      <c r="I159" s="23"/>
      <c r="J159" s="21" t="s">
        <v>249</v>
      </c>
      <c r="K159" s="21"/>
      <c r="L159" s="21"/>
      <c r="M159" s="26">
        <v>42902</v>
      </c>
      <c r="N159" s="44">
        <v>160.35999999999999</v>
      </c>
      <c r="O159" s="22" t="s">
        <v>15</v>
      </c>
      <c r="P159" s="22" t="s">
        <v>19</v>
      </c>
      <c r="Q159" s="24">
        <f t="shared" si="10"/>
        <v>0</v>
      </c>
      <c r="R159" s="24">
        <f t="shared" si="11"/>
        <v>160.35999999999999</v>
      </c>
      <c r="S159" s="5"/>
      <c r="T159" s="5"/>
    </row>
    <row r="160" spans="1:20" ht="15.75" hidden="1" x14ac:dyDescent="0.25">
      <c r="A160" t="s">
        <v>6091</v>
      </c>
      <c r="B160" s="21" t="s">
        <v>395</v>
      </c>
      <c r="C160" s="22" t="s">
        <v>2450</v>
      </c>
      <c r="D160" s="22"/>
      <c r="E160" s="21" t="s">
        <v>75</v>
      </c>
      <c r="F160" s="21"/>
      <c r="G160" s="147" t="s">
        <v>98</v>
      </c>
      <c r="H160" s="23" t="s">
        <v>421</v>
      </c>
      <c r="I160" s="23"/>
      <c r="J160" s="21" t="s">
        <v>250</v>
      </c>
      <c r="K160" s="21"/>
      <c r="L160" s="21"/>
      <c r="M160" s="26">
        <v>42902</v>
      </c>
      <c r="N160" s="44">
        <v>210</v>
      </c>
      <c r="O160" s="22" t="s">
        <v>15</v>
      </c>
      <c r="P160" s="22" t="s">
        <v>19</v>
      </c>
      <c r="Q160" s="24">
        <f t="shared" si="10"/>
        <v>0</v>
      </c>
      <c r="R160" s="24">
        <f t="shared" si="11"/>
        <v>210</v>
      </c>
      <c r="S160" s="5"/>
      <c r="T160" s="5"/>
    </row>
    <row r="161" spans="1:20" ht="15.75" hidden="1" x14ac:dyDescent="0.25">
      <c r="A161" t="s">
        <v>6091</v>
      </c>
      <c r="B161" s="21" t="s">
        <v>395</v>
      </c>
      <c r="C161" s="22" t="s">
        <v>2450</v>
      </c>
      <c r="D161" s="22"/>
      <c r="E161" s="21" t="s">
        <v>75</v>
      </c>
      <c r="F161" s="21"/>
      <c r="G161" s="147" t="s">
        <v>98</v>
      </c>
      <c r="H161" s="23" t="s">
        <v>421</v>
      </c>
      <c r="I161" s="23"/>
      <c r="J161" s="21" t="s">
        <v>251</v>
      </c>
      <c r="K161" s="21"/>
      <c r="L161" s="21"/>
      <c r="M161" s="26" t="s">
        <v>302</v>
      </c>
      <c r="N161" s="44">
        <v>1207.26</v>
      </c>
      <c r="O161" s="22" t="s">
        <v>15</v>
      </c>
      <c r="P161" s="22" t="s">
        <v>19</v>
      </c>
      <c r="Q161" s="24">
        <f t="shared" si="10"/>
        <v>0</v>
      </c>
      <c r="R161" s="24">
        <f t="shared" si="11"/>
        <v>1207.26</v>
      </c>
      <c r="S161" s="5"/>
      <c r="T161" s="5"/>
    </row>
    <row r="162" spans="1:20" ht="15.75" hidden="1" x14ac:dyDescent="0.25">
      <c r="A162" t="s">
        <v>6091</v>
      </c>
      <c r="B162" s="21" t="s">
        <v>395</v>
      </c>
      <c r="C162" s="22" t="s">
        <v>2456</v>
      </c>
      <c r="D162" s="22"/>
      <c r="E162" s="21" t="s">
        <v>75</v>
      </c>
      <c r="F162" s="21"/>
      <c r="G162" s="147" t="s">
        <v>253</v>
      </c>
      <c r="H162" s="23" t="s">
        <v>327</v>
      </c>
      <c r="I162" s="23"/>
      <c r="J162" s="21" t="s">
        <v>326</v>
      </c>
      <c r="K162" s="21"/>
      <c r="L162" s="21"/>
      <c r="M162" s="26">
        <v>42991</v>
      </c>
      <c r="N162" s="44">
        <f>0.2*(231757-23176)</f>
        <v>41716.200000000004</v>
      </c>
      <c r="O162" s="22" t="s">
        <v>276</v>
      </c>
      <c r="P162" s="22" t="s">
        <v>19</v>
      </c>
      <c r="Q162" s="24">
        <f t="shared" si="10"/>
        <v>0</v>
      </c>
      <c r="R162" s="24">
        <f t="shared" si="11"/>
        <v>41716.200000000004</v>
      </c>
      <c r="S162" s="5" t="s">
        <v>1672</v>
      </c>
      <c r="T162" s="5"/>
    </row>
    <row r="163" spans="1:20" ht="15.75" hidden="1" x14ac:dyDescent="0.25">
      <c r="A163" t="s">
        <v>6091</v>
      </c>
      <c r="B163" s="21" t="s">
        <v>395</v>
      </c>
      <c r="C163" s="22" t="s">
        <v>2456</v>
      </c>
      <c r="D163" s="22"/>
      <c r="E163" s="21" t="s">
        <v>75</v>
      </c>
      <c r="F163" s="21"/>
      <c r="G163" s="147" t="s">
        <v>253</v>
      </c>
      <c r="H163" s="23" t="s">
        <v>327</v>
      </c>
      <c r="I163" s="23"/>
      <c r="J163" s="21" t="s">
        <v>256</v>
      </c>
      <c r="K163" s="21"/>
      <c r="L163" s="21"/>
      <c r="M163" s="26" t="s">
        <v>1500</v>
      </c>
      <c r="N163" s="44">
        <f>0.8*(231757-23176)</f>
        <v>166864.80000000002</v>
      </c>
      <c r="O163" s="22" t="s">
        <v>276</v>
      </c>
      <c r="P163" s="22">
        <f>(38991-8070)+(57663-5766.3)+(8220-822)+(6802-680.2)+(6189-618.9)+(7642-764.2)+(7941-794.1)+(5614-561.4)+(-3778)+8504.1+9329+3084+2392</f>
        <v>140516</v>
      </c>
      <c r="Q163" s="24">
        <v>0</v>
      </c>
      <c r="R163" s="24">
        <f t="shared" si="11"/>
        <v>140516</v>
      </c>
      <c r="S163" s="5" t="s">
        <v>1672</v>
      </c>
      <c r="T163" s="5"/>
    </row>
    <row r="164" spans="1:20" ht="15.75" hidden="1" x14ac:dyDescent="0.25">
      <c r="A164" t="s">
        <v>6091</v>
      </c>
      <c r="B164" s="21" t="s">
        <v>395</v>
      </c>
      <c r="C164" s="22" t="s">
        <v>2456</v>
      </c>
      <c r="D164" s="22"/>
      <c r="E164" s="21" t="s">
        <v>75</v>
      </c>
      <c r="F164" s="21"/>
      <c r="G164" s="147" t="s">
        <v>253</v>
      </c>
      <c r="H164" s="23" t="s">
        <v>327</v>
      </c>
      <c r="I164" s="23"/>
      <c r="J164" s="21" t="s">
        <v>257</v>
      </c>
      <c r="K164" s="21"/>
      <c r="L164" s="21"/>
      <c r="M164" s="26" t="s">
        <v>1640</v>
      </c>
      <c r="N164" s="44">
        <v>50703</v>
      </c>
      <c r="O164" s="22" t="s">
        <v>276</v>
      </c>
      <c r="P164" s="22">
        <f>2773.85+23129.98+316.16+913.53+92+103.5+(520+26)+(884.46+44.22)+234+192.36+172.41+194.37+80.15</f>
        <v>29676.989999999998</v>
      </c>
      <c r="Q164" s="24">
        <v>0</v>
      </c>
      <c r="R164" s="24">
        <f t="shared" si="11"/>
        <v>29676.989999999998</v>
      </c>
      <c r="S164" s="5" t="s">
        <v>1672</v>
      </c>
      <c r="T164" s="5"/>
    </row>
    <row r="165" spans="1:20" ht="15.75" hidden="1" x14ac:dyDescent="0.25">
      <c r="A165" t="s">
        <v>6091</v>
      </c>
      <c r="B165" s="21" t="s">
        <v>395</v>
      </c>
      <c r="C165" s="22" t="s">
        <v>2456</v>
      </c>
      <c r="D165" s="22"/>
      <c r="E165" s="21" t="s">
        <v>75</v>
      </c>
      <c r="F165" s="21"/>
      <c r="G165" s="147" t="s">
        <v>253</v>
      </c>
      <c r="H165" s="23" t="s">
        <v>327</v>
      </c>
      <c r="I165" s="23"/>
      <c r="J165" s="21" t="s">
        <v>258</v>
      </c>
      <c r="K165" s="21"/>
      <c r="L165" s="21"/>
      <c r="M165" s="26" t="s">
        <v>856</v>
      </c>
      <c r="N165" s="44">
        <v>15055</v>
      </c>
      <c r="O165" s="22" t="s">
        <v>276</v>
      </c>
      <c r="P165" s="22">
        <f>700+115+1840+2070+78+1495+(920+46)+(1955+97.75)</f>
        <v>9316.75</v>
      </c>
      <c r="Q165" s="24">
        <v>0</v>
      </c>
      <c r="R165" s="24">
        <f t="shared" si="11"/>
        <v>9316.75</v>
      </c>
      <c r="S165" s="5" t="s">
        <v>1672</v>
      </c>
      <c r="T165" s="5"/>
    </row>
    <row r="166" spans="1:20" ht="15.75" hidden="1" x14ac:dyDescent="0.25">
      <c r="A166" t="s">
        <v>6091</v>
      </c>
      <c r="B166" s="21" t="s">
        <v>395</v>
      </c>
      <c r="C166" s="22" t="s">
        <v>2451</v>
      </c>
      <c r="D166" s="22"/>
      <c r="E166" s="21" t="s">
        <v>0</v>
      </c>
      <c r="F166" s="21"/>
      <c r="G166" s="147" t="s">
        <v>31</v>
      </c>
      <c r="H166" s="23" t="s">
        <v>422</v>
      </c>
      <c r="I166" s="23"/>
      <c r="J166" s="21" t="s">
        <v>254</v>
      </c>
      <c r="K166" s="21"/>
      <c r="L166" s="21"/>
      <c r="M166" s="26">
        <v>42915</v>
      </c>
      <c r="N166" s="44">
        <v>378</v>
      </c>
      <c r="O166" s="22" t="s">
        <v>15</v>
      </c>
      <c r="P166" s="22" t="s">
        <v>19</v>
      </c>
      <c r="Q166" s="24">
        <f t="shared" ref="Q166:Q180" si="12">IF(P166="en cours",N166,IF(P166="OK",0,IF(N166-P166&lt;0,0,N166-P166)))</f>
        <v>0</v>
      </c>
      <c r="R166" s="24">
        <f t="shared" si="11"/>
        <v>378</v>
      </c>
      <c r="S166" s="5"/>
      <c r="T166" s="5"/>
    </row>
    <row r="167" spans="1:20" ht="15.75" hidden="1" x14ac:dyDescent="0.25">
      <c r="A167" t="s">
        <v>6091</v>
      </c>
      <c r="B167" s="21" t="s">
        <v>395</v>
      </c>
      <c r="C167" s="22" t="s">
        <v>2451</v>
      </c>
      <c r="D167" s="22"/>
      <c r="E167" s="21" t="s">
        <v>0</v>
      </c>
      <c r="F167" s="21"/>
      <c r="G167" s="147" t="s">
        <v>31</v>
      </c>
      <c r="H167" s="107" t="s">
        <v>307</v>
      </c>
      <c r="I167" s="107"/>
      <c r="J167" s="21" t="s">
        <v>255</v>
      </c>
      <c r="K167" s="21"/>
      <c r="L167" s="21"/>
      <c r="M167" s="26">
        <v>42915</v>
      </c>
      <c r="N167" s="44">
        <v>733</v>
      </c>
      <c r="O167" s="22" t="s">
        <v>15</v>
      </c>
      <c r="P167" s="22" t="s">
        <v>19</v>
      </c>
      <c r="Q167" s="24">
        <f t="shared" si="12"/>
        <v>0</v>
      </c>
      <c r="R167" s="24">
        <f t="shared" si="11"/>
        <v>733</v>
      </c>
      <c r="S167" s="5"/>
      <c r="T167" s="5"/>
    </row>
    <row r="168" spans="1:20" ht="15.75" hidden="1" x14ac:dyDescent="0.25">
      <c r="A168" t="s">
        <v>6091</v>
      </c>
      <c r="B168" s="21" t="s">
        <v>395</v>
      </c>
      <c r="C168" s="22" t="s">
        <v>2451</v>
      </c>
      <c r="D168" s="22"/>
      <c r="E168" s="21" t="s">
        <v>0</v>
      </c>
      <c r="F168" s="21"/>
      <c r="G168" s="147" t="s">
        <v>31</v>
      </c>
      <c r="H168" s="23" t="s">
        <v>423</v>
      </c>
      <c r="I168" s="23"/>
      <c r="J168" s="21" t="s">
        <v>35</v>
      </c>
      <c r="K168" s="21"/>
      <c r="L168" s="21"/>
      <c r="M168" s="26">
        <v>42912</v>
      </c>
      <c r="N168" s="44">
        <v>831.6</v>
      </c>
      <c r="O168" s="22" t="s">
        <v>15</v>
      </c>
      <c r="P168" s="22" t="s">
        <v>19</v>
      </c>
      <c r="Q168" s="24">
        <f t="shared" si="12"/>
        <v>0</v>
      </c>
      <c r="R168" s="24">
        <f t="shared" si="11"/>
        <v>831.6</v>
      </c>
      <c r="S168" s="5"/>
      <c r="T168" s="5"/>
    </row>
    <row r="169" spans="1:20" ht="15.75" hidden="1" x14ac:dyDescent="0.25">
      <c r="A169" t="s">
        <v>6091</v>
      </c>
      <c r="B169" s="21" t="s">
        <v>395</v>
      </c>
      <c r="C169" s="22" t="s">
        <v>2451</v>
      </c>
      <c r="D169" s="22"/>
      <c r="E169" s="21" t="s">
        <v>0</v>
      </c>
      <c r="F169" s="21"/>
      <c r="G169" s="147" t="s">
        <v>31</v>
      </c>
      <c r="H169" s="23" t="s">
        <v>423</v>
      </c>
      <c r="I169" s="23"/>
      <c r="J169" s="21" t="s">
        <v>230</v>
      </c>
      <c r="K169" s="21"/>
      <c r="L169" s="21"/>
      <c r="M169" s="26">
        <v>42912</v>
      </c>
      <c r="N169" s="44">
        <v>1698.3</v>
      </c>
      <c r="O169" s="22" t="s">
        <v>15</v>
      </c>
      <c r="P169" s="22" t="s">
        <v>19</v>
      </c>
      <c r="Q169" s="24">
        <f t="shared" si="12"/>
        <v>0</v>
      </c>
      <c r="R169" s="24">
        <f t="shared" si="11"/>
        <v>1698.3</v>
      </c>
      <c r="S169" s="5"/>
      <c r="T169" s="5"/>
    </row>
    <row r="170" spans="1:20" ht="15.75" hidden="1" x14ac:dyDescent="0.25">
      <c r="A170" t="s">
        <v>6091</v>
      </c>
      <c r="B170" s="21" t="s">
        <v>395</v>
      </c>
      <c r="C170" s="22" t="s">
        <v>2451</v>
      </c>
      <c r="D170" s="22"/>
      <c r="E170" s="21" t="s">
        <v>0</v>
      </c>
      <c r="F170" s="21"/>
      <c r="G170" s="147" t="s">
        <v>31</v>
      </c>
      <c r="H170" s="23" t="s">
        <v>423</v>
      </c>
      <c r="I170" s="23"/>
      <c r="J170" s="21" t="s">
        <v>254</v>
      </c>
      <c r="K170" s="21"/>
      <c r="L170" s="21"/>
      <c r="M170" s="26">
        <v>42912</v>
      </c>
      <c r="N170" s="44">
        <v>658</v>
      </c>
      <c r="O170" s="22" t="s">
        <v>15</v>
      </c>
      <c r="P170" s="22" t="s">
        <v>19</v>
      </c>
      <c r="Q170" s="24">
        <f t="shared" si="12"/>
        <v>0</v>
      </c>
      <c r="R170" s="24">
        <f t="shared" si="11"/>
        <v>658</v>
      </c>
      <c r="S170" s="5"/>
      <c r="T170" s="5"/>
    </row>
    <row r="171" spans="1:20" ht="15.75" hidden="1" x14ac:dyDescent="0.25">
      <c r="A171" t="s">
        <v>6091</v>
      </c>
      <c r="B171" s="21" t="s">
        <v>395</v>
      </c>
      <c r="C171" s="22" t="s">
        <v>2451</v>
      </c>
      <c r="D171" s="22"/>
      <c r="E171" s="21" t="s">
        <v>0</v>
      </c>
      <c r="F171" s="21"/>
      <c r="G171" s="147" t="s">
        <v>161</v>
      </c>
      <c r="H171" s="23" t="s">
        <v>259</v>
      </c>
      <c r="I171" s="23"/>
      <c r="J171" s="21" t="s">
        <v>260</v>
      </c>
      <c r="K171" s="21"/>
      <c r="L171" s="21"/>
      <c r="M171" s="26" t="s">
        <v>368</v>
      </c>
      <c r="N171" s="44">
        <v>5000</v>
      </c>
      <c r="O171" s="22" t="s">
        <v>15</v>
      </c>
      <c r="P171" s="22" t="s">
        <v>19</v>
      </c>
      <c r="Q171" s="24">
        <f t="shared" si="12"/>
        <v>0</v>
      </c>
      <c r="R171" s="24">
        <f t="shared" si="11"/>
        <v>5000</v>
      </c>
      <c r="S171" s="5"/>
      <c r="T171" s="5"/>
    </row>
    <row r="172" spans="1:20" ht="15.75" hidden="1" x14ac:dyDescent="0.25">
      <c r="A172" t="s">
        <v>6091</v>
      </c>
      <c r="B172" s="21" t="s">
        <v>395</v>
      </c>
      <c r="C172" s="22" t="s">
        <v>2451</v>
      </c>
      <c r="D172" s="22"/>
      <c r="E172" s="21" t="s">
        <v>0</v>
      </c>
      <c r="F172" s="21"/>
      <c r="G172" s="147" t="s">
        <v>161</v>
      </c>
      <c r="H172" s="23" t="s">
        <v>259</v>
      </c>
      <c r="I172" s="23"/>
      <c r="J172" s="21" t="s">
        <v>261</v>
      </c>
      <c r="K172" s="21"/>
      <c r="L172" s="21"/>
      <c r="M172" s="26" t="s">
        <v>368</v>
      </c>
      <c r="N172" s="44">
        <v>14200</v>
      </c>
      <c r="O172" s="22" t="s">
        <v>15</v>
      </c>
      <c r="P172" s="22" t="s">
        <v>19</v>
      </c>
      <c r="Q172" s="24">
        <f t="shared" si="12"/>
        <v>0</v>
      </c>
      <c r="R172" s="24">
        <f t="shared" si="11"/>
        <v>14200</v>
      </c>
      <c r="S172" s="5"/>
      <c r="T172" s="5"/>
    </row>
    <row r="173" spans="1:20" ht="15.75" hidden="1" x14ac:dyDescent="0.25">
      <c r="A173" t="s">
        <v>6091</v>
      </c>
      <c r="B173" s="21" t="s">
        <v>395</v>
      </c>
      <c r="C173" s="22" t="s">
        <v>2451</v>
      </c>
      <c r="D173" s="22"/>
      <c r="E173" s="21" t="s">
        <v>0</v>
      </c>
      <c r="F173" s="21"/>
      <c r="G173" s="147" t="s">
        <v>161</v>
      </c>
      <c r="H173" s="23" t="s">
        <v>259</v>
      </c>
      <c r="I173" s="23"/>
      <c r="J173" s="21" t="s">
        <v>262</v>
      </c>
      <c r="K173" s="21"/>
      <c r="L173" s="21"/>
      <c r="M173" s="26" t="s">
        <v>368</v>
      </c>
      <c r="N173" s="44">
        <v>12000</v>
      </c>
      <c r="O173" s="22" t="s">
        <v>15</v>
      </c>
      <c r="P173" s="22" t="s">
        <v>19</v>
      </c>
      <c r="Q173" s="24">
        <f t="shared" si="12"/>
        <v>0</v>
      </c>
      <c r="R173" s="24">
        <f t="shared" si="11"/>
        <v>12000</v>
      </c>
      <c r="S173" s="5"/>
      <c r="T173" s="5"/>
    </row>
    <row r="174" spans="1:20" ht="15.75" hidden="1" x14ac:dyDescent="0.25">
      <c r="A174" t="s">
        <v>6091</v>
      </c>
      <c r="B174" s="21" t="s">
        <v>395</v>
      </c>
      <c r="C174" s="22" t="s">
        <v>2451</v>
      </c>
      <c r="D174" s="22"/>
      <c r="E174" s="21" t="s">
        <v>0</v>
      </c>
      <c r="F174" s="21"/>
      <c r="G174" s="147" t="s">
        <v>161</v>
      </c>
      <c r="H174" s="23" t="s">
        <v>259</v>
      </c>
      <c r="I174" s="23"/>
      <c r="J174" s="21" t="s">
        <v>263</v>
      </c>
      <c r="K174" s="21"/>
      <c r="L174" s="21"/>
      <c r="M174" s="26" t="s">
        <v>265</v>
      </c>
      <c r="N174" s="44"/>
      <c r="O174" s="22" t="s">
        <v>15</v>
      </c>
      <c r="P174" s="22" t="s">
        <v>19</v>
      </c>
      <c r="Q174" s="24">
        <f t="shared" si="12"/>
        <v>0</v>
      </c>
      <c r="R174" s="24">
        <f t="shared" si="11"/>
        <v>0</v>
      </c>
      <c r="S174" s="5"/>
      <c r="T174" s="5"/>
    </row>
    <row r="175" spans="1:20" ht="15.75" hidden="1" x14ac:dyDescent="0.25">
      <c r="A175" t="s">
        <v>6091</v>
      </c>
      <c r="B175" s="21" t="s">
        <v>395</v>
      </c>
      <c r="C175" s="22" t="s">
        <v>2451</v>
      </c>
      <c r="D175" s="22"/>
      <c r="E175" s="21" t="s">
        <v>0</v>
      </c>
      <c r="F175" s="21"/>
      <c r="G175" s="147" t="s">
        <v>161</v>
      </c>
      <c r="H175" s="23" t="s">
        <v>259</v>
      </c>
      <c r="I175" s="23"/>
      <c r="J175" s="21" t="s">
        <v>264</v>
      </c>
      <c r="K175" s="21"/>
      <c r="L175" s="21"/>
      <c r="M175" s="26" t="s">
        <v>265</v>
      </c>
      <c r="N175" s="44"/>
      <c r="O175" s="22" t="s">
        <v>15</v>
      </c>
      <c r="P175" s="22" t="s">
        <v>19</v>
      </c>
      <c r="Q175" s="24">
        <f t="shared" si="12"/>
        <v>0</v>
      </c>
      <c r="R175" s="24">
        <f t="shared" si="11"/>
        <v>0</v>
      </c>
      <c r="S175" s="5"/>
      <c r="T175" s="5"/>
    </row>
    <row r="176" spans="1:20" ht="15.75" hidden="1" x14ac:dyDescent="0.25">
      <c r="A176" t="s">
        <v>6091</v>
      </c>
      <c r="B176" s="21" t="s">
        <v>395</v>
      </c>
      <c r="C176" s="22" t="s">
        <v>2451</v>
      </c>
      <c r="D176" s="22"/>
      <c r="E176" s="21" t="s">
        <v>0</v>
      </c>
      <c r="F176" s="21"/>
      <c r="G176" s="147" t="s">
        <v>161</v>
      </c>
      <c r="H176" s="23" t="s">
        <v>369</v>
      </c>
      <c r="I176" s="23"/>
      <c r="J176" s="21" t="s">
        <v>472</v>
      </c>
      <c r="K176" s="21"/>
      <c r="L176" s="21"/>
      <c r="M176" s="26" t="s">
        <v>370</v>
      </c>
      <c r="N176" s="44">
        <v>10000</v>
      </c>
      <c r="O176" s="22" t="s">
        <v>15</v>
      </c>
      <c r="P176" s="22" t="s">
        <v>19</v>
      </c>
      <c r="Q176" s="24">
        <f t="shared" si="12"/>
        <v>0</v>
      </c>
      <c r="R176" s="24">
        <f t="shared" si="11"/>
        <v>10000</v>
      </c>
      <c r="S176" s="5"/>
      <c r="T176" s="5"/>
    </row>
    <row r="177" spans="1:20" ht="15.75" hidden="1" x14ac:dyDescent="0.25">
      <c r="A177" t="s">
        <v>6091</v>
      </c>
      <c r="B177" s="21" t="s">
        <v>395</v>
      </c>
      <c r="C177" s="22" t="s">
        <v>2427</v>
      </c>
      <c r="D177" s="22"/>
      <c r="E177" s="21" t="s">
        <v>0</v>
      </c>
      <c r="F177" s="21"/>
      <c r="G177" s="147" t="s">
        <v>63</v>
      </c>
      <c r="H177" s="23" t="s">
        <v>309</v>
      </c>
      <c r="I177" s="23"/>
      <c r="J177" s="21" t="s">
        <v>320</v>
      </c>
      <c r="K177" s="21"/>
      <c r="L177" s="21"/>
      <c r="M177" s="26">
        <v>42879</v>
      </c>
      <c r="N177" s="44">
        <v>2700</v>
      </c>
      <c r="O177" s="22" t="s">
        <v>15</v>
      </c>
      <c r="P177" s="22" t="s">
        <v>19</v>
      </c>
      <c r="Q177" s="24">
        <f t="shared" si="12"/>
        <v>0</v>
      </c>
      <c r="R177" s="24">
        <f t="shared" si="11"/>
        <v>2700</v>
      </c>
      <c r="S177" s="5"/>
      <c r="T177" s="5"/>
    </row>
    <row r="178" spans="1:20" ht="15.75" hidden="1" x14ac:dyDescent="0.25">
      <c r="A178" t="s">
        <v>6091</v>
      </c>
      <c r="B178" s="21" t="s">
        <v>395</v>
      </c>
      <c r="C178" s="22" t="s">
        <v>2427</v>
      </c>
      <c r="D178" s="22"/>
      <c r="E178" s="21" t="s">
        <v>0</v>
      </c>
      <c r="F178" s="21"/>
      <c r="G178" s="147" t="s">
        <v>63</v>
      </c>
      <c r="H178" s="23" t="s">
        <v>309</v>
      </c>
      <c r="I178" s="23"/>
      <c r="J178" s="21" t="s">
        <v>321</v>
      </c>
      <c r="K178" s="21"/>
      <c r="L178" s="21"/>
      <c r="M178" s="26">
        <v>42888</v>
      </c>
      <c r="N178" s="44">
        <v>1800</v>
      </c>
      <c r="O178" s="22" t="s">
        <v>15</v>
      </c>
      <c r="P178" s="22" t="s">
        <v>19</v>
      </c>
      <c r="Q178" s="24">
        <f t="shared" si="12"/>
        <v>0</v>
      </c>
      <c r="R178" s="24">
        <f t="shared" si="11"/>
        <v>1800</v>
      </c>
      <c r="S178" s="5"/>
      <c r="T178" s="5"/>
    </row>
    <row r="179" spans="1:20" ht="15.75" hidden="1" x14ac:dyDescent="0.25">
      <c r="A179" t="s">
        <v>6091</v>
      </c>
      <c r="B179" s="21" t="s">
        <v>395</v>
      </c>
      <c r="C179" s="22" t="s">
        <v>2450</v>
      </c>
      <c r="D179" s="22"/>
      <c r="E179" s="21" t="s">
        <v>0</v>
      </c>
      <c r="F179" s="21"/>
      <c r="G179" s="147" t="s">
        <v>110</v>
      </c>
      <c r="H179" s="17" t="s">
        <v>115</v>
      </c>
      <c r="I179" s="17"/>
      <c r="J179" s="21" t="s">
        <v>116</v>
      </c>
      <c r="K179" s="21"/>
      <c r="L179" s="21"/>
      <c r="M179" s="26">
        <v>42517</v>
      </c>
      <c r="N179" s="44">
        <v>13802</v>
      </c>
      <c r="O179" s="22" t="s">
        <v>15</v>
      </c>
      <c r="P179" s="22" t="s">
        <v>19</v>
      </c>
      <c r="Q179" s="24">
        <f t="shared" si="12"/>
        <v>0</v>
      </c>
      <c r="R179" s="24">
        <f t="shared" si="11"/>
        <v>13802</v>
      </c>
      <c r="S179" s="5"/>
      <c r="T179" s="5"/>
    </row>
    <row r="180" spans="1:20" ht="15.75" hidden="1" x14ac:dyDescent="0.25">
      <c r="A180" t="s">
        <v>6091</v>
      </c>
      <c r="B180" s="21" t="s">
        <v>395</v>
      </c>
      <c r="C180" s="22" t="s">
        <v>2451</v>
      </c>
      <c r="D180" s="22"/>
      <c r="E180" s="21" t="s">
        <v>0</v>
      </c>
      <c r="F180" s="21"/>
      <c r="G180" s="147" t="s">
        <v>161</v>
      </c>
      <c r="H180" s="23" t="s">
        <v>355</v>
      </c>
      <c r="I180" s="23"/>
      <c r="J180" s="21" t="s">
        <v>354</v>
      </c>
      <c r="K180" s="21"/>
      <c r="L180" s="21"/>
      <c r="M180" s="26">
        <v>42851</v>
      </c>
      <c r="N180" s="44">
        <v>10000</v>
      </c>
      <c r="O180" s="22" t="s">
        <v>15</v>
      </c>
      <c r="P180" s="22" t="s">
        <v>19</v>
      </c>
      <c r="Q180" s="24">
        <f t="shared" si="12"/>
        <v>0</v>
      </c>
      <c r="R180" s="24">
        <f t="shared" si="11"/>
        <v>10000</v>
      </c>
      <c r="S180" s="5"/>
      <c r="T180" s="5"/>
    </row>
    <row r="181" spans="1:20" ht="15.75" hidden="1" x14ac:dyDescent="0.25">
      <c r="A181" t="s">
        <v>6091</v>
      </c>
      <c r="B181" s="21" t="s">
        <v>395</v>
      </c>
      <c r="C181" s="22" t="s">
        <v>2451</v>
      </c>
      <c r="D181" s="22"/>
      <c r="E181" s="21" t="s">
        <v>0</v>
      </c>
      <c r="F181" s="21"/>
      <c r="G181" s="147" t="s">
        <v>161</v>
      </c>
      <c r="H181" s="23" t="s">
        <v>355</v>
      </c>
      <c r="I181" s="23"/>
      <c r="J181" s="21" t="s">
        <v>2056</v>
      </c>
      <c r="K181" s="21">
        <v>43800</v>
      </c>
      <c r="L181" s="21" t="s">
        <v>2471</v>
      </c>
      <c r="M181" s="26" t="s">
        <v>2472</v>
      </c>
      <c r="N181" s="44">
        <f>20000*5</f>
        <v>100000</v>
      </c>
      <c r="O181" s="22" t="s">
        <v>15</v>
      </c>
      <c r="P181" s="22">
        <f>10000+20000+20000+20000</f>
        <v>70000</v>
      </c>
      <c r="Q181" s="24">
        <v>0</v>
      </c>
      <c r="R181" s="24">
        <f t="shared" si="11"/>
        <v>70000</v>
      </c>
      <c r="S181" s="5" t="s">
        <v>2372</v>
      </c>
      <c r="T181" s="5"/>
    </row>
    <row r="182" spans="1:20" ht="15.75" hidden="1" x14ac:dyDescent="0.25">
      <c r="A182" t="s">
        <v>6091</v>
      </c>
      <c r="B182" s="21" t="s">
        <v>395</v>
      </c>
      <c r="C182" s="22" t="s">
        <v>2451</v>
      </c>
      <c r="D182" s="22"/>
      <c r="E182" s="21" t="s">
        <v>0</v>
      </c>
      <c r="F182" s="21"/>
      <c r="G182" s="147" t="s">
        <v>161</v>
      </c>
      <c r="H182" s="23" t="s">
        <v>355</v>
      </c>
      <c r="I182" s="23"/>
      <c r="J182" s="21" t="s">
        <v>2055</v>
      </c>
      <c r="K182" s="21"/>
      <c r="L182" s="21"/>
      <c r="M182" s="26"/>
      <c r="N182" s="44">
        <v>0</v>
      </c>
      <c r="O182" s="22" t="s">
        <v>15</v>
      </c>
      <c r="P182" s="22" t="s">
        <v>19</v>
      </c>
      <c r="Q182" s="24">
        <f t="shared" ref="Q182:Q196" si="13">IF(P182="en cours",N182,IF(P182="OK",0,IF(N182-P182&lt;0,0,N182-P182)))</f>
        <v>0</v>
      </c>
      <c r="R182" s="24">
        <f t="shared" ref="R182:R206" si="14">IF(P182="OK",N182-Q182,IF(P182="en cours",N182-Q182,P182))</f>
        <v>0</v>
      </c>
      <c r="S182" s="5"/>
      <c r="T182" s="5"/>
    </row>
    <row r="183" spans="1:20" ht="15.75" hidden="1" x14ac:dyDescent="0.25">
      <c r="A183" t="s">
        <v>6091</v>
      </c>
      <c r="B183" s="21" t="s">
        <v>395</v>
      </c>
      <c r="C183" s="22" t="s">
        <v>2451</v>
      </c>
      <c r="D183" s="22"/>
      <c r="E183" s="21" t="s">
        <v>0</v>
      </c>
      <c r="F183" s="21"/>
      <c r="G183" s="147" t="s">
        <v>161</v>
      </c>
      <c r="H183" s="23" t="s">
        <v>355</v>
      </c>
      <c r="I183" s="23"/>
      <c r="J183" s="21" t="s">
        <v>2054</v>
      </c>
      <c r="K183" s="21"/>
      <c r="L183" s="21"/>
      <c r="M183" s="26"/>
      <c r="N183" s="44">
        <v>0</v>
      </c>
      <c r="O183" s="22" t="s">
        <v>15</v>
      </c>
      <c r="P183" s="22" t="s">
        <v>19</v>
      </c>
      <c r="Q183" s="24">
        <f t="shared" si="13"/>
        <v>0</v>
      </c>
      <c r="R183" s="24">
        <f t="shared" si="14"/>
        <v>0</v>
      </c>
      <c r="S183" s="5"/>
      <c r="T183" s="5"/>
    </row>
    <row r="184" spans="1:20" ht="15.75" hidden="1" x14ac:dyDescent="0.25">
      <c r="A184" t="s">
        <v>6091</v>
      </c>
      <c r="B184" s="21" t="s">
        <v>395</v>
      </c>
      <c r="C184" s="22" t="s">
        <v>2451</v>
      </c>
      <c r="D184" s="22"/>
      <c r="E184" s="21" t="s">
        <v>0</v>
      </c>
      <c r="F184" s="21"/>
      <c r="G184" s="147" t="s">
        <v>161</v>
      </c>
      <c r="H184" s="23" t="s">
        <v>355</v>
      </c>
      <c r="I184" s="23"/>
      <c r="J184" s="21" t="s">
        <v>2053</v>
      </c>
      <c r="K184" s="21"/>
      <c r="L184" s="21"/>
      <c r="M184" s="26"/>
      <c r="N184" s="44">
        <v>0</v>
      </c>
      <c r="O184" s="22" t="s">
        <v>15</v>
      </c>
      <c r="P184" s="22" t="s">
        <v>19</v>
      </c>
      <c r="Q184" s="24">
        <f t="shared" si="13"/>
        <v>0</v>
      </c>
      <c r="R184" s="24">
        <f t="shared" si="14"/>
        <v>0</v>
      </c>
      <c r="S184" s="5"/>
      <c r="T184" s="5"/>
    </row>
    <row r="185" spans="1:20" ht="15.75" hidden="1" x14ac:dyDescent="0.25">
      <c r="A185" t="s">
        <v>6091</v>
      </c>
      <c r="B185" s="21" t="s">
        <v>395</v>
      </c>
      <c r="C185" s="22" t="s">
        <v>2451</v>
      </c>
      <c r="D185" s="22"/>
      <c r="E185" s="21" t="s">
        <v>0</v>
      </c>
      <c r="F185" s="21"/>
      <c r="G185" s="147" t="s">
        <v>161</v>
      </c>
      <c r="H185" s="23" t="s">
        <v>355</v>
      </c>
      <c r="I185" s="23"/>
      <c r="J185" s="21" t="s">
        <v>2052</v>
      </c>
      <c r="K185" s="21"/>
      <c r="L185" s="21"/>
      <c r="M185" s="26"/>
      <c r="N185" s="44">
        <v>0</v>
      </c>
      <c r="O185" s="22" t="s">
        <v>15</v>
      </c>
      <c r="P185" s="22" t="s">
        <v>19</v>
      </c>
      <c r="Q185" s="24">
        <f t="shared" si="13"/>
        <v>0</v>
      </c>
      <c r="R185" s="24">
        <f t="shared" si="14"/>
        <v>0</v>
      </c>
      <c r="S185" s="5"/>
      <c r="T185" s="5"/>
    </row>
    <row r="186" spans="1:20" ht="15.75" hidden="1" x14ac:dyDescent="0.25">
      <c r="A186" t="s">
        <v>6091</v>
      </c>
      <c r="B186" s="21" t="s">
        <v>395</v>
      </c>
      <c r="C186" s="22" t="s">
        <v>2451</v>
      </c>
      <c r="D186" s="22"/>
      <c r="E186" s="21" t="s">
        <v>0</v>
      </c>
      <c r="F186" s="21"/>
      <c r="G186" s="147" t="s">
        <v>84</v>
      </c>
      <c r="H186" s="23" t="s">
        <v>426</v>
      </c>
      <c r="I186" s="23"/>
      <c r="J186" s="21" t="s">
        <v>357</v>
      </c>
      <c r="K186" s="21"/>
      <c r="L186" s="21"/>
      <c r="M186" s="26" t="s">
        <v>477</v>
      </c>
      <c r="N186" s="44">
        <f>30%*10167</f>
        <v>3050.1</v>
      </c>
      <c r="O186" s="22" t="s">
        <v>15</v>
      </c>
      <c r="P186" s="22" t="s">
        <v>19</v>
      </c>
      <c r="Q186" s="24">
        <f t="shared" si="13"/>
        <v>0</v>
      </c>
      <c r="R186" s="24">
        <f t="shared" si="14"/>
        <v>3050.1</v>
      </c>
      <c r="S186" s="5"/>
      <c r="T186" s="5"/>
    </row>
    <row r="187" spans="1:20" ht="15.75" hidden="1" x14ac:dyDescent="0.25">
      <c r="A187" t="s">
        <v>6091</v>
      </c>
      <c r="B187" s="21" t="s">
        <v>395</v>
      </c>
      <c r="C187" s="22" t="s">
        <v>2451</v>
      </c>
      <c r="D187" s="22"/>
      <c r="E187" s="21" t="s">
        <v>0</v>
      </c>
      <c r="F187" s="21"/>
      <c r="G187" s="147" t="s">
        <v>84</v>
      </c>
      <c r="H187" s="23" t="s">
        <v>426</v>
      </c>
      <c r="I187" s="23"/>
      <c r="J187" s="21" t="s">
        <v>357</v>
      </c>
      <c r="K187" s="21"/>
      <c r="L187" s="21"/>
      <c r="M187" s="26" t="s">
        <v>477</v>
      </c>
      <c r="N187" s="44">
        <f>30%*10167</f>
        <v>3050.1</v>
      </c>
      <c r="O187" s="22" t="s">
        <v>15</v>
      </c>
      <c r="P187" s="22" t="s">
        <v>19</v>
      </c>
      <c r="Q187" s="24">
        <f t="shared" si="13"/>
        <v>0</v>
      </c>
      <c r="R187" s="24">
        <f t="shared" si="14"/>
        <v>3050.1</v>
      </c>
      <c r="S187" s="5"/>
      <c r="T187" s="5"/>
    </row>
    <row r="188" spans="1:20" ht="15.75" hidden="1" x14ac:dyDescent="0.25">
      <c r="A188" t="s">
        <v>6091</v>
      </c>
      <c r="B188" s="21" t="s">
        <v>395</v>
      </c>
      <c r="C188" s="22" t="s">
        <v>2451</v>
      </c>
      <c r="D188" s="22"/>
      <c r="E188" s="21" t="s">
        <v>0</v>
      </c>
      <c r="F188" s="21"/>
      <c r="G188" s="147" t="s">
        <v>84</v>
      </c>
      <c r="H188" s="23" t="s">
        <v>426</v>
      </c>
      <c r="I188" s="23"/>
      <c r="J188" s="21" t="s">
        <v>357</v>
      </c>
      <c r="K188" s="21"/>
      <c r="L188" s="21"/>
      <c r="M188" s="26" t="s">
        <v>477</v>
      </c>
      <c r="N188" s="44">
        <f>40%*10167</f>
        <v>4066.8</v>
      </c>
      <c r="O188" s="22" t="s">
        <v>15</v>
      </c>
      <c r="P188" s="22" t="s">
        <v>19</v>
      </c>
      <c r="Q188" s="24">
        <f t="shared" si="13"/>
        <v>0</v>
      </c>
      <c r="R188" s="24">
        <f t="shared" si="14"/>
        <v>4066.8</v>
      </c>
      <c r="S188" s="5"/>
      <c r="T188" s="5"/>
    </row>
    <row r="189" spans="1:20" ht="15.75" hidden="1" x14ac:dyDescent="0.25">
      <c r="A189" t="s">
        <v>6091</v>
      </c>
      <c r="B189" s="21" t="s">
        <v>395</v>
      </c>
      <c r="C189" s="22" t="s">
        <v>2427</v>
      </c>
      <c r="D189" s="22"/>
      <c r="E189" s="21" t="s">
        <v>10</v>
      </c>
      <c r="F189" s="21"/>
      <c r="G189" s="147" t="s">
        <v>70</v>
      </c>
      <c r="H189" s="23" t="s">
        <v>427</v>
      </c>
      <c r="I189" s="23"/>
      <c r="J189" s="21" t="s">
        <v>359</v>
      </c>
      <c r="K189" s="21"/>
      <c r="L189" s="21"/>
      <c r="M189" s="26">
        <v>43008</v>
      </c>
      <c r="N189" s="44">
        <f>0.5*(55200+4100)</f>
        <v>29650</v>
      </c>
      <c r="O189" s="22" t="s">
        <v>15</v>
      </c>
      <c r="P189" s="22" t="s">
        <v>19</v>
      </c>
      <c r="Q189" s="24">
        <f t="shared" si="13"/>
        <v>0</v>
      </c>
      <c r="R189" s="24">
        <f t="shared" si="14"/>
        <v>29650</v>
      </c>
      <c r="S189" s="5"/>
      <c r="T189" s="5"/>
    </row>
    <row r="190" spans="1:20" ht="15.75" hidden="1" x14ac:dyDescent="0.25">
      <c r="A190" t="s">
        <v>6091</v>
      </c>
      <c r="B190" s="21" t="s">
        <v>395</v>
      </c>
      <c r="C190" s="22" t="s">
        <v>2427</v>
      </c>
      <c r="D190" s="22"/>
      <c r="E190" s="21" t="s">
        <v>10</v>
      </c>
      <c r="F190" s="21"/>
      <c r="G190" s="147" t="s">
        <v>70</v>
      </c>
      <c r="H190" s="23" t="s">
        <v>427</v>
      </c>
      <c r="I190" s="23"/>
      <c r="J190" s="21" t="s">
        <v>360</v>
      </c>
      <c r="K190" s="21"/>
      <c r="L190" s="21"/>
      <c r="M190" s="26">
        <v>43038</v>
      </c>
      <c r="N190" s="44">
        <f>0.3*(55200+4100)</f>
        <v>17790</v>
      </c>
      <c r="O190" s="22" t="s">
        <v>15</v>
      </c>
      <c r="P190" s="22" t="s">
        <v>19</v>
      </c>
      <c r="Q190" s="24">
        <f t="shared" si="13"/>
        <v>0</v>
      </c>
      <c r="R190" s="24">
        <f t="shared" si="14"/>
        <v>17790</v>
      </c>
      <c r="S190" s="5"/>
      <c r="T190" s="5"/>
    </row>
    <row r="191" spans="1:20" ht="15.75" hidden="1" x14ac:dyDescent="0.25">
      <c r="A191" t="s">
        <v>6091</v>
      </c>
      <c r="B191" s="21" t="s">
        <v>395</v>
      </c>
      <c r="C191" s="22" t="s">
        <v>2427</v>
      </c>
      <c r="D191" s="22"/>
      <c r="E191" s="21" t="s">
        <v>10</v>
      </c>
      <c r="F191" s="21"/>
      <c r="G191" s="147" t="s">
        <v>70</v>
      </c>
      <c r="H191" s="23" t="s">
        <v>427</v>
      </c>
      <c r="I191" s="23"/>
      <c r="J191" s="21" t="s">
        <v>361</v>
      </c>
      <c r="K191" s="21"/>
      <c r="L191" s="21"/>
      <c r="M191" s="26">
        <v>43069</v>
      </c>
      <c r="N191" s="44">
        <f>0.2*(55200+4100)</f>
        <v>11860</v>
      </c>
      <c r="O191" s="22" t="s">
        <v>15</v>
      </c>
      <c r="P191" s="22" t="s">
        <v>19</v>
      </c>
      <c r="Q191" s="24">
        <f t="shared" si="13"/>
        <v>0</v>
      </c>
      <c r="R191" s="24">
        <f t="shared" si="14"/>
        <v>11860</v>
      </c>
      <c r="S191" s="5"/>
      <c r="T191" s="5"/>
    </row>
    <row r="192" spans="1:20" ht="15.75" hidden="1" x14ac:dyDescent="0.25">
      <c r="A192" t="s">
        <v>6091</v>
      </c>
      <c r="B192" s="21" t="s">
        <v>395</v>
      </c>
      <c r="C192" s="22" t="s">
        <v>2427</v>
      </c>
      <c r="D192" s="22"/>
      <c r="E192" s="21" t="s">
        <v>10</v>
      </c>
      <c r="F192" s="21"/>
      <c r="G192" s="147" t="s">
        <v>362</v>
      </c>
      <c r="H192" s="23" t="s">
        <v>438</v>
      </c>
      <c r="I192" s="23"/>
      <c r="J192" s="21" t="s">
        <v>443</v>
      </c>
      <c r="K192" s="21"/>
      <c r="L192" s="21"/>
      <c r="M192" s="26" t="s">
        <v>556</v>
      </c>
      <c r="N192" s="44">
        <f>29900-6958.11</f>
        <v>22941.89</v>
      </c>
      <c r="O192" s="22" t="s">
        <v>15</v>
      </c>
      <c r="P192" s="22">
        <v>22942.89</v>
      </c>
      <c r="Q192" s="24">
        <f t="shared" si="13"/>
        <v>0</v>
      </c>
      <c r="R192" s="24">
        <f t="shared" si="14"/>
        <v>22942.89</v>
      </c>
      <c r="S192" s="5"/>
      <c r="T192" s="5"/>
    </row>
    <row r="193" spans="1:20" ht="15.75" hidden="1" x14ac:dyDescent="0.25">
      <c r="A193" t="s">
        <v>6091</v>
      </c>
      <c r="B193" s="21" t="s">
        <v>395</v>
      </c>
      <c r="C193" s="22" t="s">
        <v>2450</v>
      </c>
      <c r="D193" s="22"/>
      <c r="E193" s="21" t="s">
        <v>0</v>
      </c>
      <c r="F193" s="21"/>
      <c r="G193" s="147" t="s">
        <v>110</v>
      </c>
      <c r="H193" s="17" t="str">
        <f>+H192</f>
        <v>D1700537 M00048</v>
      </c>
      <c r="I193" s="17"/>
      <c r="J193" s="21" t="s">
        <v>117</v>
      </c>
      <c r="K193" s="21"/>
      <c r="L193" s="21"/>
      <c r="M193" s="26">
        <v>42787</v>
      </c>
      <c r="N193" s="44">
        <v>6798</v>
      </c>
      <c r="O193" s="22" t="s">
        <v>15</v>
      </c>
      <c r="P193" s="22" t="s">
        <v>19</v>
      </c>
      <c r="Q193" s="24">
        <f t="shared" si="13"/>
        <v>0</v>
      </c>
      <c r="R193" s="24">
        <f t="shared" si="14"/>
        <v>6798</v>
      </c>
      <c r="S193" s="5"/>
      <c r="T193" s="5"/>
    </row>
    <row r="194" spans="1:20" ht="15.75" hidden="1" x14ac:dyDescent="0.25">
      <c r="A194" t="s">
        <v>6091</v>
      </c>
      <c r="B194" s="21" t="s">
        <v>395</v>
      </c>
      <c r="C194" s="22" t="s">
        <v>2450</v>
      </c>
      <c r="D194" s="22"/>
      <c r="E194" s="21" t="s">
        <v>0</v>
      </c>
      <c r="F194" s="21"/>
      <c r="G194" s="147" t="s">
        <v>110</v>
      </c>
      <c r="H194" s="17" t="str">
        <f>+H193</f>
        <v>D1700537 M00048</v>
      </c>
      <c r="I194" s="17"/>
      <c r="J194" s="21" t="s">
        <v>118</v>
      </c>
      <c r="K194" s="21"/>
      <c r="L194" s="21"/>
      <c r="M194" s="26">
        <v>42695</v>
      </c>
      <c r="N194" s="44">
        <v>4400</v>
      </c>
      <c r="O194" s="22" t="s">
        <v>15</v>
      </c>
      <c r="P194" s="22" t="s">
        <v>19</v>
      </c>
      <c r="Q194" s="24">
        <f t="shared" si="13"/>
        <v>0</v>
      </c>
      <c r="R194" s="24">
        <f t="shared" si="14"/>
        <v>4400</v>
      </c>
      <c r="S194" s="5"/>
      <c r="T194" s="5"/>
    </row>
    <row r="195" spans="1:20" ht="15.75" hidden="1" x14ac:dyDescent="0.25">
      <c r="A195" t="s">
        <v>6091</v>
      </c>
      <c r="B195" s="21" t="s">
        <v>395</v>
      </c>
      <c r="C195" s="22" t="s">
        <v>2427</v>
      </c>
      <c r="D195" s="22"/>
      <c r="E195" s="21" t="s">
        <v>0</v>
      </c>
      <c r="F195" s="21"/>
      <c r="G195" s="147" t="s">
        <v>385</v>
      </c>
      <c r="H195" s="23" t="s">
        <v>456</v>
      </c>
      <c r="I195" s="23"/>
      <c r="J195" s="21" t="s">
        <v>365</v>
      </c>
      <c r="K195" s="21"/>
      <c r="L195" s="21"/>
      <c r="M195" s="26">
        <v>43055</v>
      </c>
      <c r="N195" s="44">
        <v>3200</v>
      </c>
      <c r="O195" s="22" t="s">
        <v>15</v>
      </c>
      <c r="P195" s="22" t="s">
        <v>19</v>
      </c>
      <c r="Q195" s="24">
        <f t="shared" si="13"/>
        <v>0</v>
      </c>
      <c r="R195" s="24">
        <f t="shared" si="14"/>
        <v>3200</v>
      </c>
      <c r="S195" s="5"/>
      <c r="T195" s="5"/>
    </row>
    <row r="196" spans="1:20" ht="15.75" hidden="1" x14ac:dyDescent="0.25">
      <c r="A196" t="s">
        <v>6091</v>
      </c>
      <c r="B196" s="21" t="s">
        <v>395</v>
      </c>
      <c r="C196" s="22" t="s">
        <v>2427</v>
      </c>
      <c r="D196" s="22"/>
      <c r="E196" s="21" t="s">
        <v>0</v>
      </c>
      <c r="F196" s="21"/>
      <c r="G196" s="147" t="s">
        <v>385</v>
      </c>
      <c r="H196" s="23" t="s">
        <v>458</v>
      </c>
      <c r="I196" s="23"/>
      <c r="J196" s="21" t="s">
        <v>449</v>
      </c>
      <c r="K196" s="21"/>
      <c r="L196" s="21"/>
      <c r="M196" s="26">
        <v>43087</v>
      </c>
      <c r="N196" s="44">
        <v>3000</v>
      </c>
      <c r="O196" s="22" t="s">
        <v>15</v>
      </c>
      <c r="P196" s="22" t="s">
        <v>19</v>
      </c>
      <c r="Q196" s="24">
        <f t="shared" si="13"/>
        <v>0</v>
      </c>
      <c r="R196" s="24">
        <f t="shared" si="14"/>
        <v>3000</v>
      </c>
      <c r="S196" s="5"/>
      <c r="T196" s="5"/>
    </row>
    <row r="197" spans="1:20" ht="15.75" hidden="1" x14ac:dyDescent="0.25">
      <c r="A197" t="s">
        <v>6091</v>
      </c>
      <c r="B197" s="15"/>
      <c r="C197" s="16" t="s">
        <v>2427</v>
      </c>
      <c r="D197" s="16"/>
      <c r="E197" s="15" t="s">
        <v>0</v>
      </c>
      <c r="F197" s="15"/>
      <c r="G197" s="157" t="s">
        <v>385</v>
      </c>
      <c r="H197" s="19" t="s">
        <v>459</v>
      </c>
      <c r="I197" s="19"/>
      <c r="J197" s="20" t="s">
        <v>386</v>
      </c>
      <c r="K197" s="20"/>
      <c r="L197" s="20"/>
      <c r="M197" s="17" t="s">
        <v>1481</v>
      </c>
      <c r="N197" s="95">
        <v>9840</v>
      </c>
      <c r="O197" s="16" t="s">
        <v>15</v>
      </c>
      <c r="P197" s="4"/>
      <c r="Q197" s="18">
        <v>0</v>
      </c>
      <c r="R197" s="18">
        <f t="shared" si="14"/>
        <v>0</v>
      </c>
      <c r="S197" s="5"/>
      <c r="T197" s="5"/>
    </row>
    <row r="198" spans="1:20" ht="15.75" hidden="1" x14ac:dyDescent="0.25">
      <c r="A198" t="s">
        <v>6091</v>
      </c>
      <c r="B198" s="21" t="s">
        <v>395</v>
      </c>
      <c r="C198" s="22" t="s">
        <v>2427</v>
      </c>
      <c r="D198" s="22"/>
      <c r="E198" s="21" t="s">
        <v>0</v>
      </c>
      <c r="F198" s="21"/>
      <c r="G198" s="147" t="s">
        <v>385</v>
      </c>
      <c r="H198" s="23" t="s">
        <v>457</v>
      </c>
      <c r="I198" s="23"/>
      <c r="J198" s="21" t="s">
        <v>387</v>
      </c>
      <c r="K198" s="21"/>
      <c r="L198" s="21"/>
      <c r="M198" s="26">
        <v>43004</v>
      </c>
      <c r="N198" s="44">
        <v>5500</v>
      </c>
      <c r="O198" s="22" t="s">
        <v>15</v>
      </c>
      <c r="P198" s="22" t="s">
        <v>19</v>
      </c>
      <c r="Q198" s="24">
        <f t="shared" ref="Q198:Q221" si="15">IF(P198="en cours",N198,IF(P198="OK",0,IF(N198-P198&lt;0,0,N198-P198)))</f>
        <v>0</v>
      </c>
      <c r="R198" s="24">
        <f t="shared" si="14"/>
        <v>5500</v>
      </c>
      <c r="S198" s="5"/>
      <c r="T198" s="5"/>
    </row>
    <row r="199" spans="1:20" ht="15.75" hidden="1" x14ac:dyDescent="0.25">
      <c r="A199" t="s">
        <v>6091</v>
      </c>
      <c r="B199" s="21" t="s">
        <v>395</v>
      </c>
      <c r="C199" s="22" t="s">
        <v>2427</v>
      </c>
      <c r="D199" s="22"/>
      <c r="E199" s="21" t="s">
        <v>10</v>
      </c>
      <c r="F199" s="21"/>
      <c r="G199" s="147" t="s">
        <v>362</v>
      </c>
      <c r="H199" s="23" t="s">
        <v>617</v>
      </c>
      <c r="I199" s="23"/>
      <c r="J199" s="21" t="s">
        <v>561</v>
      </c>
      <c r="K199" s="21"/>
      <c r="L199" s="21"/>
      <c r="M199" s="26" t="s">
        <v>618</v>
      </c>
      <c r="N199" s="44">
        <v>1224</v>
      </c>
      <c r="O199" s="22" t="s">
        <v>15</v>
      </c>
      <c r="P199" s="22" t="s">
        <v>19</v>
      </c>
      <c r="Q199" s="24">
        <f t="shared" si="15"/>
        <v>0</v>
      </c>
      <c r="R199" s="24">
        <f t="shared" si="14"/>
        <v>1224</v>
      </c>
      <c r="S199" s="5"/>
      <c r="T199" s="5"/>
    </row>
    <row r="200" spans="1:20" ht="15.75" hidden="1" x14ac:dyDescent="0.25">
      <c r="A200" t="s">
        <v>6091</v>
      </c>
      <c r="B200" s="21" t="s">
        <v>395</v>
      </c>
      <c r="C200" s="22" t="s">
        <v>2456</v>
      </c>
      <c r="D200" s="22"/>
      <c r="E200" s="21" t="s">
        <v>75</v>
      </c>
      <c r="F200" s="21"/>
      <c r="G200" s="147" t="s">
        <v>362</v>
      </c>
      <c r="H200" s="23" t="s">
        <v>366</v>
      </c>
      <c r="I200" s="23"/>
      <c r="J200" s="50" t="s">
        <v>3978</v>
      </c>
      <c r="K200" s="50"/>
      <c r="L200" s="50"/>
      <c r="M200" s="26" t="s">
        <v>971</v>
      </c>
      <c r="N200" s="44">
        <f>0.3*23480</f>
        <v>7044</v>
      </c>
      <c r="O200" s="22" t="s">
        <v>15</v>
      </c>
      <c r="P200" s="22" t="s">
        <v>19</v>
      </c>
      <c r="Q200" s="24">
        <f t="shared" si="15"/>
        <v>0</v>
      </c>
      <c r="R200" s="24">
        <f t="shared" si="14"/>
        <v>7044</v>
      </c>
      <c r="S200" s="5"/>
      <c r="T200" s="5"/>
    </row>
    <row r="201" spans="1:20" ht="15.75" hidden="1" x14ac:dyDescent="0.25">
      <c r="A201" t="s">
        <v>6091</v>
      </c>
      <c r="B201" s="21" t="s">
        <v>395</v>
      </c>
      <c r="C201" s="22" t="s">
        <v>2456</v>
      </c>
      <c r="D201" s="22"/>
      <c r="E201" s="21" t="s">
        <v>75</v>
      </c>
      <c r="F201" s="21"/>
      <c r="G201" s="147" t="s">
        <v>362</v>
      </c>
      <c r="H201" s="23" t="s">
        <v>439</v>
      </c>
      <c r="I201" s="23"/>
      <c r="J201" s="21" t="s">
        <v>3979</v>
      </c>
      <c r="K201" s="50"/>
      <c r="L201" s="50"/>
      <c r="M201" s="26" t="s">
        <v>970</v>
      </c>
      <c r="N201" s="44">
        <f>0.7*23480</f>
        <v>16436</v>
      </c>
      <c r="O201" s="22" t="s">
        <v>15</v>
      </c>
      <c r="P201" s="22">
        <v>19929.5</v>
      </c>
      <c r="Q201" s="24">
        <f t="shared" si="15"/>
        <v>0</v>
      </c>
      <c r="R201" s="24">
        <f t="shared" si="14"/>
        <v>19929.5</v>
      </c>
      <c r="S201" s="5"/>
      <c r="T201" s="5"/>
    </row>
    <row r="202" spans="1:20" ht="15.75" hidden="1" x14ac:dyDescent="0.25">
      <c r="A202" t="s">
        <v>6091</v>
      </c>
      <c r="B202" s="21" t="s">
        <v>395</v>
      </c>
      <c r="C202" s="22" t="s">
        <v>2427</v>
      </c>
      <c r="D202" s="22"/>
      <c r="E202" s="21" t="s">
        <v>10</v>
      </c>
      <c r="F202" s="21"/>
      <c r="G202" s="147" t="s">
        <v>70</v>
      </c>
      <c r="H202" s="23" t="s">
        <v>440</v>
      </c>
      <c r="I202" s="23"/>
      <c r="J202" s="27">
        <v>1</v>
      </c>
      <c r="K202" s="27"/>
      <c r="L202" s="27"/>
      <c r="M202" s="26">
        <v>43069</v>
      </c>
      <c r="N202" s="44">
        <v>14900</v>
      </c>
      <c r="O202" s="22" t="s">
        <v>15</v>
      </c>
      <c r="P202" s="22" t="s">
        <v>19</v>
      </c>
      <c r="Q202" s="24">
        <f t="shared" si="15"/>
        <v>0</v>
      </c>
      <c r="R202" s="24">
        <f t="shared" si="14"/>
        <v>14900</v>
      </c>
      <c r="S202" s="5"/>
      <c r="T202" s="5"/>
    </row>
    <row r="203" spans="1:20" ht="15.75" hidden="1" x14ac:dyDescent="0.25">
      <c r="A203" t="s">
        <v>6091</v>
      </c>
      <c r="B203" s="21" t="s">
        <v>395</v>
      </c>
      <c r="C203" s="22" t="s">
        <v>381</v>
      </c>
      <c r="D203" s="22"/>
      <c r="E203" s="21" t="s">
        <v>10</v>
      </c>
      <c r="F203" s="21"/>
      <c r="G203" s="147" t="s">
        <v>373</v>
      </c>
      <c r="H203" s="23" t="s">
        <v>650</v>
      </c>
      <c r="I203" s="23"/>
      <c r="J203" s="21" t="s">
        <v>374</v>
      </c>
      <c r="K203" s="21"/>
      <c r="L203" s="21"/>
      <c r="M203" s="26">
        <v>43046</v>
      </c>
      <c r="N203" s="44">
        <f>0.6*38375</f>
        <v>23025</v>
      </c>
      <c r="O203" s="22" t="s">
        <v>276</v>
      </c>
      <c r="P203" s="22" t="s">
        <v>19</v>
      </c>
      <c r="Q203" s="24">
        <f t="shared" si="15"/>
        <v>0</v>
      </c>
      <c r="R203" s="24">
        <f t="shared" si="14"/>
        <v>23025</v>
      </c>
      <c r="S203" s="5"/>
      <c r="T203" s="5"/>
    </row>
    <row r="204" spans="1:20" ht="15.75" hidden="1" x14ac:dyDescent="0.25">
      <c r="A204" t="s">
        <v>6091</v>
      </c>
      <c r="B204" s="21" t="s">
        <v>395</v>
      </c>
      <c r="C204" s="22" t="s">
        <v>381</v>
      </c>
      <c r="D204" s="22"/>
      <c r="E204" s="21" t="s">
        <v>10</v>
      </c>
      <c r="F204" s="21"/>
      <c r="G204" s="147" t="s">
        <v>373</v>
      </c>
      <c r="H204" s="23" t="s">
        <v>651</v>
      </c>
      <c r="I204" s="23"/>
      <c r="J204" s="21" t="s">
        <v>375</v>
      </c>
      <c r="K204" s="21"/>
      <c r="L204" s="21"/>
      <c r="M204" s="26" t="s">
        <v>789</v>
      </c>
      <c r="N204" s="44">
        <f>0.2*38375</f>
        <v>7675</v>
      </c>
      <c r="O204" s="22" t="s">
        <v>276</v>
      </c>
      <c r="P204" s="22" t="s">
        <v>19</v>
      </c>
      <c r="Q204" s="24">
        <f t="shared" si="15"/>
        <v>0</v>
      </c>
      <c r="R204" s="24">
        <f t="shared" si="14"/>
        <v>7675</v>
      </c>
      <c r="S204" s="5"/>
      <c r="T204" s="5"/>
    </row>
    <row r="205" spans="1:20" ht="15.75" hidden="1" x14ac:dyDescent="0.25">
      <c r="A205" t="s">
        <v>6091</v>
      </c>
      <c r="B205" s="21" t="s">
        <v>395</v>
      </c>
      <c r="C205" s="22" t="s">
        <v>381</v>
      </c>
      <c r="D205" s="22"/>
      <c r="E205" s="21" t="s">
        <v>10</v>
      </c>
      <c r="F205" s="21"/>
      <c r="G205" s="147" t="s">
        <v>373</v>
      </c>
      <c r="H205" s="23" t="s">
        <v>651</v>
      </c>
      <c r="I205" s="23"/>
      <c r="J205" s="21" t="s">
        <v>376</v>
      </c>
      <c r="K205" s="21"/>
      <c r="L205" s="21"/>
      <c r="M205" s="26" t="s">
        <v>789</v>
      </c>
      <c r="N205" s="44">
        <f>0.2*38375</f>
        <v>7675</v>
      </c>
      <c r="O205" s="22" t="s">
        <v>276</v>
      </c>
      <c r="P205" s="22" t="s">
        <v>19</v>
      </c>
      <c r="Q205" s="24">
        <f t="shared" si="15"/>
        <v>0</v>
      </c>
      <c r="R205" s="24">
        <f t="shared" si="14"/>
        <v>7675</v>
      </c>
      <c r="S205" s="5"/>
      <c r="T205" s="5"/>
    </row>
    <row r="206" spans="1:20" ht="15.75" hidden="1" x14ac:dyDescent="0.25">
      <c r="A206" t="s">
        <v>6091</v>
      </c>
      <c r="B206" s="21" t="s">
        <v>395</v>
      </c>
      <c r="C206" s="22" t="s">
        <v>2451</v>
      </c>
      <c r="D206" s="22"/>
      <c r="E206" s="21" t="s">
        <v>10</v>
      </c>
      <c r="F206" s="21"/>
      <c r="G206" s="147" t="s">
        <v>382</v>
      </c>
      <c r="H206" s="23" t="s">
        <v>384</v>
      </c>
      <c r="I206" s="23"/>
      <c r="J206" s="21" t="s">
        <v>383</v>
      </c>
      <c r="K206" s="21"/>
      <c r="L206" s="21"/>
      <c r="M206" s="26">
        <v>43080</v>
      </c>
      <c r="N206" s="44">
        <v>5000</v>
      </c>
      <c r="O206" s="22" t="s">
        <v>276</v>
      </c>
      <c r="P206" s="22" t="s">
        <v>19</v>
      </c>
      <c r="Q206" s="24">
        <f t="shared" si="15"/>
        <v>0</v>
      </c>
      <c r="R206" s="24">
        <f t="shared" si="14"/>
        <v>5000</v>
      </c>
      <c r="S206" s="5"/>
      <c r="T206" s="5"/>
    </row>
    <row r="207" spans="1:20" ht="15.75" hidden="1" x14ac:dyDescent="0.25">
      <c r="A207" t="s">
        <v>6091</v>
      </c>
      <c r="B207" s="21" t="s">
        <v>395</v>
      </c>
      <c r="C207" s="22" t="s">
        <v>2450</v>
      </c>
      <c r="D207" s="22"/>
      <c r="E207" s="21" t="s">
        <v>0</v>
      </c>
      <c r="F207" s="21"/>
      <c r="G207" s="147" t="s">
        <v>1460</v>
      </c>
      <c r="H207" s="23">
        <v>20160323</v>
      </c>
      <c r="I207" s="23"/>
      <c r="J207" s="21" t="s">
        <v>444</v>
      </c>
      <c r="K207" s="21"/>
      <c r="L207" s="21"/>
      <c r="M207" s="26"/>
      <c r="N207" s="44">
        <v>31971</v>
      </c>
      <c r="O207" s="22" t="s">
        <v>15</v>
      </c>
      <c r="P207" s="22" t="s">
        <v>19</v>
      </c>
      <c r="Q207" s="24">
        <f t="shared" si="15"/>
        <v>0</v>
      </c>
      <c r="R207" s="24"/>
      <c r="S207" s="5"/>
      <c r="T207" s="5"/>
    </row>
    <row r="208" spans="1:20" ht="15.75" hidden="1" x14ac:dyDescent="0.25">
      <c r="A208" t="s">
        <v>6091</v>
      </c>
      <c r="B208" s="21" t="s">
        <v>395</v>
      </c>
      <c r="C208" s="22" t="s">
        <v>2450</v>
      </c>
      <c r="D208" s="22"/>
      <c r="E208" s="21" t="s">
        <v>0</v>
      </c>
      <c r="F208" s="21"/>
      <c r="G208" s="147" t="s">
        <v>1460</v>
      </c>
      <c r="H208" s="23">
        <v>20160323</v>
      </c>
      <c r="I208" s="23"/>
      <c r="J208" s="21" t="s">
        <v>445</v>
      </c>
      <c r="K208" s="21"/>
      <c r="L208" s="21"/>
      <c r="M208" s="26"/>
      <c r="N208" s="44">
        <v>47957</v>
      </c>
      <c r="O208" s="22" t="s">
        <v>15</v>
      </c>
      <c r="P208" s="22" t="s">
        <v>19</v>
      </c>
      <c r="Q208" s="24">
        <f t="shared" si="15"/>
        <v>0</v>
      </c>
      <c r="R208" s="24"/>
      <c r="S208" s="5"/>
      <c r="T208" s="5"/>
    </row>
    <row r="209" spans="1:20" ht="15.75" hidden="1" x14ac:dyDescent="0.25">
      <c r="A209" t="s">
        <v>6091</v>
      </c>
      <c r="B209" s="21" t="s">
        <v>395</v>
      </c>
      <c r="C209" s="22" t="s">
        <v>2451</v>
      </c>
      <c r="D209" s="22"/>
      <c r="E209" s="21" t="s">
        <v>10</v>
      </c>
      <c r="F209" s="21"/>
      <c r="G209" s="147" t="s">
        <v>76</v>
      </c>
      <c r="H209" s="23" t="s">
        <v>463</v>
      </c>
      <c r="I209" s="23"/>
      <c r="J209" s="21" t="s">
        <v>464</v>
      </c>
      <c r="K209" s="21"/>
      <c r="L209" s="21"/>
      <c r="M209" s="26">
        <v>43060</v>
      </c>
      <c r="N209" s="44">
        <f>0.5*12000</f>
        <v>6000</v>
      </c>
      <c r="O209" s="22" t="s">
        <v>15</v>
      </c>
      <c r="P209" s="22" t="s">
        <v>19</v>
      </c>
      <c r="Q209" s="24">
        <f t="shared" si="15"/>
        <v>0</v>
      </c>
      <c r="R209" s="24">
        <f t="shared" ref="R209:R220" si="16">IF(P209="OK",N209-Q209,IF(P209="en cours",N209-Q209,P209))</f>
        <v>6000</v>
      </c>
      <c r="S209" s="5"/>
      <c r="T209" s="5"/>
    </row>
    <row r="210" spans="1:20" ht="15.75" hidden="1" x14ac:dyDescent="0.25">
      <c r="A210" t="s">
        <v>6091</v>
      </c>
      <c r="B210" s="21" t="s">
        <v>395</v>
      </c>
      <c r="C210" s="22" t="s">
        <v>2451</v>
      </c>
      <c r="D210" s="22"/>
      <c r="E210" s="21" t="s">
        <v>10</v>
      </c>
      <c r="F210" s="21"/>
      <c r="G210" s="147" t="s">
        <v>76</v>
      </c>
      <c r="H210" s="23" t="s">
        <v>463</v>
      </c>
      <c r="I210" s="23"/>
      <c r="J210" s="21" t="s">
        <v>465</v>
      </c>
      <c r="K210" s="21"/>
      <c r="L210" s="21"/>
      <c r="M210" s="26">
        <v>43244</v>
      </c>
      <c r="N210" s="44">
        <f>0.3*12000</f>
        <v>3600</v>
      </c>
      <c r="O210" s="22" t="s">
        <v>15</v>
      </c>
      <c r="P210" s="22" t="s">
        <v>19</v>
      </c>
      <c r="Q210" s="24">
        <f t="shared" si="15"/>
        <v>0</v>
      </c>
      <c r="R210" s="24">
        <f t="shared" si="16"/>
        <v>3600</v>
      </c>
      <c r="S210" s="5"/>
      <c r="T210" s="5"/>
    </row>
    <row r="211" spans="1:20" ht="16.5" hidden="1" thickBot="1" x14ac:dyDescent="0.3">
      <c r="A211" t="s">
        <v>6091</v>
      </c>
      <c r="B211" s="21" t="s">
        <v>395</v>
      </c>
      <c r="C211" s="22" t="s">
        <v>2451</v>
      </c>
      <c r="D211" s="22"/>
      <c r="E211" s="21" t="s">
        <v>10</v>
      </c>
      <c r="F211" s="21"/>
      <c r="G211" s="147" t="s">
        <v>76</v>
      </c>
      <c r="H211" s="23" t="s">
        <v>463</v>
      </c>
      <c r="I211" s="23"/>
      <c r="J211" s="21" t="s">
        <v>466</v>
      </c>
      <c r="K211" s="21"/>
      <c r="L211" s="21"/>
      <c r="M211" s="214">
        <v>43244</v>
      </c>
      <c r="N211" s="44">
        <f>0.2*12000</f>
        <v>2400</v>
      </c>
      <c r="O211" s="22" t="s">
        <v>15</v>
      </c>
      <c r="P211" s="22" t="s">
        <v>716</v>
      </c>
      <c r="Q211" s="24">
        <f t="shared" si="15"/>
        <v>0</v>
      </c>
      <c r="R211" s="24">
        <f t="shared" si="16"/>
        <v>2400</v>
      </c>
      <c r="S211" s="5"/>
      <c r="T211" s="5"/>
    </row>
    <row r="212" spans="1:20" ht="15.75" hidden="1" x14ac:dyDescent="0.25">
      <c r="A212" t="s">
        <v>6091</v>
      </c>
      <c r="B212" s="21" t="s">
        <v>395</v>
      </c>
      <c r="C212" s="22" t="s">
        <v>2452</v>
      </c>
      <c r="D212" s="22"/>
      <c r="E212" s="21" t="s">
        <v>75</v>
      </c>
      <c r="F212" s="21"/>
      <c r="G212" s="147" t="s">
        <v>238</v>
      </c>
      <c r="H212" s="23" t="s">
        <v>468</v>
      </c>
      <c r="I212" s="23"/>
      <c r="J212" s="21" t="s">
        <v>305</v>
      </c>
      <c r="K212" s="21"/>
      <c r="L212" s="21"/>
      <c r="M212" s="26">
        <v>43063</v>
      </c>
      <c r="N212" s="44">
        <f>0.5*10500</f>
        <v>5250</v>
      </c>
      <c r="O212" s="22" t="s">
        <v>15</v>
      </c>
      <c r="P212" s="22" t="s">
        <v>19</v>
      </c>
      <c r="Q212" s="24">
        <f t="shared" si="15"/>
        <v>0</v>
      </c>
      <c r="R212" s="24">
        <f t="shared" si="16"/>
        <v>5250</v>
      </c>
      <c r="S212" s="5"/>
      <c r="T212" s="5"/>
    </row>
    <row r="213" spans="1:20" ht="15.75" hidden="1" x14ac:dyDescent="0.25">
      <c r="A213" t="s">
        <v>6091</v>
      </c>
      <c r="B213" s="21" t="s">
        <v>395</v>
      </c>
      <c r="C213" s="22" t="s">
        <v>2452</v>
      </c>
      <c r="D213" s="22"/>
      <c r="E213" s="21" t="s">
        <v>75</v>
      </c>
      <c r="F213" s="21"/>
      <c r="G213" s="147" t="s">
        <v>238</v>
      </c>
      <c r="H213" s="23" t="s">
        <v>468</v>
      </c>
      <c r="I213" s="23"/>
      <c r="J213" s="21" t="s">
        <v>306</v>
      </c>
      <c r="K213" s="21"/>
      <c r="L213" s="21"/>
      <c r="M213" s="26">
        <v>43111</v>
      </c>
      <c r="N213" s="44">
        <f>0.5*10500</f>
        <v>5250</v>
      </c>
      <c r="O213" s="22" t="s">
        <v>15</v>
      </c>
      <c r="P213" s="22" t="s">
        <v>19</v>
      </c>
      <c r="Q213" s="24">
        <f t="shared" si="15"/>
        <v>0</v>
      </c>
      <c r="R213" s="24">
        <f t="shared" si="16"/>
        <v>5250</v>
      </c>
      <c r="S213" s="5"/>
      <c r="T213" s="5"/>
    </row>
    <row r="214" spans="1:20" ht="15.75" hidden="1" x14ac:dyDescent="0.25">
      <c r="A214" t="s">
        <v>6091</v>
      </c>
      <c r="B214" s="21" t="s">
        <v>395</v>
      </c>
      <c r="C214" s="22" t="s">
        <v>2453</v>
      </c>
      <c r="D214" s="22"/>
      <c r="E214" s="21" t="s">
        <v>75</v>
      </c>
      <c r="F214" s="21"/>
      <c r="G214" s="147" t="s">
        <v>238</v>
      </c>
      <c r="H214" s="23" t="s">
        <v>482</v>
      </c>
      <c r="I214" s="23"/>
      <c r="J214" s="21" t="s">
        <v>657</v>
      </c>
      <c r="K214" s="21"/>
      <c r="L214" s="21"/>
      <c r="M214" s="26" t="s">
        <v>867</v>
      </c>
      <c r="N214" s="44">
        <v>8770</v>
      </c>
      <c r="O214" s="22" t="s">
        <v>341</v>
      </c>
      <c r="P214" s="22" t="s">
        <v>19</v>
      </c>
      <c r="Q214" s="24">
        <f t="shared" si="15"/>
        <v>0</v>
      </c>
      <c r="R214" s="24">
        <f t="shared" si="16"/>
        <v>8770</v>
      </c>
      <c r="S214" s="5"/>
      <c r="T214" s="5"/>
    </row>
    <row r="215" spans="1:20" ht="15.75" hidden="1" x14ac:dyDescent="0.25">
      <c r="A215" t="s">
        <v>6091</v>
      </c>
      <c r="B215" s="21" t="s">
        <v>395</v>
      </c>
      <c r="C215" s="22" t="s">
        <v>2453</v>
      </c>
      <c r="D215" s="22"/>
      <c r="E215" s="21" t="s">
        <v>75</v>
      </c>
      <c r="F215" s="21"/>
      <c r="G215" s="147" t="s">
        <v>238</v>
      </c>
      <c r="H215" s="23" t="s">
        <v>482</v>
      </c>
      <c r="I215" s="23"/>
      <c r="J215" s="21" t="s">
        <v>483</v>
      </c>
      <c r="K215" s="21"/>
      <c r="L215" s="21"/>
      <c r="M215" s="26">
        <v>5310</v>
      </c>
      <c r="N215" s="44"/>
      <c r="O215" s="22" t="s">
        <v>341</v>
      </c>
      <c r="P215" s="22"/>
      <c r="Q215" s="24">
        <f t="shared" si="15"/>
        <v>0</v>
      </c>
      <c r="R215" s="24">
        <f t="shared" si="16"/>
        <v>0</v>
      </c>
      <c r="S215" s="5"/>
      <c r="T215" s="5"/>
    </row>
    <row r="216" spans="1:20" ht="15.75" hidden="1" x14ac:dyDescent="0.25">
      <c r="A216" t="s">
        <v>6091</v>
      </c>
      <c r="B216" s="21" t="s">
        <v>395</v>
      </c>
      <c r="C216" s="22" t="s">
        <v>2453</v>
      </c>
      <c r="D216" s="22"/>
      <c r="E216" s="21" t="s">
        <v>75</v>
      </c>
      <c r="F216" s="21"/>
      <c r="G216" s="147" t="s">
        <v>238</v>
      </c>
      <c r="H216" s="23" t="s">
        <v>482</v>
      </c>
      <c r="I216" s="23"/>
      <c r="J216" s="21" t="s">
        <v>484</v>
      </c>
      <c r="K216" s="21"/>
      <c r="L216" s="21"/>
      <c r="M216" s="26">
        <v>6110</v>
      </c>
      <c r="N216" s="44"/>
      <c r="O216" s="22" t="s">
        <v>341</v>
      </c>
      <c r="P216" s="22"/>
      <c r="Q216" s="24">
        <f t="shared" si="15"/>
        <v>0</v>
      </c>
      <c r="R216" s="24">
        <f t="shared" si="16"/>
        <v>0</v>
      </c>
      <c r="S216" s="5"/>
      <c r="T216" s="5"/>
    </row>
    <row r="217" spans="1:20" ht="15.75" hidden="1" x14ac:dyDescent="0.25">
      <c r="A217" t="s">
        <v>6091</v>
      </c>
      <c r="B217" s="21" t="s">
        <v>395</v>
      </c>
      <c r="C217" s="22" t="s">
        <v>2453</v>
      </c>
      <c r="D217" s="22"/>
      <c r="E217" s="21" t="s">
        <v>75</v>
      </c>
      <c r="F217" s="21"/>
      <c r="G217" s="147" t="s">
        <v>238</v>
      </c>
      <c r="H217" s="23" t="s">
        <v>482</v>
      </c>
      <c r="I217" s="23"/>
      <c r="J217" s="21" t="s">
        <v>485</v>
      </c>
      <c r="K217" s="21"/>
      <c r="L217" s="21"/>
      <c r="M217" s="26">
        <v>3540</v>
      </c>
      <c r="N217" s="44"/>
      <c r="O217" s="22" t="s">
        <v>341</v>
      </c>
      <c r="P217" s="22"/>
      <c r="Q217" s="24">
        <f t="shared" si="15"/>
        <v>0</v>
      </c>
      <c r="R217" s="24">
        <f t="shared" si="16"/>
        <v>0</v>
      </c>
      <c r="S217" s="5"/>
      <c r="T217" s="5"/>
    </row>
    <row r="218" spans="1:20" ht="15.75" hidden="1" customHeight="1" x14ac:dyDescent="0.25">
      <c r="A218" t="s">
        <v>6091</v>
      </c>
      <c r="B218" s="21" t="s">
        <v>395</v>
      </c>
      <c r="C218" s="22" t="s">
        <v>2453</v>
      </c>
      <c r="D218" s="22"/>
      <c r="E218" s="21" t="s">
        <v>10</v>
      </c>
      <c r="F218" s="21"/>
      <c r="G218" s="147" t="s">
        <v>132</v>
      </c>
      <c r="H218" s="23" t="s">
        <v>1422</v>
      </c>
      <c r="I218" s="23"/>
      <c r="J218" s="21" t="s">
        <v>648</v>
      </c>
      <c r="K218" s="21"/>
      <c r="L218" s="21"/>
      <c r="M218" s="26">
        <v>43151</v>
      </c>
      <c r="N218" s="44">
        <v>46000</v>
      </c>
      <c r="O218" s="22" t="s">
        <v>15</v>
      </c>
      <c r="P218" s="22" t="s">
        <v>19</v>
      </c>
      <c r="Q218" s="24">
        <f t="shared" si="15"/>
        <v>0</v>
      </c>
      <c r="R218" s="24">
        <f t="shared" si="16"/>
        <v>46000</v>
      </c>
      <c r="S218" s="5"/>
      <c r="T218" s="5"/>
    </row>
    <row r="219" spans="1:20" ht="15.75" hidden="1" x14ac:dyDescent="0.25">
      <c r="A219" t="s">
        <v>6091</v>
      </c>
      <c r="B219" s="21" t="s">
        <v>395</v>
      </c>
      <c r="C219" s="22" t="s">
        <v>2453</v>
      </c>
      <c r="D219" s="22"/>
      <c r="E219" s="21" t="s">
        <v>10</v>
      </c>
      <c r="F219" s="21"/>
      <c r="G219" s="147" t="s">
        <v>132</v>
      </c>
      <c r="H219" s="23" t="s">
        <v>1422</v>
      </c>
      <c r="I219" s="23"/>
      <c r="J219" s="21" t="s">
        <v>490</v>
      </c>
      <c r="K219" s="21"/>
      <c r="L219" s="21"/>
      <c r="M219" s="26">
        <v>43189</v>
      </c>
      <c r="N219" s="44">
        <v>10000</v>
      </c>
      <c r="O219" s="22" t="s">
        <v>15</v>
      </c>
      <c r="P219" s="22" t="s">
        <v>19</v>
      </c>
      <c r="Q219" s="24">
        <f t="shared" si="15"/>
        <v>0</v>
      </c>
      <c r="R219" s="24">
        <f t="shared" si="16"/>
        <v>10000</v>
      </c>
      <c r="S219" s="5"/>
      <c r="T219" s="5"/>
    </row>
    <row r="220" spans="1:20" ht="15.75" hidden="1" x14ac:dyDescent="0.25">
      <c r="A220" t="s">
        <v>6091</v>
      </c>
      <c r="B220" s="21" t="s">
        <v>395</v>
      </c>
      <c r="C220" s="22" t="s">
        <v>2450</v>
      </c>
      <c r="D220" s="22"/>
      <c r="E220" s="21" t="s">
        <v>10</v>
      </c>
      <c r="F220" s="21"/>
      <c r="G220" s="147" t="s">
        <v>491</v>
      </c>
      <c r="H220" s="23" t="s">
        <v>494</v>
      </c>
      <c r="I220" s="23"/>
      <c r="J220" s="21" t="s">
        <v>492</v>
      </c>
      <c r="K220" s="21"/>
      <c r="L220" s="21"/>
      <c r="M220" s="26">
        <v>43136</v>
      </c>
      <c r="N220" s="44">
        <f>25*1100</f>
        <v>27500</v>
      </c>
      <c r="O220" s="22" t="s">
        <v>276</v>
      </c>
      <c r="P220" s="22" t="s">
        <v>19</v>
      </c>
      <c r="Q220" s="24">
        <f t="shared" si="15"/>
        <v>0</v>
      </c>
      <c r="R220" s="24">
        <f t="shared" si="16"/>
        <v>27500</v>
      </c>
      <c r="S220" s="5" t="s">
        <v>755</v>
      </c>
      <c r="T220" s="5"/>
    </row>
    <row r="221" spans="1:20" ht="15.75" hidden="1" x14ac:dyDescent="0.25">
      <c r="A221" t="s">
        <v>6091</v>
      </c>
      <c r="B221" s="21" t="s">
        <v>395</v>
      </c>
      <c r="C221" s="22" t="s">
        <v>2450</v>
      </c>
      <c r="D221" s="22"/>
      <c r="E221" s="21" t="s">
        <v>10</v>
      </c>
      <c r="F221" s="21"/>
      <c r="G221" s="147" t="s">
        <v>491</v>
      </c>
      <c r="H221" s="23" t="s">
        <v>494</v>
      </c>
      <c r="I221" s="23"/>
      <c r="J221" s="21" t="s">
        <v>27</v>
      </c>
      <c r="K221" s="21"/>
      <c r="L221" s="21"/>
      <c r="M221" s="26">
        <f>5*315</f>
        <v>1575</v>
      </c>
      <c r="N221" s="44">
        <v>0</v>
      </c>
      <c r="O221" s="22" t="s">
        <v>276</v>
      </c>
      <c r="P221" s="22"/>
      <c r="Q221" s="24">
        <f t="shared" si="15"/>
        <v>0</v>
      </c>
      <c r="R221" s="24">
        <f>IF(P221="OK",M221-Q221,IF(P221="en cours",M221-Q221,P221))</f>
        <v>0</v>
      </c>
      <c r="S221" s="5" t="s">
        <v>755</v>
      </c>
      <c r="T221" s="5"/>
    </row>
    <row r="222" spans="1:20" ht="15.75" hidden="1" x14ac:dyDescent="0.25">
      <c r="A222" t="s">
        <v>6091</v>
      </c>
      <c r="B222" s="21" t="s">
        <v>395</v>
      </c>
      <c r="C222" s="22" t="s">
        <v>2450</v>
      </c>
      <c r="D222" s="22"/>
      <c r="E222" s="21" t="s">
        <v>10</v>
      </c>
      <c r="F222" s="21"/>
      <c r="G222" s="147" t="s">
        <v>491</v>
      </c>
      <c r="H222" s="23" t="s">
        <v>494</v>
      </c>
      <c r="I222" s="23"/>
      <c r="J222" s="21" t="s">
        <v>493</v>
      </c>
      <c r="K222" s="21"/>
      <c r="L222" s="21"/>
      <c r="M222" s="26">
        <v>43136</v>
      </c>
      <c r="N222" s="44">
        <f>1*197</f>
        <v>197</v>
      </c>
      <c r="O222" s="22" t="s">
        <v>276</v>
      </c>
      <c r="P222" s="22">
        <v>127</v>
      </c>
      <c r="Q222" s="24">
        <v>0</v>
      </c>
      <c r="R222" s="24">
        <f t="shared" ref="R222:R231" si="17">IF(P222="OK",N222-Q222,IF(P222="en cours",N222-Q222,P222))</f>
        <v>127</v>
      </c>
      <c r="S222" s="5" t="s">
        <v>755</v>
      </c>
      <c r="T222" s="5"/>
    </row>
    <row r="223" spans="1:20" ht="15.75" hidden="1" x14ac:dyDescent="0.25">
      <c r="A223" t="s">
        <v>6091</v>
      </c>
      <c r="B223" s="21" t="s">
        <v>395</v>
      </c>
      <c r="C223" s="22" t="s">
        <v>2450</v>
      </c>
      <c r="D223" s="22"/>
      <c r="E223" s="21" t="s">
        <v>75</v>
      </c>
      <c r="F223" s="21"/>
      <c r="G223" s="147" t="s">
        <v>495</v>
      </c>
      <c r="H223" s="23" t="s">
        <v>496</v>
      </c>
      <c r="I223" s="23"/>
      <c r="J223" s="21" t="s">
        <v>497</v>
      </c>
      <c r="K223" s="21"/>
      <c r="L223" s="21"/>
      <c r="M223" s="26">
        <v>43075</v>
      </c>
      <c r="N223" s="44">
        <v>3000</v>
      </c>
      <c r="O223" s="22" t="s">
        <v>15</v>
      </c>
      <c r="P223" s="22" t="s">
        <v>19</v>
      </c>
      <c r="Q223" s="24">
        <f t="shared" ref="Q223:Q230" si="18">IF(P223="en cours",N223,IF(P223="OK",0,IF(N223-P223&lt;0,0,N223-P223)))</f>
        <v>0</v>
      </c>
      <c r="R223" s="24">
        <f t="shared" si="17"/>
        <v>3000</v>
      </c>
      <c r="S223" s="5"/>
      <c r="T223" s="5"/>
    </row>
    <row r="224" spans="1:20" ht="15.75" hidden="1" x14ac:dyDescent="0.25">
      <c r="A224" t="s">
        <v>6091</v>
      </c>
      <c r="B224" s="21" t="s">
        <v>395</v>
      </c>
      <c r="C224" s="22" t="s">
        <v>2450</v>
      </c>
      <c r="D224" s="22"/>
      <c r="E224" s="21" t="s">
        <v>75</v>
      </c>
      <c r="F224" s="21"/>
      <c r="G224" s="147" t="s">
        <v>495</v>
      </c>
      <c r="H224" s="23" t="s">
        <v>496</v>
      </c>
      <c r="I224" s="23"/>
      <c r="J224" s="21" t="s">
        <v>498</v>
      </c>
      <c r="K224" s="21"/>
      <c r="L224" s="21"/>
      <c r="M224" s="26">
        <v>43339</v>
      </c>
      <c r="N224" s="44">
        <v>2000</v>
      </c>
      <c r="O224" s="22" t="s">
        <v>15</v>
      </c>
      <c r="P224" s="22" t="s">
        <v>19</v>
      </c>
      <c r="Q224" s="24">
        <f t="shared" si="18"/>
        <v>0</v>
      </c>
      <c r="R224" s="24">
        <f t="shared" si="17"/>
        <v>2000</v>
      </c>
      <c r="S224" s="5"/>
      <c r="T224" s="5"/>
    </row>
    <row r="225" spans="1:20" ht="15.75" hidden="1" x14ac:dyDescent="0.25">
      <c r="A225" t="s">
        <v>6091</v>
      </c>
      <c r="B225" s="21" t="s">
        <v>395</v>
      </c>
      <c r="C225" s="22" t="s">
        <v>2456</v>
      </c>
      <c r="D225" s="22"/>
      <c r="E225" s="21" t="s">
        <v>75</v>
      </c>
      <c r="F225" s="21"/>
      <c r="G225" s="147" t="s">
        <v>495</v>
      </c>
      <c r="H225" s="23" t="s">
        <v>496</v>
      </c>
      <c r="I225" s="23"/>
      <c r="J225" s="21" t="s">
        <v>499</v>
      </c>
      <c r="K225" s="21"/>
      <c r="L225" s="21"/>
      <c r="M225" s="26" t="s">
        <v>1765</v>
      </c>
      <c r="N225" s="44">
        <v>4000</v>
      </c>
      <c r="O225" s="22" t="s">
        <v>15</v>
      </c>
      <c r="P225" s="22" t="s">
        <v>19</v>
      </c>
      <c r="Q225" s="24">
        <f t="shared" si="18"/>
        <v>0</v>
      </c>
      <c r="R225" s="24">
        <f t="shared" si="17"/>
        <v>4000</v>
      </c>
      <c r="S225" s="5" t="s">
        <v>1766</v>
      </c>
      <c r="T225" s="5"/>
    </row>
    <row r="226" spans="1:20" ht="15.75" hidden="1" x14ac:dyDescent="0.25">
      <c r="A226" t="s">
        <v>6091</v>
      </c>
      <c r="B226" s="21" t="s">
        <v>395</v>
      </c>
      <c r="C226" s="22" t="s">
        <v>2450</v>
      </c>
      <c r="D226" s="22"/>
      <c r="E226" s="21" t="s">
        <v>10</v>
      </c>
      <c r="F226" s="21"/>
      <c r="G226" s="147" t="s">
        <v>586</v>
      </c>
      <c r="H226" s="23" t="s">
        <v>505</v>
      </c>
      <c r="I226" s="23"/>
      <c r="J226" s="21" t="s">
        <v>506</v>
      </c>
      <c r="K226" s="21"/>
      <c r="L226" s="21"/>
      <c r="M226" s="26"/>
      <c r="N226" s="44">
        <f>0.5*4200</f>
        <v>2100</v>
      </c>
      <c r="O226" s="22" t="s">
        <v>15</v>
      </c>
      <c r="P226" s="22" t="s">
        <v>19</v>
      </c>
      <c r="Q226" s="24">
        <f t="shared" si="18"/>
        <v>0</v>
      </c>
      <c r="R226" s="24">
        <f t="shared" si="17"/>
        <v>2100</v>
      </c>
      <c r="S226" s="5"/>
      <c r="T226" s="5"/>
    </row>
    <row r="227" spans="1:20" ht="15.75" hidden="1" x14ac:dyDescent="0.25">
      <c r="A227" t="s">
        <v>6091</v>
      </c>
      <c r="B227" s="21" t="s">
        <v>395</v>
      </c>
      <c r="C227" s="22" t="s">
        <v>2450</v>
      </c>
      <c r="D227" s="22"/>
      <c r="E227" s="21" t="s">
        <v>10</v>
      </c>
      <c r="F227" s="21"/>
      <c r="G227" s="147" t="s">
        <v>586</v>
      </c>
      <c r="H227" s="23" t="s">
        <v>505</v>
      </c>
      <c r="I227" s="23"/>
      <c r="J227" s="21" t="s">
        <v>507</v>
      </c>
      <c r="K227" s="21"/>
      <c r="L227" s="21"/>
      <c r="M227" s="26" t="s">
        <v>1342</v>
      </c>
      <c r="N227" s="44">
        <f>0.5*4200</f>
        <v>2100</v>
      </c>
      <c r="O227" s="22" t="s">
        <v>15</v>
      </c>
      <c r="P227" s="22" t="s">
        <v>19</v>
      </c>
      <c r="Q227" s="24">
        <f t="shared" si="18"/>
        <v>0</v>
      </c>
      <c r="R227" s="24">
        <f t="shared" si="17"/>
        <v>2100</v>
      </c>
      <c r="S227" s="5"/>
      <c r="T227" s="5"/>
    </row>
    <row r="228" spans="1:20" ht="15.75" hidden="1" x14ac:dyDescent="0.25">
      <c r="A228" t="s">
        <v>6091</v>
      </c>
      <c r="B228" s="21" t="s">
        <v>395</v>
      </c>
      <c r="C228" s="22" t="s">
        <v>2450</v>
      </c>
      <c r="D228" s="22"/>
      <c r="E228" s="21" t="s">
        <v>10</v>
      </c>
      <c r="F228" s="21"/>
      <c r="G228" s="147" t="s">
        <v>586</v>
      </c>
      <c r="H228" s="23" t="s">
        <v>508</v>
      </c>
      <c r="I228" s="23"/>
      <c r="J228" s="21" t="s">
        <v>506</v>
      </c>
      <c r="K228" s="21"/>
      <c r="L228" s="21"/>
      <c r="M228" s="26"/>
      <c r="N228" s="44">
        <f>0.5*22000</f>
        <v>11000</v>
      </c>
      <c r="O228" s="22" t="s">
        <v>15</v>
      </c>
      <c r="P228" s="22" t="s">
        <v>19</v>
      </c>
      <c r="Q228" s="24">
        <f t="shared" si="18"/>
        <v>0</v>
      </c>
      <c r="R228" s="24">
        <f t="shared" si="17"/>
        <v>11000</v>
      </c>
      <c r="S228" s="5"/>
      <c r="T228" s="5"/>
    </row>
    <row r="229" spans="1:20" ht="15.75" hidden="1" x14ac:dyDescent="0.25">
      <c r="A229" t="s">
        <v>6091</v>
      </c>
      <c r="B229" s="21" t="s">
        <v>395</v>
      </c>
      <c r="C229" s="22" t="s">
        <v>2450</v>
      </c>
      <c r="D229" s="22"/>
      <c r="E229" s="21" t="s">
        <v>10</v>
      </c>
      <c r="F229" s="21"/>
      <c r="G229" s="147" t="s">
        <v>586</v>
      </c>
      <c r="H229" s="23" t="s">
        <v>508</v>
      </c>
      <c r="I229" s="23"/>
      <c r="J229" s="21" t="s">
        <v>507</v>
      </c>
      <c r="K229" s="21"/>
      <c r="L229" s="21"/>
      <c r="M229" s="26" t="s">
        <v>933</v>
      </c>
      <c r="N229" s="44">
        <f>0.5*22000</f>
        <v>11000</v>
      </c>
      <c r="O229" s="22" t="s">
        <v>15</v>
      </c>
      <c r="P229" s="22" t="s">
        <v>19</v>
      </c>
      <c r="Q229" s="24">
        <f t="shared" si="18"/>
        <v>0</v>
      </c>
      <c r="R229" s="24">
        <f t="shared" si="17"/>
        <v>11000</v>
      </c>
      <c r="S229" s="5"/>
      <c r="T229" s="5"/>
    </row>
    <row r="230" spans="1:20" ht="15.75" hidden="1" x14ac:dyDescent="0.25">
      <c r="A230" t="s">
        <v>6091</v>
      </c>
      <c r="B230" s="21" t="s">
        <v>395</v>
      </c>
      <c r="C230" s="22" t="s">
        <v>2453</v>
      </c>
      <c r="D230" s="22"/>
      <c r="E230" s="21" t="s">
        <v>75</v>
      </c>
      <c r="F230" s="21"/>
      <c r="G230" s="147" t="s">
        <v>238</v>
      </c>
      <c r="H230" s="23" t="s">
        <v>591</v>
      </c>
      <c r="I230" s="23"/>
      <c r="J230" s="21" t="s">
        <v>555</v>
      </c>
      <c r="K230" s="21"/>
      <c r="L230" s="21"/>
      <c r="M230" s="26">
        <v>4090</v>
      </c>
      <c r="N230" s="44"/>
      <c r="O230" s="22" t="s">
        <v>341</v>
      </c>
      <c r="P230" s="22"/>
      <c r="Q230" s="24">
        <f t="shared" si="18"/>
        <v>0</v>
      </c>
      <c r="R230" s="24">
        <f t="shared" si="17"/>
        <v>0</v>
      </c>
      <c r="S230" s="5"/>
      <c r="T230" s="5"/>
    </row>
    <row r="231" spans="1:20" ht="15.75" hidden="1" x14ac:dyDescent="0.25">
      <c r="A231" t="s">
        <v>6091</v>
      </c>
      <c r="B231" s="21" t="s">
        <v>395</v>
      </c>
      <c r="C231" s="22" t="s">
        <v>2453</v>
      </c>
      <c r="D231" s="22"/>
      <c r="E231" s="21" t="s">
        <v>75</v>
      </c>
      <c r="F231" s="21"/>
      <c r="G231" s="147" t="s">
        <v>238</v>
      </c>
      <c r="H231" s="23" t="s">
        <v>869</v>
      </c>
      <c r="I231" s="23"/>
      <c r="J231" s="21"/>
      <c r="K231" s="21"/>
      <c r="L231" s="21"/>
      <c r="M231" s="26" t="s">
        <v>868</v>
      </c>
      <c r="N231" s="44">
        <f>'Presta clôturées'!M215+'Presta clôturées'!M216+'Presta clôturées'!M217+M230</f>
        <v>19050</v>
      </c>
      <c r="O231" s="22" t="s">
        <v>341</v>
      </c>
      <c r="P231" s="22">
        <v>15510</v>
      </c>
      <c r="Q231" s="24">
        <v>0</v>
      </c>
      <c r="R231" s="24">
        <f t="shared" si="17"/>
        <v>15510</v>
      </c>
      <c r="S231" s="5" t="s">
        <v>1654</v>
      </c>
      <c r="T231" s="5"/>
    </row>
    <row r="232" spans="1:20" ht="15.75" hidden="1" x14ac:dyDescent="0.25">
      <c r="A232" t="s">
        <v>6091</v>
      </c>
      <c r="B232" s="21" t="s">
        <v>395</v>
      </c>
      <c r="C232" s="22" t="s">
        <v>2450</v>
      </c>
      <c r="D232" s="22"/>
      <c r="E232" s="21" t="s">
        <v>0</v>
      </c>
      <c r="F232" s="21"/>
      <c r="G232" s="147" t="s">
        <v>1460</v>
      </c>
      <c r="H232" s="23">
        <v>20151016</v>
      </c>
      <c r="I232" s="23"/>
      <c r="J232" s="21" t="s">
        <v>563</v>
      </c>
      <c r="K232" s="21"/>
      <c r="L232" s="21"/>
      <c r="M232" s="26" t="s">
        <v>562</v>
      </c>
      <c r="N232" s="44">
        <v>179467</v>
      </c>
      <c r="O232" s="22" t="s">
        <v>15</v>
      </c>
      <c r="P232" s="22" t="s">
        <v>19</v>
      </c>
      <c r="Q232" s="24">
        <f t="shared" ref="Q232:Q275" si="19">IF(P232="en cours",N232,IF(P232="OK",0,IF(N232-P232&lt;0,0,N232-P232)))</f>
        <v>0</v>
      </c>
      <c r="R232" s="24"/>
      <c r="S232" s="5"/>
      <c r="T232" s="5"/>
    </row>
    <row r="233" spans="1:20" ht="15.75" hidden="1" x14ac:dyDescent="0.25">
      <c r="A233" t="s">
        <v>6091</v>
      </c>
      <c r="B233" s="21" t="s">
        <v>395</v>
      </c>
      <c r="C233" s="22" t="s">
        <v>2450</v>
      </c>
      <c r="D233" s="22"/>
      <c r="E233" s="21" t="s">
        <v>0</v>
      </c>
      <c r="F233" s="21"/>
      <c r="G233" s="147" t="s">
        <v>1460</v>
      </c>
      <c r="H233" s="23">
        <v>20151016</v>
      </c>
      <c r="I233" s="23"/>
      <c r="J233" s="21" t="s">
        <v>119</v>
      </c>
      <c r="K233" s="21"/>
      <c r="L233" s="21"/>
      <c r="M233" s="26" t="s">
        <v>573</v>
      </c>
      <c r="N233" s="44">
        <v>2528</v>
      </c>
      <c r="O233" s="22" t="s">
        <v>15</v>
      </c>
      <c r="P233" s="22" t="s">
        <v>19</v>
      </c>
      <c r="Q233" s="24">
        <f t="shared" si="19"/>
        <v>0</v>
      </c>
      <c r="R233" s="24"/>
      <c r="S233" s="5"/>
      <c r="T233" s="5"/>
    </row>
    <row r="234" spans="1:20" ht="15.75" hidden="1" x14ac:dyDescent="0.25">
      <c r="A234" t="s">
        <v>6091</v>
      </c>
      <c r="B234" s="21" t="s">
        <v>395</v>
      </c>
      <c r="C234" s="22" t="s">
        <v>2450</v>
      </c>
      <c r="D234" s="22"/>
      <c r="E234" s="21" t="s">
        <v>0</v>
      </c>
      <c r="F234" s="21"/>
      <c r="G234" s="147" t="s">
        <v>1460</v>
      </c>
      <c r="H234" s="23">
        <v>20151016</v>
      </c>
      <c r="I234" s="23"/>
      <c r="J234" s="21" t="s">
        <v>564</v>
      </c>
      <c r="K234" s="21"/>
      <c r="L234" s="21"/>
      <c r="M234" s="26" t="s">
        <v>574</v>
      </c>
      <c r="N234" s="44">
        <v>3319</v>
      </c>
      <c r="O234" s="22" t="s">
        <v>15</v>
      </c>
      <c r="P234" s="22" t="s">
        <v>19</v>
      </c>
      <c r="Q234" s="24">
        <f t="shared" si="19"/>
        <v>0</v>
      </c>
      <c r="R234" s="24"/>
      <c r="S234" s="5"/>
      <c r="T234" s="5"/>
    </row>
    <row r="235" spans="1:20" ht="15.75" hidden="1" x14ac:dyDescent="0.25">
      <c r="A235" t="s">
        <v>6091</v>
      </c>
      <c r="B235" s="21" t="s">
        <v>395</v>
      </c>
      <c r="C235" s="22" t="s">
        <v>2450</v>
      </c>
      <c r="D235" s="22"/>
      <c r="E235" s="21" t="s">
        <v>0</v>
      </c>
      <c r="F235" s="21"/>
      <c r="G235" s="147" t="s">
        <v>1460</v>
      </c>
      <c r="H235" s="23">
        <v>20151016</v>
      </c>
      <c r="I235" s="23"/>
      <c r="J235" s="21" t="s">
        <v>565</v>
      </c>
      <c r="K235" s="21"/>
      <c r="L235" s="21"/>
      <c r="M235" s="26" t="s">
        <v>575</v>
      </c>
      <c r="N235" s="44">
        <v>2528</v>
      </c>
      <c r="O235" s="22" t="s">
        <v>15</v>
      </c>
      <c r="P235" s="22" t="s">
        <v>19</v>
      </c>
      <c r="Q235" s="24">
        <f t="shared" si="19"/>
        <v>0</v>
      </c>
      <c r="R235" s="24"/>
      <c r="S235" s="5"/>
      <c r="T235" s="5"/>
    </row>
    <row r="236" spans="1:20" ht="15.75" hidden="1" x14ac:dyDescent="0.25">
      <c r="A236" t="s">
        <v>6091</v>
      </c>
      <c r="B236" s="21" t="s">
        <v>395</v>
      </c>
      <c r="C236" s="22" t="s">
        <v>2450</v>
      </c>
      <c r="D236" s="22"/>
      <c r="E236" s="21" t="s">
        <v>0</v>
      </c>
      <c r="F236" s="21"/>
      <c r="G236" s="147" t="s">
        <v>1460</v>
      </c>
      <c r="H236" s="23">
        <v>20151016</v>
      </c>
      <c r="I236" s="23"/>
      <c r="J236" s="21" t="s">
        <v>566</v>
      </c>
      <c r="K236" s="21"/>
      <c r="L236" s="21"/>
      <c r="M236" s="26" t="s">
        <v>576</v>
      </c>
      <c r="N236" s="44">
        <v>4109</v>
      </c>
      <c r="O236" s="22" t="s">
        <v>15</v>
      </c>
      <c r="P236" s="22" t="s">
        <v>19</v>
      </c>
      <c r="Q236" s="24">
        <f t="shared" si="19"/>
        <v>0</v>
      </c>
      <c r="R236" s="24"/>
      <c r="S236" s="5"/>
      <c r="T236" s="5"/>
    </row>
    <row r="237" spans="1:20" ht="15.75" hidden="1" x14ac:dyDescent="0.25">
      <c r="A237" t="s">
        <v>6091</v>
      </c>
      <c r="B237" s="21" t="s">
        <v>395</v>
      </c>
      <c r="C237" s="22" t="s">
        <v>2450</v>
      </c>
      <c r="D237" s="22"/>
      <c r="E237" s="21" t="s">
        <v>0</v>
      </c>
      <c r="F237" s="21"/>
      <c r="G237" s="147" t="s">
        <v>1460</v>
      </c>
      <c r="H237" s="23">
        <v>20151016</v>
      </c>
      <c r="I237" s="23"/>
      <c r="J237" s="21" t="s">
        <v>567</v>
      </c>
      <c r="K237" s="21"/>
      <c r="L237" s="21"/>
      <c r="M237" s="26" t="s">
        <v>577</v>
      </c>
      <c r="N237" s="44">
        <v>4109</v>
      </c>
      <c r="O237" s="22" t="s">
        <v>15</v>
      </c>
      <c r="P237" s="22" t="s">
        <v>19</v>
      </c>
      <c r="Q237" s="24">
        <f t="shared" si="19"/>
        <v>0</v>
      </c>
      <c r="R237" s="24"/>
      <c r="S237" s="5"/>
      <c r="T237" s="5"/>
    </row>
    <row r="238" spans="1:20" ht="15.75" hidden="1" x14ac:dyDescent="0.25">
      <c r="A238" t="s">
        <v>6091</v>
      </c>
      <c r="B238" s="21" t="s">
        <v>395</v>
      </c>
      <c r="C238" s="22" t="s">
        <v>2450</v>
      </c>
      <c r="D238" s="22"/>
      <c r="E238" s="21" t="s">
        <v>0</v>
      </c>
      <c r="F238" s="21"/>
      <c r="G238" s="147" t="s">
        <v>1460</v>
      </c>
      <c r="H238" s="23">
        <v>20151016</v>
      </c>
      <c r="I238" s="23"/>
      <c r="J238" s="21" t="s">
        <v>568</v>
      </c>
      <c r="K238" s="21"/>
      <c r="L238" s="21"/>
      <c r="M238" s="26" t="s">
        <v>578</v>
      </c>
      <c r="N238" s="44">
        <v>4109</v>
      </c>
      <c r="O238" s="22" t="s">
        <v>15</v>
      </c>
      <c r="P238" s="22" t="s">
        <v>19</v>
      </c>
      <c r="Q238" s="24">
        <f t="shared" si="19"/>
        <v>0</v>
      </c>
      <c r="R238" s="24"/>
      <c r="S238" s="5"/>
      <c r="T238" s="5"/>
    </row>
    <row r="239" spans="1:20" ht="15.75" hidden="1" x14ac:dyDescent="0.25">
      <c r="A239" t="s">
        <v>6091</v>
      </c>
      <c r="B239" s="21" t="s">
        <v>395</v>
      </c>
      <c r="C239" s="22" t="s">
        <v>2450</v>
      </c>
      <c r="D239" s="22"/>
      <c r="E239" s="21" t="s">
        <v>0</v>
      </c>
      <c r="F239" s="21"/>
      <c r="G239" s="147" t="s">
        <v>1460</v>
      </c>
      <c r="H239" s="23">
        <v>20151016</v>
      </c>
      <c r="I239" s="23"/>
      <c r="J239" s="21" t="s">
        <v>569</v>
      </c>
      <c r="K239" s="21"/>
      <c r="L239" s="21"/>
      <c r="M239" s="26" t="s">
        <v>579</v>
      </c>
      <c r="N239" s="44">
        <v>4109</v>
      </c>
      <c r="O239" s="22" t="s">
        <v>15</v>
      </c>
      <c r="P239" s="22" t="s">
        <v>19</v>
      </c>
      <c r="Q239" s="24">
        <f t="shared" si="19"/>
        <v>0</v>
      </c>
      <c r="R239" s="24"/>
      <c r="S239" s="5"/>
      <c r="T239" s="5"/>
    </row>
    <row r="240" spans="1:20" ht="15.75" hidden="1" x14ac:dyDescent="0.25">
      <c r="A240" t="s">
        <v>6091</v>
      </c>
      <c r="B240" s="21" t="s">
        <v>395</v>
      </c>
      <c r="C240" s="22" t="s">
        <v>2450</v>
      </c>
      <c r="D240" s="22"/>
      <c r="E240" s="21" t="s">
        <v>0</v>
      </c>
      <c r="F240" s="21"/>
      <c r="G240" s="147" t="s">
        <v>1460</v>
      </c>
      <c r="H240" s="23">
        <v>20151016</v>
      </c>
      <c r="I240" s="23"/>
      <c r="J240" s="21" t="s">
        <v>570</v>
      </c>
      <c r="K240" s="21"/>
      <c r="L240" s="21"/>
      <c r="M240" s="26" t="s">
        <v>580</v>
      </c>
      <c r="N240" s="44">
        <v>3319</v>
      </c>
      <c r="O240" s="22" t="s">
        <v>15</v>
      </c>
      <c r="P240" s="22" t="s">
        <v>19</v>
      </c>
      <c r="Q240" s="24">
        <f t="shared" si="19"/>
        <v>0</v>
      </c>
      <c r="R240" s="24"/>
      <c r="S240" s="5"/>
      <c r="T240" s="5"/>
    </row>
    <row r="241" spans="1:20" ht="15.75" hidden="1" x14ac:dyDescent="0.25">
      <c r="A241" t="s">
        <v>6091</v>
      </c>
      <c r="B241" s="21" t="s">
        <v>395</v>
      </c>
      <c r="C241" s="22" t="s">
        <v>2450</v>
      </c>
      <c r="D241" s="22"/>
      <c r="E241" s="21" t="s">
        <v>0</v>
      </c>
      <c r="F241" s="21"/>
      <c r="G241" s="147" t="s">
        <v>1460</v>
      </c>
      <c r="H241" s="23">
        <v>20151016</v>
      </c>
      <c r="I241" s="23"/>
      <c r="J241" s="21" t="s">
        <v>571</v>
      </c>
      <c r="K241" s="21"/>
      <c r="L241" s="21"/>
      <c r="M241" s="26" t="s">
        <v>757</v>
      </c>
      <c r="N241" s="44">
        <v>3319</v>
      </c>
      <c r="O241" s="22" t="s">
        <v>15</v>
      </c>
      <c r="P241" s="22" t="s">
        <v>19</v>
      </c>
      <c r="Q241" s="24">
        <f t="shared" si="19"/>
        <v>0</v>
      </c>
      <c r="R241" s="24"/>
      <c r="S241" s="5"/>
      <c r="T241" s="5"/>
    </row>
    <row r="242" spans="1:20" ht="15.75" hidden="1" x14ac:dyDescent="0.25">
      <c r="A242" t="s">
        <v>6091</v>
      </c>
      <c r="B242" s="21" t="s">
        <v>395</v>
      </c>
      <c r="C242" s="22" t="s">
        <v>2450</v>
      </c>
      <c r="D242" s="22"/>
      <c r="E242" s="21" t="s">
        <v>0</v>
      </c>
      <c r="F242" s="21"/>
      <c r="G242" s="147" t="s">
        <v>1460</v>
      </c>
      <c r="H242" s="23">
        <v>20151016</v>
      </c>
      <c r="I242" s="23"/>
      <c r="J242" s="21" t="s">
        <v>572</v>
      </c>
      <c r="K242" s="21"/>
      <c r="L242" s="21"/>
      <c r="M242" s="26" t="s">
        <v>1459</v>
      </c>
      <c r="N242" s="44">
        <v>3319</v>
      </c>
      <c r="O242" s="22" t="s">
        <v>15</v>
      </c>
      <c r="P242" s="22" t="s">
        <v>19</v>
      </c>
      <c r="Q242" s="24">
        <f t="shared" si="19"/>
        <v>0</v>
      </c>
      <c r="R242" s="24"/>
      <c r="S242" s="5"/>
      <c r="T242" s="5"/>
    </row>
    <row r="243" spans="1:20" ht="15.75" hidden="1" x14ac:dyDescent="0.25">
      <c r="A243" t="s">
        <v>6091</v>
      </c>
      <c r="B243" s="21" t="s">
        <v>395</v>
      </c>
      <c r="C243" s="22" t="s">
        <v>2453</v>
      </c>
      <c r="D243" s="22"/>
      <c r="E243" s="21" t="s">
        <v>75</v>
      </c>
      <c r="F243" s="21"/>
      <c r="G243" s="147" t="s">
        <v>238</v>
      </c>
      <c r="H243" s="23" t="s">
        <v>602</v>
      </c>
      <c r="I243" s="23"/>
      <c r="J243" s="21" t="s">
        <v>305</v>
      </c>
      <c r="K243" s="21"/>
      <c r="L243" s="21"/>
      <c r="M243" s="26">
        <v>43119</v>
      </c>
      <c r="N243" s="44">
        <f>0.5*13500</f>
        <v>6750</v>
      </c>
      <c r="O243" s="22" t="s">
        <v>15</v>
      </c>
      <c r="P243" s="22" t="s">
        <v>19</v>
      </c>
      <c r="Q243" s="24">
        <f t="shared" si="19"/>
        <v>0</v>
      </c>
      <c r="R243" s="24">
        <f t="shared" ref="R243:R253" si="20">IF(P243="OK",N243-Q243,IF(P243="en cours",N243-Q243,P243))</f>
        <v>6750</v>
      </c>
      <c r="S243" s="5"/>
      <c r="T243" s="5"/>
    </row>
    <row r="244" spans="1:20" ht="15.75" hidden="1" x14ac:dyDescent="0.25">
      <c r="A244" t="s">
        <v>6091</v>
      </c>
      <c r="B244" s="21" t="s">
        <v>395</v>
      </c>
      <c r="C244" s="22" t="s">
        <v>2453</v>
      </c>
      <c r="D244" s="22"/>
      <c r="E244" s="21" t="s">
        <v>75</v>
      </c>
      <c r="F244" s="21"/>
      <c r="G244" s="147" t="s">
        <v>238</v>
      </c>
      <c r="H244" s="23" t="s">
        <v>643</v>
      </c>
      <c r="I244" s="23"/>
      <c r="J244" s="21" t="s">
        <v>596</v>
      </c>
      <c r="K244" s="21"/>
      <c r="L244" s="21"/>
      <c r="M244" s="26">
        <v>43139</v>
      </c>
      <c r="N244" s="44">
        <f>0.4*13500</f>
        <v>5400</v>
      </c>
      <c r="O244" s="22" t="s">
        <v>15</v>
      </c>
      <c r="P244" s="22" t="s">
        <v>19</v>
      </c>
      <c r="Q244" s="24">
        <f t="shared" si="19"/>
        <v>0</v>
      </c>
      <c r="R244" s="24">
        <f t="shared" si="20"/>
        <v>5400</v>
      </c>
      <c r="S244" s="5"/>
      <c r="T244" s="5"/>
    </row>
    <row r="245" spans="1:20" ht="15.75" hidden="1" x14ac:dyDescent="0.25">
      <c r="A245" t="s">
        <v>6091</v>
      </c>
      <c r="B245" s="21" t="s">
        <v>395</v>
      </c>
      <c r="C245" s="22" t="s">
        <v>2453</v>
      </c>
      <c r="D245" s="22"/>
      <c r="E245" s="21" t="s">
        <v>75</v>
      </c>
      <c r="F245" s="21"/>
      <c r="G245" s="147" t="s">
        <v>238</v>
      </c>
      <c r="H245" s="23" t="s">
        <v>643</v>
      </c>
      <c r="I245" s="23"/>
      <c r="J245" s="21" t="s">
        <v>597</v>
      </c>
      <c r="K245" s="21"/>
      <c r="L245" s="21"/>
      <c r="M245" s="26">
        <v>43154</v>
      </c>
      <c r="N245" s="44">
        <f>0.1*13500</f>
        <v>1350</v>
      </c>
      <c r="O245" s="22" t="s">
        <v>15</v>
      </c>
      <c r="P245" s="22" t="s">
        <v>19</v>
      </c>
      <c r="Q245" s="24">
        <f t="shared" si="19"/>
        <v>0</v>
      </c>
      <c r="R245" s="24">
        <f t="shared" si="20"/>
        <v>1350</v>
      </c>
      <c r="S245" s="5"/>
      <c r="T245" s="5"/>
    </row>
    <row r="246" spans="1:20" ht="15.75" hidden="1" x14ac:dyDescent="0.25">
      <c r="A246" t="s">
        <v>6091</v>
      </c>
      <c r="B246" s="21" t="s">
        <v>395</v>
      </c>
      <c r="C246" s="22" t="s">
        <v>2427</v>
      </c>
      <c r="D246" s="22"/>
      <c r="E246" s="21" t="s">
        <v>0</v>
      </c>
      <c r="F246" s="21"/>
      <c r="G246" s="147" t="s">
        <v>385</v>
      </c>
      <c r="H246" s="23" t="s">
        <v>601</v>
      </c>
      <c r="I246" s="23"/>
      <c r="J246" s="21" t="s">
        <v>600</v>
      </c>
      <c r="K246" s="21"/>
      <c r="L246" s="21"/>
      <c r="M246" s="26" t="s">
        <v>800</v>
      </c>
      <c r="N246" s="44">
        <v>13840</v>
      </c>
      <c r="O246" s="22" t="s">
        <v>15</v>
      </c>
      <c r="P246" s="22" t="s">
        <v>19</v>
      </c>
      <c r="Q246" s="24">
        <f t="shared" si="19"/>
        <v>0</v>
      </c>
      <c r="R246" s="24">
        <f t="shared" si="20"/>
        <v>13840</v>
      </c>
      <c r="S246" s="5"/>
      <c r="T246" s="5"/>
    </row>
    <row r="247" spans="1:20" ht="15.75" hidden="1" x14ac:dyDescent="0.25">
      <c r="A247" t="s">
        <v>6091</v>
      </c>
      <c r="B247" s="21" t="s">
        <v>395</v>
      </c>
      <c r="C247" s="22" t="s">
        <v>2450</v>
      </c>
      <c r="D247" s="22"/>
      <c r="E247" s="21" t="s">
        <v>10</v>
      </c>
      <c r="F247" s="21"/>
      <c r="G247" s="147" t="s">
        <v>586</v>
      </c>
      <c r="H247" s="23" t="s">
        <v>605</v>
      </c>
      <c r="I247" s="23"/>
      <c r="J247" s="21" t="s">
        <v>658</v>
      </c>
      <c r="K247" s="21"/>
      <c r="L247" s="21"/>
      <c r="M247" s="26" t="s">
        <v>934</v>
      </c>
      <c r="N247" s="44">
        <f>0.5*12700</f>
        <v>6350</v>
      </c>
      <c r="O247" s="22" t="s">
        <v>15</v>
      </c>
      <c r="P247" s="22" t="s">
        <v>19</v>
      </c>
      <c r="Q247" s="24">
        <f t="shared" si="19"/>
        <v>0</v>
      </c>
      <c r="R247" s="24">
        <f t="shared" si="20"/>
        <v>6350</v>
      </c>
      <c r="S247" s="5"/>
      <c r="T247" s="5"/>
    </row>
    <row r="248" spans="1:20" ht="15.75" hidden="1" x14ac:dyDescent="0.25">
      <c r="A248" t="s">
        <v>6091</v>
      </c>
      <c r="B248" s="21" t="s">
        <v>395</v>
      </c>
      <c r="C248" s="22" t="s">
        <v>2450</v>
      </c>
      <c r="D248" s="22"/>
      <c r="E248" s="21" t="s">
        <v>10</v>
      </c>
      <c r="F248" s="21"/>
      <c r="G248" s="147" t="s">
        <v>586</v>
      </c>
      <c r="H248" s="23" t="s">
        <v>605</v>
      </c>
      <c r="I248" s="23"/>
      <c r="J248" s="21" t="s">
        <v>507</v>
      </c>
      <c r="K248" s="21"/>
      <c r="L248" s="21"/>
      <c r="M248" s="26" t="s">
        <v>931</v>
      </c>
      <c r="N248" s="44">
        <f>0.5*12700</f>
        <v>6350</v>
      </c>
      <c r="O248" s="22" t="s">
        <v>15</v>
      </c>
      <c r="P248" s="22" t="s">
        <v>19</v>
      </c>
      <c r="Q248" s="24">
        <f t="shared" si="19"/>
        <v>0</v>
      </c>
      <c r="R248" s="24">
        <f t="shared" si="20"/>
        <v>6350</v>
      </c>
      <c r="S248" s="5"/>
      <c r="T248" s="5"/>
    </row>
    <row r="249" spans="1:20" ht="15.75" hidden="1" x14ac:dyDescent="0.25">
      <c r="A249" t="s">
        <v>6091</v>
      </c>
      <c r="B249" s="5"/>
      <c r="C249" s="4" t="s">
        <v>381</v>
      </c>
      <c r="D249" s="4"/>
      <c r="E249" s="5" t="s">
        <v>10</v>
      </c>
      <c r="F249" s="5"/>
      <c r="G249" s="146" t="s">
        <v>373</v>
      </c>
      <c r="H249" s="7" t="s">
        <v>649</v>
      </c>
      <c r="I249" s="7"/>
      <c r="J249" s="5" t="s">
        <v>653</v>
      </c>
      <c r="K249" s="5"/>
      <c r="L249" s="5"/>
      <c r="M249" s="12"/>
      <c r="N249" s="45">
        <v>900</v>
      </c>
      <c r="O249" s="4" t="s">
        <v>276</v>
      </c>
      <c r="P249" s="4"/>
      <c r="Q249" s="3">
        <f t="shared" si="19"/>
        <v>900</v>
      </c>
      <c r="R249" s="3">
        <f t="shared" si="20"/>
        <v>0</v>
      </c>
      <c r="S249" s="5" t="s">
        <v>1345</v>
      </c>
      <c r="T249" s="5"/>
    </row>
    <row r="250" spans="1:20" ht="15.75" hidden="1" x14ac:dyDescent="0.25">
      <c r="A250" t="s">
        <v>6091</v>
      </c>
      <c r="B250" s="21" t="s">
        <v>395</v>
      </c>
      <c r="C250" s="22" t="s">
        <v>381</v>
      </c>
      <c r="D250" s="22"/>
      <c r="E250" s="21" t="s">
        <v>10</v>
      </c>
      <c r="F250" s="21"/>
      <c r="G250" s="147" t="s">
        <v>373</v>
      </c>
      <c r="H250" s="23" t="s">
        <v>655</v>
      </c>
      <c r="I250" s="23"/>
      <c r="J250" s="21" t="s">
        <v>656</v>
      </c>
      <c r="K250" s="21"/>
      <c r="L250" s="21"/>
      <c r="M250" s="26">
        <v>43159</v>
      </c>
      <c r="N250" s="44">
        <v>1600</v>
      </c>
      <c r="O250" s="22" t="s">
        <v>276</v>
      </c>
      <c r="P250" s="22" t="s">
        <v>19</v>
      </c>
      <c r="Q250" s="24">
        <f t="shared" si="19"/>
        <v>0</v>
      </c>
      <c r="R250" s="24">
        <f t="shared" si="20"/>
        <v>1600</v>
      </c>
      <c r="S250" s="5"/>
      <c r="T250" s="5"/>
    </row>
    <row r="251" spans="1:20" ht="15.75" hidden="1" x14ac:dyDescent="0.25">
      <c r="A251" t="s">
        <v>6091</v>
      </c>
      <c r="B251" s="32" t="s">
        <v>395</v>
      </c>
      <c r="C251" s="33" t="s">
        <v>2450</v>
      </c>
      <c r="D251" s="33"/>
      <c r="E251" s="32" t="s">
        <v>10</v>
      </c>
      <c r="F251" s="32"/>
      <c r="G251" s="155" t="s">
        <v>659</v>
      </c>
      <c r="H251" s="34" t="s">
        <v>660</v>
      </c>
      <c r="I251" s="34"/>
      <c r="J251" s="32" t="s">
        <v>858</v>
      </c>
      <c r="K251" s="32"/>
      <c r="L251" s="32"/>
      <c r="M251" s="42" t="s">
        <v>860</v>
      </c>
      <c r="N251" s="93">
        <v>0</v>
      </c>
      <c r="O251" s="33" t="s">
        <v>15</v>
      </c>
      <c r="P251" s="22" t="s">
        <v>19</v>
      </c>
      <c r="Q251" s="36">
        <f t="shared" si="19"/>
        <v>0</v>
      </c>
      <c r="R251" s="36">
        <f t="shared" si="20"/>
        <v>0</v>
      </c>
      <c r="S251" s="5"/>
      <c r="T251" s="5"/>
    </row>
    <row r="252" spans="1:20" ht="15.75" hidden="1" x14ac:dyDescent="0.25">
      <c r="A252" t="s">
        <v>6091</v>
      </c>
      <c r="B252" s="32" t="s">
        <v>395</v>
      </c>
      <c r="C252" s="33" t="s">
        <v>2427</v>
      </c>
      <c r="D252" s="33"/>
      <c r="E252" s="32" t="s">
        <v>0</v>
      </c>
      <c r="F252" s="32"/>
      <c r="G252" s="155" t="s">
        <v>661</v>
      </c>
      <c r="H252" s="34" t="s">
        <v>1083</v>
      </c>
      <c r="I252" s="34"/>
      <c r="J252" s="32" t="s">
        <v>679</v>
      </c>
      <c r="K252" s="32"/>
      <c r="L252" s="32" t="s">
        <v>2402</v>
      </c>
      <c r="M252" s="26">
        <v>43209</v>
      </c>
      <c r="N252" s="93">
        <v>12500</v>
      </c>
      <c r="O252" s="33" t="s">
        <v>15</v>
      </c>
      <c r="P252" s="22" t="s">
        <v>19</v>
      </c>
      <c r="Q252" s="36">
        <f t="shared" si="19"/>
        <v>0</v>
      </c>
      <c r="R252" s="36">
        <f t="shared" si="20"/>
        <v>12500</v>
      </c>
      <c r="S252" s="5"/>
      <c r="T252" s="5"/>
    </row>
    <row r="253" spans="1:20" ht="15.75" hidden="1" x14ac:dyDescent="0.25">
      <c r="A253" t="s">
        <v>6091</v>
      </c>
      <c r="B253" s="32" t="s">
        <v>395</v>
      </c>
      <c r="C253" s="33" t="s">
        <v>2427</v>
      </c>
      <c r="D253" s="33"/>
      <c r="E253" s="32" t="s">
        <v>0</v>
      </c>
      <c r="F253" s="32"/>
      <c r="G253" s="155" t="s">
        <v>661</v>
      </c>
      <c r="H253" s="34" t="s">
        <v>1084</v>
      </c>
      <c r="I253" s="34"/>
      <c r="J253" s="32" t="s">
        <v>678</v>
      </c>
      <c r="K253" s="32"/>
      <c r="L253" s="32" t="s">
        <v>2401</v>
      </c>
      <c r="M253" s="26">
        <v>43462</v>
      </c>
      <c r="N253" s="93">
        <v>12500</v>
      </c>
      <c r="O253" s="33" t="s">
        <v>15</v>
      </c>
      <c r="P253" s="22" t="s">
        <v>19</v>
      </c>
      <c r="Q253" s="36">
        <f t="shared" si="19"/>
        <v>0</v>
      </c>
      <c r="R253" s="36">
        <f t="shared" si="20"/>
        <v>12500</v>
      </c>
      <c r="S253" s="5"/>
      <c r="T253" s="5"/>
    </row>
    <row r="254" spans="1:20" ht="15.75" hidden="1" x14ac:dyDescent="0.25">
      <c r="A254" t="s">
        <v>6091</v>
      </c>
      <c r="B254" s="32" t="s">
        <v>395</v>
      </c>
      <c r="C254" s="33" t="s">
        <v>2427</v>
      </c>
      <c r="D254" s="33"/>
      <c r="E254" s="32" t="s">
        <v>0</v>
      </c>
      <c r="F254" s="32"/>
      <c r="G254" s="155" t="s">
        <v>661</v>
      </c>
      <c r="H254" s="34" t="s">
        <v>1083</v>
      </c>
      <c r="I254" s="34"/>
      <c r="J254" s="32" t="s">
        <v>677</v>
      </c>
      <c r="K254" s="32"/>
      <c r="L254" s="32" t="s">
        <v>2398</v>
      </c>
      <c r="M254" s="26">
        <v>43384</v>
      </c>
      <c r="N254" s="93">
        <v>50000</v>
      </c>
      <c r="O254" s="33" t="s">
        <v>15</v>
      </c>
      <c r="P254" s="22" t="s">
        <v>19</v>
      </c>
      <c r="Q254" s="36">
        <f t="shared" si="19"/>
        <v>0</v>
      </c>
      <c r="R254" s="36"/>
      <c r="S254" s="5"/>
      <c r="T254" s="5"/>
    </row>
    <row r="255" spans="1:20" ht="15.75" hidden="1" x14ac:dyDescent="0.25">
      <c r="A255" t="s">
        <v>6091</v>
      </c>
      <c r="B255" s="32" t="s">
        <v>395</v>
      </c>
      <c r="C255" s="33" t="s">
        <v>2427</v>
      </c>
      <c r="D255" s="33"/>
      <c r="E255" s="32" t="s">
        <v>0</v>
      </c>
      <c r="F255" s="32"/>
      <c r="G255" s="155" t="s">
        <v>661</v>
      </c>
      <c r="H255" s="34" t="s">
        <v>1085</v>
      </c>
      <c r="I255" s="34"/>
      <c r="J255" s="32" t="s">
        <v>888</v>
      </c>
      <c r="K255" s="32"/>
      <c r="L255" s="32" t="s">
        <v>2400</v>
      </c>
      <c r="M255" s="26">
        <v>43384</v>
      </c>
      <c r="N255" s="93">
        <v>60000</v>
      </c>
      <c r="O255" s="33" t="s">
        <v>15</v>
      </c>
      <c r="P255" s="22" t="s">
        <v>19</v>
      </c>
      <c r="Q255" s="36">
        <f t="shared" si="19"/>
        <v>0</v>
      </c>
      <c r="R255" s="36">
        <f t="shared" ref="R255:R284" si="21">IF(P255="OK",N255-Q255,IF(P255="en cours",N255-Q255,P255))</f>
        <v>60000</v>
      </c>
      <c r="S255" s="5"/>
      <c r="T255" s="5"/>
    </row>
    <row r="256" spans="1:20" ht="15.75" hidden="1" x14ac:dyDescent="0.25">
      <c r="A256" t="s">
        <v>6091</v>
      </c>
      <c r="B256" s="32" t="s">
        <v>395</v>
      </c>
      <c r="C256" s="33" t="s">
        <v>2427</v>
      </c>
      <c r="D256" s="33"/>
      <c r="E256" s="32" t="s">
        <v>0</v>
      </c>
      <c r="F256" s="32"/>
      <c r="G256" s="155" t="s">
        <v>661</v>
      </c>
      <c r="H256" s="34" t="s">
        <v>1086</v>
      </c>
      <c r="I256" s="34"/>
      <c r="J256" s="32" t="s">
        <v>887</v>
      </c>
      <c r="K256" s="32"/>
      <c r="L256" s="32" t="s">
        <v>2399</v>
      </c>
      <c r="M256" s="26">
        <v>43502</v>
      </c>
      <c r="N256" s="93">
        <v>140000</v>
      </c>
      <c r="O256" s="33" t="s">
        <v>15</v>
      </c>
      <c r="P256" s="22" t="s">
        <v>19</v>
      </c>
      <c r="Q256" s="36">
        <f t="shared" si="19"/>
        <v>0</v>
      </c>
      <c r="R256" s="36">
        <f t="shared" si="21"/>
        <v>140000</v>
      </c>
      <c r="S256" s="5"/>
      <c r="T256" s="5"/>
    </row>
    <row r="257" spans="1:20" ht="15.75" hidden="1" x14ac:dyDescent="0.25">
      <c r="A257" t="s">
        <v>6091</v>
      </c>
      <c r="B257" s="32" t="s">
        <v>395</v>
      </c>
      <c r="C257" s="33" t="s">
        <v>2450</v>
      </c>
      <c r="D257" s="33" t="s">
        <v>1451</v>
      </c>
      <c r="E257" s="32" t="s">
        <v>10</v>
      </c>
      <c r="F257" s="32"/>
      <c r="G257" s="155" t="s">
        <v>665</v>
      </c>
      <c r="H257" s="34" t="s">
        <v>1822</v>
      </c>
      <c r="I257" s="34"/>
      <c r="J257" s="32" t="s">
        <v>666</v>
      </c>
      <c r="K257" s="32"/>
      <c r="L257" s="32"/>
      <c r="M257" s="26">
        <v>43182</v>
      </c>
      <c r="N257" s="93">
        <f>0.5*66970</f>
        <v>33485</v>
      </c>
      <c r="O257" s="33" t="s">
        <v>15</v>
      </c>
      <c r="P257" s="22" t="s">
        <v>19</v>
      </c>
      <c r="Q257" s="36">
        <f t="shared" si="19"/>
        <v>0</v>
      </c>
      <c r="R257" s="36">
        <f t="shared" si="21"/>
        <v>33485</v>
      </c>
      <c r="S257" s="5"/>
      <c r="T257" s="5"/>
    </row>
    <row r="258" spans="1:20" ht="15.75" hidden="1" x14ac:dyDescent="0.25">
      <c r="A258" t="s">
        <v>6091</v>
      </c>
      <c r="B258" s="32" t="s">
        <v>395</v>
      </c>
      <c r="C258" s="33" t="s">
        <v>2450</v>
      </c>
      <c r="D258" s="33" t="s">
        <v>1451</v>
      </c>
      <c r="E258" s="32" t="s">
        <v>10</v>
      </c>
      <c r="F258" s="32"/>
      <c r="G258" s="155" t="s">
        <v>665</v>
      </c>
      <c r="H258" s="34" t="s">
        <v>1822</v>
      </c>
      <c r="I258" s="34"/>
      <c r="J258" s="32" t="s">
        <v>668</v>
      </c>
      <c r="K258" s="32"/>
      <c r="L258" s="32" t="s">
        <v>2301</v>
      </c>
      <c r="M258" s="26">
        <v>43294</v>
      </c>
      <c r="N258" s="93">
        <f>0.45*66970</f>
        <v>30136.5</v>
      </c>
      <c r="O258" s="33" t="s">
        <v>15</v>
      </c>
      <c r="P258" s="22" t="s">
        <v>19</v>
      </c>
      <c r="Q258" s="36">
        <f t="shared" si="19"/>
        <v>0</v>
      </c>
      <c r="R258" s="36">
        <f t="shared" si="21"/>
        <v>30136.5</v>
      </c>
      <c r="S258" s="5"/>
      <c r="T258" s="5"/>
    </row>
    <row r="259" spans="1:20" ht="15.75" hidden="1" x14ac:dyDescent="0.25">
      <c r="A259" t="s">
        <v>6091</v>
      </c>
      <c r="B259" s="32" t="s">
        <v>395</v>
      </c>
      <c r="C259" s="33" t="s">
        <v>2450</v>
      </c>
      <c r="D259" s="33" t="s">
        <v>1451</v>
      </c>
      <c r="E259" s="32" t="s">
        <v>10</v>
      </c>
      <c r="F259" s="32"/>
      <c r="G259" s="155" t="s">
        <v>665</v>
      </c>
      <c r="H259" s="34" t="s">
        <v>1822</v>
      </c>
      <c r="I259" s="34"/>
      <c r="J259" s="32" t="s">
        <v>667</v>
      </c>
      <c r="K259" s="32"/>
      <c r="L259" s="32" t="s">
        <v>2300</v>
      </c>
      <c r="M259" s="26">
        <v>43314</v>
      </c>
      <c r="N259" s="93">
        <f>0.05*66970</f>
        <v>3348.5</v>
      </c>
      <c r="O259" s="33" t="s">
        <v>15</v>
      </c>
      <c r="P259" s="22" t="s">
        <v>19</v>
      </c>
      <c r="Q259" s="36">
        <f t="shared" si="19"/>
        <v>0</v>
      </c>
      <c r="R259" s="36">
        <f t="shared" si="21"/>
        <v>3348.5</v>
      </c>
      <c r="S259" s="5"/>
      <c r="T259" s="5"/>
    </row>
    <row r="260" spans="1:20" ht="15.75" hidden="1" x14ac:dyDescent="0.25">
      <c r="A260" t="s">
        <v>6091</v>
      </c>
      <c r="B260" s="32" t="s">
        <v>395</v>
      </c>
      <c r="C260" s="33" t="s">
        <v>2427</v>
      </c>
      <c r="D260" s="33"/>
      <c r="E260" s="32" t="s">
        <v>0</v>
      </c>
      <c r="F260" s="32"/>
      <c r="G260" s="155" t="s">
        <v>661</v>
      </c>
      <c r="H260" s="34" t="s">
        <v>1083</v>
      </c>
      <c r="I260" s="34"/>
      <c r="J260" s="32" t="s">
        <v>676</v>
      </c>
      <c r="K260" s="32"/>
      <c r="L260" s="32" t="s">
        <v>2398</v>
      </c>
      <c r="M260" s="167">
        <v>43384</v>
      </c>
      <c r="N260" s="93">
        <v>10000</v>
      </c>
      <c r="O260" s="33" t="s">
        <v>15</v>
      </c>
      <c r="P260" s="22" t="s">
        <v>19</v>
      </c>
      <c r="Q260" s="36">
        <f t="shared" si="19"/>
        <v>0</v>
      </c>
      <c r="R260" s="36">
        <f t="shared" si="21"/>
        <v>10000</v>
      </c>
      <c r="S260" s="5"/>
      <c r="T260" s="5"/>
    </row>
    <row r="261" spans="1:20" ht="15.75" hidden="1" x14ac:dyDescent="0.25">
      <c r="A261" t="s">
        <v>6091</v>
      </c>
      <c r="B261" s="21" t="s">
        <v>395</v>
      </c>
      <c r="C261" s="22" t="s">
        <v>2450</v>
      </c>
      <c r="D261" s="22"/>
      <c r="E261" s="21" t="s">
        <v>0</v>
      </c>
      <c r="F261" s="21"/>
      <c r="G261" s="147" t="s">
        <v>522</v>
      </c>
      <c r="H261" s="23" t="s">
        <v>703</v>
      </c>
      <c r="I261" s="23"/>
      <c r="J261" s="21" t="s">
        <v>704</v>
      </c>
      <c r="K261" s="21"/>
      <c r="L261" s="21"/>
      <c r="M261" s="66" t="s">
        <v>706</v>
      </c>
      <c r="N261" s="44">
        <f>0.4*18500</f>
        <v>7400</v>
      </c>
      <c r="O261" s="22" t="s">
        <v>15</v>
      </c>
      <c r="P261" s="22" t="s">
        <v>19</v>
      </c>
      <c r="Q261" s="24">
        <f t="shared" si="19"/>
        <v>0</v>
      </c>
      <c r="R261" s="24">
        <f t="shared" si="21"/>
        <v>7400</v>
      </c>
      <c r="S261" s="5"/>
      <c r="T261" s="5"/>
    </row>
    <row r="262" spans="1:20" ht="15.75" hidden="1" x14ac:dyDescent="0.25">
      <c r="A262" t="s">
        <v>6091</v>
      </c>
      <c r="B262" s="21" t="s">
        <v>395</v>
      </c>
      <c r="C262" s="22" t="s">
        <v>2450</v>
      </c>
      <c r="D262" s="22"/>
      <c r="E262" s="21" t="s">
        <v>0</v>
      </c>
      <c r="F262" s="21"/>
      <c r="G262" s="147" t="s">
        <v>522</v>
      </c>
      <c r="H262" s="23" t="s">
        <v>703</v>
      </c>
      <c r="I262" s="23"/>
      <c r="J262" s="21" t="s">
        <v>705</v>
      </c>
      <c r="K262" s="21"/>
      <c r="L262" s="21"/>
      <c r="M262" s="66" t="s">
        <v>812</v>
      </c>
      <c r="N262" s="44">
        <f>0.6*18500</f>
        <v>11100</v>
      </c>
      <c r="O262" s="22" t="s">
        <v>15</v>
      </c>
      <c r="P262" s="22" t="s">
        <v>19</v>
      </c>
      <c r="Q262" s="24">
        <f t="shared" si="19"/>
        <v>0</v>
      </c>
      <c r="R262" s="24">
        <f t="shared" si="21"/>
        <v>11100</v>
      </c>
      <c r="S262" s="5"/>
      <c r="T262" s="5"/>
    </row>
    <row r="263" spans="1:20" ht="15.75" hidden="1" x14ac:dyDescent="0.25">
      <c r="A263" t="s">
        <v>6091</v>
      </c>
      <c r="B263" s="21" t="s">
        <v>395</v>
      </c>
      <c r="C263" s="22" t="s">
        <v>2453</v>
      </c>
      <c r="D263" s="22"/>
      <c r="E263" s="21" t="s">
        <v>75</v>
      </c>
      <c r="F263" s="21"/>
      <c r="G263" s="147" t="s">
        <v>239</v>
      </c>
      <c r="H263" s="23" t="s">
        <v>711</v>
      </c>
      <c r="I263" s="23"/>
      <c r="J263" s="21" t="s">
        <v>712</v>
      </c>
      <c r="K263" s="21"/>
      <c r="L263" s="21"/>
      <c r="M263" s="66">
        <v>43245</v>
      </c>
      <c r="N263" s="44">
        <f>0.5*29200</f>
        <v>14600</v>
      </c>
      <c r="O263" s="22" t="s">
        <v>15</v>
      </c>
      <c r="P263" s="22" t="s">
        <v>19</v>
      </c>
      <c r="Q263" s="24">
        <f t="shared" si="19"/>
        <v>0</v>
      </c>
      <c r="R263" s="24">
        <f t="shared" si="21"/>
        <v>14600</v>
      </c>
      <c r="S263" s="5"/>
      <c r="T263" s="5"/>
    </row>
    <row r="264" spans="1:20" ht="15.75" hidden="1" x14ac:dyDescent="0.25">
      <c r="A264" t="s">
        <v>6091</v>
      </c>
      <c r="B264" s="21" t="s">
        <v>395</v>
      </c>
      <c r="C264" s="22" t="s">
        <v>2453</v>
      </c>
      <c r="D264" s="22"/>
      <c r="E264" s="21" t="s">
        <v>75</v>
      </c>
      <c r="F264" s="21"/>
      <c r="G264" s="147" t="s">
        <v>239</v>
      </c>
      <c r="H264" s="23" t="s">
        <v>711</v>
      </c>
      <c r="I264" s="23"/>
      <c r="J264" s="21" t="s">
        <v>348</v>
      </c>
      <c r="K264" s="21"/>
      <c r="L264" s="21"/>
      <c r="M264" s="66">
        <v>43288</v>
      </c>
      <c r="N264" s="44">
        <f>0.5*29200</f>
        <v>14600</v>
      </c>
      <c r="O264" s="22" t="s">
        <v>15</v>
      </c>
      <c r="P264" s="22" t="s">
        <v>19</v>
      </c>
      <c r="Q264" s="24">
        <f t="shared" si="19"/>
        <v>0</v>
      </c>
      <c r="R264" s="24">
        <f t="shared" si="21"/>
        <v>14600</v>
      </c>
      <c r="S264" s="5"/>
      <c r="T264" s="5"/>
    </row>
    <row r="265" spans="1:20" ht="15.75" hidden="1" x14ac:dyDescent="0.25">
      <c r="A265" t="s">
        <v>6091</v>
      </c>
      <c r="B265" s="21" t="s">
        <v>395</v>
      </c>
      <c r="C265" s="22" t="s">
        <v>2450</v>
      </c>
      <c r="D265" s="22"/>
      <c r="E265" s="21" t="s">
        <v>10</v>
      </c>
      <c r="F265" s="21"/>
      <c r="G265" s="147" t="s">
        <v>586</v>
      </c>
      <c r="H265" s="23" t="s">
        <v>713</v>
      </c>
      <c r="I265" s="23"/>
      <c r="J265" s="21" t="s">
        <v>714</v>
      </c>
      <c r="K265" s="21"/>
      <c r="L265" s="21"/>
      <c r="M265" s="66" t="s">
        <v>932</v>
      </c>
      <c r="N265" s="44">
        <v>12000</v>
      </c>
      <c r="O265" s="22" t="s">
        <v>15</v>
      </c>
      <c r="P265" s="22" t="s">
        <v>19</v>
      </c>
      <c r="Q265" s="24">
        <f t="shared" si="19"/>
        <v>0</v>
      </c>
      <c r="R265" s="24">
        <f t="shared" si="21"/>
        <v>12000</v>
      </c>
      <c r="S265" s="5"/>
      <c r="T265" s="5"/>
    </row>
    <row r="266" spans="1:20" ht="15.75" hidden="1" x14ac:dyDescent="0.25">
      <c r="A266" t="s">
        <v>6091</v>
      </c>
      <c r="B266" s="21" t="s">
        <v>395</v>
      </c>
      <c r="C266" s="22" t="s">
        <v>2427</v>
      </c>
      <c r="D266" s="22"/>
      <c r="E266" s="21" t="s">
        <v>0</v>
      </c>
      <c r="F266" s="21"/>
      <c r="G266" s="147" t="s">
        <v>385</v>
      </c>
      <c r="H266" s="23" t="s">
        <v>732</v>
      </c>
      <c r="I266" s="23"/>
      <c r="J266" s="21" t="s">
        <v>783</v>
      </c>
      <c r="K266" s="21"/>
      <c r="L266" s="21"/>
      <c r="M266" s="66" t="s">
        <v>810</v>
      </c>
      <c r="N266" s="44">
        <v>6800</v>
      </c>
      <c r="O266" s="22" t="s">
        <v>15</v>
      </c>
      <c r="P266" s="22" t="s">
        <v>19</v>
      </c>
      <c r="Q266" s="24">
        <f t="shared" si="19"/>
        <v>0</v>
      </c>
      <c r="R266" s="24">
        <f t="shared" si="21"/>
        <v>6800</v>
      </c>
      <c r="S266" s="5"/>
      <c r="T266" s="5"/>
    </row>
    <row r="267" spans="1:20" ht="15.75" hidden="1" x14ac:dyDescent="0.25">
      <c r="A267" t="s">
        <v>6091</v>
      </c>
      <c r="B267" s="32" t="s">
        <v>395</v>
      </c>
      <c r="C267" s="22" t="s">
        <v>3980</v>
      </c>
      <c r="D267" s="33"/>
      <c r="E267" s="32" t="s">
        <v>10</v>
      </c>
      <c r="F267" s="32"/>
      <c r="G267" s="155" t="s">
        <v>487</v>
      </c>
      <c r="H267" s="34" t="s">
        <v>948</v>
      </c>
      <c r="I267" s="34"/>
      <c r="J267" s="32" t="s">
        <v>733</v>
      </c>
      <c r="K267" s="32"/>
      <c r="L267" s="32"/>
      <c r="M267" s="66" t="s">
        <v>838</v>
      </c>
      <c r="N267" s="93">
        <v>10888.2</v>
      </c>
      <c r="O267" s="33" t="s">
        <v>15</v>
      </c>
      <c r="P267" s="22">
        <f>6962+3159+767.2</f>
        <v>10888.2</v>
      </c>
      <c r="Q267" s="36">
        <f t="shared" si="19"/>
        <v>0</v>
      </c>
      <c r="R267" s="37">
        <f t="shared" si="21"/>
        <v>10888.2</v>
      </c>
      <c r="S267" s="5"/>
      <c r="T267" s="5"/>
    </row>
    <row r="268" spans="1:20" ht="15.75" hidden="1" x14ac:dyDescent="0.25">
      <c r="A268" t="s">
        <v>6091</v>
      </c>
      <c r="B268" s="21" t="s">
        <v>395</v>
      </c>
      <c r="C268" s="22" t="s">
        <v>2456</v>
      </c>
      <c r="D268" s="22"/>
      <c r="E268" s="21" t="s">
        <v>75</v>
      </c>
      <c r="F268" s="21"/>
      <c r="G268" s="147" t="s">
        <v>238</v>
      </c>
      <c r="H268" s="23" t="s">
        <v>752</v>
      </c>
      <c r="I268" s="23"/>
      <c r="J268" s="21" t="s">
        <v>753</v>
      </c>
      <c r="K268" s="21"/>
      <c r="L268" s="21"/>
      <c r="M268" s="66"/>
      <c r="N268" s="44">
        <v>5500</v>
      </c>
      <c r="O268" s="22" t="s">
        <v>15</v>
      </c>
      <c r="P268" s="22" t="s">
        <v>19</v>
      </c>
      <c r="Q268" s="24">
        <f t="shared" si="19"/>
        <v>0</v>
      </c>
      <c r="R268" s="24">
        <f t="shared" si="21"/>
        <v>5500</v>
      </c>
      <c r="S268" s="5"/>
      <c r="T268" s="5"/>
    </row>
    <row r="269" spans="1:20" ht="15.75" hidden="1" x14ac:dyDescent="0.25">
      <c r="A269" t="s">
        <v>6091</v>
      </c>
      <c r="B269" s="21" t="s">
        <v>395</v>
      </c>
      <c r="C269" s="22" t="s">
        <v>2450</v>
      </c>
      <c r="D269" s="22"/>
      <c r="E269" s="21" t="s">
        <v>10</v>
      </c>
      <c r="F269" s="21"/>
      <c r="G269" s="147" t="s">
        <v>169</v>
      </c>
      <c r="H269" s="23" t="s">
        <v>778</v>
      </c>
      <c r="I269" s="23"/>
      <c r="J269" s="21" t="s">
        <v>779</v>
      </c>
      <c r="K269" s="21"/>
      <c r="L269" s="26" t="s">
        <v>2277</v>
      </c>
      <c r="M269" s="166">
        <v>43347</v>
      </c>
      <c r="N269" s="44">
        <v>2880</v>
      </c>
      <c r="O269" s="22" t="s">
        <v>15</v>
      </c>
      <c r="P269" s="22" t="s">
        <v>19</v>
      </c>
      <c r="Q269" s="24">
        <f t="shared" si="19"/>
        <v>0</v>
      </c>
      <c r="R269" s="24">
        <f t="shared" si="21"/>
        <v>2880</v>
      </c>
      <c r="S269" s="5"/>
      <c r="T269" s="5"/>
    </row>
    <row r="270" spans="1:20" ht="15.75" hidden="1" x14ac:dyDescent="0.25">
      <c r="A270" t="s">
        <v>6091</v>
      </c>
      <c r="B270" s="32" t="s">
        <v>395</v>
      </c>
      <c r="C270" s="22" t="s">
        <v>3980</v>
      </c>
      <c r="D270" s="33"/>
      <c r="E270" s="32" t="s">
        <v>10</v>
      </c>
      <c r="F270" s="32"/>
      <c r="G270" s="155" t="s">
        <v>487</v>
      </c>
      <c r="H270" s="34" t="s">
        <v>949</v>
      </c>
      <c r="I270" s="34"/>
      <c r="J270" s="32" t="s">
        <v>780</v>
      </c>
      <c r="K270" s="32"/>
      <c r="L270" s="32"/>
      <c r="M270" s="70" t="s">
        <v>837</v>
      </c>
      <c r="N270" s="93">
        <v>9453</v>
      </c>
      <c r="O270" s="33" t="s">
        <v>15</v>
      </c>
      <c r="P270" s="22">
        <f>5392+4061</f>
        <v>9453</v>
      </c>
      <c r="Q270" s="36">
        <f t="shared" si="19"/>
        <v>0</v>
      </c>
      <c r="R270" s="37">
        <f t="shared" si="21"/>
        <v>9453</v>
      </c>
      <c r="S270" s="5"/>
      <c r="T270" s="5"/>
    </row>
    <row r="271" spans="1:20" ht="15.75" hidden="1" x14ac:dyDescent="0.25">
      <c r="A271" t="s">
        <v>6091</v>
      </c>
      <c r="B271" s="21" t="s">
        <v>395</v>
      </c>
      <c r="C271" s="22" t="s">
        <v>2427</v>
      </c>
      <c r="D271" s="22"/>
      <c r="E271" s="21" t="s">
        <v>0</v>
      </c>
      <c r="F271" s="21"/>
      <c r="G271" s="147" t="s">
        <v>385</v>
      </c>
      <c r="H271" s="23" t="s">
        <v>781</v>
      </c>
      <c r="I271" s="23"/>
      <c r="J271" s="21" t="s">
        <v>782</v>
      </c>
      <c r="K271" s="21"/>
      <c r="L271" s="21"/>
      <c r="M271" s="70" t="s">
        <v>803</v>
      </c>
      <c r="N271" s="44">
        <v>12998.85</v>
      </c>
      <c r="O271" s="22" t="s">
        <v>15</v>
      </c>
      <c r="P271" s="22" t="s">
        <v>19</v>
      </c>
      <c r="Q271" s="24">
        <f t="shared" si="19"/>
        <v>0</v>
      </c>
      <c r="R271" s="24">
        <f t="shared" si="21"/>
        <v>12998.85</v>
      </c>
      <c r="S271" s="5"/>
      <c r="T271" s="5"/>
    </row>
    <row r="272" spans="1:20" ht="15.75" hidden="1" x14ac:dyDescent="0.25">
      <c r="A272" t="s">
        <v>6091</v>
      </c>
      <c r="B272" s="21" t="s">
        <v>395</v>
      </c>
      <c r="C272" s="22" t="s">
        <v>2427</v>
      </c>
      <c r="D272" s="22"/>
      <c r="E272" s="21" t="s">
        <v>0</v>
      </c>
      <c r="F272" s="21"/>
      <c r="G272" s="147" t="s">
        <v>784</v>
      </c>
      <c r="H272" s="23" t="s">
        <v>785</v>
      </c>
      <c r="I272" s="23"/>
      <c r="J272" s="21" t="s">
        <v>786</v>
      </c>
      <c r="K272" s="21"/>
      <c r="L272" s="21" t="s">
        <v>2136</v>
      </c>
      <c r="M272" s="70" t="s">
        <v>2135</v>
      </c>
      <c r="N272" s="44">
        <v>20000</v>
      </c>
      <c r="O272" s="22" t="s">
        <v>15</v>
      </c>
      <c r="P272" s="22" t="s">
        <v>19</v>
      </c>
      <c r="Q272" s="24">
        <f t="shared" si="19"/>
        <v>0</v>
      </c>
      <c r="R272" s="24">
        <f t="shared" si="21"/>
        <v>20000</v>
      </c>
      <c r="S272" s="5" t="s">
        <v>953</v>
      </c>
      <c r="T272" s="5"/>
    </row>
    <row r="273" spans="1:20" ht="15.75" hidden="1" x14ac:dyDescent="0.25">
      <c r="A273" t="s">
        <v>6091</v>
      </c>
      <c r="B273" s="32" t="s">
        <v>395</v>
      </c>
      <c r="C273" s="33" t="s">
        <v>2427</v>
      </c>
      <c r="D273" s="33"/>
      <c r="E273" s="32" t="s">
        <v>0</v>
      </c>
      <c r="F273" s="32"/>
      <c r="G273" s="155" t="s">
        <v>661</v>
      </c>
      <c r="H273" s="34" t="s">
        <v>1744</v>
      </c>
      <c r="I273" s="34"/>
      <c r="J273" s="32" t="s">
        <v>1745</v>
      </c>
      <c r="K273" s="32"/>
      <c r="L273" s="32" t="s">
        <v>2397</v>
      </c>
      <c r="M273" s="166">
        <v>43559</v>
      </c>
      <c r="N273" s="93">
        <v>30000</v>
      </c>
      <c r="O273" s="33" t="s">
        <v>15</v>
      </c>
      <c r="P273" s="22" t="s">
        <v>19</v>
      </c>
      <c r="Q273" s="36">
        <f t="shared" si="19"/>
        <v>0</v>
      </c>
      <c r="R273" s="36">
        <f t="shared" si="21"/>
        <v>30000</v>
      </c>
      <c r="S273" s="5"/>
      <c r="T273" s="5"/>
    </row>
    <row r="274" spans="1:20" ht="15.75" hidden="1" x14ac:dyDescent="0.25">
      <c r="A274" t="s">
        <v>6091</v>
      </c>
      <c r="B274" s="32" t="s">
        <v>395</v>
      </c>
      <c r="C274" s="22" t="s">
        <v>2427</v>
      </c>
      <c r="D274" s="22"/>
      <c r="E274" s="21" t="s">
        <v>0</v>
      </c>
      <c r="F274" s="21"/>
      <c r="G274" s="147" t="s">
        <v>661</v>
      </c>
      <c r="H274" s="23" t="s">
        <v>1749</v>
      </c>
      <c r="I274" s="23"/>
      <c r="J274" s="21" t="s">
        <v>1746</v>
      </c>
      <c r="K274" s="120"/>
      <c r="L274" s="26" t="s">
        <v>2396</v>
      </c>
      <c r="M274" s="47">
        <v>43700</v>
      </c>
      <c r="N274" s="44">
        <v>24000</v>
      </c>
      <c r="O274" s="22" t="s">
        <v>15</v>
      </c>
      <c r="P274" s="22">
        <v>24000</v>
      </c>
      <c r="Q274" s="24">
        <f t="shared" si="19"/>
        <v>0</v>
      </c>
      <c r="R274" s="116">
        <f t="shared" si="21"/>
        <v>24000</v>
      </c>
      <c r="S274" s="5" t="s">
        <v>2757</v>
      </c>
      <c r="T274" s="5"/>
    </row>
    <row r="275" spans="1:20" ht="15.75" hidden="1" x14ac:dyDescent="0.25">
      <c r="A275" t="s">
        <v>6091</v>
      </c>
      <c r="B275" s="21" t="s">
        <v>395</v>
      </c>
      <c r="C275" s="22" t="s">
        <v>2427</v>
      </c>
      <c r="D275" s="22"/>
      <c r="E275" s="21" t="s">
        <v>0</v>
      </c>
      <c r="F275" s="21"/>
      <c r="G275" s="147" t="s">
        <v>661</v>
      </c>
      <c r="H275" s="23" t="s">
        <v>1749</v>
      </c>
      <c r="I275" s="23"/>
      <c r="J275" s="21" t="s">
        <v>1747</v>
      </c>
      <c r="K275" s="120"/>
      <c r="L275" s="26" t="s">
        <v>2392</v>
      </c>
      <c r="M275" s="166">
        <v>43775</v>
      </c>
      <c r="N275" s="44">
        <v>30000</v>
      </c>
      <c r="O275" s="22" t="s">
        <v>15</v>
      </c>
      <c r="P275" s="22" t="s">
        <v>19</v>
      </c>
      <c r="Q275" s="24">
        <f t="shared" si="19"/>
        <v>0</v>
      </c>
      <c r="R275" s="116">
        <f t="shared" si="21"/>
        <v>30000</v>
      </c>
      <c r="S275" s="5"/>
      <c r="T275" s="5"/>
    </row>
    <row r="276" spans="1:20" ht="15.75" hidden="1" x14ac:dyDescent="0.25">
      <c r="A276" t="s">
        <v>6091</v>
      </c>
      <c r="B276" s="21" t="s">
        <v>395</v>
      </c>
      <c r="C276" s="22" t="s">
        <v>2427</v>
      </c>
      <c r="D276" s="22"/>
      <c r="E276" s="21" t="s">
        <v>0</v>
      </c>
      <c r="F276" s="21"/>
      <c r="G276" s="147" t="s">
        <v>661</v>
      </c>
      <c r="H276" s="23" t="s">
        <v>1749</v>
      </c>
      <c r="I276" s="23"/>
      <c r="J276" s="21" t="s">
        <v>1748</v>
      </c>
      <c r="K276" s="120"/>
      <c r="L276" s="26" t="s">
        <v>2889</v>
      </c>
      <c r="M276" s="166">
        <v>43874</v>
      </c>
      <c r="N276" s="44">
        <v>30000</v>
      </c>
      <c r="O276" s="22" t="s">
        <v>15</v>
      </c>
      <c r="P276" s="22">
        <v>9000</v>
      </c>
      <c r="Q276" s="24">
        <v>0</v>
      </c>
      <c r="R276" s="116">
        <f t="shared" si="21"/>
        <v>9000</v>
      </c>
      <c r="S276" s="5" t="s">
        <v>2758</v>
      </c>
      <c r="T276" s="5"/>
    </row>
    <row r="277" spans="1:20" ht="14.25" hidden="1" customHeight="1" x14ac:dyDescent="0.25">
      <c r="A277" t="s">
        <v>6091</v>
      </c>
      <c r="B277" s="21" t="s">
        <v>395</v>
      </c>
      <c r="C277" s="22" t="s">
        <v>2453</v>
      </c>
      <c r="D277" s="22"/>
      <c r="E277" s="21" t="s">
        <v>75</v>
      </c>
      <c r="F277" s="21"/>
      <c r="G277" s="147" t="s">
        <v>238</v>
      </c>
      <c r="H277" s="23" t="s">
        <v>794</v>
      </c>
      <c r="I277" s="23"/>
      <c r="J277" s="21" t="s">
        <v>795</v>
      </c>
      <c r="K277" s="120"/>
      <c r="L277" s="21"/>
      <c r="M277" s="70" t="s">
        <v>813</v>
      </c>
      <c r="N277" s="44">
        <f>0.5*9000</f>
        <v>4500</v>
      </c>
      <c r="O277" s="22" t="s">
        <v>15</v>
      </c>
      <c r="P277" s="22" t="s">
        <v>19</v>
      </c>
      <c r="Q277" s="24">
        <f t="shared" ref="Q277:Q290" si="22">IF(P277="en cours",N277,IF(P277="OK",0,IF(N277-P277&lt;0,0,N277-P277)))</f>
        <v>0</v>
      </c>
      <c r="R277" s="24">
        <f t="shared" si="21"/>
        <v>4500</v>
      </c>
      <c r="S277" s="5"/>
      <c r="T277" s="5"/>
    </row>
    <row r="278" spans="1:20" ht="15.75" hidden="1" x14ac:dyDescent="0.25">
      <c r="A278" t="s">
        <v>6091</v>
      </c>
      <c r="B278" s="21" t="s">
        <v>395</v>
      </c>
      <c r="C278" s="22" t="s">
        <v>2453</v>
      </c>
      <c r="D278" s="22"/>
      <c r="E278" s="21" t="s">
        <v>75</v>
      </c>
      <c r="F278" s="21"/>
      <c r="G278" s="147" t="s">
        <v>238</v>
      </c>
      <c r="H278" s="23" t="s">
        <v>794</v>
      </c>
      <c r="I278" s="23"/>
      <c r="J278" s="21" t="s">
        <v>797</v>
      </c>
      <c r="K278" s="120"/>
      <c r="L278" s="21"/>
      <c r="M278" s="70" t="s">
        <v>940</v>
      </c>
      <c r="N278" s="44">
        <f>0.4*9000</f>
        <v>3600</v>
      </c>
      <c r="O278" s="22" t="s">
        <v>15</v>
      </c>
      <c r="P278" s="22" t="s">
        <v>19</v>
      </c>
      <c r="Q278" s="24">
        <f t="shared" si="22"/>
        <v>0</v>
      </c>
      <c r="R278" s="24">
        <f t="shared" si="21"/>
        <v>3600</v>
      </c>
      <c r="S278" s="5"/>
      <c r="T278" s="5"/>
    </row>
    <row r="279" spans="1:20" ht="15.75" hidden="1" x14ac:dyDescent="0.25">
      <c r="A279" t="s">
        <v>6091</v>
      </c>
      <c r="B279" s="21" t="s">
        <v>395</v>
      </c>
      <c r="C279" s="22" t="s">
        <v>2453</v>
      </c>
      <c r="D279" s="22"/>
      <c r="E279" s="21" t="s">
        <v>75</v>
      </c>
      <c r="F279" s="21"/>
      <c r="G279" s="147" t="s">
        <v>238</v>
      </c>
      <c r="H279" s="23" t="s">
        <v>794</v>
      </c>
      <c r="I279" s="23"/>
      <c r="J279" s="21" t="s">
        <v>796</v>
      </c>
      <c r="K279" s="120"/>
      <c r="L279" s="21"/>
      <c r="M279" s="70" t="s">
        <v>952</v>
      </c>
      <c r="N279" s="44">
        <f>0.1*9000</f>
        <v>900</v>
      </c>
      <c r="O279" s="22" t="s">
        <v>15</v>
      </c>
      <c r="P279" s="22" t="s">
        <v>19</v>
      </c>
      <c r="Q279" s="24">
        <f t="shared" si="22"/>
        <v>0</v>
      </c>
      <c r="R279" s="24">
        <f t="shared" si="21"/>
        <v>900</v>
      </c>
      <c r="S279" s="5"/>
      <c r="T279" s="5"/>
    </row>
    <row r="280" spans="1:20" ht="15.75" hidden="1" x14ac:dyDescent="0.25">
      <c r="A280" t="s">
        <v>6091</v>
      </c>
      <c r="B280" s="21" t="s">
        <v>395</v>
      </c>
      <c r="C280" s="22" t="s">
        <v>2427</v>
      </c>
      <c r="D280" s="22"/>
      <c r="E280" s="21" t="s">
        <v>0</v>
      </c>
      <c r="F280" s="21"/>
      <c r="G280" s="147" t="s">
        <v>385</v>
      </c>
      <c r="H280" s="23" t="s">
        <v>950</v>
      </c>
      <c r="I280" s="23"/>
      <c r="J280" s="21" t="s">
        <v>801</v>
      </c>
      <c r="K280" s="120"/>
      <c r="L280" s="21"/>
      <c r="M280" s="70" t="s">
        <v>802</v>
      </c>
      <c r="N280" s="44">
        <v>3800</v>
      </c>
      <c r="O280" s="22" t="s">
        <v>15</v>
      </c>
      <c r="P280" s="22" t="s">
        <v>19</v>
      </c>
      <c r="Q280" s="24">
        <f t="shared" si="22"/>
        <v>0</v>
      </c>
      <c r="R280" s="24">
        <f t="shared" si="21"/>
        <v>3800</v>
      </c>
      <c r="S280" s="5"/>
      <c r="T280" s="5"/>
    </row>
    <row r="281" spans="1:20" ht="15.75" hidden="1" x14ac:dyDescent="0.25">
      <c r="A281" t="s">
        <v>6091</v>
      </c>
      <c r="B281" s="21" t="s">
        <v>395</v>
      </c>
      <c r="C281" s="22" t="s">
        <v>2427</v>
      </c>
      <c r="D281" s="22"/>
      <c r="E281" s="21" t="s">
        <v>0</v>
      </c>
      <c r="F281" s="21"/>
      <c r="G281" s="147" t="s">
        <v>784</v>
      </c>
      <c r="H281" s="23" t="s">
        <v>814</v>
      </c>
      <c r="I281" s="23"/>
      <c r="J281" s="21" t="s">
        <v>815</v>
      </c>
      <c r="K281" s="120"/>
      <c r="L281" s="21" t="s">
        <v>2137</v>
      </c>
      <c r="M281" s="166">
        <v>43398</v>
      </c>
      <c r="N281" s="44">
        <v>5000</v>
      </c>
      <c r="O281" s="22" t="s">
        <v>15</v>
      </c>
      <c r="P281" s="22" t="s">
        <v>19</v>
      </c>
      <c r="Q281" s="24">
        <f t="shared" si="22"/>
        <v>0</v>
      </c>
      <c r="R281" s="24">
        <f t="shared" si="21"/>
        <v>5000</v>
      </c>
      <c r="S281" s="5" t="s">
        <v>953</v>
      </c>
      <c r="T281" s="5"/>
    </row>
    <row r="282" spans="1:20" ht="15.75" hidden="1" x14ac:dyDescent="0.25">
      <c r="A282" t="s">
        <v>6091</v>
      </c>
      <c r="B282" s="21" t="s">
        <v>395</v>
      </c>
      <c r="C282" s="22" t="s">
        <v>2427</v>
      </c>
      <c r="D282" s="22"/>
      <c r="E282" s="21" t="s">
        <v>0</v>
      </c>
      <c r="F282" s="21"/>
      <c r="G282" s="147" t="s">
        <v>784</v>
      </c>
      <c r="H282" s="23" t="s">
        <v>819</v>
      </c>
      <c r="I282" s="23"/>
      <c r="J282" s="21" t="s">
        <v>816</v>
      </c>
      <c r="K282" s="120"/>
      <c r="L282" s="21" t="s">
        <v>2138</v>
      </c>
      <c r="M282" s="70" t="s">
        <v>2125</v>
      </c>
      <c r="N282" s="44">
        <v>6500</v>
      </c>
      <c r="O282" s="22" t="s">
        <v>15</v>
      </c>
      <c r="P282" s="22" t="s">
        <v>19</v>
      </c>
      <c r="Q282" s="24">
        <f t="shared" si="22"/>
        <v>0</v>
      </c>
      <c r="R282" s="24">
        <f t="shared" si="21"/>
        <v>6500</v>
      </c>
      <c r="S282" s="5"/>
      <c r="T282" s="5"/>
    </row>
    <row r="283" spans="1:20" ht="15.75" hidden="1" x14ac:dyDescent="0.25">
      <c r="A283" t="s">
        <v>6091</v>
      </c>
      <c r="B283" s="21" t="s">
        <v>395</v>
      </c>
      <c r="C283" s="22" t="s">
        <v>2427</v>
      </c>
      <c r="D283" s="22"/>
      <c r="E283" s="21" t="s">
        <v>0</v>
      </c>
      <c r="F283" s="21"/>
      <c r="G283" s="147" t="s">
        <v>784</v>
      </c>
      <c r="H283" s="23" t="s">
        <v>820</v>
      </c>
      <c r="I283" s="23"/>
      <c r="J283" s="21" t="s">
        <v>821</v>
      </c>
      <c r="K283" s="120"/>
      <c r="L283" s="21" t="s">
        <v>2139</v>
      </c>
      <c r="M283" s="70" t="s">
        <v>2125</v>
      </c>
      <c r="N283" s="44">
        <v>3203.26</v>
      </c>
      <c r="O283" s="22" t="s">
        <v>15</v>
      </c>
      <c r="P283" s="22" t="s">
        <v>19</v>
      </c>
      <c r="Q283" s="24">
        <f t="shared" si="22"/>
        <v>0</v>
      </c>
      <c r="R283" s="24">
        <f t="shared" si="21"/>
        <v>3203.26</v>
      </c>
      <c r="S283" s="5"/>
      <c r="T283" s="5"/>
    </row>
    <row r="284" spans="1:20" ht="15.75" hidden="1" x14ac:dyDescent="0.25">
      <c r="A284" t="s">
        <v>6091</v>
      </c>
      <c r="B284" s="21" t="s">
        <v>395</v>
      </c>
      <c r="C284" s="22" t="s">
        <v>2427</v>
      </c>
      <c r="D284" s="22"/>
      <c r="E284" s="21" t="s">
        <v>0</v>
      </c>
      <c r="F284" s="21"/>
      <c r="G284" s="147" t="s">
        <v>784</v>
      </c>
      <c r="H284" s="23" t="s">
        <v>941</v>
      </c>
      <c r="I284" s="23"/>
      <c r="J284" s="21" t="s">
        <v>823</v>
      </c>
      <c r="K284" s="120"/>
      <c r="L284" s="21" t="s">
        <v>2140</v>
      </c>
      <c r="M284" s="70" t="s">
        <v>2125</v>
      </c>
      <c r="N284" s="44">
        <f>P284</f>
        <v>9539.2900000000009</v>
      </c>
      <c r="O284" s="22" t="s">
        <v>15</v>
      </c>
      <c r="P284" s="22">
        <v>9539.2900000000009</v>
      </c>
      <c r="Q284" s="24">
        <f t="shared" si="22"/>
        <v>0</v>
      </c>
      <c r="R284" s="24">
        <f t="shared" si="21"/>
        <v>9539.2900000000009</v>
      </c>
      <c r="S284" s="5"/>
      <c r="T284" s="5"/>
    </row>
    <row r="285" spans="1:20" ht="15.75" hidden="1" x14ac:dyDescent="0.25">
      <c r="A285" t="s">
        <v>6091</v>
      </c>
      <c r="B285" s="21" t="s">
        <v>395</v>
      </c>
      <c r="C285" s="22" t="s">
        <v>2427</v>
      </c>
      <c r="D285" s="22"/>
      <c r="E285" s="21" t="s">
        <v>0</v>
      </c>
      <c r="F285" s="21"/>
      <c r="G285" s="147" t="s">
        <v>784</v>
      </c>
      <c r="H285" s="23" t="s">
        <v>822</v>
      </c>
      <c r="I285" s="23"/>
      <c r="J285" s="21" t="s">
        <v>824</v>
      </c>
      <c r="K285" s="120"/>
      <c r="L285" s="21"/>
      <c r="M285" s="70"/>
      <c r="N285" s="44">
        <v>6623.18</v>
      </c>
      <c r="O285" s="22" t="s">
        <v>15</v>
      </c>
      <c r="P285" s="22" t="s">
        <v>19</v>
      </c>
      <c r="Q285" s="24">
        <f t="shared" si="22"/>
        <v>0</v>
      </c>
      <c r="R285" s="24">
        <v>0</v>
      </c>
      <c r="S285" s="5" t="s">
        <v>3478</v>
      </c>
      <c r="T285" s="5"/>
    </row>
    <row r="286" spans="1:20" ht="15.75" hidden="1" x14ac:dyDescent="0.25">
      <c r="A286" t="s">
        <v>6091</v>
      </c>
      <c r="B286" s="21" t="s">
        <v>395</v>
      </c>
      <c r="C286" s="22" t="s">
        <v>2453</v>
      </c>
      <c r="D286" s="22"/>
      <c r="E286" s="21" t="s">
        <v>75</v>
      </c>
      <c r="F286" s="21"/>
      <c r="G286" s="147" t="s">
        <v>239</v>
      </c>
      <c r="H286" s="23" t="s">
        <v>834</v>
      </c>
      <c r="I286" s="23"/>
      <c r="J286" s="21" t="s">
        <v>712</v>
      </c>
      <c r="K286" s="120"/>
      <c r="L286" s="21"/>
      <c r="M286" s="70" t="s">
        <v>925</v>
      </c>
      <c r="N286" s="44">
        <f>0.5*20800</f>
        <v>10400</v>
      </c>
      <c r="O286" s="22" t="s">
        <v>15</v>
      </c>
      <c r="P286" s="22" t="s">
        <v>19</v>
      </c>
      <c r="Q286" s="24">
        <f t="shared" si="22"/>
        <v>0</v>
      </c>
      <c r="R286" s="24">
        <f t="shared" ref="R286:R349" si="23">IF(P286="OK",N286-Q286,IF(P286="en cours",N286-Q286,P286))</f>
        <v>10400</v>
      </c>
      <c r="S286" s="5"/>
      <c r="T286" s="5"/>
    </row>
    <row r="287" spans="1:20" ht="15.75" hidden="1" x14ac:dyDescent="0.25">
      <c r="A287" t="s">
        <v>6091</v>
      </c>
      <c r="B287" s="21" t="s">
        <v>395</v>
      </c>
      <c r="C287" s="22" t="s">
        <v>2453</v>
      </c>
      <c r="D287" s="22"/>
      <c r="E287" s="21" t="s">
        <v>75</v>
      </c>
      <c r="F287" s="21"/>
      <c r="G287" s="147" t="s">
        <v>239</v>
      </c>
      <c r="H287" s="23" t="s">
        <v>834</v>
      </c>
      <c r="I287" s="23"/>
      <c r="J287" s="21" t="s">
        <v>348</v>
      </c>
      <c r="K287" s="120"/>
      <c r="L287" s="21"/>
      <c r="M287" s="70" t="s">
        <v>924</v>
      </c>
      <c r="N287" s="44">
        <f>0.5*20800</f>
        <v>10400</v>
      </c>
      <c r="O287" s="22" t="s">
        <v>15</v>
      </c>
      <c r="P287" s="22" t="s">
        <v>19</v>
      </c>
      <c r="Q287" s="24">
        <f t="shared" si="22"/>
        <v>0</v>
      </c>
      <c r="R287" s="24">
        <f t="shared" si="23"/>
        <v>10400</v>
      </c>
      <c r="S287" s="5"/>
      <c r="T287" s="5"/>
    </row>
    <row r="288" spans="1:20" ht="15.75" hidden="1" x14ac:dyDescent="0.25">
      <c r="A288" t="s">
        <v>6091</v>
      </c>
      <c r="B288" s="21" t="s">
        <v>395</v>
      </c>
      <c r="C288" s="22" t="s">
        <v>2427</v>
      </c>
      <c r="D288" s="22"/>
      <c r="E288" s="21" t="s">
        <v>0</v>
      </c>
      <c r="F288" s="21"/>
      <c r="G288" s="147" t="s">
        <v>784</v>
      </c>
      <c r="H288" s="23" t="s">
        <v>855</v>
      </c>
      <c r="I288" s="23"/>
      <c r="J288" s="21" t="s">
        <v>854</v>
      </c>
      <c r="K288" s="120"/>
      <c r="L288" s="21"/>
      <c r="M288" s="70"/>
      <c r="N288" s="44">
        <v>1340.6</v>
      </c>
      <c r="O288" s="22" t="s">
        <v>15</v>
      </c>
      <c r="P288" s="22" t="s">
        <v>19</v>
      </c>
      <c r="Q288" s="24">
        <f t="shared" si="22"/>
        <v>0</v>
      </c>
      <c r="R288" s="24">
        <f t="shared" si="23"/>
        <v>1340.6</v>
      </c>
      <c r="S288" s="5"/>
      <c r="T288" s="5"/>
    </row>
    <row r="289" spans="1:20" ht="15.75" hidden="1" x14ac:dyDescent="0.25">
      <c r="A289" t="s">
        <v>6091</v>
      </c>
      <c r="B289" s="32" t="s">
        <v>395</v>
      </c>
      <c r="C289" s="33" t="s">
        <v>2450</v>
      </c>
      <c r="D289" s="33"/>
      <c r="E289" s="32" t="s">
        <v>10</v>
      </c>
      <c r="F289" s="32"/>
      <c r="G289" s="155" t="s">
        <v>659</v>
      </c>
      <c r="H289" s="34" t="s">
        <v>857</v>
      </c>
      <c r="I289" s="34"/>
      <c r="J289" s="32" t="s">
        <v>859</v>
      </c>
      <c r="K289" s="120"/>
      <c r="L289" s="32"/>
      <c r="M289" s="70" t="s">
        <v>863</v>
      </c>
      <c r="N289" s="44">
        <v>0</v>
      </c>
      <c r="O289" s="33" t="s">
        <v>15</v>
      </c>
      <c r="P289" s="22" t="s">
        <v>19</v>
      </c>
      <c r="Q289" s="36">
        <f t="shared" si="22"/>
        <v>0</v>
      </c>
      <c r="R289" s="36">
        <f t="shared" si="23"/>
        <v>0</v>
      </c>
      <c r="T289" s="5"/>
    </row>
    <row r="290" spans="1:20" ht="15.75" hidden="1" x14ac:dyDescent="0.25">
      <c r="A290" t="s">
        <v>6091</v>
      </c>
      <c r="B290" s="32" t="s">
        <v>395</v>
      </c>
      <c r="C290" s="33" t="s">
        <v>2450</v>
      </c>
      <c r="D290" s="33"/>
      <c r="E290" s="32" t="s">
        <v>10</v>
      </c>
      <c r="F290" s="32"/>
      <c r="G290" s="155" t="s">
        <v>659</v>
      </c>
      <c r="H290" s="34" t="s">
        <v>857</v>
      </c>
      <c r="I290" s="34"/>
      <c r="J290" s="32" t="s">
        <v>859</v>
      </c>
      <c r="K290" s="120"/>
      <c r="L290" s="32"/>
      <c r="M290" s="70" t="s">
        <v>863</v>
      </c>
      <c r="N290" s="44">
        <v>0</v>
      </c>
      <c r="O290" s="33" t="s">
        <v>15</v>
      </c>
      <c r="P290" s="22" t="s">
        <v>19</v>
      </c>
      <c r="Q290" s="36">
        <f t="shared" si="22"/>
        <v>0</v>
      </c>
      <c r="R290" s="36">
        <f t="shared" si="23"/>
        <v>0</v>
      </c>
      <c r="T290" s="5"/>
    </row>
    <row r="291" spans="1:20" ht="15.75" hidden="1" x14ac:dyDescent="0.25">
      <c r="A291" t="s">
        <v>6091</v>
      </c>
      <c r="B291" s="32" t="s">
        <v>395</v>
      </c>
      <c r="C291" s="33" t="s">
        <v>2450</v>
      </c>
      <c r="D291" s="33"/>
      <c r="E291" s="32" t="s">
        <v>10</v>
      </c>
      <c r="F291" s="32"/>
      <c r="G291" s="155" t="s">
        <v>659</v>
      </c>
      <c r="H291" s="34" t="s">
        <v>861</v>
      </c>
      <c r="I291" s="34"/>
      <c r="J291" s="32" t="s">
        <v>862</v>
      </c>
      <c r="K291" s="120"/>
      <c r="L291" s="32"/>
      <c r="M291" s="70" t="s">
        <v>976</v>
      </c>
      <c r="N291" s="44">
        <f>16425</f>
        <v>16425</v>
      </c>
      <c r="O291" s="33" t="s">
        <v>15</v>
      </c>
      <c r="P291" s="22">
        <f>12287.5+4137</f>
        <v>16424.5</v>
      </c>
      <c r="Q291" s="36">
        <v>0</v>
      </c>
      <c r="R291" s="36">
        <f t="shared" si="23"/>
        <v>16424.5</v>
      </c>
      <c r="T291" s="5"/>
    </row>
    <row r="292" spans="1:20" ht="15.75" hidden="1" x14ac:dyDescent="0.25">
      <c r="A292" t="s">
        <v>6091</v>
      </c>
      <c r="B292" s="21" t="s">
        <v>395</v>
      </c>
      <c r="C292" s="22" t="s">
        <v>2450</v>
      </c>
      <c r="D292" s="22"/>
      <c r="E292" s="21" t="s">
        <v>0</v>
      </c>
      <c r="F292" s="21"/>
      <c r="G292" s="147" t="s">
        <v>522</v>
      </c>
      <c r="H292" s="23" t="s">
        <v>864</v>
      </c>
      <c r="I292" s="23"/>
      <c r="J292" s="21" t="s">
        <v>865</v>
      </c>
      <c r="K292" s="120"/>
      <c r="L292" s="21"/>
      <c r="M292" s="70" t="s">
        <v>891</v>
      </c>
      <c r="N292" s="44">
        <f>0.4*144500</f>
        <v>57800</v>
      </c>
      <c r="O292" s="22" t="s">
        <v>15</v>
      </c>
      <c r="P292" s="22" t="s">
        <v>19</v>
      </c>
      <c r="Q292" s="24">
        <f t="shared" ref="Q292:Q300" si="24">IF(P292="en cours",N292,IF(P292="OK",0,IF(N292-P292&lt;0,0,N292-P292)))</f>
        <v>0</v>
      </c>
      <c r="R292" s="24">
        <f t="shared" si="23"/>
        <v>57800</v>
      </c>
      <c r="S292" s="5"/>
      <c r="T292" s="5"/>
    </row>
    <row r="293" spans="1:20" ht="15.75" hidden="1" x14ac:dyDescent="0.25">
      <c r="A293" t="s">
        <v>6091</v>
      </c>
      <c r="B293" s="21" t="s">
        <v>395</v>
      </c>
      <c r="C293" s="22" t="s">
        <v>2450</v>
      </c>
      <c r="D293" s="22"/>
      <c r="E293" s="21" t="s">
        <v>0</v>
      </c>
      <c r="F293" s="21"/>
      <c r="G293" s="147" t="s">
        <v>522</v>
      </c>
      <c r="H293" s="23" t="s">
        <v>864</v>
      </c>
      <c r="I293" s="23"/>
      <c r="J293" s="21" t="s">
        <v>866</v>
      </c>
      <c r="K293" s="120"/>
      <c r="L293" s="21"/>
      <c r="M293" s="70" t="s">
        <v>1163</v>
      </c>
      <c r="N293" s="44">
        <f>0.6*144500</f>
        <v>86700</v>
      </c>
      <c r="O293" s="22" t="s">
        <v>15</v>
      </c>
      <c r="P293" s="22" t="s">
        <v>19</v>
      </c>
      <c r="Q293" s="24">
        <f t="shared" si="24"/>
        <v>0</v>
      </c>
      <c r="R293" s="24">
        <f t="shared" si="23"/>
        <v>86700</v>
      </c>
      <c r="S293" s="5"/>
      <c r="T293" s="5"/>
    </row>
    <row r="294" spans="1:20" ht="15.75" hidden="1" x14ac:dyDescent="0.25">
      <c r="A294" t="s">
        <v>6091</v>
      </c>
      <c r="B294" s="21" t="s">
        <v>395</v>
      </c>
      <c r="C294" s="22" t="s">
        <v>2427</v>
      </c>
      <c r="D294" s="22"/>
      <c r="E294" s="21" t="s">
        <v>0</v>
      </c>
      <c r="F294" s="21"/>
      <c r="G294" s="147" t="s">
        <v>784</v>
      </c>
      <c r="H294" s="23" t="s">
        <v>951</v>
      </c>
      <c r="I294" s="23"/>
      <c r="J294" s="21" t="s">
        <v>786</v>
      </c>
      <c r="K294" s="21"/>
      <c r="L294" s="21" t="s">
        <v>2121</v>
      </c>
      <c r="M294" s="26" t="s">
        <v>2120</v>
      </c>
      <c r="N294" s="44">
        <v>9510.19</v>
      </c>
      <c r="O294" s="22" t="s">
        <v>15</v>
      </c>
      <c r="P294" s="22" t="s">
        <v>19</v>
      </c>
      <c r="Q294" s="24">
        <f t="shared" si="24"/>
        <v>0</v>
      </c>
      <c r="R294" s="24">
        <f t="shared" si="23"/>
        <v>9510.19</v>
      </c>
      <c r="S294" s="5" t="s">
        <v>953</v>
      </c>
      <c r="T294" s="5"/>
    </row>
    <row r="295" spans="1:20" ht="15.75" hidden="1" x14ac:dyDescent="0.25">
      <c r="A295" t="s">
        <v>6091</v>
      </c>
      <c r="B295" s="32" t="s">
        <v>395</v>
      </c>
      <c r="C295" s="22" t="s">
        <v>3980</v>
      </c>
      <c r="D295" s="33"/>
      <c r="E295" s="32" t="s">
        <v>10</v>
      </c>
      <c r="F295" s="32"/>
      <c r="G295" s="155" t="s">
        <v>487</v>
      </c>
      <c r="H295" s="34" t="s">
        <v>959</v>
      </c>
      <c r="I295" s="34"/>
      <c r="J295" s="32" t="s">
        <v>960</v>
      </c>
      <c r="K295" s="21"/>
      <c r="L295" s="32"/>
      <c r="M295" s="26" t="s">
        <v>977</v>
      </c>
      <c r="N295" s="93">
        <v>305</v>
      </c>
      <c r="O295" s="33" t="s">
        <v>15</v>
      </c>
      <c r="P295" s="22" t="s">
        <v>19</v>
      </c>
      <c r="Q295" s="36">
        <f t="shared" si="24"/>
        <v>0</v>
      </c>
      <c r="R295" s="37">
        <f t="shared" si="23"/>
        <v>305</v>
      </c>
      <c r="S295" s="5"/>
      <c r="T295" s="5"/>
    </row>
    <row r="296" spans="1:20" ht="15.75" hidden="1" x14ac:dyDescent="0.25">
      <c r="A296" t="s">
        <v>6091</v>
      </c>
      <c r="B296" s="21" t="s">
        <v>395</v>
      </c>
      <c r="C296" s="22" t="s">
        <v>2458</v>
      </c>
      <c r="D296" s="22"/>
      <c r="E296" s="21" t="s">
        <v>0</v>
      </c>
      <c r="F296" s="21"/>
      <c r="G296" s="147" t="s">
        <v>509</v>
      </c>
      <c r="H296" s="23" t="s">
        <v>978</v>
      </c>
      <c r="I296" s="23"/>
      <c r="J296" s="21" t="s">
        <v>979</v>
      </c>
      <c r="K296" s="21"/>
      <c r="L296" s="21"/>
      <c r="M296" s="26" t="s">
        <v>1406</v>
      </c>
      <c r="N296" s="44">
        <v>0</v>
      </c>
      <c r="O296" s="22" t="s">
        <v>15</v>
      </c>
      <c r="P296" s="44" t="s">
        <v>19</v>
      </c>
      <c r="Q296" s="24">
        <f t="shared" si="24"/>
        <v>0</v>
      </c>
      <c r="R296" s="24">
        <f t="shared" si="23"/>
        <v>0</v>
      </c>
      <c r="S296" s="5" t="s">
        <v>981</v>
      </c>
      <c r="T296" s="5"/>
    </row>
    <row r="297" spans="1:20" ht="15.75" hidden="1" x14ac:dyDescent="0.25">
      <c r="A297" t="s">
        <v>6091</v>
      </c>
      <c r="B297" s="21" t="s">
        <v>395</v>
      </c>
      <c r="C297" s="22" t="s">
        <v>2427</v>
      </c>
      <c r="D297" s="22"/>
      <c r="E297" s="21" t="s">
        <v>10</v>
      </c>
      <c r="F297" s="21"/>
      <c r="G297" s="147" t="s">
        <v>169</v>
      </c>
      <c r="H297" s="23" t="s">
        <v>1064</v>
      </c>
      <c r="I297" s="23"/>
      <c r="J297" s="21" t="s">
        <v>980</v>
      </c>
      <c r="K297" s="21"/>
      <c r="L297" s="21" t="s">
        <v>2271</v>
      </c>
      <c r="M297" s="26">
        <v>43426</v>
      </c>
      <c r="N297" s="44">
        <v>2400</v>
      </c>
      <c r="O297" s="22" t="s">
        <v>15</v>
      </c>
      <c r="P297" s="22" t="s">
        <v>19</v>
      </c>
      <c r="Q297" s="24">
        <f t="shared" si="24"/>
        <v>0</v>
      </c>
      <c r="R297" s="24">
        <f t="shared" si="23"/>
        <v>2400</v>
      </c>
      <c r="S297" s="5"/>
      <c r="T297" s="5"/>
    </row>
    <row r="298" spans="1:20" ht="15.75" hidden="1" x14ac:dyDescent="0.25">
      <c r="A298" t="s">
        <v>6091</v>
      </c>
      <c r="B298" s="21" t="s">
        <v>395</v>
      </c>
      <c r="C298" s="22" t="s">
        <v>2427</v>
      </c>
      <c r="D298" s="22"/>
      <c r="E298" s="21" t="s">
        <v>0</v>
      </c>
      <c r="F298" s="21"/>
      <c r="G298" s="147" t="s">
        <v>784</v>
      </c>
      <c r="H298" s="23" t="s">
        <v>1126</v>
      </c>
      <c r="I298" s="23"/>
      <c r="J298" s="21" t="s">
        <v>1127</v>
      </c>
      <c r="K298" s="21"/>
      <c r="L298" s="21" t="s">
        <v>2122</v>
      </c>
      <c r="M298" s="26">
        <v>43437</v>
      </c>
      <c r="N298" s="44">
        <f>10000+3000</f>
        <v>13000</v>
      </c>
      <c r="O298" s="22" t="s">
        <v>15</v>
      </c>
      <c r="P298" s="22">
        <v>13000</v>
      </c>
      <c r="Q298" s="24">
        <f t="shared" si="24"/>
        <v>0</v>
      </c>
      <c r="R298" s="24">
        <f t="shared" si="23"/>
        <v>13000</v>
      </c>
      <c r="S298" s="5"/>
      <c r="T298" s="5"/>
    </row>
    <row r="299" spans="1:20" ht="15.75" hidden="1" x14ac:dyDescent="0.25">
      <c r="A299" t="s">
        <v>6091</v>
      </c>
      <c r="B299" s="21" t="s">
        <v>395</v>
      </c>
      <c r="C299" s="22" t="s">
        <v>2427</v>
      </c>
      <c r="D299" s="22"/>
      <c r="E299" s="21" t="s">
        <v>0</v>
      </c>
      <c r="F299" s="21"/>
      <c r="G299" s="147" t="s">
        <v>784</v>
      </c>
      <c r="H299" s="23" t="s">
        <v>1126</v>
      </c>
      <c r="I299" s="23"/>
      <c r="J299" s="21" t="s">
        <v>1128</v>
      </c>
      <c r="K299" s="21"/>
      <c r="L299" s="21" t="s">
        <v>2123</v>
      </c>
      <c r="M299" s="26">
        <v>43469</v>
      </c>
      <c r="N299" s="44">
        <f>11000+4000</f>
        <v>15000</v>
      </c>
      <c r="O299" s="22" t="s">
        <v>15</v>
      </c>
      <c r="P299" s="22">
        <v>15000</v>
      </c>
      <c r="Q299" s="24">
        <f t="shared" si="24"/>
        <v>0</v>
      </c>
      <c r="R299" s="24">
        <f t="shared" si="23"/>
        <v>15000</v>
      </c>
      <c r="S299" s="5"/>
      <c r="T299" s="5"/>
    </row>
    <row r="300" spans="1:20" ht="15.75" hidden="1" x14ac:dyDescent="0.25">
      <c r="A300" t="s">
        <v>6091</v>
      </c>
      <c r="B300" s="21" t="s">
        <v>395</v>
      </c>
      <c r="C300" s="22" t="s">
        <v>2427</v>
      </c>
      <c r="D300" s="22"/>
      <c r="E300" s="21" t="s">
        <v>0</v>
      </c>
      <c r="F300" s="21"/>
      <c r="G300" s="147" t="s">
        <v>784</v>
      </c>
      <c r="H300" s="23" t="s">
        <v>1124</v>
      </c>
      <c r="I300" s="23"/>
      <c r="J300" s="21" t="s">
        <v>1125</v>
      </c>
      <c r="K300" s="21"/>
      <c r="L300" s="21" t="s">
        <v>2124</v>
      </c>
      <c r="M300" s="26">
        <v>43469</v>
      </c>
      <c r="N300" s="44">
        <v>6000</v>
      </c>
      <c r="O300" s="22" t="s">
        <v>15</v>
      </c>
      <c r="P300" s="22" t="s">
        <v>19</v>
      </c>
      <c r="Q300" s="24">
        <f t="shared" si="24"/>
        <v>0</v>
      </c>
      <c r="R300" s="24">
        <f t="shared" si="23"/>
        <v>6000</v>
      </c>
      <c r="S300" s="5"/>
      <c r="T300" s="5"/>
    </row>
    <row r="301" spans="1:20" ht="15.75" hidden="1" x14ac:dyDescent="0.25">
      <c r="A301" t="s">
        <v>6091</v>
      </c>
      <c r="B301" s="32" t="s">
        <v>395</v>
      </c>
      <c r="C301" s="22" t="s">
        <v>3980</v>
      </c>
      <c r="D301" s="33"/>
      <c r="E301" s="32" t="s">
        <v>10</v>
      </c>
      <c r="F301" s="32"/>
      <c r="G301" s="155" t="s">
        <v>487</v>
      </c>
      <c r="H301" s="34" t="s">
        <v>1066</v>
      </c>
      <c r="I301" s="34"/>
      <c r="J301" s="32" t="s">
        <v>1065</v>
      </c>
      <c r="K301" s="21"/>
      <c r="L301" s="32"/>
      <c r="M301" s="26" t="s">
        <v>1797</v>
      </c>
      <c r="N301" s="93">
        <v>9630</v>
      </c>
      <c r="O301" s="33" t="s">
        <v>15</v>
      </c>
      <c r="P301" s="22">
        <f>4419+4197+325+340</f>
        <v>9281</v>
      </c>
      <c r="Q301" s="36">
        <v>0</v>
      </c>
      <c r="R301" s="37">
        <f t="shared" si="23"/>
        <v>9281</v>
      </c>
      <c r="S301" s="5" t="s">
        <v>1726</v>
      </c>
      <c r="T301" s="5"/>
    </row>
    <row r="302" spans="1:20" ht="15.75" hidden="1" x14ac:dyDescent="0.25">
      <c r="A302" t="s">
        <v>6091</v>
      </c>
      <c r="B302" s="21" t="s">
        <v>395</v>
      </c>
      <c r="C302" s="22" t="s">
        <v>2427</v>
      </c>
      <c r="D302" s="22"/>
      <c r="E302" s="21" t="s">
        <v>0</v>
      </c>
      <c r="F302" s="21"/>
      <c r="G302" s="147" t="s">
        <v>784</v>
      </c>
      <c r="H302" s="23" t="s">
        <v>1081</v>
      </c>
      <c r="I302" s="23"/>
      <c r="J302" s="21" t="s">
        <v>1080</v>
      </c>
      <c r="K302" s="21"/>
      <c r="L302" s="21" t="s">
        <v>2126</v>
      </c>
      <c r="M302" s="26">
        <v>43424</v>
      </c>
      <c r="N302" s="44">
        <v>5000</v>
      </c>
      <c r="O302" s="22" t="s">
        <v>15</v>
      </c>
      <c r="P302" s="22" t="s">
        <v>19</v>
      </c>
      <c r="Q302" s="24">
        <f t="shared" ref="Q302:Q365" si="25">IF(P302="en cours",N302,IF(P302="OK",0,IF(N302-P302&lt;0,0,N302-P302)))</f>
        <v>0</v>
      </c>
      <c r="R302" s="24">
        <f t="shared" si="23"/>
        <v>5000</v>
      </c>
      <c r="S302" s="5"/>
      <c r="T302" s="5"/>
    </row>
    <row r="303" spans="1:20" ht="15.75" hidden="1" x14ac:dyDescent="0.25">
      <c r="A303" t="s">
        <v>6091</v>
      </c>
      <c r="B303" s="21" t="s">
        <v>395</v>
      </c>
      <c r="C303" s="22" t="s">
        <v>1091</v>
      </c>
      <c r="D303" s="22"/>
      <c r="E303" s="21" t="s">
        <v>10</v>
      </c>
      <c r="F303" s="21"/>
      <c r="G303" s="147" t="s">
        <v>1090</v>
      </c>
      <c r="H303" s="23" t="s">
        <v>1093</v>
      </c>
      <c r="I303" s="23"/>
      <c r="J303" s="21" t="s">
        <v>1092</v>
      </c>
      <c r="K303" s="21"/>
      <c r="L303" s="21"/>
      <c r="M303" s="26" t="s">
        <v>1162</v>
      </c>
      <c r="N303" s="44">
        <v>8145.2</v>
      </c>
      <c r="O303" s="22" t="s">
        <v>15</v>
      </c>
      <c r="P303" s="22">
        <f>7145.6+999.6</f>
        <v>8145.2000000000007</v>
      </c>
      <c r="Q303" s="24">
        <f t="shared" si="25"/>
        <v>0</v>
      </c>
      <c r="R303" s="24">
        <f t="shared" si="23"/>
        <v>8145.2000000000007</v>
      </c>
      <c r="S303" s="5"/>
      <c r="T303" s="5"/>
    </row>
    <row r="304" spans="1:20" ht="15.75" hidden="1" x14ac:dyDescent="0.25">
      <c r="A304" t="s">
        <v>6091</v>
      </c>
      <c r="B304" s="21" t="s">
        <v>395</v>
      </c>
      <c r="C304" s="22" t="s">
        <v>2453</v>
      </c>
      <c r="D304" s="22"/>
      <c r="E304" s="21" t="s">
        <v>75</v>
      </c>
      <c r="F304" s="21"/>
      <c r="G304" s="147" t="s">
        <v>239</v>
      </c>
      <c r="H304" s="23" t="s">
        <v>1116</v>
      </c>
      <c r="I304" s="23"/>
      <c r="J304" s="21" t="s">
        <v>1117</v>
      </c>
      <c r="K304" s="21"/>
      <c r="L304" s="21"/>
      <c r="M304" s="23" t="s">
        <v>1658</v>
      </c>
      <c r="N304" s="44">
        <v>0</v>
      </c>
      <c r="O304" s="22" t="s">
        <v>15</v>
      </c>
      <c r="P304" s="22" t="s">
        <v>19</v>
      </c>
      <c r="Q304" s="24">
        <f t="shared" si="25"/>
        <v>0</v>
      </c>
      <c r="R304" s="116">
        <f t="shared" si="23"/>
        <v>0</v>
      </c>
      <c r="S304" s="5"/>
      <c r="T304" s="5"/>
    </row>
    <row r="305" spans="1:20" ht="15.75" hidden="1" x14ac:dyDescent="0.25">
      <c r="A305" t="s">
        <v>6091</v>
      </c>
      <c r="B305" s="21" t="s">
        <v>395</v>
      </c>
      <c r="C305" s="22" t="s">
        <v>2453</v>
      </c>
      <c r="D305" s="22"/>
      <c r="E305" s="21" t="s">
        <v>75</v>
      </c>
      <c r="F305" s="21"/>
      <c r="G305" s="147" t="s">
        <v>239</v>
      </c>
      <c r="H305" s="23" t="s">
        <v>1116</v>
      </c>
      <c r="I305" s="23"/>
      <c r="J305" s="21" t="s">
        <v>1118</v>
      </c>
      <c r="K305" s="21"/>
      <c r="L305" s="21"/>
      <c r="M305" s="23" t="s">
        <v>1658</v>
      </c>
      <c r="N305" s="44">
        <v>0</v>
      </c>
      <c r="O305" s="22" t="s">
        <v>15</v>
      </c>
      <c r="P305" s="22" t="s">
        <v>19</v>
      </c>
      <c r="Q305" s="24">
        <f t="shared" si="25"/>
        <v>0</v>
      </c>
      <c r="R305" s="116">
        <f t="shared" si="23"/>
        <v>0</v>
      </c>
      <c r="S305" s="5"/>
      <c r="T305" s="5"/>
    </row>
    <row r="306" spans="1:20" ht="15.75" hidden="1" x14ac:dyDescent="0.25">
      <c r="A306" t="s">
        <v>6091</v>
      </c>
      <c r="B306" s="21" t="s">
        <v>395</v>
      </c>
      <c r="C306" s="22" t="s">
        <v>1091</v>
      </c>
      <c r="D306" s="22"/>
      <c r="E306" s="21" t="s">
        <v>10</v>
      </c>
      <c r="F306" s="21"/>
      <c r="G306" s="147" t="s">
        <v>1090</v>
      </c>
      <c r="H306" s="23" t="s">
        <v>1123</v>
      </c>
      <c r="I306" s="23"/>
      <c r="J306" s="21" t="s">
        <v>1092</v>
      </c>
      <c r="K306" s="21"/>
      <c r="L306" s="21"/>
      <c r="M306" s="26" t="s">
        <v>1168</v>
      </c>
      <c r="N306" s="44">
        <v>9900</v>
      </c>
      <c r="O306" s="22" t="s">
        <v>15</v>
      </c>
      <c r="P306" s="22" t="s">
        <v>19</v>
      </c>
      <c r="Q306" s="24">
        <f t="shared" si="25"/>
        <v>0</v>
      </c>
      <c r="R306" s="24">
        <f t="shared" si="23"/>
        <v>9900</v>
      </c>
      <c r="S306" s="5"/>
      <c r="T306" s="5"/>
    </row>
    <row r="307" spans="1:20" ht="15.75" hidden="1" x14ac:dyDescent="0.25">
      <c r="A307" t="s">
        <v>6091</v>
      </c>
      <c r="B307" s="32" t="s">
        <v>395</v>
      </c>
      <c r="C307" s="33" t="s">
        <v>2450</v>
      </c>
      <c r="D307" s="33"/>
      <c r="E307" s="32" t="s">
        <v>10</v>
      </c>
      <c r="F307" s="32"/>
      <c r="G307" s="155" t="s">
        <v>1175</v>
      </c>
      <c r="H307" s="34" t="s">
        <v>1176</v>
      </c>
      <c r="I307" s="34"/>
      <c r="J307" s="32" t="s">
        <v>1177</v>
      </c>
      <c r="K307" s="21"/>
      <c r="L307" s="32"/>
      <c r="M307" s="34" t="s">
        <v>1283</v>
      </c>
      <c r="N307" s="93">
        <f>0.5*83475</f>
        <v>41737.5</v>
      </c>
      <c r="O307" s="33" t="s">
        <v>276</v>
      </c>
      <c r="P307" s="22" t="s">
        <v>19</v>
      </c>
      <c r="Q307" s="36">
        <f t="shared" si="25"/>
        <v>0</v>
      </c>
      <c r="R307" s="36">
        <f t="shared" si="23"/>
        <v>41737.5</v>
      </c>
      <c r="S307" s="5"/>
      <c r="T307" s="5"/>
    </row>
    <row r="308" spans="1:20" ht="15.75" hidden="1" x14ac:dyDescent="0.25">
      <c r="A308" t="s">
        <v>6091</v>
      </c>
      <c r="B308" s="32" t="s">
        <v>395</v>
      </c>
      <c r="C308" s="33" t="s">
        <v>2450</v>
      </c>
      <c r="D308" s="33"/>
      <c r="E308" s="32" t="s">
        <v>10</v>
      </c>
      <c r="F308" s="32"/>
      <c r="G308" s="155" t="s">
        <v>1175</v>
      </c>
      <c r="H308" s="34" t="s">
        <v>1176</v>
      </c>
      <c r="I308" s="34"/>
      <c r="J308" s="32" t="s">
        <v>1184</v>
      </c>
      <c r="K308" s="21"/>
      <c r="L308" s="32" t="s">
        <v>1925</v>
      </c>
      <c r="M308" s="35">
        <v>43647</v>
      </c>
      <c r="N308" s="93">
        <f>0.5*83475</f>
        <v>41737.5</v>
      </c>
      <c r="O308" s="33" t="s">
        <v>276</v>
      </c>
      <c r="P308" s="22" t="s">
        <v>19</v>
      </c>
      <c r="Q308" s="36">
        <f t="shared" si="25"/>
        <v>0</v>
      </c>
      <c r="R308" s="36">
        <f t="shared" si="23"/>
        <v>41737.5</v>
      </c>
      <c r="S308" s="5" t="s">
        <v>1770</v>
      </c>
      <c r="T308" s="5"/>
    </row>
    <row r="309" spans="1:20" ht="15.75" hidden="1" x14ac:dyDescent="0.25">
      <c r="A309" t="s">
        <v>6091</v>
      </c>
      <c r="B309" s="32" t="s">
        <v>395</v>
      </c>
      <c r="C309" s="33" t="s">
        <v>2450</v>
      </c>
      <c r="D309" s="33"/>
      <c r="E309" s="32" t="s">
        <v>10</v>
      </c>
      <c r="F309" s="32"/>
      <c r="G309" s="155" t="s">
        <v>1175</v>
      </c>
      <c r="H309" s="34" t="s">
        <v>1176</v>
      </c>
      <c r="I309" s="34"/>
      <c r="J309" s="32" t="s">
        <v>1178</v>
      </c>
      <c r="K309" s="21"/>
      <c r="L309" s="32"/>
      <c r="M309" s="34" t="s">
        <v>1283</v>
      </c>
      <c r="N309" s="93">
        <f>0.5*26850</f>
        <v>13425</v>
      </c>
      <c r="O309" s="33" t="s">
        <v>276</v>
      </c>
      <c r="P309" s="22" t="s">
        <v>19</v>
      </c>
      <c r="Q309" s="36">
        <f t="shared" si="25"/>
        <v>0</v>
      </c>
      <c r="R309" s="36">
        <f t="shared" si="23"/>
        <v>13425</v>
      </c>
      <c r="S309" s="5"/>
      <c r="T309" s="5"/>
    </row>
    <row r="310" spans="1:20" ht="15.75" hidden="1" x14ac:dyDescent="0.25">
      <c r="A310" t="s">
        <v>6091</v>
      </c>
      <c r="B310" s="32" t="s">
        <v>395</v>
      </c>
      <c r="C310" s="33" t="s">
        <v>2450</v>
      </c>
      <c r="D310" s="33"/>
      <c r="E310" s="32" t="s">
        <v>10</v>
      </c>
      <c r="F310" s="32"/>
      <c r="G310" s="155" t="s">
        <v>1175</v>
      </c>
      <c r="H310" s="34" t="s">
        <v>1176</v>
      </c>
      <c r="I310" s="34"/>
      <c r="J310" s="32" t="s">
        <v>1183</v>
      </c>
      <c r="K310" s="21"/>
      <c r="L310" s="32" t="s">
        <v>1925</v>
      </c>
      <c r="M310" s="35">
        <v>43647</v>
      </c>
      <c r="N310" s="93">
        <f>0.5*26850</f>
        <v>13425</v>
      </c>
      <c r="O310" s="33" t="s">
        <v>276</v>
      </c>
      <c r="P310" s="22" t="s">
        <v>19</v>
      </c>
      <c r="Q310" s="36">
        <f t="shared" si="25"/>
        <v>0</v>
      </c>
      <c r="R310" s="36">
        <f t="shared" si="23"/>
        <v>13425</v>
      </c>
      <c r="S310" s="5" t="s">
        <v>1770</v>
      </c>
      <c r="T310" s="5"/>
    </row>
    <row r="311" spans="1:20" ht="15.75" hidden="1" x14ac:dyDescent="0.25">
      <c r="A311" t="s">
        <v>6091</v>
      </c>
      <c r="B311" s="32" t="s">
        <v>395</v>
      </c>
      <c r="C311" s="33" t="s">
        <v>2450</v>
      </c>
      <c r="D311" s="33"/>
      <c r="E311" s="32" t="s">
        <v>10</v>
      </c>
      <c r="F311" s="32"/>
      <c r="G311" s="155" t="s">
        <v>1175</v>
      </c>
      <c r="H311" s="34" t="s">
        <v>1176</v>
      </c>
      <c r="I311" s="34"/>
      <c r="J311" s="32" t="s">
        <v>1179</v>
      </c>
      <c r="K311" s="21"/>
      <c r="L311" s="32"/>
      <c r="M311" s="34" t="s">
        <v>1283</v>
      </c>
      <c r="N311" s="93">
        <f>0.3*169629</f>
        <v>50888.7</v>
      </c>
      <c r="O311" s="33" t="s">
        <v>276</v>
      </c>
      <c r="P311" s="22" t="s">
        <v>19</v>
      </c>
      <c r="Q311" s="36">
        <f t="shared" si="25"/>
        <v>0</v>
      </c>
      <c r="R311" s="36">
        <f t="shared" si="23"/>
        <v>50888.7</v>
      </c>
      <c r="S311" s="5"/>
      <c r="T311" s="5"/>
    </row>
    <row r="312" spans="1:20" ht="15.75" hidden="1" x14ac:dyDescent="0.25">
      <c r="A312" t="s">
        <v>6091</v>
      </c>
      <c r="B312" s="32" t="s">
        <v>395</v>
      </c>
      <c r="C312" s="33" t="s">
        <v>2450</v>
      </c>
      <c r="D312" s="33"/>
      <c r="E312" s="32" t="s">
        <v>10</v>
      </c>
      <c r="F312" s="32"/>
      <c r="G312" s="155" t="s">
        <v>1175</v>
      </c>
      <c r="H312" s="34" t="s">
        <v>1176</v>
      </c>
      <c r="I312" s="34"/>
      <c r="J312" s="32" t="s">
        <v>1180</v>
      </c>
      <c r="K312" s="21"/>
      <c r="L312" s="32" t="s">
        <v>1925</v>
      </c>
      <c r="M312" s="35">
        <v>43647</v>
      </c>
      <c r="N312" s="93">
        <f>0.3*169629</f>
        <v>50888.7</v>
      </c>
      <c r="O312" s="33" t="s">
        <v>276</v>
      </c>
      <c r="P312" s="22" t="s">
        <v>19</v>
      </c>
      <c r="Q312" s="36">
        <f t="shared" si="25"/>
        <v>0</v>
      </c>
      <c r="R312" s="36">
        <f t="shared" si="23"/>
        <v>50888.7</v>
      </c>
      <c r="S312" s="5" t="s">
        <v>1770</v>
      </c>
      <c r="T312" s="5"/>
    </row>
    <row r="313" spans="1:20" ht="15.75" hidden="1" x14ac:dyDescent="0.25">
      <c r="A313" t="s">
        <v>6091</v>
      </c>
      <c r="B313" s="32" t="s">
        <v>395</v>
      </c>
      <c r="C313" s="33" t="s">
        <v>2450</v>
      </c>
      <c r="D313" s="33"/>
      <c r="E313" s="32" t="s">
        <v>10</v>
      </c>
      <c r="F313" s="32"/>
      <c r="G313" s="155" t="s">
        <v>1175</v>
      </c>
      <c r="H313" s="34" t="s">
        <v>1176</v>
      </c>
      <c r="I313" s="34"/>
      <c r="J313" s="32" t="s">
        <v>1181</v>
      </c>
      <c r="K313" s="21"/>
      <c r="L313" s="32"/>
      <c r="M313" s="34" t="s">
        <v>1820</v>
      </c>
      <c r="N313" s="93">
        <f>0.3*169629</f>
        <v>50888.7</v>
      </c>
      <c r="O313" s="33" t="s">
        <v>276</v>
      </c>
      <c r="P313" s="22" t="s">
        <v>19</v>
      </c>
      <c r="Q313" s="36">
        <f t="shared" si="25"/>
        <v>0</v>
      </c>
      <c r="R313" s="36">
        <f t="shared" si="23"/>
        <v>50888.7</v>
      </c>
      <c r="S313" s="5"/>
      <c r="T313" s="5"/>
    </row>
    <row r="314" spans="1:20" ht="15.75" hidden="1" x14ac:dyDescent="0.25">
      <c r="A314" t="s">
        <v>6091</v>
      </c>
      <c r="B314" s="32" t="s">
        <v>395</v>
      </c>
      <c r="C314" s="33" t="s">
        <v>2450</v>
      </c>
      <c r="D314" s="33"/>
      <c r="E314" s="32" t="s">
        <v>10</v>
      </c>
      <c r="F314" s="32"/>
      <c r="G314" s="155" t="s">
        <v>1175</v>
      </c>
      <c r="H314" s="34" t="s">
        <v>1176</v>
      </c>
      <c r="I314" s="34"/>
      <c r="J314" s="32" t="s">
        <v>1182</v>
      </c>
      <c r="K314" s="21"/>
      <c r="L314" s="32" t="s">
        <v>2308</v>
      </c>
      <c r="M314" s="35">
        <v>43693</v>
      </c>
      <c r="N314" s="93">
        <f>0.1*169629</f>
        <v>16962.900000000001</v>
      </c>
      <c r="O314" s="33" t="s">
        <v>276</v>
      </c>
      <c r="P314" s="22" t="s">
        <v>19</v>
      </c>
      <c r="Q314" s="36">
        <f t="shared" si="25"/>
        <v>0</v>
      </c>
      <c r="R314" s="36">
        <f t="shared" si="23"/>
        <v>16962.900000000001</v>
      </c>
      <c r="S314" s="5"/>
      <c r="T314" s="5"/>
    </row>
    <row r="315" spans="1:20" ht="15.75" hidden="1" x14ac:dyDescent="0.25">
      <c r="A315" t="s">
        <v>6091</v>
      </c>
      <c r="B315" s="21" t="s">
        <v>395</v>
      </c>
      <c r="C315" s="22" t="s">
        <v>2450</v>
      </c>
      <c r="D315" s="22"/>
      <c r="E315" s="21" t="s">
        <v>10</v>
      </c>
      <c r="F315" s="21"/>
      <c r="G315" s="147" t="s">
        <v>70</v>
      </c>
      <c r="H315" s="23" t="s">
        <v>1249</v>
      </c>
      <c r="I315" s="23"/>
      <c r="J315" s="27" t="s">
        <v>1193</v>
      </c>
      <c r="K315" s="21"/>
      <c r="L315" s="27"/>
      <c r="M315" s="26" t="s">
        <v>1248</v>
      </c>
      <c r="N315" s="44">
        <v>1900</v>
      </c>
      <c r="O315" s="22" t="s">
        <v>15</v>
      </c>
      <c r="P315" s="22" t="s">
        <v>19</v>
      </c>
      <c r="Q315" s="24">
        <f t="shared" si="25"/>
        <v>0</v>
      </c>
      <c r="R315" s="24">
        <f t="shared" si="23"/>
        <v>1900</v>
      </c>
      <c r="S315" s="5"/>
      <c r="T315" s="5"/>
    </row>
    <row r="316" spans="1:20" ht="15.75" hidden="1" x14ac:dyDescent="0.25">
      <c r="A316" t="s">
        <v>6091</v>
      </c>
      <c r="B316" s="21" t="s">
        <v>395</v>
      </c>
      <c r="C316" s="22" t="s">
        <v>2427</v>
      </c>
      <c r="D316" s="22"/>
      <c r="E316" s="21" t="s">
        <v>0</v>
      </c>
      <c r="F316" s="21"/>
      <c r="G316" s="147" t="s">
        <v>1241</v>
      </c>
      <c r="H316" s="23" t="s">
        <v>1242</v>
      </c>
      <c r="I316" s="23"/>
      <c r="J316" s="21" t="s">
        <v>1243</v>
      </c>
      <c r="K316" s="21"/>
      <c r="L316" s="21" t="s">
        <v>2129</v>
      </c>
      <c r="M316" s="26" t="s">
        <v>2128</v>
      </c>
      <c r="N316" s="44">
        <v>200</v>
      </c>
      <c r="O316" s="22" t="s">
        <v>15</v>
      </c>
      <c r="P316" s="22" t="s">
        <v>19</v>
      </c>
      <c r="Q316" s="24">
        <f t="shared" si="25"/>
        <v>0</v>
      </c>
      <c r="R316" s="24">
        <f t="shared" si="23"/>
        <v>200</v>
      </c>
      <c r="S316" s="5"/>
      <c r="T316" s="5"/>
    </row>
    <row r="317" spans="1:20" ht="15.75" hidden="1" x14ac:dyDescent="0.25">
      <c r="A317" t="s">
        <v>6091</v>
      </c>
      <c r="B317" s="21" t="s">
        <v>395</v>
      </c>
      <c r="C317" s="22" t="s">
        <v>2427</v>
      </c>
      <c r="D317" s="22"/>
      <c r="E317" s="21" t="s">
        <v>0</v>
      </c>
      <c r="F317" s="21"/>
      <c r="G317" s="147" t="s">
        <v>1241</v>
      </c>
      <c r="H317" s="23" t="s">
        <v>1242</v>
      </c>
      <c r="I317" s="23"/>
      <c r="J317" s="21" t="s">
        <v>1244</v>
      </c>
      <c r="K317" s="21"/>
      <c r="L317" s="21" t="s">
        <v>2129</v>
      </c>
      <c r="M317" s="26" t="s">
        <v>2128</v>
      </c>
      <c r="N317" s="44">
        <v>0</v>
      </c>
      <c r="O317" s="22" t="s">
        <v>15</v>
      </c>
      <c r="P317" s="22" t="s">
        <v>19</v>
      </c>
      <c r="Q317" s="24">
        <f t="shared" si="25"/>
        <v>0</v>
      </c>
      <c r="R317" s="24">
        <f t="shared" si="23"/>
        <v>0</v>
      </c>
      <c r="S317" s="5"/>
      <c r="T317" s="5"/>
    </row>
    <row r="318" spans="1:20" ht="15.75" hidden="1" x14ac:dyDescent="0.25">
      <c r="A318" t="s">
        <v>6091</v>
      </c>
      <c r="B318" s="21" t="s">
        <v>395</v>
      </c>
      <c r="C318" s="22" t="s">
        <v>2427</v>
      </c>
      <c r="D318" s="22"/>
      <c r="E318" s="21" t="s">
        <v>0</v>
      </c>
      <c r="F318" s="21"/>
      <c r="G318" s="147" t="s">
        <v>1241</v>
      </c>
      <c r="H318" s="23" t="s">
        <v>1242</v>
      </c>
      <c r="I318" s="23"/>
      <c r="J318" s="21" t="s">
        <v>1245</v>
      </c>
      <c r="K318" s="21"/>
      <c r="L318" s="21" t="s">
        <v>2129</v>
      </c>
      <c r="M318" s="26" t="s">
        <v>2128</v>
      </c>
      <c r="N318" s="44">
        <v>17800</v>
      </c>
      <c r="O318" s="22" t="s">
        <v>15</v>
      </c>
      <c r="P318" s="22" t="s">
        <v>19</v>
      </c>
      <c r="Q318" s="24">
        <f t="shared" si="25"/>
        <v>0</v>
      </c>
      <c r="R318" s="24">
        <f t="shared" si="23"/>
        <v>17800</v>
      </c>
      <c r="S318" s="5"/>
      <c r="T318" s="5"/>
    </row>
    <row r="319" spans="1:20" ht="15.75" hidden="1" x14ac:dyDescent="0.25">
      <c r="A319" t="s">
        <v>6091</v>
      </c>
      <c r="B319" s="21" t="s">
        <v>395</v>
      </c>
      <c r="C319" s="22" t="s">
        <v>2453</v>
      </c>
      <c r="D319" s="22"/>
      <c r="E319" s="21" t="s">
        <v>75</v>
      </c>
      <c r="F319" s="21"/>
      <c r="G319" s="147" t="s">
        <v>239</v>
      </c>
      <c r="H319" s="23" t="s">
        <v>1612</v>
      </c>
      <c r="I319" s="23"/>
      <c r="J319" s="21" t="s">
        <v>1268</v>
      </c>
      <c r="K319" s="21"/>
      <c r="L319" s="21"/>
      <c r="M319" s="26" t="s">
        <v>1261</v>
      </c>
      <c r="N319" s="44">
        <f>19200*0.5</f>
        <v>9600</v>
      </c>
      <c r="O319" s="22" t="s">
        <v>15</v>
      </c>
      <c r="P319" s="22" t="s">
        <v>19</v>
      </c>
      <c r="Q319" s="24">
        <f t="shared" si="25"/>
        <v>0</v>
      </c>
      <c r="R319" s="24">
        <f t="shared" si="23"/>
        <v>9600</v>
      </c>
      <c r="S319" s="5"/>
      <c r="T319" s="5"/>
    </row>
    <row r="320" spans="1:20" ht="15.75" hidden="1" x14ac:dyDescent="0.25">
      <c r="A320" t="s">
        <v>6091</v>
      </c>
      <c r="B320" s="21" t="s">
        <v>395</v>
      </c>
      <c r="C320" s="22" t="s">
        <v>2453</v>
      </c>
      <c r="D320" s="22"/>
      <c r="E320" s="21" t="s">
        <v>75</v>
      </c>
      <c r="F320" s="21"/>
      <c r="G320" s="147" t="s">
        <v>239</v>
      </c>
      <c r="H320" s="23" t="s">
        <v>1612</v>
      </c>
      <c r="I320" s="23"/>
      <c r="J320" s="21" t="s">
        <v>1268</v>
      </c>
      <c r="K320" s="21"/>
      <c r="L320" s="21"/>
      <c r="M320" s="26" t="s">
        <v>1273</v>
      </c>
      <c r="N320" s="44">
        <f>19200*0.5</f>
        <v>9600</v>
      </c>
      <c r="O320" s="22" t="s">
        <v>15</v>
      </c>
      <c r="P320" s="22" t="s">
        <v>19</v>
      </c>
      <c r="Q320" s="24">
        <f t="shared" si="25"/>
        <v>0</v>
      </c>
      <c r="R320" s="24">
        <f t="shared" si="23"/>
        <v>9600</v>
      </c>
      <c r="S320" s="5"/>
      <c r="T320" s="5"/>
    </row>
    <row r="321" spans="1:20" ht="15.75" hidden="1" x14ac:dyDescent="0.25">
      <c r="A321" t="s">
        <v>6091</v>
      </c>
      <c r="B321" s="21" t="s">
        <v>395</v>
      </c>
      <c r="C321" s="22" t="s">
        <v>2453</v>
      </c>
      <c r="D321" s="22"/>
      <c r="E321" s="21" t="s">
        <v>75</v>
      </c>
      <c r="F321" s="21"/>
      <c r="G321" s="147" t="s">
        <v>155</v>
      </c>
      <c r="H321" s="23" t="s">
        <v>1308</v>
      </c>
      <c r="I321" s="23"/>
      <c r="J321" s="21" t="s">
        <v>1309</v>
      </c>
      <c r="K321" s="21"/>
      <c r="L321" s="21"/>
      <c r="M321" s="26" t="s">
        <v>1572</v>
      </c>
      <c r="N321" s="44">
        <v>1132</v>
      </c>
      <c r="O321" s="22" t="s">
        <v>15</v>
      </c>
      <c r="P321" s="22" t="s">
        <v>19</v>
      </c>
      <c r="Q321" s="24">
        <f t="shared" si="25"/>
        <v>0</v>
      </c>
      <c r="R321" s="24">
        <f t="shared" si="23"/>
        <v>1132</v>
      </c>
      <c r="S321" s="5"/>
      <c r="T321" s="5"/>
    </row>
    <row r="322" spans="1:20" ht="15.75" hidden="1" x14ac:dyDescent="0.25">
      <c r="A322" t="s">
        <v>6091</v>
      </c>
      <c r="B322" s="21" t="s">
        <v>395</v>
      </c>
      <c r="C322" s="22" t="s">
        <v>2453</v>
      </c>
      <c r="D322" s="22"/>
      <c r="E322" s="21" t="s">
        <v>75</v>
      </c>
      <c r="F322" s="21"/>
      <c r="G322" s="147" t="s">
        <v>155</v>
      </c>
      <c r="H322" s="23" t="s">
        <v>1308</v>
      </c>
      <c r="I322" s="23"/>
      <c r="J322" s="21" t="s">
        <v>1310</v>
      </c>
      <c r="K322" s="21"/>
      <c r="L322" s="21"/>
      <c r="M322" s="26" t="s">
        <v>1572</v>
      </c>
      <c r="N322" s="44">
        <v>1132</v>
      </c>
      <c r="O322" s="22" t="s">
        <v>15</v>
      </c>
      <c r="P322" s="22" t="s">
        <v>19</v>
      </c>
      <c r="Q322" s="24">
        <f t="shared" si="25"/>
        <v>0</v>
      </c>
      <c r="R322" s="24">
        <f t="shared" si="23"/>
        <v>1132</v>
      </c>
      <c r="S322" s="5"/>
      <c r="T322" s="5"/>
    </row>
    <row r="323" spans="1:20" ht="15.75" hidden="1" x14ac:dyDescent="0.25">
      <c r="A323" t="s">
        <v>6091</v>
      </c>
      <c r="B323" s="21" t="s">
        <v>395</v>
      </c>
      <c r="C323" s="22" t="s">
        <v>2453</v>
      </c>
      <c r="D323" s="22"/>
      <c r="E323" s="21" t="s">
        <v>75</v>
      </c>
      <c r="F323" s="21"/>
      <c r="G323" s="147" t="s">
        <v>155</v>
      </c>
      <c r="H323" s="23" t="s">
        <v>1308</v>
      </c>
      <c r="I323" s="23"/>
      <c r="J323" s="21" t="s">
        <v>1311</v>
      </c>
      <c r="K323" s="21"/>
      <c r="L323" s="21"/>
      <c r="M323" s="26" t="s">
        <v>1572</v>
      </c>
      <c r="N323" s="44">
        <v>2264</v>
      </c>
      <c r="O323" s="22" t="s">
        <v>15</v>
      </c>
      <c r="P323" s="22" t="s">
        <v>19</v>
      </c>
      <c r="Q323" s="24">
        <f t="shared" si="25"/>
        <v>0</v>
      </c>
      <c r="R323" s="24">
        <f t="shared" si="23"/>
        <v>2264</v>
      </c>
      <c r="S323" s="5"/>
      <c r="T323" s="5"/>
    </row>
    <row r="324" spans="1:20" ht="15.75" hidden="1" x14ac:dyDescent="0.25">
      <c r="A324" t="s">
        <v>6091</v>
      </c>
      <c r="B324" s="21" t="s">
        <v>395</v>
      </c>
      <c r="C324" s="22" t="s">
        <v>2453</v>
      </c>
      <c r="D324" s="22"/>
      <c r="E324" s="21" t="s">
        <v>75</v>
      </c>
      <c r="F324" s="21"/>
      <c r="G324" s="147" t="s">
        <v>155</v>
      </c>
      <c r="H324" s="23" t="s">
        <v>1308</v>
      </c>
      <c r="I324" s="23"/>
      <c r="J324" s="21" t="s">
        <v>1312</v>
      </c>
      <c r="K324" s="21"/>
      <c r="L324" s="21"/>
      <c r="M324" s="26" t="s">
        <v>1572</v>
      </c>
      <c r="N324" s="44">
        <v>1132</v>
      </c>
      <c r="O324" s="22" t="s">
        <v>15</v>
      </c>
      <c r="P324" s="22" t="s">
        <v>19</v>
      </c>
      <c r="Q324" s="24">
        <f t="shared" si="25"/>
        <v>0</v>
      </c>
      <c r="R324" s="24">
        <f t="shared" si="23"/>
        <v>1132</v>
      </c>
      <c r="S324" s="5"/>
      <c r="T324" s="5"/>
    </row>
    <row r="325" spans="1:20" ht="15.75" hidden="1" x14ac:dyDescent="0.25">
      <c r="A325" t="s">
        <v>6091</v>
      </c>
      <c r="B325" s="21" t="s">
        <v>395</v>
      </c>
      <c r="C325" s="22" t="s">
        <v>2427</v>
      </c>
      <c r="D325" s="22"/>
      <c r="E325" s="21" t="s">
        <v>0</v>
      </c>
      <c r="F325" s="21"/>
      <c r="G325" s="147" t="s">
        <v>1241</v>
      </c>
      <c r="H325" s="23" t="s">
        <v>1381</v>
      </c>
      <c r="I325" s="23"/>
      <c r="J325" s="21" t="s">
        <v>1382</v>
      </c>
      <c r="K325" s="21"/>
      <c r="L325" s="21" t="s">
        <v>2130</v>
      </c>
      <c r="M325" s="26">
        <v>43551</v>
      </c>
      <c r="N325" s="44">
        <v>20000</v>
      </c>
      <c r="O325" s="22" t="s">
        <v>15</v>
      </c>
      <c r="P325" s="22" t="s">
        <v>19</v>
      </c>
      <c r="Q325" s="24">
        <f t="shared" si="25"/>
        <v>0</v>
      </c>
      <c r="R325" s="24">
        <f t="shared" si="23"/>
        <v>20000</v>
      </c>
      <c r="S325" s="5"/>
      <c r="T325" s="5"/>
    </row>
    <row r="326" spans="1:20" ht="15.75" hidden="1" x14ac:dyDescent="0.25">
      <c r="A326" t="s">
        <v>6091</v>
      </c>
      <c r="B326" s="21" t="s">
        <v>395</v>
      </c>
      <c r="C326" s="22" t="s">
        <v>2453</v>
      </c>
      <c r="D326" s="22"/>
      <c r="E326" s="21" t="s">
        <v>75</v>
      </c>
      <c r="F326" s="21"/>
      <c r="G326" s="147" t="s">
        <v>239</v>
      </c>
      <c r="H326" s="23" t="s">
        <v>1465</v>
      </c>
      <c r="I326" s="23"/>
      <c r="J326" s="21" t="s">
        <v>1463</v>
      </c>
      <c r="K326" s="21"/>
      <c r="L326" s="21"/>
      <c r="M326" s="26" t="s">
        <v>1480</v>
      </c>
      <c r="N326" s="44">
        <f>2000*0.5</f>
        <v>1000</v>
      </c>
      <c r="O326" s="22" t="s">
        <v>15</v>
      </c>
      <c r="P326" s="22" t="s">
        <v>19</v>
      </c>
      <c r="Q326" s="24">
        <f t="shared" si="25"/>
        <v>0</v>
      </c>
      <c r="R326" s="24">
        <f t="shared" si="23"/>
        <v>1000</v>
      </c>
      <c r="S326" s="5"/>
      <c r="T326" s="5"/>
    </row>
    <row r="327" spans="1:20" ht="15.75" hidden="1" x14ac:dyDescent="0.25">
      <c r="A327" t="s">
        <v>6091</v>
      </c>
      <c r="B327" s="21" t="s">
        <v>395</v>
      </c>
      <c r="C327" s="22" t="s">
        <v>2453</v>
      </c>
      <c r="D327" s="22"/>
      <c r="E327" s="21" t="s">
        <v>75</v>
      </c>
      <c r="F327" s="21"/>
      <c r="G327" s="147" t="s">
        <v>239</v>
      </c>
      <c r="H327" s="23" t="s">
        <v>1465</v>
      </c>
      <c r="I327" s="23"/>
      <c r="J327" s="21" t="s">
        <v>1464</v>
      </c>
      <c r="K327" s="21"/>
      <c r="L327" s="21"/>
      <c r="M327" s="26" t="s">
        <v>1480</v>
      </c>
      <c r="N327" s="44">
        <f>2000*0.5</f>
        <v>1000</v>
      </c>
      <c r="O327" s="22" t="s">
        <v>15</v>
      </c>
      <c r="P327" s="22" t="s">
        <v>19</v>
      </c>
      <c r="Q327" s="24">
        <f t="shared" si="25"/>
        <v>0</v>
      </c>
      <c r="R327" s="24">
        <f t="shared" si="23"/>
        <v>1000</v>
      </c>
      <c r="S327" s="5"/>
      <c r="T327" s="5"/>
    </row>
    <row r="328" spans="1:20" ht="15.75" hidden="1" x14ac:dyDescent="0.25">
      <c r="A328" t="s">
        <v>6091</v>
      </c>
      <c r="B328" s="21" t="s">
        <v>395</v>
      </c>
      <c r="C328" s="22" t="s">
        <v>2453</v>
      </c>
      <c r="D328" s="22"/>
      <c r="E328" s="21" t="s">
        <v>75</v>
      </c>
      <c r="F328" s="21"/>
      <c r="G328" s="147" t="s">
        <v>100</v>
      </c>
      <c r="H328" s="23" t="s">
        <v>1806</v>
      </c>
      <c r="I328" s="23"/>
      <c r="J328" s="21" t="s">
        <v>1807</v>
      </c>
      <c r="K328" s="120"/>
      <c r="L328" s="21" t="s">
        <v>3020</v>
      </c>
      <c r="M328" s="47">
        <v>43671</v>
      </c>
      <c r="N328" s="44">
        <f>0.3*35531</f>
        <v>10659.3</v>
      </c>
      <c r="O328" s="22" t="s">
        <v>15</v>
      </c>
      <c r="P328" s="22" t="s">
        <v>19</v>
      </c>
      <c r="Q328" s="24">
        <f t="shared" si="25"/>
        <v>0</v>
      </c>
      <c r="R328" s="24">
        <f t="shared" si="23"/>
        <v>10659.3</v>
      </c>
      <c r="S328" s="5"/>
      <c r="T328" s="5"/>
    </row>
    <row r="329" spans="1:20" ht="15.75" hidden="1" x14ac:dyDescent="0.25">
      <c r="A329" t="s">
        <v>6091</v>
      </c>
      <c r="B329" s="21" t="s">
        <v>395</v>
      </c>
      <c r="C329" s="22" t="s">
        <v>2453</v>
      </c>
      <c r="D329" s="22"/>
      <c r="E329" s="21" t="s">
        <v>75</v>
      </c>
      <c r="F329" s="21"/>
      <c r="G329" s="147" t="s">
        <v>100</v>
      </c>
      <c r="H329" s="23" t="s">
        <v>1806</v>
      </c>
      <c r="I329" s="23"/>
      <c r="J329" s="21" t="s">
        <v>1808</v>
      </c>
      <c r="K329" s="120"/>
      <c r="L329" s="21" t="s">
        <v>3020</v>
      </c>
      <c r="M329" s="47">
        <v>43671</v>
      </c>
      <c r="N329" s="44">
        <f>0.5*35531</f>
        <v>17765.5</v>
      </c>
      <c r="O329" s="22" t="s">
        <v>15</v>
      </c>
      <c r="P329" s="22" t="s">
        <v>19</v>
      </c>
      <c r="Q329" s="24">
        <f t="shared" si="25"/>
        <v>0</v>
      </c>
      <c r="R329" s="24">
        <f t="shared" si="23"/>
        <v>17765.5</v>
      </c>
      <c r="S329" s="5"/>
      <c r="T329" s="5"/>
    </row>
    <row r="330" spans="1:20" ht="15.75" hidden="1" x14ac:dyDescent="0.25">
      <c r="A330" t="s">
        <v>6091</v>
      </c>
      <c r="B330" s="21" t="s">
        <v>395</v>
      </c>
      <c r="C330" s="22" t="s">
        <v>2453</v>
      </c>
      <c r="D330" s="22"/>
      <c r="E330" s="21" t="s">
        <v>75</v>
      </c>
      <c r="F330" s="21"/>
      <c r="G330" s="147" t="s">
        <v>100</v>
      </c>
      <c r="H330" s="23" t="s">
        <v>1806</v>
      </c>
      <c r="I330" s="23"/>
      <c r="J330" s="21" t="s">
        <v>1809</v>
      </c>
      <c r="K330" s="120"/>
      <c r="L330" s="21" t="s">
        <v>3021</v>
      </c>
      <c r="M330" s="47">
        <v>43910</v>
      </c>
      <c r="N330" s="44">
        <f>0.2*35531</f>
        <v>7106.2000000000007</v>
      </c>
      <c r="O330" s="22" t="s">
        <v>15</v>
      </c>
      <c r="P330" s="22" t="s">
        <v>19</v>
      </c>
      <c r="Q330" s="24">
        <f t="shared" si="25"/>
        <v>0</v>
      </c>
      <c r="R330" s="24">
        <f t="shared" si="23"/>
        <v>7106.2000000000007</v>
      </c>
      <c r="S330" s="5"/>
      <c r="T330" s="5"/>
    </row>
    <row r="331" spans="1:20" ht="15.75" hidden="1" x14ac:dyDescent="0.25">
      <c r="A331" t="s">
        <v>6091</v>
      </c>
      <c r="B331" s="21" t="s">
        <v>395</v>
      </c>
      <c r="C331" s="22" t="s">
        <v>2427</v>
      </c>
      <c r="D331" s="22"/>
      <c r="E331" s="21" t="s">
        <v>0</v>
      </c>
      <c r="F331" s="21"/>
      <c r="G331" s="147" t="s">
        <v>1241</v>
      </c>
      <c r="H331" s="23" t="s">
        <v>1954</v>
      </c>
      <c r="I331" s="23"/>
      <c r="J331" s="21" t="s">
        <v>1382</v>
      </c>
      <c r="K331" s="21"/>
      <c r="L331" s="21" t="s">
        <v>2119</v>
      </c>
      <c r="M331" s="26">
        <v>43741</v>
      </c>
      <c r="N331" s="44">
        <v>20000</v>
      </c>
      <c r="O331" s="22" t="s">
        <v>15</v>
      </c>
      <c r="P331" s="22" t="s">
        <v>19</v>
      </c>
      <c r="Q331" s="24">
        <f t="shared" si="25"/>
        <v>0</v>
      </c>
      <c r="R331" s="24">
        <f t="shared" si="23"/>
        <v>20000</v>
      </c>
      <c r="S331" s="5"/>
      <c r="T331" s="5"/>
    </row>
    <row r="332" spans="1:20" ht="15.75" hidden="1" x14ac:dyDescent="0.25">
      <c r="A332" t="s">
        <v>6091</v>
      </c>
      <c r="B332" s="21" t="s">
        <v>395</v>
      </c>
      <c r="C332" s="22" t="s">
        <v>2427</v>
      </c>
      <c r="D332" s="22"/>
      <c r="E332" s="21" t="s">
        <v>0</v>
      </c>
      <c r="F332" s="21"/>
      <c r="G332" s="147" t="s">
        <v>1241</v>
      </c>
      <c r="H332" s="23" t="s">
        <v>2961</v>
      </c>
      <c r="I332" s="23"/>
      <c r="J332" s="21" t="s">
        <v>2962</v>
      </c>
      <c r="K332" s="21"/>
      <c r="L332" s="21" t="s">
        <v>3487</v>
      </c>
      <c r="M332" s="26">
        <v>44035</v>
      </c>
      <c r="N332" s="44">
        <v>8000</v>
      </c>
      <c r="O332" s="22" t="s">
        <v>15</v>
      </c>
      <c r="P332" s="22" t="s">
        <v>19</v>
      </c>
      <c r="Q332" s="24">
        <f t="shared" si="25"/>
        <v>0</v>
      </c>
      <c r="R332" s="24">
        <f t="shared" si="23"/>
        <v>8000</v>
      </c>
      <c r="S332" s="5"/>
      <c r="T332" s="5"/>
    </row>
    <row r="333" spans="1:20" ht="15.75" hidden="1" x14ac:dyDescent="0.25">
      <c r="A333" s="265" t="s">
        <v>6753</v>
      </c>
      <c r="B333" s="15" t="s">
        <v>395</v>
      </c>
      <c r="C333" s="16" t="s">
        <v>2450</v>
      </c>
      <c r="D333" s="16"/>
      <c r="E333" s="15" t="s">
        <v>0</v>
      </c>
      <c r="F333" s="15"/>
      <c r="G333" s="405" t="s">
        <v>99</v>
      </c>
      <c r="H333" s="17" t="s">
        <v>1059</v>
      </c>
      <c r="I333" s="17"/>
      <c r="J333" s="15" t="s">
        <v>1016</v>
      </c>
      <c r="K333" s="15"/>
      <c r="L333" s="15" t="s">
        <v>2985</v>
      </c>
      <c r="M333" s="406">
        <v>43642</v>
      </c>
      <c r="N333" s="95">
        <f>0.25*2503</f>
        <v>625.75</v>
      </c>
      <c r="O333" s="16" t="s">
        <v>15</v>
      </c>
      <c r="P333" s="16" t="s">
        <v>19</v>
      </c>
      <c r="Q333" s="18">
        <f t="shared" si="25"/>
        <v>0</v>
      </c>
      <c r="R333" s="18">
        <f t="shared" si="23"/>
        <v>625.75</v>
      </c>
      <c r="S333" s="15"/>
      <c r="T333" s="5"/>
    </row>
    <row r="334" spans="1:20" ht="15.75" hidden="1" x14ac:dyDescent="0.25">
      <c r="A334" t="s">
        <v>6753</v>
      </c>
      <c r="B334" s="21" t="s">
        <v>395</v>
      </c>
      <c r="C334" s="72" t="s">
        <v>2450</v>
      </c>
      <c r="D334" s="72"/>
      <c r="E334" s="73" t="s">
        <v>0</v>
      </c>
      <c r="F334" s="73"/>
      <c r="G334" s="149" t="s">
        <v>99</v>
      </c>
      <c r="H334" s="74" t="s">
        <v>1059</v>
      </c>
      <c r="I334" s="74"/>
      <c r="J334" s="73" t="s">
        <v>1017</v>
      </c>
      <c r="K334" s="73"/>
      <c r="L334" s="73" t="s">
        <v>2985</v>
      </c>
      <c r="M334" s="177">
        <v>43642</v>
      </c>
      <c r="N334" s="104">
        <f>0.3*2503</f>
        <v>750.9</v>
      </c>
      <c r="O334" s="22" t="s">
        <v>15</v>
      </c>
      <c r="P334" s="22" t="s">
        <v>19</v>
      </c>
      <c r="Q334" s="24">
        <f t="shared" si="25"/>
        <v>0</v>
      </c>
      <c r="R334" s="24">
        <f t="shared" si="23"/>
        <v>750.9</v>
      </c>
      <c r="S334" s="5"/>
      <c r="T334" s="5"/>
    </row>
    <row r="335" spans="1:20" ht="15.75" hidden="1" x14ac:dyDescent="0.25">
      <c r="A335" t="s">
        <v>6753</v>
      </c>
      <c r="B335" s="21" t="s">
        <v>395</v>
      </c>
      <c r="C335" s="72" t="s">
        <v>2450</v>
      </c>
      <c r="D335" s="72"/>
      <c r="E335" s="73" t="s">
        <v>0</v>
      </c>
      <c r="F335" s="73"/>
      <c r="G335" s="149" t="s">
        <v>99</v>
      </c>
      <c r="H335" s="74" t="s">
        <v>1059</v>
      </c>
      <c r="I335" s="74"/>
      <c r="J335" s="73" t="s">
        <v>1018</v>
      </c>
      <c r="K335" s="73"/>
      <c r="L335" s="73" t="s">
        <v>2985</v>
      </c>
      <c r="M335" s="177">
        <v>43642</v>
      </c>
      <c r="N335" s="104">
        <f>0.45*2503</f>
        <v>1126.3500000000001</v>
      </c>
      <c r="O335" s="22" t="s">
        <v>15</v>
      </c>
      <c r="P335" s="22" t="s">
        <v>19</v>
      </c>
      <c r="Q335" s="24">
        <f t="shared" si="25"/>
        <v>0</v>
      </c>
      <c r="R335" s="24">
        <f t="shared" si="23"/>
        <v>1126.3500000000001</v>
      </c>
      <c r="S335" s="5"/>
      <c r="T335" s="5"/>
    </row>
    <row r="336" spans="1:20" ht="15.75" hidden="1" x14ac:dyDescent="0.25">
      <c r="A336" t="s">
        <v>6753</v>
      </c>
      <c r="B336" s="21" t="s">
        <v>395</v>
      </c>
      <c r="C336" s="78" t="s">
        <v>2450</v>
      </c>
      <c r="D336" s="78"/>
      <c r="E336" s="79" t="s">
        <v>0</v>
      </c>
      <c r="F336" s="79"/>
      <c r="G336" s="150" t="s">
        <v>99</v>
      </c>
      <c r="H336" s="80" t="s">
        <v>1059</v>
      </c>
      <c r="I336" s="80"/>
      <c r="J336" s="79" t="s">
        <v>1019</v>
      </c>
      <c r="K336" s="79"/>
      <c r="L336" s="79" t="s">
        <v>2988</v>
      </c>
      <c r="M336" s="179">
        <v>44008</v>
      </c>
      <c r="N336" s="105">
        <f>0.25*2503</f>
        <v>625.75</v>
      </c>
      <c r="O336" s="22" t="s">
        <v>15</v>
      </c>
      <c r="P336" s="22" t="s">
        <v>19</v>
      </c>
      <c r="Q336" s="24">
        <f t="shared" si="25"/>
        <v>0</v>
      </c>
      <c r="R336" s="24">
        <f t="shared" si="23"/>
        <v>625.75</v>
      </c>
      <c r="S336" s="5"/>
      <c r="T336" s="5"/>
    </row>
    <row r="337" spans="1:20" ht="15.75" hidden="1" x14ac:dyDescent="0.25">
      <c r="A337" t="s">
        <v>6753</v>
      </c>
      <c r="B337" s="21" t="s">
        <v>395</v>
      </c>
      <c r="C337" s="78" t="s">
        <v>2450</v>
      </c>
      <c r="D337" s="78"/>
      <c r="E337" s="79" t="s">
        <v>0</v>
      </c>
      <c r="F337" s="79"/>
      <c r="G337" s="150" t="s">
        <v>99</v>
      </c>
      <c r="H337" s="80" t="s">
        <v>1059</v>
      </c>
      <c r="I337" s="80"/>
      <c r="J337" s="79" t="s">
        <v>1020</v>
      </c>
      <c r="K337" s="79"/>
      <c r="L337" s="79" t="s">
        <v>2988</v>
      </c>
      <c r="M337" s="179">
        <v>44008</v>
      </c>
      <c r="N337" s="105">
        <f>0.3*2503</f>
        <v>750.9</v>
      </c>
      <c r="O337" s="22" t="s">
        <v>15</v>
      </c>
      <c r="P337" s="22" t="s">
        <v>19</v>
      </c>
      <c r="Q337" s="24">
        <f t="shared" si="25"/>
        <v>0</v>
      </c>
      <c r="R337" s="24">
        <f t="shared" si="23"/>
        <v>750.9</v>
      </c>
      <c r="S337" s="5"/>
      <c r="T337" s="5"/>
    </row>
    <row r="338" spans="1:20" ht="15.75" hidden="1" x14ac:dyDescent="0.25">
      <c r="A338" t="s">
        <v>6753</v>
      </c>
      <c r="B338" s="21" t="s">
        <v>395</v>
      </c>
      <c r="C338" s="78" t="s">
        <v>2450</v>
      </c>
      <c r="D338" s="78"/>
      <c r="E338" s="79" t="s">
        <v>0</v>
      </c>
      <c r="F338" s="79"/>
      <c r="G338" s="150" t="s">
        <v>99</v>
      </c>
      <c r="H338" s="80" t="s">
        <v>1059</v>
      </c>
      <c r="I338" s="80"/>
      <c r="J338" s="79" t="s">
        <v>1021</v>
      </c>
      <c r="K338" s="79"/>
      <c r="L338" s="79" t="s">
        <v>2988</v>
      </c>
      <c r="M338" s="179">
        <v>44008</v>
      </c>
      <c r="N338" s="105">
        <f>0.45*2503</f>
        <v>1126.3500000000001</v>
      </c>
      <c r="O338" s="22" t="s">
        <v>15</v>
      </c>
      <c r="P338" s="22" t="s">
        <v>19</v>
      </c>
      <c r="Q338" s="24">
        <f t="shared" si="25"/>
        <v>0</v>
      </c>
      <c r="R338" s="24">
        <f t="shared" si="23"/>
        <v>1126.3500000000001</v>
      </c>
      <c r="S338" s="5"/>
      <c r="T338" s="5"/>
    </row>
    <row r="339" spans="1:20" ht="15.75" hidden="1" x14ac:dyDescent="0.25">
      <c r="A339" t="s">
        <v>6753</v>
      </c>
      <c r="B339" s="21" t="s">
        <v>395</v>
      </c>
      <c r="C339" s="81" t="s">
        <v>2450</v>
      </c>
      <c r="D339" s="81"/>
      <c r="E339" s="82" t="s">
        <v>0</v>
      </c>
      <c r="F339" s="82"/>
      <c r="G339" s="151" t="s">
        <v>99</v>
      </c>
      <c r="H339" s="83" t="s">
        <v>1059</v>
      </c>
      <c r="I339" s="83"/>
      <c r="J339" s="82" t="s">
        <v>1022</v>
      </c>
      <c r="K339" s="180"/>
      <c r="L339" s="82" t="s">
        <v>3604</v>
      </c>
      <c r="M339" s="212">
        <v>44043</v>
      </c>
      <c r="N339" s="106">
        <f>0.25*2503</f>
        <v>625.75</v>
      </c>
      <c r="O339" s="22" t="s">
        <v>15</v>
      </c>
      <c r="P339" s="22" t="s">
        <v>19</v>
      </c>
      <c r="Q339" s="24">
        <f t="shared" si="25"/>
        <v>0</v>
      </c>
      <c r="R339" s="24">
        <f t="shared" si="23"/>
        <v>625.75</v>
      </c>
      <c r="S339" s="5"/>
      <c r="T339" s="5"/>
    </row>
    <row r="340" spans="1:20" ht="15.75" hidden="1" x14ac:dyDescent="0.25">
      <c r="A340" t="s">
        <v>6753</v>
      </c>
      <c r="B340" s="21" t="s">
        <v>395</v>
      </c>
      <c r="C340" s="81" t="s">
        <v>2450</v>
      </c>
      <c r="D340" s="81"/>
      <c r="E340" s="82" t="s">
        <v>0</v>
      </c>
      <c r="F340" s="82"/>
      <c r="G340" s="151" t="s">
        <v>99</v>
      </c>
      <c r="H340" s="83" t="s">
        <v>1059</v>
      </c>
      <c r="I340" s="83"/>
      <c r="J340" s="82" t="s">
        <v>1023</v>
      </c>
      <c r="K340" s="180"/>
      <c r="L340" s="82" t="s">
        <v>3604</v>
      </c>
      <c r="M340" s="212">
        <v>44043</v>
      </c>
      <c r="N340" s="106">
        <f>0.3*2503</f>
        <v>750.9</v>
      </c>
      <c r="O340" s="22" t="s">
        <v>15</v>
      </c>
      <c r="P340" s="22" t="s">
        <v>19</v>
      </c>
      <c r="Q340" s="24">
        <f t="shared" si="25"/>
        <v>0</v>
      </c>
      <c r="R340" s="24">
        <f t="shared" si="23"/>
        <v>750.9</v>
      </c>
      <c r="S340" s="5"/>
      <c r="T340" s="5"/>
    </row>
    <row r="341" spans="1:20" ht="15.75" hidden="1" x14ac:dyDescent="0.25">
      <c r="A341" t="s">
        <v>6753</v>
      </c>
      <c r="B341" s="21" t="s">
        <v>395</v>
      </c>
      <c r="C341" s="81" t="s">
        <v>2450</v>
      </c>
      <c r="D341" s="81"/>
      <c r="E341" s="82" t="s">
        <v>0</v>
      </c>
      <c r="F341" s="82"/>
      <c r="G341" s="151" t="s">
        <v>99</v>
      </c>
      <c r="H341" s="83" t="s">
        <v>1059</v>
      </c>
      <c r="I341" s="83"/>
      <c r="J341" s="82" t="s">
        <v>1024</v>
      </c>
      <c r="K341" s="180"/>
      <c r="L341" s="82" t="s">
        <v>3604</v>
      </c>
      <c r="M341" s="212">
        <v>44043</v>
      </c>
      <c r="N341" s="106">
        <f>0.45*2503</f>
        <v>1126.3500000000001</v>
      </c>
      <c r="O341" s="22" t="s">
        <v>15</v>
      </c>
      <c r="P341" s="22" t="s">
        <v>19</v>
      </c>
      <c r="Q341" s="24">
        <f t="shared" si="25"/>
        <v>0</v>
      </c>
      <c r="R341" s="24">
        <f t="shared" si="23"/>
        <v>1126.3500000000001</v>
      </c>
      <c r="S341" s="5"/>
      <c r="T341" s="5"/>
    </row>
    <row r="342" spans="1:20" ht="15.75" hidden="1" x14ac:dyDescent="0.25">
      <c r="A342" t="s">
        <v>6753</v>
      </c>
      <c r="B342" s="21" t="s">
        <v>395</v>
      </c>
      <c r="C342" s="64" t="s">
        <v>2450</v>
      </c>
      <c r="D342" s="64"/>
      <c r="E342" s="65" t="s">
        <v>0</v>
      </c>
      <c r="F342" s="65"/>
      <c r="G342" s="152" t="s">
        <v>99</v>
      </c>
      <c r="H342" s="66" t="s">
        <v>1059</v>
      </c>
      <c r="I342" s="66"/>
      <c r="J342" s="65" t="s">
        <v>1025</v>
      </c>
      <c r="K342" s="181"/>
      <c r="L342" s="65" t="s">
        <v>5631</v>
      </c>
      <c r="M342" s="167">
        <v>44439</v>
      </c>
      <c r="N342" s="96">
        <f>0.25*2503</f>
        <v>625.75</v>
      </c>
      <c r="O342" s="22" t="s">
        <v>15</v>
      </c>
      <c r="P342" s="22" t="s">
        <v>19</v>
      </c>
      <c r="Q342" s="24">
        <f t="shared" si="25"/>
        <v>0</v>
      </c>
      <c r="R342" s="24">
        <f t="shared" si="23"/>
        <v>625.75</v>
      </c>
      <c r="S342" s="5"/>
      <c r="T342" s="5"/>
    </row>
    <row r="343" spans="1:20" ht="15.75" hidden="1" x14ac:dyDescent="0.25">
      <c r="A343" t="s">
        <v>6753</v>
      </c>
      <c r="B343" s="21" t="s">
        <v>395</v>
      </c>
      <c r="C343" s="64" t="s">
        <v>2450</v>
      </c>
      <c r="D343" s="64"/>
      <c r="E343" s="65" t="s">
        <v>0</v>
      </c>
      <c r="F343" s="65"/>
      <c r="G343" s="152" t="s">
        <v>99</v>
      </c>
      <c r="H343" s="66" t="s">
        <v>1059</v>
      </c>
      <c r="I343" s="66"/>
      <c r="J343" s="65" t="s">
        <v>1026</v>
      </c>
      <c r="K343" s="181"/>
      <c r="L343" s="65" t="s">
        <v>5631</v>
      </c>
      <c r="M343" s="167">
        <v>44439</v>
      </c>
      <c r="N343" s="96">
        <f>0.3*2503</f>
        <v>750.9</v>
      </c>
      <c r="O343" s="22" t="s">
        <v>15</v>
      </c>
      <c r="P343" s="22" t="s">
        <v>19</v>
      </c>
      <c r="Q343" s="24">
        <f t="shared" si="25"/>
        <v>0</v>
      </c>
      <c r="R343" s="24">
        <f t="shared" si="23"/>
        <v>750.9</v>
      </c>
      <c r="S343" s="5"/>
      <c r="T343" s="5"/>
    </row>
    <row r="344" spans="1:20" ht="15.75" hidden="1" x14ac:dyDescent="0.25">
      <c r="A344" t="s">
        <v>6753</v>
      </c>
      <c r="B344" s="21" t="s">
        <v>395</v>
      </c>
      <c r="C344" s="64" t="s">
        <v>2450</v>
      </c>
      <c r="D344" s="64"/>
      <c r="E344" s="65" t="s">
        <v>0</v>
      </c>
      <c r="F344" s="65"/>
      <c r="G344" s="152" t="s">
        <v>99</v>
      </c>
      <c r="H344" s="66" t="s">
        <v>1059</v>
      </c>
      <c r="I344" s="66"/>
      <c r="J344" s="65" t="s">
        <v>1027</v>
      </c>
      <c r="K344" s="181"/>
      <c r="L344" s="65" t="s">
        <v>5631</v>
      </c>
      <c r="M344" s="167">
        <v>44439</v>
      </c>
      <c r="N344" s="96">
        <f>0.45*2503</f>
        <v>1126.3500000000001</v>
      </c>
      <c r="O344" s="22" t="s">
        <v>15</v>
      </c>
      <c r="P344" s="22" t="s">
        <v>19</v>
      </c>
      <c r="Q344" s="24">
        <f t="shared" si="25"/>
        <v>0</v>
      </c>
      <c r="R344" s="24">
        <f t="shared" si="23"/>
        <v>1126.3500000000001</v>
      </c>
      <c r="S344" s="5"/>
      <c r="T344" s="5"/>
    </row>
    <row r="345" spans="1:20" ht="15.75" hidden="1" x14ac:dyDescent="0.25">
      <c r="A345" t="s">
        <v>6753</v>
      </c>
      <c r="B345" s="21" t="s">
        <v>395</v>
      </c>
      <c r="C345" s="84" t="s">
        <v>2450</v>
      </c>
      <c r="D345" s="84"/>
      <c r="E345" s="85" t="s">
        <v>0</v>
      </c>
      <c r="F345" s="85"/>
      <c r="G345" s="153" t="s">
        <v>99</v>
      </c>
      <c r="H345" s="86" t="s">
        <v>1059</v>
      </c>
      <c r="I345" s="86"/>
      <c r="J345" s="85" t="s">
        <v>1028</v>
      </c>
      <c r="K345" s="182"/>
      <c r="L345" s="85" t="s">
        <v>7053</v>
      </c>
      <c r="M345" s="369">
        <v>44797</v>
      </c>
      <c r="N345" s="94">
        <f>0.25*2678</f>
        <v>669.5</v>
      </c>
      <c r="O345" s="22" t="s">
        <v>15</v>
      </c>
      <c r="P345" s="22" t="s">
        <v>19</v>
      </c>
      <c r="Q345" s="24">
        <f t="shared" si="25"/>
        <v>0</v>
      </c>
      <c r="R345" s="24">
        <f t="shared" si="23"/>
        <v>669.5</v>
      </c>
      <c r="S345" s="5"/>
      <c r="T345" s="5"/>
    </row>
    <row r="346" spans="1:20" ht="15.75" hidden="1" x14ac:dyDescent="0.25">
      <c r="A346" t="s">
        <v>6753</v>
      </c>
      <c r="B346" s="21" t="s">
        <v>395</v>
      </c>
      <c r="C346" s="84" t="s">
        <v>2450</v>
      </c>
      <c r="D346" s="84"/>
      <c r="E346" s="85" t="s">
        <v>0</v>
      </c>
      <c r="F346" s="85"/>
      <c r="G346" s="153" t="s">
        <v>99</v>
      </c>
      <c r="H346" s="86" t="s">
        <v>1059</v>
      </c>
      <c r="I346" s="86"/>
      <c r="J346" s="85" t="s">
        <v>1029</v>
      </c>
      <c r="K346" s="182"/>
      <c r="L346" s="85" t="s">
        <v>7053</v>
      </c>
      <c r="M346" s="369">
        <v>44797</v>
      </c>
      <c r="N346" s="94">
        <f>0.3*2678</f>
        <v>803.4</v>
      </c>
      <c r="O346" s="22" t="s">
        <v>15</v>
      </c>
      <c r="P346" s="22" t="s">
        <v>19</v>
      </c>
      <c r="Q346" s="24">
        <f t="shared" si="25"/>
        <v>0</v>
      </c>
      <c r="R346" s="24">
        <f t="shared" si="23"/>
        <v>803.4</v>
      </c>
      <c r="S346" s="5"/>
      <c r="T346" s="5"/>
    </row>
    <row r="347" spans="1:20" ht="15.75" hidden="1" x14ac:dyDescent="0.25">
      <c r="A347" t="s">
        <v>6753</v>
      </c>
      <c r="B347" s="21" t="s">
        <v>395</v>
      </c>
      <c r="C347" s="84" t="s">
        <v>2450</v>
      </c>
      <c r="D347" s="84"/>
      <c r="E347" s="85" t="s">
        <v>0</v>
      </c>
      <c r="F347" s="85"/>
      <c r="G347" s="153" t="s">
        <v>99</v>
      </c>
      <c r="H347" s="86" t="s">
        <v>1059</v>
      </c>
      <c r="I347" s="86"/>
      <c r="J347" s="85" t="s">
        <v>1030</v>
      </c>
      <c r="K347" s="182"/>
      <c r="L347" s="85" t="s">
        <v>7053</v>
      </c>
      <c r="M347" s="369">
        <v>44797</v>
      </c>
      <c r="N347" s="94">
        <f>0.45*2678</f>
        <v>1205.1000000000001</v>
      </c>
      <c r="O347" s="22" t="s">
        <v>15</v>
      </c>
      <c r="P347" s="22" t="s">
        <v>19</v>
      </c>
      <c r="Q347" s="24">
        <f t="shared" si="25"/>
        <v>0</v>
      </c>
      <c r="R347" s="24">
        <f t="shared" si="23"/>
        <v>1205.1000000000001</v>
      </c>
      <c r="S347" s="5"/>
      <c r="T347" s="5"/>
    </row>
    <row r="348" spans="1:20" ht="15.75" hidden="1" x14ac:dyDescent="0.25">
      <c r="A348" t="s">
        <v>6753</v>
      </c>
      <c r="B348" s="21" t="s">
        <v>395</v>
      </c>
      <c r="C348" s="75" t="s">
        <v>2450</v>
      </c>
      <c r="D348" s="75"/>
      <c r="E348" s="76" t="s">
        <v>0</v>
      </c>
      <c r="F348" s="76"/>
      <c r="G348" s="154" t="s">
        <v>99</v>
      </c>
      <c r="H348" s="77" t="s">
        <v>1059</v>
      </c>
      <c r="I348" s="77"/>
      <c r="J348" s="76" t="s">
        <v>1010</v>
      </c>
      <c r="K348" s="76"/>
      <c r="L348" s="76" t="s">
        <v>2986</v>
      </c>
      <c r="M348" s="178">
        <v>43522</v>
      </c>
      <c r="N348" s="92">
        <f>0.25*4573</f>
        <v>1143.25</v>
      </c>
      <c r="O348" s="22" t="s">
        <v>15</v>
      </c>
      <c r="P348" s="22" t="s">
        <v>19</v>
      </c>
      <c r="Q348" s="24">
        <f t="shared" si="25"/>
        <v>0</v>
      </c>
      <c r="R348" s="24">
        <f t="shared" si="23"/>
        <v>1143.25</v>
      </c>
      <c r="S348" s="5"/>
      <c r="T348" s="5"/>
    </row>
    <row r="349" spans="1:20" ht="15.75" hidden="1" x14ac:dyDescent="0.25">
      <c r="A349" t="s">
        <v>6753</v>
      </c>
      <c r="B349" s="21" t="s">
        <v>395</v>
      </c>
      <c r="C349" s="75" t="s">
        <v>2450</v>
      </c>
      <c r="D349" s="75"/>
      <c r="E349" s="76" t="s">
        <v>0</v>
      </c>
      <c r="F349" s="76"/>
      <c r="G349" s="154" t="s">
        <v>99</v>
      </c>
      <c r="H349" s="77" t="s">
        <v>1059</v>
      </c>
      <c r="I349" s="77"/>
      <c r="J349" s="76" t="s">
        <v>1011</v>
      </c>
      <c r="K349" s="76"/>
      <c r="L349" s="76" t="s">
        <v>2986</v>
      </c>
      <c r="M349" s="178">
        <v>43522</v>
      </c>
      <c r="N349" s="92">
        <f>0.3*4573</f>
        <v>1371.8999999999999</v>
      </c>
      <c r="O349" s="22" t="s">
        <v>15</v>
      </c>
      <c r="P349" s="22" t="s">
        <v>19</v>
      </c>
      <c r="Q349" s="24">
        <f t="shared" si="25"/>
        <v>0</v>
      </c>
      <c r="R349" s="24">
        <f t="shared" si="23"/>
        <v>1371.8999999999999</v>
      </c>
      <c r="S349" s="5"/>
      <c r="T349" s="5"/>
    </row>
    <row r="350" spans="1:20" ht="15.75" hidden="1" x14ac:dyDescent="0.25">
      <c r="A350" t="s">
        <v>6753</v>
      </c>
      <c r="B350" s="21" t="s">
        <v>395</v>
      </c>
      <c r="C350" s="75" t="s">
        <v>2450</v>
      </c>
      <c r="D350" s="75"/>
      <c r="E350" s="76" t="s">
        <v>0</v>
      </c>
      <c r="F350" s="76"/>
      <c r="G350" s="154" t="s">
        <v>99</v>
      </c>
      <c r="H350" s="77" t="s">
        <v>1059</v>
      </c>
      <c r="I350" s="77"/>
      <c r="J350" s="76" t="s">
        <v>1012</v>
      </c>
      <c r="K350" s="76"/>
      <c r="L350" s="76" t="s">
        <v>2986</v>
      </c>
      <c r="M350" s="178">
        <v>43522</v>
      </c>
      <c r="N350" s="92">
        <f>0.45*4573</f>
        <v>2057.85</v>
      </c>
      <c r="O350" s="22" t="s">
        <v>15</v>
      </c>
      <c r="P350" s="22" t="s">
        <v>19</v>
      </c>
      <c r="Q350" s="24">
        <f t="shared" si="25"/>
        <v>0</v>
      </c>
      <c r="R350" s="24">
        <f t="shared" ref="R350:R413" si="26">IF(P350="OK",N350-Q350,IF(P350="en cours",N350-Q350,P350))</f>
        <v>2057.85</v>
      </c>
      <c r="S350" s="5"/>
      <c r="T350" s="5"/>
    </row>
    <row r="351" spans="1:20" ht="15.75" hidden="1" x14ac:dyDescent="0.25">
      <c r="A351" t="s">
        <v>6753</v>
      </c>
      <c r="B351" s="21" t="s">
        <v>395</v>
      </c>
      <c r="C351" s="67" t="s">
        <v>2450</v>
      </c>
      <c r="D351" s="67"/>
      <c r="E351" s="68" t="s">
        <v>0</v>
      </c>
      <c r="F351" s="68"/>
      <c r="G351" s="158" t="s">
        <v>99</v>
      </c>
      <c r="H351" s="69" t="s">
        <v>1059</v>
      </c>
      <c r="I351" s="69"/>
      <c r="J351" s="68" t="s">
        <v>1013</v>
      </c>
      <c r="K351" s="68"/>
      <c r="L351" s="68" t="s">
        <v>2987</v>
      </c>
      <c r="M351" s="168">
        <v>43552</v>
      </c>
      <c r="N351" s="102">
        <f>0.25*2503</f>
        <v>625.75</v>
      </c>
      <c r="O351" s="22" t="s">
        <v>15</v>
      </c>
      <c r="P351" s="22" t="s">
        <v>19</v>
      </c>
      <c r="Q351" s="24">
        <f t="shared" si="25"/>
        <v>0</v>
      </c>
      <c r="R351" s="24">
        <f t="shared" si="26"/>
        <v>625.75</v>
      </c>
      <c r="S351" s="5"/>
      <c r="T351" s="5"/>
    </row>
    <row r="352" spans="1:20" ht="15.75" hidden="1" x14ac:dyDescent="0.25">
      <c r="A352" t="s">
        <v>6753</v>
      </c>
      <c r="B352" s="21" t="s">
        <v>395</v>
      </c>
      <c r="C352" s="67" t="s">
        <v>2450</v>
      </c>
      <c r="D352" s="67"/>
      <c r="E352" s="68" t="s">
        <v>0</v>
      </c>
      <c r="F352" s="68"/>
      <c r="G352" s="158" t="s">
        <v>99</v>
      </c>
      <c r="H352" s="69" t="s">
        <v>1059</v>
      </c>
      <c r="I352" s="69"/>
      <c r="J352" s="68" t="s">
        <v>1014</v>
      </c>
      <c r="K352" s="68"/>
      <c r="L352" s="68" t="s">
        <v>2987</v>
      </c>
      <c r="M352" s="168">
        <v>43552</v>
      </c>
      <c r="N352" s="102">
        <f>0.3*2503</f>
        <v>750.9</v>
      </c>
      <c r="O352" s="22" t="s">
        <v>15</v>
      </c>
      <c r="P352" s="22" t="s">
        <v>19</v>
      </c>
      <c r="Q352" s="24">
        <f t="shared" si="25"/>
        <v>0</v>
      </c>
      <c r="R352" s="24">
        <f t="shared" si="26"/>
        <v>750.9</v>
      </c>
      <c r="S352" s="5"/>
      <c r="T352" s="5"/>
    </row>
    <row r="353" spans="1:20" ht="15.75" hidden="1" x14ac:dyDescent="0.25">
      <c r="A353" t="s">
        <v>6091</v>
      </c>
      <c r="B353" s="21" t="s">
        <v>395</v>
      </c>
      <c r="C353" s="22" t="s">
        <v>2450</v>
      </c>
      <c r="D353" s="22"/>
      <c r="E353" s="21" t="s">
        <v>10</v>
      </c>
      <c r="F353" s="21"/>
      <c r="G353" s="147" t="s">
        <v>110</v>
      </c>
      <c r="H353" s="23" t="s">
        <v>718</v>
      </c>
      <c r="I353" s="23"/>
      <c r="J353" s="21" t="s">
        <v>719</v>
      </c>
      <c r="K353" s="21"/>
      <c r="L353" s="21"/>
      <c r="M353" s="26">
        <v>43215</v>
      </c>
      <c r="N353" s="44">
        <f>114400*33%</f>
        <v>37752</v>
      </c>
      <c r="O353" s="22" t="str">
        <f>+'Presta clôturées'!O330</f>
        <v>EUROS</v>
      </c>
      <c r="P353" s="22" t="s">
        <v>19</v>
      </c>
      <c r="Q353" s="24">
        <f t="shared" si="25"/>
        <v>0</v>
      </c>
      <c r="R353" s="24">
        <f t="shared" si="26"/>
        <v>37752</v>
      </c>
      <c r="S353" s="5"/>
      <c r="T353" s="5"/>
    </row>
    <row r="354" spans="1:20" ht="15.75" hidden="1" x14ac:dyDescent="0.25">
      <c r="A354" t="s">
        <v>6091</v>
      </c>
      <c r="B354" s="21" t="s">
        <v>395</v>
      </c>
      <c r="C354" s="22" t="s">
        <v>2450</v>
      </c>
      <c r="D354" s="22"/>
      <c r="E354" s="21" t="s">
        <v>10</v>
      </c>
      <c r="F354" s="21"/>
      <c r="G354" s="147" t="s">
        <v>110</v>
      </c>
      <c r="H354" s="23" t="s">
        <v>718</v>
      </c>
      <c r="I354" s="23"/>
      <c r="J354" s="21" t="s">
        <v>720</v>
      </c>
      <c r="K354" s="21"/>
      <c r="L354" s="21"/>
      <c r="M354" s="26">
        <v>42944</v>
      </c>
      <c r="N354" s="44">
        <f>114400*67%</f>
        <v>76648</v>
      </c>
      <c r="O354" s="22" t="str">
        <f>+O353</f>
        <v>EUROS</v>
      </c>
      <c r="P354" s="22" t="s">
        <v>19</v>
      </c>
      <c r="Q354" s="24">
        <f t="shared" si="25"/>
        <v>0</v>
      </c>
      <c r="R354" s="24">
        <f t="shared" si="26"/>
        <v>76648</v>
      </c>
      <c r="S354" s="5"/>
      <c r="T354" s="5"/>
    </row>
    <row r="355" spans="1:20" ht="15.75" hidden="1" x14ac:dyDescent="0.25">
      <c r="B355" s="5"/>
      <c r="C355" s="72" t="s">
        <v>2450</v>
      </c>
      <c r="D355" s="72"/>
      <c r="E355" s="73" t="s">
        <v>0</v>
      </c>
      <c r="F355" s="73"/>
      <c r="G355" s="149" t="s">
        <v>99</v>
      </c>
      <c r="H355" s="74" t="s">
        <v>1059</v>
      </c>
      <c r="I355" s="74"/>
      <c r="J355" s="73" t="s">
        <v>1031</v>
      </c>
      <c r="K355" s="183">
        <v>43891</v>
      </c>
      <c r="L355" s="73"/>
      <c r="M355" s="74"/>
      <c r="N355" s="104">
        <v>579</v>
      </c>
      <c r="O355" s="4" t="s">
        <v>15</v>
      </c>
      <c r="P355" s="4"/>
      <c r="Q355" s="3">
        <f t="shared" si="25"/>
        <v>579</v>
      </c>
      <c r="R355" s="3">
        <f t="shared" si="26"/>
        <v>0</v>
      </c>
      <c r="S355" s="5"/>
      <c r="T355" s="5"/>
    </row>
    <row r="356" spans="1:20" ht="15.75" hidden="1" x14ac:dyDescent="0.25">
      <c r="A356" t="s">
        <v>6091</v>
      </c>
      <c r="B356" s="21" t="s">
        <v>395</v>
      </c>
      <c r="C356" s="22" t="s">
        <v>2450</v>
      </c>
      <c r="D356" s="22"/>
      <c r="E356" s="21" t="s">
        <v>0</v>
      </c>
      <c r="F356" s="21"/>
      <c r="G356" s="147" t="s">
        <v>36</v>
      </c>
      <c r="H356" s="23" t="s">
        <v>394</v>
      </c>
      <c r="I356" s="23"/>
      <c r="J356" s="21" t="s">
        <v>331</v>
      </c>
      <c r="K356" s="21"/>
      <c r="L356" s="21"/>
      <c r="M356" s="28"/>
      <c r="N356" s="44">
        <v>10000</v>
      </c>
      <c r="O356" s="22" t="s">
        <v>15</v>
      </c>
      <c r="P356" s="22" t="s">
        <v>19</v>
      </c>
      <c r="Q356" s="24">
        <f t="shared" si="25"/>
        <v>0</v>
      </c>
      <c r="R356" s="24">
        <f t="shared" si="26"/>
        <v>10000</v>
      </c>
      <c r="S356" s="5"/>
      <c r="T356" s="5"/>
    </row>
    <row r="357" spans="1:20" ht="15.75" hidden="1" x14ac:dyDescent="0.25">
      <c r="A357" t="s">
        <v>6091</v>
      </c>
      <c r="B357" s="21" t="s">
        <v>395</v>
      </c>
      <c r="C357" s="22" t="s">
        <v>2450</v>
      </c>
      <c r="D357" s="22"/>
      <c r="E357" s="21" t="s">
        <v>0</v>
      </c>
      <c r="F357" s="21"/>
      <c r="G357" s="147" t="s">
        <v>36</v>
      </c>
      <c r="H357" s="23" t="s">
        <v>394</v>
      </c>
      <c r="I357" s="23"/>
      <c r="J357" s="21" t="s">
        <v>333</v>
      </c>
      <c r="K357" s="47"/>
      <c r="L357" s="21" t="s">
        <v>1910</v>
      </c>
      <c r="M357" s="26">
        <v>43707</v>
      </c>
      <c r="N357" s="44">
        <v>10000</v>
      </c>
      <c r="O357" s="22" t="s">
        <v>15</v>
      </c>
      <c r="P357" s="22" t="s">
        <v>19</v>
      </c>
      <c r="Q357" s="24">
        <f t="shared" si="25"/>
        <v>0</v>
      </c>
      <c r="R357" s="24">
        <f t="shared" si="26"/>
        <v>10000</v>
      </c>
      <c r="S357" s="5"/>
      <c r="T357" s="5"/>
    </row>
    <row r="358" spans="1:20" ht="15.75" hidden="1" x14ac:dyDescent="0.25">
      <c r="A358" t="s">
        <v>6091</v>
      </c>
      <c r="B358" s="21" t="s">
        <v>395</v>
      </c>
      <c r="C358" s="22" t="s">
        <v>2450</v>
      </c>
      <c r="D358" s="22"/>
      <c r="E358" s="21" t="s">
        <v>0</v>
      </c>
      <c r="F358" s="21"/>
      <c r="G358" s="147" t="s">
        <v>36</v>
      </c>
      <c r="H358" s="23" t="s">
        <v>394</v>
      </c>
      <c r="I358" s="23"/>
      <c r="J358" s="21" t="s">
        <v>332</v>
      </c>
      <c r="K358" s="232"/>
      <c r="L358" s="21" t="s">
        <v>7252</v>
      </c>
      <c r="M358" s="26">
        <v>44872</v>
      </c>
      <c r="N358" s="44">
        <v>11000</v>
      </c>
      <c r="O358" s="22" t="s">
        <v>15</v>
      </c>
      <c r="P358" s="22" t="s">
        <v>19</v>
      </c>
      <c r="Q358" s="24">
        <f t="shared" si="25"/>
        <v>0</v>
      </c>
      <c r="R358" s="24">
        <f t="shared" si="26"/>
        <v>11000</v>
      </c>
      <c r="S358" s="5"/>
      <c r="T358" s="5"/>
    </row>
    <row r="359" spans="1:20" ht="15.75" hidden="1" x14ac:dyDescent="0.25">
      <c r="A359" t="s">
        <v>6091</v>
      </c>
      <c r="B359" s="21" t="s">
        <v>395</v>
      </c>
      <c r="C359" s="22" t="s">
        <v>2450</v>
      </c>
      <c r="D359" s="22"/>
      <c r="E359" s="21" t="s">
        <v>0</v>
      </c>
      <c r="F359" s="21"/>
      <c r="G359" s="147" t="s">
        <v>36</v>
      </c>
      <c r="H359" s="23" t="s">
        <v>393</v>
      </c>
      <c r="I359" s="23"/>
      <c r="J359" s="21" t="s">
        <v>348</v>
      </c>
      <c r="K359" s="21"/>
      <c r="L359" s="21"/>
      <c r="M359" s="46">
        <v>42976</v>
      </c>
      <c r="N359" s="44">
        <f>0.5*21800</f>
        <v>10900</v>
      </c>
      <c r="O359" s="22" t="s">
        <v>15</v>
      </c>
      <c r="P359" s="22" t="s">
        <v>19</v>
      </c>
      <c r="Q359" s="24">
        <f t="shared" si="25"/>
        <v>0</v>
      </c>
      <c r="R359" s="24">
        <f t="shared" si="26"/>
        <v>10900</v>
      </c>
      <c r="S359" s="5"/>
      <c r="T359" s="5"/>
    </row>
    <row r="360" spans="1:20" ht="15.75" hidden="1" x14ac:dyDescent="0.25">
      <c r="A360" t="s">
        <v>6091</v>
      </c>
      <c r="B360" s="21" t="s">
        <v>395</v>
      </c>
      <c r="C360" s="22" t="s">
        <v>2450</v>
      </c>
      <c r="D360" s="22"/>
      <c r="E360" s="21" t="s">
        <v>0</v>
      </c>
      <c r="F360" s="21"/>
      <c r="G360" s="147" t="s">
        <v>36</v>
      </c>
      <c r="H360" s="23" t="s">
        <v>392</v>
      </c>
      <c r="I360" s="23"/>
      <c r="J360" s="21" t="s">
        <v>348</v>
      </c>
      <c r="K360" s="21"/>
      <c r="L360" s="21"/>
      <c r="M360" s="46">
        <v>43132</v>
      </c>
      <c r="N360" s="44">
        <f>0.5*21800</f>
        <v>10900</v>
      </c>
      <c r="O360" s="22" t="s">
        <v>15</v>
      </c>
      <c r="P360" s="22" t="s">
        <v>19</v>
      </c>
      <c r="Q360" s="24">
        <f t="shared" si="25"/>
        <v>0</v>
      </c>
      <c r="R360" s="24">
        <f t="shared" si="26"/>
        <v>10900</v>
      </c>
      <c r="S360" s="5"/>
      <c r="T360" s="5"/>
    </row>
    <row r="361" spans="1:20" ht="15.75" hidden="1" x14ac:dyDescent="0.25">
      <c r="A361" t="s">
        <v>6091</v>
      </c>
      <c r="B361" s="21" t="s">
        <v>395</v>
      </c>
      <c r="C361" s="22" t="s">
        <v>2450</v>
      </c>
      <c r="D361" s="22"/>
      <c r="E361" s="21" t="s">
        <v>0</v>
      </c>
      <c r="F361" s="21"/>
      <c r="G361" s="147" t="s">
        <v>36</v>
      </c>
      <c r="H361" s="23" t="s">
        <v>391</v>
      </c>
      <c r="I361" s="23"/>
      <c r="J361" s="21" t="s">
        <v>558</v>
      </c>
      <c r="K361" s="21"/>
      <c r="L361" s="21"/>
      <c r="M361" s="28" t="s">
        <v>476</v>
      </c>
      <c r="N361" s="44">
        <v>0</v>
      </c>
      <c r="O361" s="22" t="s">
        <v>15</v>
      </c>
      <c r="P361" s="22" t="s">
        <v>19</v>
      </c>
      <c r="Q361" s="24">
        <f t="shared" si="25"/>
        <v>0</v>
      </c>
      <c r="R361" s="24">
        <f t="shared" si="26"/>
        <v>0</v>
      </c>
      <c r="S361" s="5"/>
      <c r="T361" s="5"/>
    </row>
    <row r="362" spans="1:20" ht="15.75" hidden="1" x14ac:dyDescent="0.25">
      <c r="B362" s="21" t="s">
        <v>395</v>
      </c>
      <c r="C362" s="22" t="s">
        <v>192</v>
      </c>
      <c r="D362" s="22"/>
      <c r="E362" s="21" t="s">
        <v>10</v>
      </c>
      <c r="F362" s="21"/>
      <c r="G362" s="147" t="s">
        <v>11</v>
      </c>
      <c r="H362" s="23" t="s">
        <v>273</v>
      </c>
      <c r="I362" s="23"/>
      <c r="J362" s="21" t="s">
        <v>196</v>
      </c>
      <c r="K362" s="21"/>
      <c r="L362" s="21"/>
      <c r="M362" s="46">
        <v>42821</v>
      </c>
      <c r="N362" s="44">
        <v>25000</v>
      </c>
      <c r="O362" s="22" t="s">
        <v>16</v>
      </c>
      <c r="P362" s="22" t="s">
        <v>19</v>
      </c>
      <c r="Q362" s="24">
        <f t="shared" si="25"/>
        <v>0</v>
      </c>
      <c r="R362" s="24">
        <f t="shared" si="26"/>
        <v>25000</v>
      </c>
      <c r="S362" s="5"/>
      <c r="T362" s="5"/>
    </row>
    <row r="363" spans="1:20" ht="15.75" hidden="1" x14ac:dyDescent="0.25">
      <c r="B363" s="21" t="s">
        <v>395</v>
      </c>
      <c r="C363" s="22" t="s">
        <v>192</v>
      </c>
      <c r="D363" s="22"/>
      <c r="E363" s="21" t="s">
        <v>10</v>
      </c>
      <c r="F363" s="21"/>
      <c r="G363" s="147" t="s">
        <v>11</v>
      </c>
      <c r="H363" s="23" t="s">
        <v>273</v>
      </c>
      <c r="I363" s="23"/>
      <c r="J363" s="21" t="s">
        <v>13</v>
      </c>
      <c r="K363" s="21"/>
      <c r="L363" s="21"/>
      <c r="M363" s="46">
        <v>42846</v>
      </c>
      <c r="N363" s="44">
        <v>8822</v>
      </c>
      <c r="O363" s="22" t="s">
        <v>16</v>
      </c>
      <c r="P363" s="22" t="s">
        <v>19</v>
      </c>
      <c r="Q363" s="24">
        <f t="shared" si="25"/>
        <v>0</v>
      </c>
      <c r="R363" s="24">
        <f t="shared" si="26"/>
        <v>8822</v>
      </c>
      <c r="S363" s="5"/>
      <c r="T363" s="5"/>
    </row>
    <row r="364" spans="1:20" ht="15.75" hidden="1" x14ac:dyDescent="0.25">
      <c r="A364" t="s">
        <v>6091</v>
      </c>
      <c r="B364" s="21" t="s">
        <v>395</v>
      </c>
      <c r="C364" s="22" t="s">
        <v>2450</v>
      </c>
      <c r="D364" s="22"/>
      <c r="E364" s="21" t="s">
        <v>0</v>
      </c>
      <c r="F364" s="21"/>
      <c r="G364" s="147" t="s">
        <v>36</v>
      </c>
      <c r="H364" s="23" t="s">
        <v>474</v>
      </c>
      <c r="I364" s="23"/>
      <c r="J364" s="21" t="s">
        <v>37</v>
      </c>
      <c r="K364" s="21"/>
      <c r="L364" s="21"/>
      <c r="M364" s="46">
        <v>42472</v>
      </c>
      <c r="N364" s="44">
        <v>8000</v>
      </c>
      <c r="O364" s="22" t="s">
        <v>15</v>
      </c>
      <c r="P364" s="22" t="s">
        <v>19</v>
      </c>
      <c r="Q364" s="24">
        <f t="shared" si="25"/>
        <v>0</v>
      </c>
      <c r="R364" s="24">
        <f t="shared" si="26"/>
        <v>8000</v>
      </c>
      <c r="S364" s="5"/>
      <c r="T364" s="5"/>
    </row>
    <row r="365" spans="1:20" ht="15.75" hidden="1" x14ac:dyDescent="0.25">
      <c r="A365" t="s">
        <v>6091</v>
      </c>
      <c r="B365" s="21" t="s">
        <v>395</v>
      </c>
      <c r="C365" s="22" t="s">
        <v>2450</v>
      </c>
      <c r="D365" s="22"/>
      <c r="E365" s="21" t="s">
        <v>0</v>
      </c>
      <c r="F365" s="21"/>
      <c r="G365" s="147" t="s">
        <v>36</v>
      </c>
      <c r="H365" s="23" t="s">
        <v>474</v>
      </c>
      <c r="I365" s="23"/>
      <c r="J365" s="21" t="s">
        <v>38</v>
      </c>
      <c r="K365" s="21"/>
      <c r="L365" s="21"/>
      <c r="M365" s="46">
        <v>42650</v>
      </c>
      <c r="N365" s="44">
        <v>21000</v>
      </c>
      <c r="O365" s="22" t="s">
        <v>15</v>
      </c>
      <c r="P365" s="22" t="s">
        <v>19</v>
      </c>
      <c r="Q365" s="24">
        <f t="shared" si="25"/>
        <v>0</v>
      </c>
      <c r="R365" s="24">
        <f t="shared" si="26"/>
        <v>21000</v>
      </c>
      <c r="S365" s="5"/>
      <c r="T365" s="5"/>
    </row>
    <row r="366" spans="1:20" ht="15.75" hidden="1" x14ac:dyDescent="0.25">
      <c r="A366" t="s">
        <v>6091</v>
      </c>
      <c r="B366" s="21" t="s">
        <v>395</v>
      </c>
      <c r="C366" s="22" t="s">
        <v>2450</v>
      </c>
      <c r="D366" s="22"/>
      <c r="E366" s="21" t="s">
        <v>0</v>
      </c>
      <c r="F366" s="21"/>
      <c r="G366" s="147" t="s">
        <v>36</v>
      </c>
      <c r="H366" s="23" t="s">
        <v>475</v>
      </c>
      <c r="I366" s="23"/>
      <c r="J366" s="21" t="s">
        <v>39</v>
      </c>
      <c r="K366" s="21"/>
      <c r="L366" s="21"/>
      <c r="M366" s="46">
        <v>42682</v>
      </c>
      <c r="N366" s="44">
        <v>20500</v>
      </c>
      <c r="O366" s="22" t="s">
        <v>15</v>
      </c>
      <c r="P366" s="22" t="s">
        <v>19</v>
      </c>
      <c r="Q366" s="24">
        <f t="shared" ref="Q366" si="27">IF(P366="en cours",N366,IF(P366="OK",0,IF(N366-P366&lt;0,0,N366-P366)))</f>
        <v>0</v>
      </c>
      <c r="R366" s="24">
        <f t="shared" si="26"/>
        <v>20500</v>
      </c>
      <c r="S366" s="5"/>
      <c r="T366" s="5"/>
    </row>
    <row r="367" spans="1:20" ht="15.75" hidden="1" x14ac:dyDescent="0.25">
      <c r="A367" t="s">
        <v>6091</v>
      </c>
      <c r="B367" s="21" t="s">
        <v>395</v>
      </c>
      <c r="C367" s="22" t="s">
        <v>2450</v>
      </c>
      <c r="D367" s="22"/>
      <c r="E367" s="21" t="s">
        <v>0</v>
      </c>
      <c r="F367" s="21"/>
      <c r="G367" s="147" t="s">
        <v>36</v>
      </c>
      <c r="H367" s="23" t="s">
        <v>475</v>
      </c>
      <c r="I367" s="23"/>
      <c r="J367" s="21" t="s">
        <v>40</v>
      </c>
      <c r="K367" s="21"/>
      <c r="L367" s="21"/>
      <c r="M367" s="46">
        <v>42682</v>
      </c>
      <c r="N367" s="44">
        <v>24500</v>
      </c>
      <c r="O367" s="22" t="s">
        <v>15</v>
      </c>
      <c r="P367" s="22" t="s">
        <v>19</v>
      </c>
      <c r="Q367" s="24">
        <v>0</v>
      </c>
      <c r="R367" s="24">
        <f t="shared" si="26"/>
        <v>24500</v>
      </c>
      <c r="S367" s="5"/>
      <c r="T367" s="5"/>
    </row>
    <row r="368" spans="1:20" ht="15.75" hidden="1" x14ac:dyDescent="0.25">
      <c r="A368" t="s">
        <v>6091</v>
      </c>
      <c r="B368" s="21" t="s">
        <v>395</v>
      </c>
      <c r="C368" s="22" t="s">
        <v>2450</v>
      </c>
      <c r="D368" s="22"/>
      <c r="E368" s="21" t="s">
        <v>0</v>
      </c>
      <c r="F368" s="21"/>
      <c r="G368" s="147" t="s">
        <v>36</v>
      </c>
      <c r="H368" s="23" t="s">
        <v>475</v>
      </c>
      <c r="I368" s="23"/>
      <c r="J368" s="21" t="s">
        <v>41</v>
      </c>
      <c r="K368" s="21"/>
      <c r="L368" s="21"/>
      <c r="M368" s="46">
        <v>42468</v>
      </c>
      <c r="N368" s="44">
        <v>21000</v>
      </c>
      <c r="O368" s="22" t="s">
        <v>15</v>
      </c>
      <c r="P368" s="22" t="s">
        <v>19</v>
      </c>
      <c r="Q368" s="24">
        <f t="shared" ref="Q368:Q431" si="28">IF(P368="en cours",N368,IF(P368="OK",0,IF(N368-P368&lt;0,0,N368-P368)))</f>
        <v>0</v>
      </c>
      <c r="R368" s="24">
        <f t="shared" si="26"/>
        <v>21000</v>
      </c>
      <c r="S368" s="5"/>
      <c r="T368" s="5"/>
    </row>
    <row r="369" spans="1:20" ht="17.25" hidden="1" customHeight="1" x14ac:dyDescent="0.25">
      <c r="A369" t="s">
        <v>6091</v>
      </c>
      <c r="B369" s="21" t="s">
        <v>395</v>
      </c>
      <c r="C369" s="22" t="s">
        <v>2450</v>
      </c>
      <c r="D369" s="22"/>
      <c r="E369" s="21" t="s">
        <v>0</v>
      </c>
      <c r="F369" s="21"/>
      <c r="G369" s="147" t="s">
        <v>36</v>
      </c>
      <c r="H369" s="23" t="s">
        <v>473</v>
      </c>
      <c r="I369" s="23"/>
      <c r="J369" s="21" t="s">
        <v>42</v>
      </c>
      <c r="K369" s="21"/>
      <c r="L369" s="21"/>
      <c r="M369" s="46">
        <v>42472</v>
      </c>
      <c r="N369" s="44">
        <v>100000</v>
      </c>
      <c r="O369" s="22" t="s">
        <v>15</v>
      </c>
      <c r="P369" s="22" t="s">
        <v>19</v>
      </c>
      <c r="Q369" s="24">
        <f t="shared" si="28"/>
        <v>0</v>
      </c>
      <c r="R369" s="24">
        <f t="shared" si="26"/>
        <v>100000</v>
      </c>
      <c r="S369" s="5"/>
      <c r="T369" s="5"/>
    </row>
    <row r="370" spans="1:20" ht="15.75" hidden="1" x14ac:dyDescent="0.25">
      <c r="A370" t="s">
        <v>6091</v>
      </c>
      <c r="B370" s="21" t="s">
        <v>395</v>
      </c>
      <c r="C370" s="22" t="s">
        <v>2450</v>
      </c>
      <c r="D370" s="22"/>
      <c r="E370" s="21" t="s">
        <v>0</v>
      </c>
      <c r="F370" s="21"/>
      <c r="G370" s="147" t="s">
        <v>36</v>
      </c>
      <c r="H370" s="23" t="s">
        <v>45</v>
      </c>
      <c r="I370" s="23"/>
      <c r="J370" s="21" t="s">
        <v>44</v>
      </c>
      <c r="K370" s="21"/>
      <c r="L370" s="21"/>
      <c r="M370" s="46">
        <v>42668</v>
      </c>
      <c r="N370" s="44">
        <v>5000</v>
      </c>
      <c r="O370" s="22" t="s">
        <v>15</v>
      </c>
      <c r="P370" s="22" t="s">
        <v>19</v>
      </c>
      <c r="Q370" s="24">
        <f t="shared" si="28"/>
        <v>0</v>
      </c>
      <c r="R370" s="24">
        <f t="shared" si="26"/>
        <v>5000</v>
      </c>
      <c r="S370" s="5"/>
      <c r="T370" s="5"/>
    </row>
    <row r="371" spans="1:20" ht="15.75" hidden="1" x14ac:dyDescent="0.25">
      <c r="A371" t="s">
        <v>6091</v>
      </c>
      <c r="B371" s="21" t="s">
        <v>395</v>
      </c>
      <c r="C371" s="22" t="s">
        <v>2450</v>
      </c>
      <c r="D371" s="22"/>
      <c r="E371" s="21" t="s">
        <v>0</v>
      </c>
      <c r="F371" s="21"/>
      <c r="G371" s="147" t="s">
        <v>36</v>
      </c>
      <c r="H371" s="23" t="s">
        <v>183</v>
      </c>
      <c r="I371" s="23"/>
      <c r="J371" s="21" t="s">
        <v>186</v>
      </c>
      <c r="K371" s="21"/>
      <c r="L371" s="21"/>
      <c r="M371" s="46">
        <v>42732</v>
      </c>
      <c r="N371" s="44">
        <v>1692</v>
      </c>
      <c r="O371" s="22" t="s">
        <v>15</v>
      </c>
      <c r="P371" s="22" t="s">
        <v>19</v>
      </c>
      <c r="Q371" s="24">
        <f t="shared" si="28"/>
        <v>0</v>
      </c>
      <c r="R371" s="24">
        <f t="shared" si="26"/>
        <v>1692</v>
      </c>
      <c r="S371" s="5"/>
      <c r="T371" s="5"/>
    </row>
    <row r="372" spans="1:20" ht="15.75" hidden="1" x14ac:dyDescent="0.25">
      <c r="B372" s="21" t="s">
        <v>395</v>
      </c>
      <c r="C372" s="22" t="s">
        <v>2450</v>
      </c>
      <c r="D372" s="22"/>
      <c r="E372" s="21" t="s">
        <v>0</v>
      </c>
      <c r="F372" s="21"/>
      <c r="G372" s="147" t="s">
        <v>49</v>
      </c>
      <c r="H372" s="23" t="s">
        <v>479</v>
      </c>
      <c r="I372" s="23"/>
      <c r="J372" s="21" t="s">
        <v>37</v>
      </c>
      <c r="K372" s="21"/>
      <c r="L372" s="21"/>
      <c r="M372" s="46">
        <v>42660</v>
      </c>
      <c r="N372" s="44">
        <v>35420</v>
      </c>
      <c r="O372" s="22" t="s">
        <v>15</v>
      </c>
      <c r="P372" s="22" t="s">
        <v>19</v>
      </c>
      <c r="Q372" s="24">
        <f t="shared" si="28"/>
        <v>0</v>
      </c>
      <c r="R372" s="24">
        <f t="shared" si="26"/>
        <v>35420</v>
      </c>
      <c r="S372" s="5"/>
      <c r="T372" s="5"/>
    </row>
    <row r="373" spans="1:20" ht="15.75" hidden="1" x14ac:dyDescent="0.25">
      <c r="B373" s="21" t="s">
        <v>395</v>
      </c>
      <c r="C373" s="22" t="s">
        <v>2450</v>
      </c>
      <c r="D373" s="22"/>
      <c r="E373" s="21" t="s">
        <v>0</v>
      </c>
      <c r="F373" s="21"/>
      <c r="G373" s="147" t="s">
        <v>49</v>
      </c>
      <c r="H373" s="23" t="s">
        <v>481</v>
      </c>
      <c r="I373" s="23"/>
      <c r="J373" s="21" t="s">
        <v>37</v>
      </c>
      <c r="K373" s="21"/>
      <c r="L373" s="21"/>
      <c r="M373" s="46">
        <v>42688</v>
      </c>
      <c r="N373" s="44">
        <v>4000</v>
      </c>
      <c r="O373" s="22" t="s">
        <v>15</v>
      </c>
      <c r="P373" s="22" t="s">
        <v>19</v>
      </c>
      <c r="Q373" s="24">
        <f t="shared" si="28"/>
        <v>0</v>
      </c>
      <c r="R373" s="24">
        <f t="shared" si="26"/>
        <v>4000</v>
      </c>
      <c r="S373" s="5"/>
      <c r="T373" s="5"/>
    </row>
    <row r="374" spans="1:20" ht="15.75" hidden="1" x14ac:dyDescent="0.25">
      <c r="B374" s="21" t="s">
        <v>395</v>
      </c>
      <c r="C374" s="22" t="s">
        <v>2450</v>
      </c>
      <c r="D374" s="22"/>
      <c r="E374" s="21" t="s">
        <v>0</v>
      </c>
      <c r="F374" s="21"/>
      <c r="G374" s="147" t="s">
        <v>49</v>
      </c>
      <c r="H374" s="23" t="s">
        <v>481</v>
      </c>
      <c r="I374" s="23"/>
      <c r="J374" s="21" t="s">
        <v>50</v>
      </c>
      <c r="K374" s="21"/>
      <c r="L374" s="21"/>
      <c r="M374" s="46">
        <v>42942</v>
      </c>
      <c r="N374" s="44">
        <v>4000</v>
      </c>
      <c r="O374" s="22" t="s">
        <v>15</v>
      </c>
      <c r="P374" s="22" t="s">
        <v>19</v>
      </c>
      <c r="Q374" s="24">
        <f t="shared" si="28"/>
        <v>0</v>
      </c>
      <c r="R374" s="24">
        <f t="shared" si="26"/>
        <v>4000</v>
      </c>
      <c r="S374" s="5"/>
      <c r="T374" s="5"/>
    </row>
    <row r="375" spans="1:20" ht="15.75" hidden="1" x14ac:dyDescent="0.25">
      <c r="B375" s="21" t="s">
        <v>395</v>
      </c>
      <c r="C375" s="22" t="s">
        <v>2450</v>
      </c>
      <c r="D375" s="22"/>
      <c r="E375" s="21" t="s">
        <v>0</v>
      </c>
      <c r="F375" s="21"/>
      <c r="G375" s="147" t="s">
        <v>49</v>
      </c>
      <c r="H375" s="23" t="s">
        <v>478</v>
      </c>
      <c r="I375" s="23"/>
      <c r="J375" s="21" t="s">
        <v>53</v>
      </c>
      <c r="K375" s="21"/>
      <c r="L375" s="21"/>
      <c r="M375" s="46">
        <v>42408</v>
      </c>
      <c r="N375" s="44">
        <v>30000</v>
      </c>
      <c r="O375" s="22" t="s">
        <v>15</v>
      </c>
      <c r="P375" s="22" t="s">
        <v>19</v>
      </c>
      <c r="Q375" s="24">
        <f t="shared" si="28"/>
        <v>0</v>
      </c>
      <c r="R375" s="24">
        <f t="shared" si="26"/>
        <v>30000</v>
      </c>
      <c r="S375" s="5"/>
      <c r="T375" s="5"/>
    </row>
    <row r="376" spans="1:20" ht="15.75" hidden="1" x14ac:dyDescent="0.25">
      <c r="B376" s="21" t="s">
        <v>395</v>
      </c>
      <c r="C376" s="22" t="s">
        <v>2450</v>
      </c>
      <c r="D376" s="22"/>
      <c r="E376" s="21" t="s">
        <v>0</v>
      </c>
      <c r="F376" s="21"/>
      <c r="G376" s="147" t="s">
        <v>49</v>
      </c>
      <c r="H376" s="23" t="s">
        <v>478</v>
      </c>
      <c r="I376" s="23"/>
      <c r="J376" s="21" t="s">
        <v>53</v>
      </c>
      <c r="K376" s="21"/>
      <c r="L376" s="21"/>
      <c r="M376" s="46">
        <v>42585</v>
      </c>
      <c r="N376" s="44">
        <v>80000</v>
      </c>
      <c r="O376" s="22" t="s">
        <v>15</v>
      </c>
      <c r="P376" s="22" t="s">
        <v>19</v>
      </c>
      <c r="Q376" s="24">
        <f t="shared" si="28"/>
        <v>0</v>
      </c>
      <c r="R376" s="24">
        <f t="shared" si="26"/>
        <v>80000</v>
      </c>
      <c r="S376" s="5"/>
      <c r="T376" s="5"/>
    </row>
    <row r="377" spans="1:20" ht="15.75" hidden="1" x14ac:dyDescent="0.25">
      <c r="B377" s="21" t="s">
        <v>395</v>
      </c>
      <c r="C377" s="22" t="s">
        <v>2450</v>
      </c>
      <c r="D377" s="22"/>
      <c r="E377" s="21" t="s">
        <v>0</v>
      </c>
      <c r="F377" s="21"/>
      <c r="G377" s="147" t="s">
        <v>49</v>
      </c>
      <c r="H377" s="23" t="s">
        <v>51</v>
      </c>
      <c r="I377" s="23"/>
      <c r="J377" s="21" t="s">
        <v>54</v>
      </c>
      <c r="K377" s="21"/>
      <c r="L377" s="21"/>
      <c r="M377" s="46"/>
      <c r="N377" s="44">
        <v>6000</v>
      </c>
      <c r="O377" s="22" t="s">
        <v>15</v>
      </c>
      <c r="P377" s="22" t="s">
        <v>19</v>
      </c>
      <c r="Q377" s="24">
        <f t="shared" si="28"/>
        <v>0</v>
      </c>
      <c r="R377" s="24">
        <f t="shared" si="26"/>
        <v>6000</v>
      </c>
      <c r="S377" s="5"/>
      <c r="T377" s="5"/>
    </row>
    <row r="378" spans="1:20" ht="15.75" hidden="1" x14ac:dyDescent="0.25">
      <c r="B378" s="21" t="s">
        <v>395</v>
      </c>
      <c r="C378" s="22" t="s">
        <v>2450</v>
      </c>
      <c r="D378" s="22"/>
      <c r="E378" s="21" t="s">
        <v>0</v>
      </c>
      <c r="F378" s="21"/>
      <c r="G378" s="147" t="s">
        <v>49</v>
      </c>
      <c r="H378" s="23" t="s">
        <v>51</v>
      </c>
      <c r="I378" s="23"/>
      <c r="J378" s="21" t="s">
        <v>55</v>
      </c>
      <c r="K378" s="21"/>
      <c r="L378" s="21"/>
      <c r="M378" s="46">
        <v>42535</v>
      </c>
      <c r="N378" s="44">
        <v>5000</v>
      </c>
      <c r="O378" s="22" t="s">
        <v>15</v>
      </c>
      <c r="P378" s="22" t="s">
        <v>19</v>
      </c>
      <c r="Q378" s="24">
        <f t="shared" si="28"/>
        <v>0</v>
      </c>
      <c r="R378" s="24">
        <f t="shared" si="26"/>
        <v>5000</v>
      </c>
      <c r="S378" s="5"/>
      <c r="T378" s="5"/>
    </row>
    <row r="379" spans="1:20" ht="15.75" hidden="1" x14ac:dyDescent="0.25">
      <c r="B379" s="21" t="s">
        <v>395</v>
      </c>
      <c r="C379" s="22" t="s">
        <v>2450</v>
      </c>
      <c r="D379" s="22"/>
      <c r="E379" s="21" t="s">
        <v>0</v>
      </c>
      <c r="F379" s="21"/>
      <c r="G379" s="147" t="s">
        <v>49</v>
      </c>
      <c r="H379" s="23" t="s">
        <v>51</v>
      </c>
      <c r="I379" s="23"/>
      <c r="J379" s="21" t="s">
        <v>56</v>
      </c>
      <c r="K379" s="21"/>
      <c r="L379" s="21"/>
      <c r="M379" s="46">
        <v>42535</v>
      </c>
      <c r="N379" s="44">
        <v>13000</v>
      </c>
      <c r="O379" s="22" t="s">
        <v>15</v>
      </c>
      <c r="P379" s="22" t="s">
        <v>19</v>
      </c>
      <c r="Q379" s="24">
        <f t="shared" si="28"/>
        <v>0</v>
      </c>
      <c r="R379" s="24">
        <f t="shared" si="26"/>
        <v>13000</v>
      </c>
      <c r="S379" s="5"/>
      <c r="T379" s="5"/>
    </row>
    <row r="380" spans="1:20" ht="15.75" hidden="1" x14ac:dyDescent="0.25">
      <c r="B380" s="21" t="s">
        <v>395</v>
      </c>
      <c r="C380" s="22" t="s">
        <v>2450</v>
      </c>
      <c r="D380" s="22"/>
      <c r="E380" s="21" t="s">
        <v>0</v>
      </c>
      <c r="F380" s="21"/>
      <c r="G380" s="147" t="s">
        <v>49</v>
      </c>
      <c r="H380" s="23" t="s">
        <v>52</v>
      </c>
      <c r="I380" s="23"/>
      <c r="J380" s="21" t="s">
        <v>54</v>
      </c>
      <c r="K380" s="21"/>
      <c r="L380" s="21"/>
      <c r="M380" s="46"/>
      <c r="N380" s="44">
        <v>3000</v>
      </c>
      <c r="O380" s="22" t="s">
        <v>15</v>
      </c>
      <c r="P380" s="22" t="s">
        <v>19</v>
      </c>
      <c r="Q380" s="24">
        <f t="shared" si="28"/>
        <v>0</v>
      </c>
      <c r="R380" s="24">
        <f t="shared" si="26"/>
        <v>3000</v>
      </c>
      <c r="S380" s="5"/>
      <c r="T380" s="5"/>
    </row>
    <row r="381" spans="1:20" ht="15.75" hidden="1" x14ac:dyDescent="0.25">
      <c r="B381" s="21" t="s">
        <v>395</v>
      </c>
      <c r="C381" s="22" t="s">
        <v>2450</v>
      </c>
      <c r="D381" s="22"/>
      <c r="E381" s="21" t="s">
        <v>0</v>
      </c>
      <c r="F381" s="21"/>
      <c r="G381" s="147" t="s">
        <v>49</v>
      </c>
      <c r="H381" s="23" t="s">
        <v>52</v>
      </c>
      <c r="I381" s="23"/>
      <c r="J381" s="21" t="s">
        <v>57</v>
      </c>
      <c r="K381" s="21"/>
      <c r="L381" s="21"/>
      <c r="M381" s="46">
        <v>42445</v>
      </c>
      <c r="N381" s="44">
        <v>12000</v>
      </c>
      <c r="O381" s="22" t="s">
        <v>15</v>
      </c>
      <c r="P381" s="22" t="s">
        <v>19</v>
      </c>
      <c r="Q381" s="24">
        <f t="shared" si="28"/>
        <v>0</v>
      </c>
      <c r="R381" s="24">
        <f t="shared" si="26"/>
        <v>12000</v>
      </c>
      <c r="S381" s="5"/>
      <c r="T381" s="5"/>
    </row>
    <row r="382" spans="1:20" ht="15.75" hidden="1" x14ac:dyDescent="0.25">
      <c r="B382" s="21" t="s">
        <v>395</v>
      </c>
      <c r="C382" s="22" t="s">
        <v>2450</v>
      </c>
      <c r="D382" s="22"/>
      <c r="E382" s="21" t="s">
        <v>0</v>
      </c>
      <c r="F382" s="21"/>
      <c r="G382" s="147" t="s">
        <v>49</v>
      </c>
      <c r="H382" s="23" t="s">
        <v>58</v>
      </c>
      <c r="I382" s="23"/>
      <c r="J382" s="21" t="s">
        <v>62</v>
      </c>
      <c r="K382" s="21"/>
      <c r="L382" s="21"/>
      <c r="M382" s="46"/>
      <c r="N382" s="44">
        <v>8200</v>
      </c>
      <c r="O382" s="22" t="s">
        <v>15</v>
      </c>
      <c r="P382" s="22" t="s">
        <v>19</v>
      </c>
      <c r="Q382" s="24">
        <f t="shared" si="28"/>
        <v>0</v>
      </c>
      <c r="R382" s="24">
        <f t="shared" si="26"/>
        <v>8200</v>
      </c>
      <c r="S382" s="5"/>
      <c r="T382" s="5"/>
    </row>
    <row r="383" spans="1:20" ht="15.75" hidden="1" x14ac:dyDescent="0.25">
      <c r="B383" s="21" t="s">
        <v>395</v>
      </c>
      <c r="C383" s="22" t="s">
        <v>2450</v>
      </c>
      <c r="D383" s="22"/>
      <c r="E383" s="21" t="s">
        <v>0</v>
      </c>
      <c r="F383" s="21"/>
      <c r="G383" s="147" t="s">
        <v>49</v>
      </c>
      <c r="H383" s="23" t="s">
        <v>58</v>
      </c>
      <c r="I383" s="23"/>
      <c r="J383" s="21" t="s">
        <v>62</v>
      </c>
      <c r="K383" s="21"/>
      <c r="L383" s="21"/>
      <c r="M383" s="46"/>
      <c r="N383" s="44">
        <v>3000</v>
      </c>
      <c r="O383" s="22" t="s">
        <v>15</v>
      </c>
      <c r="P383" s="22" t="s">
        <v>19</v>
      </c>
      <c r="Q383" s="24">
        <f t="shared" si="28"/>
        <v>0</v>
      </c>
      <c r="R383" s="24">
        <f t="shared" si="26"/>
        <v>3000</v>
      </c>
      <c r="S383" s="5"/>
      <c r="T383" s="5"/>
    </row>
    <row r="384" spans="1:20" ht="15.75" hidden="1" x14ac:dyDescent="0.25">
      <c r="B384" s="21" t="s">
        <v>395</v>
      </c>
      <c r="C384" s="22" t="s">
        <v>2450</v>
      </c>
      <c r="D384" s="22"/>
      <c r="E384" s="21" t="s">
        <v>0</v>
      </c>
      <c r="F384" s="21"/>
      <c r="G384" s="147" t="s">
        <v>49</v>
      </c>
      <c r="H384" s="23" t="s">
        <v>58</v>
      </c>
      <c r="I384" s="23"/>
      <c r="J384" s="21" t="s">
        <v>60</v>
      </c>
      <c r="K384" s="21"/>
      <c r="L384" s="21"/>
      <c r="M384" s="46"/>
      <c r="N384" s="44">
        <v>1200</v>
      </c>
      <c r="O384" s="22" t="s">
        <v>15</v>
      </c>
      <c r="P384" s="22" t="s">
        <v>19</v>
      </c>
      <c r="Q384" s="24">
        <f t="shared" si="28"/>
        <v>0</v>
      </c>
      <c r="R384" s="24">
        <f t="shared" si="26"/>
        <v>1200</v>
      </c>
      <c r="S384" s="5"/>
      <c r="T384" s="5"/>
    </row>
    <row r="385" spans="1:20" ht="15.75" hidden="1" x14ac:dyDescent="0.25">
      <c r="B385" s="21" t="s">
        <v>395</v>
      </c>
      <c r="C385" s="22" t="s">
        <v>2450</v>
      </c>
      <c r="D385" s="22"/>
      <c r="E385" s="21" t="s">
        <v>0</v>
      </c>
      <c r="F385" s="21"/>
      <c r="G385" s="147" t="s">
        <v>49</v>
      </c>
      <c r="H385" s="23" t="s">
        <v>59</v>
      </c>
      <c r="I385" s="23"/>
      <c r="J385" s="21" t="s">
        <v>61</v>
      </c>
      <c r="K385" s="21"/>
      <c r="L385" s="21"/>
      <c r="M385" s="46"/>
      <c r="N385" s="44">
        <v>2000</v>
      </c>
      <c r="O385" s="22" t="s">
        <v>15</v>
      </c>
      <c r="P385" s="22" t="s">
        <v>19</v>
      </c>
      <c r="Q385" s="24">
        <f t="shared" si="28"/>
        <v>0</v>
      </c>
      <c r="R385" s="24">
        <f t="shared" si="26"/>
        <v>2000</v>
      </c>
      <c r="S385" s="5"/>
      <c r="T385" s="5"/>
    </row>
    <row r="386" spans="1:20" ht="15.75" hidden="1" x14ac:dyDescent="0.25">
      <c r="B386" s="21" t="s">
        <v>395</v>
      </c>
      <c r="C386" s="22" t="s">
        <v>2450</v>
      </c>
      <c r="D386" s="22"/>
      <c r="E386" s="21" t="s">
        <v>75</v>
      </c>
      <c r="F386" s="21"/>
      <c r="G386" s="147" t="s">
        <v>76</v>
      </c>
      <c r="H386" s="23" t="s">
        <v>74</v>
      </c>
      <c r="I386" s="23"/>
      <c r="J386" s="21" t="s">
        <v>77</v>
      </c>
      <c r="K386" s="21"/>
      <c r="L386" s="21"/>
      <c r="M386" s="46">
        <v>42599</v>
      </c>
      <c r="N386" s="44">
        <v>500</v>
      </c>
      <c r="O386" s="22" t="s">
        <v>15</v>
      </c>
      <c r="P386" s="22" t="s">
        <v>19</v>
      </c>
      <c r="Q386" s="24">
        <f t="shared" si="28"/>
        <v>0</v>
      </c>
      <c r="R386" s="24">
        <f t="shared" si="26"/>
        <v>500</v>
      </c>
      <c r="S386" s="5"/>
      <c r="T386" s="5"/>
    </row>
    <row r="387" spans="1:20" ht="15.75" hidden="1" x14ac:dyDescent="0.25">
      <c r="B387" s="21" t="s">
        <v>395</v>
      </c>
      <c r="C387" s="22" t="s">
        <v>2450</v>
      </c>
      <c r="D387" s="22"/>
      <c r="E387" s="21" t="s">
        <v>75</v>
      </c>
      <c r="F387" s="21"/>
      <c r="G387" s="147" t="s">
        <v>76</v>
      </c>
      <c r="H387" s="23" t="s">
        <v>74</v>
      </c>
      <c r="I387" s="23"/>
      <c r="J387" s="21" t="s">
        <v>83</v>
      </c>
      <c r="K387" s="21"/>
      <c r="L387" s="21"/>
      <c r="M387" s="46" t="s">
        <v>744</v>
      </c>
      <c r="N387" s="44">
        <v>6950</v>
      </c>
      <c r="O387" s="22" t="s">
        <v>15</v>
      </c>
      <c r="P387" s="22" t="s">
        <v>19</v>
      </c>
      <c r="Q387" s="24">
        <f t="shared" si="28"/>
        <v>0</v>
      </c>
      <c r="R387" s="24">
        <f t="shared" si="26"/>
        <v>6950</v>
      </c>
      <c r="S387" s="5" t="s">
        <v>745</v>
      </c>
      <c r="T387" s="5"/>
    </row>
    <row r="388" spans="1:20" ht="15.75" hidden="1" x14ac:dyDescent="0.25">
      <c r="B388" s="21" t="s">
        <v>395</v>
      </c>
      <c r="C388" s="22" t="s">
        <v>2450</v>
      </c>
      <c r="D388" s="22"/>
      <c r="E388" s="21" t="s">
        <v>75</v>
      </c>
      <c r="F388" s="21"/>
      <c r="G388" s="147" t="s">
        <v>76</v>
      </c>
      <c r="H388" s="23" t="s">
        <v>324</v>
      </c>
      <c r="I388" s="23"/>
      <c r="J388" s="21" t="s">
        <v>81</v>
      </c>
      <c r="K388" s="21"/>
      <c r="L388" s="21"/>
      <c r="M388" s="46">
        <v>42467</v>
      </c>
      <c r="N388" s="44">
        <v>10000</v>
      </c>
      <c r="O388" s="22" t="s">
        <v>15</v>
      </c>
      <c r="P388" s="22" t="s">
        <v>19</v>
      </c>
      <c r="Q388" s="24">
        <f t="shared" si="28"/>
        <v>0</v>
      </c>
      <c r="R388" s="24">
        <f t="shared" si="26"/>
        <v>10000</v>
      </c>
      <c r="S388" s="5"/>
      <c r="T388" s="5"/>
    </row>
    <row r="389" spans="1:20" ht="15.75" hidden="1" x14ac:dyDescent="0.25">
      <c r="B389" s="21" t="s">
        <v>395</v>
      </c>
      <c r="C389" s="22" t="s">
        <v>2450</v>
      </c>
      <c r="D389" s="22"/>
      <c r="E389" s="21" t="s">
        <v>75</v>
      </c>
      <c r="F389" s="21"/>
      <c r="G389" s="147" t="s">
        <v>76</v>
      </c>
      <c r="H389" s="23" t="s">
        <v>324</v>
      </c>
      <c r="I389" s="23"/>
      <c r="J389" s="21" t="s">
        <v>82</v>
      </c>
      <c r="K389" s="21"/>
      <c r="L389" s="21"/>
      <c r="M389" s="46">
        <v>42579</v>
      </c>
      <c r="N389" s="44">
        <v>9197</v>
      </c>
      <c r="O389" s="22" t="s">
        <v>15</v>
      </c>
      <c r="P389" s="22" t="s">
        <v>19</v>
      </c>
      <c r="Q389" s="24">
        <f t="shared" si="28"/>
        <v>0</v>
      </c>
      <c r="R389" s="24">
        <f t="shared" si="26"/>
        <v>9197</v>
      </c>
      <c r="S389" s="5"/>
      <c r="T389" s="5"/>
    </row>
    <row r="390" spans="1:20" ht="15.75" hidden="1" x14ac:dyDescent="0.25">
      <c r="B390" s="21" t="s">
        <v>395</v>
      </c>
      <c r="C390" s="22" t="s">
        <v>2450</v>
      </c>
      <c r="D390" s="22"/>
      <c r="E390" s="21" t="s">
        <v>10</v>
      </c>
      <c r="F390" s="21"/>
      <c r="G390" s="147" t="s">
        <v>92</v>
      </c>
      <c r="H390" s="23" t="s">
        <v>413</v>
      </c>
      <c r="I390" s="23"/>
      <c r="J390" s="21" t="s">
        <v>184</v>
      </c>
      <c r="K390" s="21"/>
      <c r="L390" s="21"/>
      <c r="M390" s="46" t="s">
        <v>296</v>
      </c>
      <c r="N390" s="44">
        <f>17200+70</f>
        <v>17270</v>
      </c>
      <c r="O390" s="22" t="s">
        <v>15</v>
      </c>
      <c r="P390" s="22" t="s">
        <v>19</v>
      </c>
      <c r="Q390" s="24">
        <f t="shared" si="28"/>
        <v>0</v>
      </c>
      <c r="R390" s="24">
        <f t="shared" si="26"/>
        <v>17270</v>
      </c>
      <c r="S390" s="5"/>
      <c r="T390" s="5"/>
    </row>
    <row r="391" spans="1:20" ht="15.75" hidden="1" x14ac:dyDescent="0.25">
      <c r="A391" t="s">
        <v>6091</v>
      </c>
      <c r="B391" s="21" t="s">
        <v>395</v>
      </c>
      <c r="C391" s="22" t="s">
        <v>2450</v>
      </c>
      <c r="D391" s="22"/>
      <c r="E391" s="21" t="s">
        <v>10</v>
      </c>
      <c r="F391" s="21"/>
      <c r="G391" s="147" t="s">
        <v>110</v>
      </c>
      <c r="H391" s="23" t="s">
        <v>722</v>
      </c>
      <c r="I391" s="23"/>
      <c r="J391" s="21" t="s">
        <v>721</v>
      </c>
      <c r="K391" s="21"/>
      <c r="L391" s="21"/>
      <c r="M391" s="26">
        <v>43218</v>
      </c>
      <c r="N391" s="44">
        <v>4500</v>
      </c>
      <c r="O391" s="22" t="e">
        <f>+#REF!</f>
        <v>#REF!</v>
      </c>
      <c r="P391" s="22" t="s">
        <v>19</v>
      </c>
      <c r="Q391" s="24">
        <f t="shared" si="28"/>
        <v>0</v>
      </c>
      <c r="R391" s="24">
        <f t="shared" si="26"/>
        <v>4500</v>
      </c>
      <c r="S391" s="5"/>
    </row>
    <row r="392" spans="1:20" ht="15.75" hidden="1" x14ac:dyDescent="0.25">
      <c r="A392" t="s">
        <v>6091</v>
      </c>
      <c r="B392" s="21" t="s">
        <v>395</v>
      </c>
      <c r="C392" s="22" t="s">
        <v>2450</v>
      </c>
      <c r="D392" s="22"/>
      <c r="E392" s="21" t="s">
        <v>10</v>
      </c>
      <c r="F392" s="21"/>
      <c r="G392" s="147" t="s">
        <v>110</v>
      </c>
      <c r="H392" s="23" t="s">
        <v>414</v>
      </c>
      <c r="I392" s="23"/>
      <c r="J392" s="21" t="s">
        <v>112</v>
      </c>
      <c r="K392" s="21"/>
      <c r="L392" s="21"/>
      <c r="M392" s="26">
        <v>42538</v>
      </c>
      <c r="N392" s="44">
        <v>9380</v>
      </c>
      <c r="O392" s="22" t="s">
        <v>15</v>
      </c>
      <c r="P392" s="22" t="s">
        <v>19</v>
      </c>
      <c r="Q392" s="24">
        <f t="shared" si="28"/>
        <v>0</v>
      </c>
      <c r="R392" s="24">
        <f t="shared" si="26"/>
        <v>9380</v>
      </c>
      <c r="S392" s="5"/>
      <c r="T392" s="5"/>
    </row>
    <row r="393" spans="1:20" ht="15.75" hidden="1" x14ac:dyDescent="0.25">
      <c r="A393" t="s">
        <v>6091</v>
      </c>
      <c r="B393" s="21" t="s">
        <v>395</v>
      </c>
      <c r="C393" s="22" t="s">
        <v>2450</v>
      </c>
      <c r="D393" s="22"/>
      <c r="E393" s="21" t="s">
        <v>10</v>
      </c>
      <c r="F393" s="21"/>
      <c r="G393" s="147" t="s">
        <v>110</v>
      </c>
      <c r="H393" s="23" t="s">
        <v>414</v>
      </c>
      <c r="I393" s="23"/>
      <c r="J393" s="21" t="s">
        <v>113</v>
      </c>
      <c r="K393" s="21"/>
      <c r="L393" s="21"/>
      <c r="M393" s="26">
        <v>42907</v>
      </c>
      <c r="N393" s="44">
        <v>4620</v>
      </c>
      <c r="O393" s="22" t="s">
        <v>15</v>
      </c>
      <c r="P393" s="22" t="s">
        <v>19</v>
      </c>
      <c r="Q393" s="24">
        <f t="shared" si="28"/>
        <v>0</v>
      </c>
      <c r="R393" s="24">
        <f t="shared" si="26"/>
        <v>4620</v>
      </c>
      <c r="S393" s="5"/>
      <c r="T393" s="5"/>
    </row>
    <row r="394" spans="1:20" ht="15.75" hidden="1" x14ac:dyDescent="0.25">
      <c r="A394" t="s">
        <v>6091</v>
      </c>
      <c r="B394" s="21" t="s">
        <v>395</v>
      </c>
      <c r="C394" s="22" t="s">
        <v>2450</v>
      </c>
      <c r="D394" s="22"/>
      <c r="E394" s="21" t="s">
        <v>10</v>
      </c>
      <c r="F394" s="21"/>
      <c r="G394" s="147" t="s">
        <v>110</v>
      </c>
      <c r="H394" s="23" t="s">
        <v>114</v>
      </c>
      <c r="I394" s="23"/>
      <c r="J394" s="21" t="s">
        <v>268</v>
      </c>
      <c r="K394" s="21"/>
      <c r="L394" s="21"/>
      <c r="M394" s="26">
        <v>42907</v>
      </c>
      <c r="N394" s="44">
        <v>6400</v>
      </c>
      <c r="O394" s="22" t="s">
        <v>15</v>
      </c>
      <c r="P394" s="22" t="s">
        <v>19</v>
      </c>
      <c r="Q394" s="24">
        <f t="shared" si="28"/>
        <v>0</v>
      </c>
      <c r="R394" s="24">
        <f t="shared" si="26"/>
        <v>6400</v>
      </c>
      <c r="S394" s="5"/>
      <c r="T394" s="5"/>
    </row>
    <row r="395" spans="1:20" ht="15.75" hidden="1" x14ac:dyDescent="0.25">
      <c r="A395" t="s">
        <v>6091</v>
      </c>
      <c r="B395" s="21" t="s">
        <v>395</v>
      </c>
      <c r="C395" s="22" t="s">
        <v>2450</v>
      </c>
      <c r="D395" s="22"/>
      <c r="E395" s="21" t="s">
        <v>10</v>
      </c>
      <c r="F395" s="21"/>
      <c r="G395" s="147" t="s">
        <v>110</v>
      </c>
      <c r="H395" s="23" t="s">
        <v>111</v>
      </c>
      <c r="I395" s="23"/>
      <c r="J395" s="21" t="s">
        <v>112</v>
      </c>
      <c r="K395" s="21"/>
      <c r="L395" s="21"/>
      <c r="M395" s="28" t="s">
        <v>109</v>
      </c>
      <c r="N395" s="44">
        <v>2412</v>
      </c>
      <c r="O395" s="22" t="s">
        <v>15</v>
      </c>
      <c r="P395" s="22" t="s">
        <v>19</v>
      </c>
      <c r="Q395" s="24">
        <f t="shared" si="28"/>
        <v>0</v>
      </c>
      <c r="R395" s="24">
        <f t="shared" si="26"/>
        <v>2412</v>
      </c>
      <c r="S395" s="5"/>
      <c r="T395" s="5"/>
    </row>
    <row r="396" spans="1:20" ht="15.75" hidden="1" x14ac:dyDescent="0.25">
      <c r="A396" t="s">
        <v>6091</v>
      </c>
      <c r="B396" s="21" t="s">
        <v>395</v>
      </c>
      <c r="C396" s="22" t="s">
        <v>2450</v>
      </c>
      <c r="D396" s="22"/>
      <c r="E396" s="21" t="s">
        <v>10</v>
      </c>
      <c r="F396" s="21"/>
      <c r="G396" s="147" t="s">
        <v>110</v>
      </c>
      <c r="H396" s="23" t="s">
        <v>111</v>
      </c>
      <c r="I396" s="23"/>
      <c r="J396" s="21" t="s">
        <v>113</v>
      </c>
      <c r="K396" s="21"/>
      <c r="L396" s="21"/>
      <c r="M396" s="28" t="s">
        <v>109</v>
      </c>
      <c r="N396" s="44">
        <v>1188</v>
      </c>
      <c r="O396" s="22" t="s">
        <v>15</v>
      </c>
      <c r="P396" s="22" t="s">
        <v>19</v>
      </c>
      <c r="Q396" s="24">
        <f t="shared" si="28"/>
        <v>0</v>
      </c>
      <c r="R396" s="24">
        <f t="shared" si="26"/>
        <v>1188</v>
      </c>
      <c r="S396" s="5"/>
      <c r="T396" s="5"/>
    </row>
    <row r="397" spans="1:20" ht="15.75" hidden="1" x14ac:dyDescent="0.25">
      <c r="A397" t="s">
        <v>6753</v>
      </c>
      <c r="B397" s="21" t="s">
        <v>395</v>
      </c>
      <c r="C397" s="67" t="s">
        <v>2450</v>
      </c>
      <c r="D397" s="67"/>
      <c r="E397" s="68" t="s">
        <v>0</v>
      </c>
      <c r="F397" s="68"/>
      <c r="G397" s="158" t="s">
        <v>99</v>
      </c>
      <c r="H397" s="69" t="s">
        <v>1059</v>
      </c>
      <c r="I397" s="69"/>
      <c r="J397" s="68" t="s">
        <v>1015</v>
      </c>
      <c r="K397" s="68"/>
      <c r="L397" s="68" t="s">
        <v>2987</v>
      </c>
      <c r="M397" s="168">
        <v>43552</v>
      </c>
      <c r="N397" s="102">
        <f>0.45*2503</f>
        <v>1126.3500000000001</v>
      </c>
      <c r="O397" s="22" t="s">
        <v>15</v>
      </c>
      <c r="P397" s="22" t="s">
        <v>19</v>
      </c>
      <c r="Q397" s="24">
        <f t="shared" si="28"/>
        <v>0</v>
      </c>
      <c r="R397" s="24">
        <f t="shared" si="26"/>
        <v>1126.3500000000001</v>
      </c>
      <c r="S397" s="5"/>
      <c r="T397" s="5"/>
    </row>
    <row r="398" spans="1:20" ht="15.75" hidden="1" x14ac:dyDescent="0.25">
      <c r="A398" t="s">
        <v>6753</v>
      </c>
      <c r="B398" s="21" t="s">
        <v>395</v>
      </c>
      <c r="C398" s="22" t="s">
        <v>2450</v>
      </c>
      <c r="D398" s="22"/>
      <c r="E398" s="21" t="s">
        <v>0</v>
      </c>
      <c r="F398" s="21"/>
      <c r="G398" s="147" t="s">
        <v>99</v>
      </c>
      <c r="H398" s="23" t="s">
        <v>1772</v>
      </c>
      <c r="I398" s="23"/>
      <c r="J398" s="21" t="s">
        <v>760</v>
      </c>
      <c r="K398" s="21"/>
      <c r="L398" s="21"/>
      <c r="M398" s="26" t="s">
        <v>836</v>
      </c>
      <c r="N398" s="44">
        <v>3638</v>
      </c>
      <c r="O398" s="22" t="s">
        <v>15</v>
      </c>
      <c r="P398" s="22" t="s">
        <v>19</v>
      </c>
      <c r="Q398" s="24">
        <f t="shared" si="28"/>
        <v>0</v>
      </c>
      <c r="R398" s="24">
        <f t="shared" si="26"/>
        <v>3638</v>
      </c>
      <c r="S398" s="5"/>
      <c r="T398" s="5"/>
    </row>
    <row r="399" spans="1:20" ht="15.75" hidden="1" x14ac:dyDescent="0.25">
      <c r="A399" t="s">
        <v>6753</v>
      </c>
      <c r="B399" s="21" t="s">
        <v>395</v>
      </c>
      <c r="C399" s="22" t="s">
        <v>2450</v>
      </c>
      <c r="D399" s="22"/>
      <c r="E399" s="21" t="s">
        <v>0</v>
      </c>
      <c r="F399" s="21"/>
      <c r="G399" s="147" t="s">
        <v>99</v>
      </c>
      <c r="H399" s="23" t="s">
        <v>1772</v>
      </c>
      <c r="I399" s="23"/>
      <c r="J399" s="21" t="s">
        <v>764</v>
      </c>
      <c r="K399" s="21"/>
      <c r="L399" s="21" t="s">
        <v>2095</v>
      </c>
      <c r="M399" s="26">
        <v>43738</v>
      </c>
      <c r="N399" s="44">
        <v>3768</v>
      </c>
      <c r="O399" s="22" t="s">
        <v>15</v>
      </c>
      <c r="P399" s="22">
        <v>4853</v>
      </c>
      <c r="Q399" s="24">
        <f t="shared" si="28"/>
        <v>0</v>
      </c>
      <c r="R399" s="24">
        <f t="shared" si="26"/>
        <v>4853</v>
      </c>
      <c r="S399" s="5"/>
      <c r="T399" s="5"/>
    </row>
    <row r="400" spans="1:20" ht="15.75" hidden="1" x14ac:dyDescent="0.25">
      <c r="A400" t="s">
        <v>6753</v>
      </c>
      <c r="B400" s="21" t="s">
        <v>395</v>
      </c>
      <c r="C400" s="22" t="s">
        <v>2450</v>
      </c>
      <c r="D400" s="22"/>
      <c r="E400" s="21" t="s">
        <v>0</v>
      </c>
      <c r="F400" s="21"/>
      <c r="G400" s="147" t="s">
        <v>99</v>
      </c>
      <c r="H400" s="23" t="s">
        <v>1772</v>
      </c>
      <c r="I400" s="23"/>
      <c r="J400" s="21" t="s">
        <v>766</v>
      </c>
      <c r="K400" s="21"/>
      <c r="L400" s="21" t="s">
        <v>2989</v>
      </c>
      <c r="M400" s="26">
        <v>43887</v>
      </c>
      <c r="N400" s="44">
        <v>2503</v>
      </c>
      <c r="O400" s="22" t="s">
        <v>15</v>
      </c>
      <c r="P400" s="22" t="s">
        <v>19</v>
      </c>
      <c r="Q400" s="24">
        <f t="shared" si="28"/>
        <v>0</v>
      </c>
      <c r="R400" s="24">
        <f t="shared" si="26"/>
        <v>2503</v>
      </c>
      <c r="S400" s="5"/>
      <c r="T400" s="5"/>
    </row>
    <row r="401" spans="1:20" ht="15.75" hidden="1" x14ac:dyDescent="0.25">
      <c r="A401" t="s">
        <v>6753</v>
      </c>
      <c r="B401" s="21" t="s">
        <v>395</v>
      </c>
      <c r="C401" s="22" t="s">
        <v>2450</v>
      </c>
      <c r="D401" s="22"/>
      <c r="E401" s="21" t="s">
        <v>0</v>
      </c>
      <c r="F401" s="21"/>
      <c r="G401" s="147" t="s">
        <v>99</v>
      </c>
      <c r="H401" s="23" t="s">
        <v>1772</v>
      </c>
      <c r="I401" s="23"/>
      <c r="J401" s="21" t="s">
        <v>765</v>
      </c>
      <c r="K401" s="232"/>
      <c r="L401" s="21" t="s">
        <v>3793</v>
      </c>
      <c r="M401" s="26">
        <v>44093</v>
      </c>
      <c r="N401" s="44">
        <v>2683</v>
      </c>
      <c r="O401" s="22" t="s">
        <v>15</v>
      </c>
      <c r="P401" s="22" t="s">
        <v>19</v>
      </c>
      <c r="Q401" s="24">
        <f t="shared" si="28"/>
        <v>0</v>
      </c>
      <c r="R401" s="24">
        <f t="shared" si="26"/>
        <v>2683</v>
      </c>
      <c r="S401" s="5"/>
      <c r="T401" s="5"/>
    </row>
    <row r="402" spans="1:20" ht="15.75" hidden="1" x14ac:dyDescent="0.25">
      <c r="A402" t="s">
        <v>6753</v>
      </c>
      <c r="B402" s="21" t="s">
        <v>395</v>
      </c>
      <c r="C402" s="22" t="s">
        <v>2450</v>
      </c>
      <c r="D402" s="22"/>
      <c r="E402" s="21" t="s">
        <v>0</v>
      </c>
      <c r="F402" s="21"/>
      <c r="G402" s="147" t="s">
        <v>99</v>
      </c>
      <c r="H402" s="23" t="s">
        <v>1772</v>
      </c>
      <c r="I402" s="23"/>
      <c r="J402" s="21" t="s">
        <v>761</v>
      </c>
      <c r="K402" s="21"/>
      <c r="L402" s="21" t="s">
        <v>3794</v>
      </c>
      <c r="M402" s="26">
        <v>43430</v>
      </c>
      <c r="N402" s="44">
        <v>4313</v>
      </c>
      <c r="O402" s="22" t="s">
        <v>15</v>
      </c>
      <c r="P402" s="22" t="s">
        <v>19</v>
      </c>
      <c r="Q402" s="24">
        <f t="shared" si="28"/>
        <v>0</v>
      </c>
      <c r="R402" s="24">
        <f t="shared" si="26"/>
        <v>4313</v>
      </c>
      <c r="S402" s="5"/>
      <c r="T402" s="5"/>
    </row>
    <row r="403" spans="1:20" ht="15.75" hidden="1" x14ac:dyDescent="0.25">
      <c r="A403" t="s">
        <v>6753</v>
      </c>
      <c r="B403" s="21" t="s">
        <v>395</v>
      </c>
      <c r="C403" s="22" t="s">
        <v>2450</v>
      </c>
      <c r="D403" s="22"/>
      <c r="E403" s="21" t="s">
        <v>0</v>
      </c>
      <c r="F403" s="21"/>
      <c r="G403" s="147" t="s">
        <v>99</v>
      </c>
      <c r="H403" s="23" t="s">
        <v>1772</v>
      </c>
      <c r="I403" s="23"/>
      <c r="J403" s="21" t="s">
        <v>767</v>
      </c>
      <c r="K403" s="232"/>
      <c r="L403" s="21" t="s">
        <v>5629</v>
      </c>
      <c r="M403" s="26">
        <v>44439</v>
      </c>
      <c r="N403" s="44">
        <v>2683</v>
      </c>
      <c r="O403" s="22" t="s">
        <v>15</v>
      </c>
      <c r="P403" s="22" t="s">
        <v>19</v>
      </c>
      <c r="Q403" s="24">
        <f t="shared" si="28"/>
        <v>0</v>
      </c>
      <c r="R403" s="24">
        <f t="shared" si="26"/>
        <v>2683</v>
      </c>
      <c r="S403" s="5"/>
      <c r="T403" s="5"/>
    </row>
    <row r="404" spans="1:20" ht="15.75" hidden="1" x14ac:dyDescent="0.25">
      <c r="A404" t="s">
        <v>6753</v>
      </c>
      <c r="B404" s="21" t="s">
        <v>3210</v>
      </c>
      <c r="C404" s="22" t="s">
        <v>2450</v>
      </c>
      <c r="D404" s="22"/>
      <c r="E404" s="21" t="s">
        <v>0</v>
      </c>
      <c r="F404" s="21"/>
      <c r="G404" s="147" t="s">
        <v>99</v>
      </c>
      <c r="H404" s="23" t="s">
        <v>1772</v>
      </c>
      <c r="I404" s="23"/>
      <c r="J404" s="21" t="s">
        <v>768</v>
      </c>
      <c r="K404" s="232"/>
      <c r="L404" s="21" t="s">
        <v>7108</v>
      </c>
      <c r="M404" s="26">
        <v>44825</v>
      </c>
      <c r="N404" s="44">
        <v>2633</v>
      </c>
      <c r="O404" s="22" t="s">
        <v>15</v>
      </c>
      <c r="P404" s="22" t="s">
        <v>19</v>
      </c>
      <c r="Q404" s="24">
        <f t="shared" si="28"/>
        <v>0</v>
      </c>
      <c r="R404" s="24">
        <f t="shared" si="26"/>
        <v>2633</v>
      </c>
      <c r="S404" s="5"/>
      <c r="T404" s="5"/>
    </row>
    <row r="405" spans="1:20" ht="15.75" hidden="1" x14ac:dyDescent="0.25">
      <c r="A405" t="s">
        <v>6753</v>
      </c>
      <c r="B405" s="21" t="s">
        <v>395</v>
      </c>
      <c r="C405" s="22" t="s">
        <v>2450</v>
      </c>
      <c r="D405" s="22"/>
      <c r="E405" s="21" t="s">
        <v>0</v>
      </c>
      <c r="F405" s="21"/>
      <c r="G405" s="147" t="s">
        <v>99</v>
      </c>
      <c r="H405" s="23" t="s">
        <v>1772</v>
      </c>
      <c r="I405" s="23"/>
      <c r="J405" s="21" t="s">
        <v>762</v>
      </c>
      <c r="K405" s="21"/>
      <c r="L405" s="21" t="s">
        <v>3796</v>
      </c>
      <c r="M405" s="26">
        <v>43551</v>
      </c>
      <c r="N405" s="44">
        <v>4493</v>
      </c>
      <c r="O405" s="22" t="s">
        <v>15</v>
      </c>
      <c r="P405" s="44">
        <v>4313</v>
      </c>
      <c r="Q405" s="24">
        <f t="shared" si="28"/>
        <v>180</v>
      </c>
      <c r="R405" s="24">
        <f t="shared" si="26"/>
        <v>4313</v>
      </c>
      <c r="S405" s="5"/>
      <c r="T405" s="5"/>
    </row>
    <row r="406" spans="1:20" ht="15.75" hidden="1" x14ac:dyDescent="0.25">
      <c r="A406" t="s">
        <v>6753</v>
      </c>
      <c r="B406" s="21" t="s">
        <v>395</v>
      </c>
      <c r="C406" s="22" t="s">
        <v>2450</v>
      </c>
      <c r="D406" s="22"/>
      <c r="E406" s="21" t="s">
        <v>0</v>
      </c>
      <c r="F406" s="21"/>
      <c r="G406" s="147" t="s">
        <v>99</v>
      </c>
      <c r="H406" s="23" t="s">
        <v>1772</v>
      </c>
      <c r="I406" s="23"/>
      <c r="J406" s="21" t="s">
        <v>763</v>
      </c>
      <c r="K406" s="21"/>
      <c r="L406" s="21" t="s">
        <v>3797</v>
      </c>
      <c r="M406" s="26">
        <v>43642</v>
      </c>
      <c r="N406" s="44">
        <v>3408</v>
      </c>
      <c r="O406" s="22" t="s">
        <v>15</v>
      </c>
      <c r="P406" s="44">
        <v>4313</v>
      </c>
      <c r="Q406" s="24">
        <f t="shared" si="28"/>
        <v>0</v>
      </c>
      <c r="R406" s="24">
        <f t="shared" si="26"/>
        <v>4313</v>
      </c>
      <c r="S406" s="5"/>
      <c r="T406" s="5"/>
    </row>
    <row r="407" spans="1:20" ht="15.75" hidden="1" x14ac:dyDescent="0.25">
      <c r="B407" s="21" t="s">
        <v>395</v>
      </c>
      <c r="C407" s="22" t="s">
        <v>2450</v>
      </c>
      <c r="D407" s="22"/>
      <c r="E407" s="21" t="s">
        <v>0</v>
      </c>
      <c r="F407" s="21"/>
      <c r="G407" s="147" t="s">
        <v>99</v>
      </c>
      <c r="H407" s="23" t="s">
        <v>1774</v>
      </c>
      <c r="I407" s="23"/>
      <c r="J407" s="21" t="s">
        <v>680</v>
      </c>
      <c r="K407" s="21"/>
      <c r="L407" s="21"/>
      <c r="M407" s="26">
        <v>43165</v>
      </c>
      <c r="N407" s="44">
        <v>4605</v>
      </c>
      <c r="O407" s="22" t="s">
        <v>15</v>
      </c>
      <c r="P407" s="22" t="s">
        <v>19</v>
      </c>
      <c r="Q407" s="24">
        <f t="shared" si="28"/>
        <v>0</v>
      </c>
      <c r="R407" s="24">
        <f t="shared" si="26"/>
        <v>4605</v>
      </c>
      <c r="S407" s="5"/>
      <c r="T407" s="5"/>
    </row>
    <row r="408" spans="1:20" ht="15.75" hidden="1" x14ac:dyDescent="0.25">
      <c r="B408" s="21" t="s">
        <v>395</v>
      </c>
      <c r="C408" s="22" t="s">
        <v>2450</v>
      </c>
      <c r="D408" s="22"/>
      <c r="E408" s="21" t="s">
        <v>0</v>
      </c>
      <c r="F408" s="21"/>
      <c r="G408" s="147" t="s">
        <v>99</v>
      </c>
      <c r="H408" s="23" t="s">
        <v>1774</v>
      </c>
      <c r="I408" s="23"/>
      <c r="J408" s="21" t="s">
        <v>683</v>
      </c>
      <c r="K408" s="21"/>
      <c r="L408" s="21" t="s">
        <v>2092</v>
      </c>
      <c r="M408" s="26">
        <v>43552</v>
      </c>
      <c r="N408" s="44">
        <v>4075</v>
      </c>
      <c r="O408" s="22" t="s">
        <v>15</v>
      </c>
      <c r="P408" s="22">
        <v>5068</v>
      </c>
      <c r="Q408" s="24">
        <f t="shared" si="28"/>
        <v>0</v>
      </c>
      <c r="R408" s="24">
        <f t="shared" si="26"/>
        <v>5068</v>
      </c>
      <c r="S408" s="5"/>
      <c r="T408" s="5"/>
    </row>
    <row r="409" spans="1:20" ht="15.75" hidden="1" x14ac:dyDescent="0.25">
      <c r="B409" s="21" t="s">
        <v>395</v>
      </c>
      <c r="C409" s="22" t="s">
        <v>2450</v>
      </c>
      <c r="D409" s="22"/>
      <c r="E409" s="21" t="s">
        <v>0</v>
      </c>
      <c r="F409" s="21"/>
      <c r="G409" s="147" t="s">
        <v>99</v>
      </c>
      <c r="H409" s="23" t="s">
        <v>1774</v>
      </c>
      <c r="I409" s="23"/>
      <c r="J409" s="21" t="s">
        <v>684</v>
      </c>
      <c r="K409" s="21"/>
      <c r="L409" s="21" t="s">
        <v>2091</v>
      </c>
      <c r="M409" s="26">
        <v>43738</v>
      </c>
      <c r="N409" s="44">
        <v>2437</v>
      </c>
      <c r="O409" s="22" t="s">
        <v>15</v>
      </c>
      <c r="P409" s="22" t="s">
        <v>19</v>
      </c>
      <c r="Q409" s="24">
        <f t="shared" si="28"/>
        <v>0</v>
      </c>
      <c r="R409" s="24">
        <f t="shared" si="26"/>
        <v>2437</v>
      </c>
      <c r="S409" s="5"/>
      <c r="T409" s="5"/>
    </row>
    <row r="410" spans="1:20" ht="15.75" hidden="1" x14ac:dyDescent="0.25">
      <c r="B410" s="21" t="s">
        <v>395</v>
      </c>
      <c r="C410" s="22" t="s">
        <v>2450</v>
      </c>
      <c r="D410" s="22"/>
      <c r="E410" s="21" t="s">
        <v>0</v>
      </c>
      <c r="F410" s="21"/>
      <c r="G410" s="147" t="s">
        <v>99</v>
      </c>
      <c r="H410" s="23" t="s">
        <v>1774</v>
      </c>
      <c r="I410" s="23"/>
      <c r="J410" s="21" t="s">
        <v>685</v>
      </c>
      <c r="K410" s="21"/>
      <c r="L410" s="21" t="s">
        <v>3164</v>
      </c>
      <c r="M410" s="26">
        <v>43948</v>
      </c>
      <c r="N410" s="44">
        <v>2765</v>
      </c>
      <c r="O410" s="22" t="s">
        <v>15</v>
      </c>
      <c r="P410" s="22" t="s">
        <v>19</v>
      </c>
      <c r="Q410" s="24">
        <f t="shared" si="28"/>
        <v>0</v>
      </c>
      <c r="R410" s="24">
        <f t="shared" si="26"/>
        <v>2765</v>
      </c>
      <c r="S410" s="5"/>
      <c r="T410" s="5"/>
    </row>
    <row r="411" spans="1:20" ht="15.75" hidden="1" x14ac:dyDescent="0.25">
      <c r="B411" s="21" t="s">
        <v>395</v>
      </c>
      <c r="C411" s="22" t="s">
        <v>2450</v>
      </c>
      <c r="D411" s="22"/>
      <c r="E411" s="21" t="s">
        <v>0</v>
      </c>
      <c r="F411" s="21"/>
      <c r="G411" s="147" t="s">
        <v>99</v>
      </c>
      <c r="H411" s="23" t="s">
        <v>1774</v>
      </c>
      <c r="I411" s="23"/>
      <c r="J411" s="21" t="s">
        <v>686</v>
      </c>
      <c r="K411" s="21"/>
      <c r="L411" s="21" t="s">
        <v>4699</v>
      </c>
      <c r="M411" s="26">
        <v>44288</v>
      </c>
      <c r="N411" s="44">
        <v>2665</v>
      </c>
      <c r="O411" s="22" t="s">
        <v>15</v>
      </c>
      <c r="P411" s="22" t="s">
        <v>19</v>
      </c>
      <c r="Q411" s="24">
        <f t="shared" si="28"/>
        <v>0</v>
      </c>
      <c r="R411" s="24">
        <f t="shared" si="26"/>
        <v>2665</v>
      </c>
      <c r="S411" s="5"/>
      <c r="T411" s="5"/>
    </row>
    <row r="412" spans="1:20" ht="15.75" hidden="1" x14ac:dyDescent="0.25">
      <c r="B412" s="21" t="s">
        <v>395</v>
      </c>
      <c r="C412" s="22" t="s">
        <v>2450</v>
      </c>
      <c r="D412" s="22"/>
      <c r="E412" s="21" t="s">
        <v>0</v>
      </c>
      <c r="F412" s="21"/>
      <c r="G412" s="147" t="s">
        <v>99</v>
      </c>
      <c r="H412" s="23" t="s">
        <v>1774</v>
      </c>
      <c r="I412" s="23"/>
      <c r="J412" s="21" t="s">
        <v>681</v>
      </c>
      <c r="K412" s="21"/>
      <c r="L412" s="21"/>
      <c r="M412" s="26">
        <v>43245</v>
      </c>
      <c r="N412" s="44">
        <v>5999</v>
      </c>
      <c r="O412" s="22" t="s">
        <v>15</v>
      </c>
      <c r="P412" s="22" t="s">
        <v>19</v>
      </c>
      <c r="Q412" s="24">
        <f t="shared" si="28"/>
        <v>0</v>
      </c>
      <c r="R412" s="24">
        <f t="shared" si="26"/>
        <v>5999</v>
      </c>
      <c r="S412" s="5"/>
      <c r="T412" s="5"/>
    </row>
    <row r="413" spans="1:20" ht="15.75" hidden="1" x14ac:dyDescent="0.25">
      <c r="B413" s="21" t="s">
        <v>395</v>
      </c>
      <c r="C413" s="22" t="s">
        <v>2450</v>
      </c>
      <c r="D413" s="22"/>
      <c r="E413" s="21" t="s">
        <v>0</v>
      </c>
      <c r="F413" s="21"/>
      <c r="G413" s="147" t="s">
        <v>99</v>
      </c>
      <c r="H413" s="23" t="s">
        <v>1774</v>
      </c>
      <c r="I413" s="23"/>
      <c r="J413" s="21" t="s">
        <v>687</v>
      </c>
      <c r="K413" s="21"/>
      <c r="L413" s="21" t="s">
        <v>2093</v>
      </c>
      <c r="M413" s="26">
        <v>43395</v>
      </c>
      <c r="N413" s="44">
        <v>6326</v>
      </c>
      <c r="O413" s="22" t="s">
        <v>15</v>
      </c>
      <c r="P413" s="22" t="s">
        <v>19</v>
      </c>
      <c r="Q413" s="24">
        <f t="shared" si="28"/>
        <v>0</v>
      </c>
      <c r="R413" s="24">
        <f t="shared" si="26"/>
        <v>6326</v>
      </c>
      <c r="S413" s="5"/>
      <c r="T413" s="5"/>
    </row>
    <row r="414" spans="1:20" ht="15.75" hidden="1" x14ac:dyDescent="0.25">
      <c r="B414" s="21" t="s">
        <v>395</v>
      </c>
      <c r="C414" s="22" t="s">
        <v>2450</v>
      </c>
      <c r="D414" s="22"/>
      <c r="E414" s="21" t="s">
        <v>0</v>
      </c>
      <c r="F414" s="21"/>
      <c r="G414" s="147" t="s">
        <v>99</v>
      </c>
      <c r="H414" s="23" t="s">
        <v>1774</v>
      </c>
      <c r="I414" s="23"/>
      <c r="J414" s="21" t="s">
        <v>682</v>
      </c>
      <c r="K414" s="21"/>
      <c r="L414" s="21" t="s">
        <v>2094</v>
      </c>
      <c r="M414" s="26">
        <v>43376</v>
      </c>
      <c r="N414" s="44">
        <f>3419+2953</f>
        <v>6372</v>
      </c>
      <c r="O414" s="22" t="s">
        <v>15</v>
      </c>
      <c r="P414" s="22" t="s">
        <v>19</v>
      </c>
      <c r="Q414" s="24">
        <f t="shared" si="28"/>
        <v>0</v>
      </c>
      <c r="R414" s="24">
        <f t="shared" ref="R414:R477" si="29">IF(P414="OK",N414-Q414,IF(P414="en cours",N414-Q414,P414))</f>
        <v>6372</v>
      </c>
      <c r="S414" s="5" t="s">
        <v>913</v>
      </c>
      <c r="T414" s="5"/>
    </row>
    <row r="415" spans="1:20" ht="15.75" hidden="1" x14ac:dyDescent="0.25">
      <c r="A415" t="s">
        <v>6386</v>
      </c>
      <c r="B415" s="21" t="s">
        <v>395</v>
      </c>
      <c r="C415" s="22" t="s">
        <v>2450</v>
      </c>
      <c r="D415" s="22"/>
      <c r="E415" s="21" t="s">
        <v>10</v>
      </c>
      <c r="F415" s="21"/>
      <c r="G415" s="147" t="s">
        <v>132</v>
      </c>
      <c r="H415" s="23" t="s">
        <v>126</v>
      </c>
      <c r="I415" s="23"/>
      <c r="J415" s="21" t="s">
        <v>127</v>
      </c>
      <c r="K415" s="21"/>
      <c r="L415" s="21"/>
      <c r="M415" s="28"/>
      <c r="N415" s="44">
        <v>22297.71</v>
      </c>
      <c r="O415" s="22" t="s">
        <v>15</v>
      </c>
      <c r="P415" s="22" t="s">
        <v>19</v>
      </c>
      <c r="Q415" s="24">
        <f t="shared" si="28"/>
        <v>0</v>
      </c>
      <c r="R415" s="24">
        <f t="shared" si="29"/>
        <v>22297.71</v>
      </c>
      <c r="S415" s="5"/>
      <c r="T415" s="5"/>
    </row>
    <row r="416" spans="1:20" ht="15.75" hidden="1" x14ac:dyDescent="0.25">
      <c r="A416" t="s">
        <v>6386</v>
      </c>
      <c r="B416" s="21" t="s">
        <v>395</v>
      </c>
      <c r="C416" s="22" t="s">
        <v>2450</v>
      </c>
      <c r="D416" s="22"/>
      <c r="E416" s="21" t="s">
        <v>10</v>
      </c>
      <c r="F416" s="21"/>
      <c r="G416" s="147" t="s">
        <v>132</v>
      </c>
      <c r="H416" s="23" t="s">
        <v>126</v>
      </c>
      <c r="I416" s="23"/>
      <c r="J416" s="21" t="s">
        <v>128</v>
      </c>
      <c r="K416" s="21"/>
      <c r="L416" s="21"/>
      <c r="M416" s="28"/>
      <c r="N416" s="44">
        <v>6500</v>
      </c>
      <c r="O416" s="22" t="s">
        <v>15</v>
      </c>
      <c r="P416" s="22" t="s">
        <v>19</v>
      </c>
      <c r="Q416" s="24">
        <f t="shared" si="28"/>
        <v>0</v>
      </c>
      <c r="R416" s="24">
        <f t="shared" si="29"/>
        <v>6500</v>
      </c>
      <c r="S416" s="5"/>
      <c r="T416" s="5"/>
    </row>
    <row r="417" spans="1:20" ht="15.75" hidden="1" x14ac:dyDescent="0.25">
      <c r="A417" t="s">
        <v>6386</v>
      </c>
      <c r="B417" s="21" t="s">
        <v>395</v>
      </c>
      <c r="C417" s="22" t="s">
        <v>2450</v>
      </c>
      <c r="D417" s="22"/>
      <c r="E417" s="21" t="s">
        <v>10</v>
      </c>
      <c r="F417" s="21"/>
      <c r="G417" s="147" t="s">
        <v>132</v>
      </c>
      <c r="H417" s="23" t="s">
        <v>126</v>
      </c>
      <c r="I417" s="23"/>
      <c r="J417" s="21" t="s">
        <v>129</v>
      </c>
      <c r="K417" s="21"/>
      <c r="L417" s="21"/>
      <c r="M417" s="28"/>
      <c r="N417" s="44">
        <v>21370</v>
      </c>
      <c r="O417" s="22" t="s">
        <v>15</v>
      </c>
      <c r="P417" s="22" t="s">
        <v>19</v>
      </c>
      <c r="Q417" s="24">
        <f t="shared" si="28"/>
        <v>0</v>
      </c>
      <c r="R417" s="24">
        <f t="shared" si="29"/>
        <v>21370</v>
      </c>
      <c r="S417" s="5"/>
      <c r="T417" s="5"/>
    </row>
    <row r="418" spans="1:20" ht="15.75" hidden="1" x14ac:dyDescent="0.25">
      <c r="A418" t="s">
        <v>6386</v>
      </c>
      <c r="B418" s="21" t="s">
        <v>395</v>
      </c>
      <c r="C418" s="22" t="s">
        <v>2450</v>
      </c>
      <c r="D418" s="22"/>
      <c r="E418" s="21" t="s">
        <v>10</v>
      </c>
      <c r="F418" s="21"/>
      <c r="G418" s="147" t="s">
        <v>132</v>
      </c>
      <c r="H418" s="23" t="s">
        <v>126</v>
      </c>
      <c r="I418" s="23"/>
      <c r="J418" s="21" t="s">
        <v>130</v>
      </c>
      <c r="K418" s="21"/>
      <c r="L418" s="21"/>
      <c r="M418" s="28"/>
      <c r="N418" s="44">
        <v>1608.01</v>
      </c>
      <c r="O418" s="22" t="s">
        <v>15</v>
      </c>
      <c r="P418" s="22" t="s">
        <v>19</v>
      </c>
      <c r="Q418" s="24">
        <f t="shared" si="28"/>
        <v>0</v>
      </c>
      <c r="R418" s="24">
        <f t="shared" si="29"/>
        <v>1608.01</v>
      </c>
      <c r="S418" s="5"/>
      <c r="T418" s="5"/>
    </row>
    <row r="419" spans="1:20" ht="15.75" hidden="1" x14ac:dyDescent="0.25">
      <c r="A419" t="s">
        <v>6386</v>
      </c>
      <c r="B419" s="21" t="s">
        <v>395</v>
      </c>
      <c r="C419" s="22" t="s">
        <v>2450</v>
      </c>
      <c r="D419" s="22"/>
      <c r="E419" s="21" t="s">
        <v>10</v>
      </c>
      <c r="F419" s="21"/>
      <c r="G419" s="147" t="s">
        <v>132</v>
      </c>
      <c r="H419" s="23" t="s">
        <v>126</v>
      </c>
      <c r="I419" s="23"/>
      <c r="J419" s="21" t="s">
        <v>131</v>
      </c>
      <c r="K419" s="21"/>
      <c r="L419" s="21"/>
      <c r="M419" s="28" t="s">
        <v>201</v>
      </c>
      <c r="N419" s="44">
        <v>6900</v>
      </c>
      <c r="O419" s="22" t="s">
        <v>15</v>
      </c>
      <c r="P419" s="22" t="s">
        <v>19</v>
      </c>
      <c r="Q419" s="24">
        <f t="shared" si="28"/>
        <v>0</v>
      </c>
      <c r="R419" s="24">
        <f t="shared" si="29"/>
        <v>6900</v>
      </c>
      <c r="S419" s="5"/>
      <c r="T419" s="5"/>
    </row>
    <row r="420" spans="1:20" ht="15.75" hidden="1" x14ac:dyDescent="0.25">
      <c r="B420" s="21" t="s">
        <v>395</v>
      </c>
      <c r="C420" s="22" t="s">
        <v>2450</v>
      </c>
      <c r="D420" s="22"/>
      <c r="E420" s="21" t="s">
        <v>75</v>
      </c>
      <c r="F420" s="21"/>
      <c r="G420" s="147" t="s">
        <v>155</v>
      </c>
      <c r="H420" s="23" t="s">
        <v>156</v>
      </c>
      <c r="I420" s="23"/>
      <c r="J420" s="21" t="s">
        <v>148</v>
      </c>
      <c r="K420" s="21"/>
      <c r="L420" s="21"/>
      <c r="M420" s="26">
        <v>42261</v>
      </c>
      <c r="N420" s="44">
        <v>4194</v>
      </c>
      <c r="O420" s="22" t="s">
        <v>15</v>
      </c>
      <c r="P420" s="22" t="s">
        <v>19</v>
      </c>
      <c r="Q420" s="24">
        <f t="shared" si="28"/>
        <v>0</v>
      </c>
      <c r="R420" s="24">
        <f t="shared" si="29"/>
        <v>4194</v>
      </c>
      <c r="S420" s="5"/>
      <c r="T420" s="5"/>
    </row>
    <row r="421" spans="1:20" ht="15.75" hidden="1" x14ac:dyDescent="0.25">
      <c r="B421" s="21" t="s">
        <v>395</v>
      </c>
      <c r="C421" s="22" t="s">
        <v>2450</v>
      </c>
      <c r="D421" s="22"/>
      <c r="E421" s="21" t="s">
        <v>75</v>
      </c>
      <c r="F421" s="21"/>
      <c r="G421" s="147" t="s">
        <v>155</v>
      </c>
      <c r="H421" s="23" t="s">
        <v>156</v>
      </c>
      <c r="I421" s="23"/>
      <c r="J421" s="21" t="s">
        <v>149</v>
      </c>
      <c r="K421" s="21"/>
      <c r="L421" s="21"/>
      <c r="M421" s="26">
        <v>42261</v>
      </c>
      <c r="N421" s="44">
        <v>2963.76</v>
      </c>
      <c r="O421" s="22" t="s">
        <v>15</v>
      </c>
      <c r="P421" s="22" t="s">
        <v>19</v>
      </c>
      <c r="Q421" s="24">
        <f t="shared" si="28"/>
        <v>0</v>
      </c>
      <c r="R421" s="24">
        <f t="shared" si="29"/>
        <v>2963.76</v>
      </c>
      <c r="S421" s="5"/>
      <c r="T421" s="5"/>
    </row>
    <row r="422" spans="1:20" ht="15.75" hidden="1" x14ac:dyDescent="0.25">
      <c r="B422" s="21" t="s">
        <v>395</v>
      </c>
      <c r="C422" s="22" t="s">
        <v>2450</v>
      </c>
      <c r="D422" s="22"/>
      <c r="E422" s="21" t="s">
        <v>75</v>
      </c>
      <c r="F422" s="21"/>
      <c r="G422" s="147" t="s">
        <v>155</v>
      </c>
      <c r="H422" s="23" t="s">
        <v>156</v>
      </c>
      <c r="I422" s="23"/>
      <c r="J422" s="21" t="s">
        <v>150</v>
      </c>
      <c r="K422" s="21"/>
      <c r="L422" s="21"/>
      <c r="M422" s="26">
        <v>42639</v>
      </c>
      <c r="N422" s="44">
        <v>6836.22</v>
      </c>
      <c r="O422" s="22" t="s">
        <v>15</v>
      </c>
      <c r="P422" s="22" t="s">
        <v>19</v>
      </c>
      <c r="Q422" s="24">
        <f t="shared" si="28"/>
        <v>0</v>
      </c>
      <c r="R422" s="24">
        <f t="shared" si="29"/>
        <v>6836.22</v>
      </c>
      <c r="S422" s="5"/>
      <c r="T422" s="5"/>
    </row>
    <row r="423" spans="1:20" ht="15.75" hidden="1" x14ac:dyDescent="0.25">
      <c r="B423" s="21" t="s">
        <v>395</v>
      </c>
      <c r="C423" s="22" t="s">
        <v>2450</v>
      </c>
      <c r="D423" s="22"/>
      <c r="E423" s="21" t="s">
        <v>75</v>
      </c>
      <c r="F423" s="21"/>
      <c r="G423" s="147" t="s">
        <v>155</v>
      </c>
      <c r="H423" s="23" t="s">
        <v>156</v>
      </c>
      <c r="I423" s="23"/>
      <c r="J423" s="21" t="s">
        <v>151</v>
      </c>
      <c r="K423" s="21"/>
      <c r="L423" s="21"/>
      <c r="M423" s="26" t="s">
        <v>554</v>
      </c>
      <c r="N423" s="44">
        <v>0</v>
      </c>
      <c r="O423" s="22" t="s">
        <v>15</v>
      </c>
      <c r="P423" s="22" t="s">
        <v>19</v>
      </c>
      <c r="Q423" s="24">
        <f t="shared" si="28"/>
        <v>0</v>
      </c>
      <c r="R423" s="24">
        <f t="shared" si="29"/>
        <v>0</v>
      </c>
      <c r="S423" s="5"/>
      <c r="T423" s="5"/>
    </row>
    <row r="424" spans="1:20" ht="15.75" hidden="1" x14ac:dyDescent="0.25">
      <c r="B424" s="21" t="s">
        <v>395</v>
      </c>
      <c r="C424" s="22" t="s">
        <v>2450</v>
      </c>
      <c r="D424" s="22"/>
      <c r="E424" s="21" t="s">
        <v>75</v>
      </c>
      <c r="F424" s="21"/>
      <c r="G424" s="147" t="s">
        <v>155</v>
      </c>
      <c r="H424" s="23" t="s">
        <v>156</v>
      </c>
      <c r="I424" s="23"/>
      <c r="J424" s="21" t="s">
        <v>152</v>
      </c>
      <c r="K424" s="21"/>
      <c r="L424" s="21"/>
      <c r="M424" s="26" t="s">
        <v>554</v>
      </c>
      <c r="N424" s="44">
        <v>0</v>
      </c>
      <c r="O424" s="22" t="s">
        <v>15</v>
      </c>
      <c r="P424" s="22" t="s">
        <v>19</v>
      </c>
      <c r="Q424" s="24">
        <f t="shared" si="28"/>
        <v>0</v>
      </c>
      <c r="R424" s="24">
        <f t="shared" si="29"/>
        <v>0</v>
      </c>
      <c r="S424" s="5"/>
      <c r="T424" s="5"/>
    </row>
    <row r="425" spans="1:20" ht="15.75" hidden="1" x14ac:dyDescent="0.25">
      <c r="B425" s="21" t="s">
        <v>395</v>
      </c>
      <c r="C425" s="22" t="s">
        <v>2450</v>
      </c>
      <c r="D425" s="22"/>
      <c r="E425" s="21" t="s">
        <v>75</v>
      </c>
      <c r="F425" s="21"/>
      <c r="G425" s="147" t="s">
        <v>155</v>
      </c>
      <c r="H425" s="23" t="s">
        <v>157</v>
      </c>
      <c r="I425" s="23"/>
      <c r="J425" s="21" t="s">
        <v>148</v>
      </c>
      <c r="K425" s="21"/>
      <c r="L425" s="21"/>
      <c r="M425" s="26">
        <v>42592</v>
      </c>
      <c r="N425" s="44">
        <v>5725</v>
      </c>
      <c r="O425" s="22" t="s">
        <v>15</v>
      </c>
      <c r="P425" s="22" t="s">
        <v>19</v>
      </c>
      <c r="Q425" s="24">
        <f t="shared" si="28"/>
        <v>0</v>
      </c>
      <c r="R425" s="24">
        <f t="shared" si="29"/>
        <v>5725</v>
      </c>
      <c r="S425" s="5"/>
      <c r="T425" s="5"/>
    </row>
    <row r="426" spans="1:20" ht="15.75" hidden="1" x14ac:dyDescent="0.25">
      <c r="B426" s="21" t="s">
        <v>395</v>
      </c>
      <c r="C426" s="22" t="s">
        <v>2450</v>
      </c>
      <c r="D426" s="22"/>
      <c r="E426" s="21" t="s">
        <v>75</v>
      </c>
      <c r="F426" s="21"/>
      <c r="G426" s="147" t="s">
        <v>155</v>
      </c>
      <c r="H426" s="23" t="s">
        <v>157</v>
      </c>
      <c r="I426" s="23"/>
      <c r="J426" s="21" t="s">
        <v>153</v>
      </c>
      <c r="K426" s="21"/>
      <c r="L426" s="21"/>
      <c r="M426" s="26">
        <v>42615</v>
      </c>
      <c r="N426" s="44">
        <v>6679</v>
      </c>
      <c r="O426" s="22" t="s">
        <v>15</v>
      </c>
      <c r="P426" s="22" t="s">
        <v>19</v>
      </c>
      <c r="Q426" s="24">
        <f t="shared" si="28"/>
        <v>0</v>
      </c>
      <c r="R426" s="24">
        <f t="shared" si="29"/>
        <v>6679</v>
      </c>
      <c r="S426" s="5"/>
      <c r="T426" s="5"/>
    </row>
    <row r="427" spans="1:20" ht="15.75" hidden="1" x14ac:dyDescent="0.25">
      <c r="B427" s="21" t="s">
        <v>395</v>
      </c>
      <c r="C427" s="22" t="s">
        <v>2450</v>
      </c>
      <c r="D427" s="22"/>
      <c r="E427" s="21" t="s">
        <v>75</v>
      </c>
      <c r="F427" s="21"/>
      <c r="G427" s="147" t="s">
        <v>155</v>
      </c>
      <c r="H427" s="23" t="s">
        <v>157</v>
      </c>
      <c r="I427" s="23"/>
      <c r="J427" s="21" t="s">
        <v>154</v>
      </c>
      <c r="K427" s="21"/>
      <c r="L427" s="21"/>
      <c r="M427" s="26" t="s">
        <v>590</v>
      </c>
      <c r="N427" s="44">
        <v>6679</v>
      </c>
      <c r="O427" s="22" t="s">
        <v>15</v>
      </c>
      <c r="P427" s="22" t="s">
        <v>19</v>
      </c>
      <c r="Q427" s="24">
        <f t="shared" si="28"/>
        <v>0</v>
      </c>
      <c r="R427" s="24">
        <f t="shared" si="29"/>
        <v>6679</v>
      </c>
      <c r="S427" s="5"/>
      <c r="T427" s="5"/>
    </row>
    <row r="428" spans="1:20" ht="15.75" hidden="1" x14ac:dyDescent="0.25">
      <c r="B428" s="21" t="s">
        <v>395</v>
      </c>
      <c r="C428" s="22" t="s">
        <v>2450</v>
      </c>
      <c r="D428" s="22"/>
      <c r="E428" s="21" t="s">
        <v>0</v>
      </c>
      <c r="F428" s="21"/>
      <c r="G428" s="147" t="s">
        <v>169</v>
      </c>
      <c r="H428" s="23" t="s">
        <v>301</v>
      </c>
      <c r="I428" s="23"/>
      <c r="J428" s="21" t="s">
        <v>97</v>
      </c>
      <c r="K428" s="21"/>
      <c r="L428" s="21"/>
      <c r="M428" s="26">
        <v>42735</v>
      </c>
      <c r="N428" s="44">
        <v>2520</v>
      </c>
      <c r="O428" s="22" t="s">
        <v>15</v>
      </c>
      <c r="P428" s="22" t="s">
        <v>19</v>
      </c>
      <c r="Q428" s="24">
        <f t="shared" si="28"/>
        <v>0</v>
      </c>
      <c r="R428" s="24">
        <f t="shared" si="29"/>
        <v>2520</v>
      </c>
      <c r="S428" s="5"/>
      <c r="T428" s="5"/>
    </row>
    <row r="429" spans="1:20" ht="15.75" hidden="1" x14ac:dyDescent="0.25">
      <c r="B429" s="21" t="s">
        <v>395</v>
      </c>
      <c r="C429" s="22" t="s">
        <v>2450</v>
      </c>
      <c r="D429" s="22"/>
      <c r="E429" s="21" t="s">
        <v>0</v>
      </c>
      <c r="F429" s="21"/>
      <c r="G429" s="147" t="s">
        <v>170</v>
      </c>
      <c r="H429" s="23" t="s">
        <v>415</v>
      </c>
      <c r="I429" s="23"/>
      <c r="J429" s="21" t="s">
        <v>171</v>
      </c>
      <c r="K429" s="21"/>
      <c r="L429" s="21"/>
      <c r="M429" s="26">
        <v>42763</v>
      </c>
      <c r="N429" s="44">
        <v>150</v>
      </c>
      <c r="O429" s="22" t="str">
        <f>+O428</f>
        <v>EUROS</v>
      </c>
      <c r="P429" s="22" t="s">
        <v>19</v>
      </c>
      <c r="Q429" s="24">
        <f t="shared" si="28"/>
        <v>0</v>
      </c>
      <c r="R429" s="24">
        <f t="shared" si="29"/>
        <v>150</v>
      </c>
      <c r="S429" s="5"/>
      <c r="T429" s="5"/>
    </row>
    <row r="430" spans="1:20" ht="15.75" hidden="1" x14ac:dyDescent="0.25">
      <c r="B430" s="21" t="s">
        <v>395</v>
      </c>
      <c r="C430" s="22" t="s">
        <v>2450</v>
      </c>
      <c r="D430" s="22"/>
      <c r="E430" s="21" t="s">
        <v>0</v>
      </c>
      <c r="F430" s="21"/>
      <c r="G430" s="147" t="s">
        <v>170</v>
      </c>
      <c r="H430" s="23" t="s">
        <v>985</v>
      </c>
      <c r="I430" s="23"/>
      <c r="J430" s="21" t="s">
        <v>986</v>
      </c>
      <c r="K430" s="21"/>
      <c r="L430" s="21"/>
      <c r="M430" s="26" t="s">
        <v>1174</v>
      </c>
      <c r="N430" s="44">
        <v>1440</v>
      </c>
      <c r="O430" s="22" t="s">
        <v>15</v>
      </c>
      <c r="P430" s="22" t="s">
        <v>19</v>
      </c>
      <c r="Q430" s="24">
        <f t="shared" si="28"/>
        <v>0</v>
      </c>
      <c r="R430" s="24">
        <f t="shared" si="29"/>
        <v>1440</v>
      </c>
      <c r="S430" s="5"/>
      <c r="T430" s="5"/>
    </row>
    <row r="431" spans="1:20" ht="15.75" hidden="1" x14ac:dyDescent="0.25">
      <c r="B431" s="21" t="s">
        <v>395</v>
      </c>
      <c r="C431" s="22" t="s">
        <v>2450</v>
      </c>
      <c r="D431" s="22"/>
      <c r="E431" s="21" t="s">
        <v>0</v>
      </c>
      <c r="F431" s="21"/>
      <c r="G431" s="147" t="s">
        <v>170</v>
      </c>
      <c r="H431" s="23" t="s">
        <v>415</v>
      </c>
      <c r="I431" s="23"/>
      <c r="J431" s="21" t="s">
        <v>172</v>
      </c>
      <c r="K431" s="21"/>
      <c r="L431" s="21"/>
      <c r="M431" s="26">
        <v>42763</v>
      </c>
      <c r="N431" s="44">
        <v>50</v>
      </c>
      <c r="O431" s="22" t="str">
        <f>+O429</f>
        <v>EUROS</v>
      </c>
      <c r="P431" s="22" t="s">
        <v>19</v>
      </c>
      <c r="Q431" s="24">
        <f t="shared" si="28"/>
        <v>0</v>
      </c>
      <c r="R431" s="24">
        <f t="shared" si="29"/>
        <v>50</v>
      </c>
      <c r="S431" s="5"/>
      <c r="T431" s="5"/>
    </row>
    <row r="432" spans="1:20" ht="15.75" hidden="1" x14ac:dyDescent="0.25">
      <c r="A432" t="s">
        <v>6091</v>
      </c>
      <c r="B432" s="21" t="s">
        <v>395</v>
      </c>
      <c r="C432" s="22" t="s">
        <v>2450</v>
      </c>
      <c r="D432" s="22"/>
      <c r="E432" s="21" t="s">
        <v>10</v>
      </c>
      <c r="F432" s="21"/>
      <c r="G432" s="147" t="s">
        <v>110</v>
      </c>
      <c r="H432" s="23" t="s">
        <v>428</v>
      </c>
      <c r="I432" s="23"/>
      <c r="J432" s="21" t="s">
        <v>594</v>
      </c>
      <c r="K432" s="21"/>
      <c r="L432" s="21"/>
      <c r="M432" s="26" t="s">
        <v>371</v>
      </c>
      <c r="N432" s="44">
        <f>0.67*10800</f>
        <v>7236</v>
      </c>
      <c r="O432" s="22" t="s">
        <v>15</v>
      </c>
      <c r="P432" s="22" t="s">
        <v>19</v>
      </c>
      <c r="Q432" s="24">
        <f t="shared" ref="Q432:Q457" si="30">IF(P432="en cours",N432,IF(P432="OK",0,IF(N432-P432&lt;0,0,N432-P432)))</f>
        <v>0</v>
      </c>
      <c r="R432" s="24">
        <f t="shared" si="29"/>
        <v>7236</v>
      </c>
      <c r="S432" s="5"/>
      <c r="T432" s="5"/>
    </row>
    <row r="433" spans="1:20" ht="15.75" hidden="1" x14ac:dyDescent="0.25">
      <c r="A433" t="s">
        <v>6091</v>
      </c>
      <c r="B433" s="21" t="s">
        <v>395</v>
      </c>
      <c r="C433" s="22" t="s">
        <v>2450</v>
      </c>
      <c r="D433" s="22"/>
      <c r="E433" s="21" t="s">
        <v>10</v>
      </c>
      <c r="F433" s="21"/>
      <c r="G433" s="147" t="s">
        <v>110</v>
      </c>
      <c r="H433" s="23" t="s">
        <v>428</v>
      </c>
      <c r="I433" s="23"/>
      <c r="J433" s="21" t="s">
        <v>595</v>
      </c>
      <c r="K433" s="21"/>
      <c r="L433" s="21"/>
      <c r="M433" s="26" t="s">
        <v>364</v>
      </c>
      <c r="N433" s="44">
        <f>0.33*10800</f>
        <v>3564</v>
      </c>
      <c r="O433" s="22" t="s">
        <v>15</v>
      </c>
      <c r="P433" s="22" t="s">
        <v>19</v>
      </c>
      <c r="Q433" s="24">
        <f t="shared" si="30"/>
        <v>0</v>
      </c>
      <c r="R433" s="24">
        <f t="shared" si="29"/>
        <v>3564</v>
      </c>
      <c r="S433" s="5"/>
      <c r="T433" s="5"/>
    </row>
    <row r="434" spans="1:20" ht="15.75" hidden="1" x14ac:dyDescent="0.25">
      <c r="A434" t="s">
        <v>6091</v>
      </c>
      <c r="B434" s="21" t="s">
        <v>395</v>
      </c>
      <c r="C434" s="22" t="s">
        <v>2427</v>
      </c>
      <c r="D434" s="22"/>
      <c r="E434" s="21" t="s">
        <v>0</v>
      </c>
      <c r="F434" s="21"/>
      <c r="G434" s="147" t="s">
        <v>110</v>
      </c>
      <c r="H434" s="23" t="s">
        <v>424</v>
      </c>
      <c r="I434" s="23"/>
      <c r="J434" s="21" t="s">
        <v>329</v>
      </c>
      <c r="K434" s="21"/>
      <c r="L434" s="21"/>
      <c r="M434" s="26">
        <v>42845</v>
      </c>
      <c r="N434" s="44">
        <f>0.5*7120</f>
        <v>3560</v>
      </c>
      <c r="O434" s="22" t="str">
        <f>+O432</f>
        <v>EUROS</v>
      </c>
      <c r="P434" s="22" t="s">
        <v>19</v>
      </c>
      <c r="Q434" s="24">
        <f t="shared" si="30"/>
        <v>0</v>
      </c>
      <c r="R434" s="24">
        <f t="shared" si="29"/>
        <v>3560</v>
      </c>
      <c r="S434" s="5"/>
      <c r="T434" s="5"/>
    </row>
    <row r="435" spans="1:20" ht="15.75" hidden="1" x14ac:dyDescent="0.25">
      <c r="A435" t="s">
        <v>6091</v>
      </c>
      <c r="B435" s="21" t="s">
        <v>395</v>
      </c>
      <c r="C435" s="22" t="s">
        <v>2427</v>
      </c>
      <c r="D435" s="22"/>
      <c r="E435" s="21" t="s">
        <v>0</v>
      </c>
      <c r="F435" s="21"/>
      <c r="G435" s="147" t="s">
        <v>110</v>
      </c>
      <c r="H435" s="23" t="s">
        <v>424</v>
      </c>
      <c r="I435" s="23"/>
      <c r="J435" s="21" t="s">
        <v>328</v>
      </c>
      <c r="K435" s="21"/>
      <c r="L435" s="21"/>
      <c r="M435" s="26">
        <v>42930</v>
      </c>
      <c r="N435" s="44">
        <f>0.5*7120</f>
        <v>3560</v>
      </c>
      <c r="O435" s="22" t="str">
        <f>+O433</f>
        <v>EUROS</v>
      </c>
      <c r="P435" s="22" t="s">
        <v>19</v>
      </c>
      <c r="Q435" s="24">
        <f t="shared" si="30"/>
        <v>0</v>
      </c>
      <c r="R435" s="24">
        <f t="shared" si="29"/>
        <v>3560</v>
      </c>
      <c r="S435" s="5"/>
      <c r="T435" s="5"/>
    </row>
    <row r="436" spans="1:20" ht="15.75" hidden="1" x14ac:dyDescent="0.25">
      <c r="A436" t="s">
        <v>6091</v>
      </c>
      <c r="B436" s="21" t="s">
        <v>395</v>
      </c>
      <c r="C436" s="22" t="s">
        <v>2450</v>
      </c>
      <c r="D436" s="22"/>
      <c r="E436" s="21" t="s">
        <v>0</v>
      </c>
      <c r="F436" s="21"/>
      <c r="G436" s="147" t="s">
        <v>110</v>
      </c>
      <c r="H436" s="23" t="s">
        <v>267</v>
      </c>
      <c r="I436" s="23"/>
      <c r="J436" s="21" t="s">
        <v>182</v>
      </c>
      <c r="K436" s="21"/>
      <c r="L436" s="21"/>
      <c r="M436" s="26">
        <v>42793</v>
      </c>
      <c r="N436" s="44">
        <f>13430*50%</f>
        <v>6715</v>
      </c>
      <c r="O436" s="22" t="str">
        <f>+O435</f>
        <v>EUROS</v>
      </c>
      <c r="P436" s="22" t="s">
        <v>19</v>
      </c>
      <c r="Q436" s="24">
        <f t="shared" si="30"/>
        <v>0</v>
      </c>
      <c r="R436" s="24">
        <f t="shared" si="29"/>
        <v>6715</v>
      </c>
      <c r="S436" s="5"/>
      <c r="T436" s="5"/>
    </row>
    <row r="437" spans="1:20" ht="15.75" hidden="1" x14ac:dyDescent="0.25">
      <c r="A437" t="s">
        <v>6753</v>
      </c>
      <c r="B437" s="21" t="s">
        <v>395</v>
      </c>
      <c r="C437" s="22" t="s">
        <v>2450</v>
      </c>
      <c r="D437" s="22"/>
      <c r="E437" s="21" t="s">
        <v>75</v>
      </c>
      <c r="F437" s="21"/>
      <c r="G437" s="147" t="s">
        <v>98</v>
      </c>
      <c r="H437" s="23" t="s">
        <v>418</v>
      </c>
      <c r="I437" s="23"/>
      <c r="J437" s="21" t="s">
        <v>244</v>
      </c>
      <c r="K437" s="21"/>
      <c r="L437" s="21"/>
      <c r="M437" s="26">
        <v>42825</v>
      </c>
      <c r="N437" s="44">
        <v>35</v>
      </c>
      <c r="O437" s="22" t="s">
        <v>15</v>
      </c>
      <c r="P437" s="22" t="s">
        <v>19</v>
      </c>
      <c r="Q437" s="24">
        <f t="shared" si="30"/>
        <v>0</v>
      </c>
      <c r="R437" s="24">
        <f t="shared" si="29"/>
        <v>35</v>
      </c>
      <c r="S437" s="5"/>
      <c r="T437" s="5"/>
    </row>
    <row r="438" spans="1:20" ht="15.75" hidden="1" x14ac:dyDescent="0.25">
      <c r="A438" t="s">
        <v>6753</v>
      </c>
      <c r="B438" s="21" t="s">
        <v>395</v>
      </c>
      <c r="C438" s="22" t="s">
        <v>2450</v>
      </c>
      <c r="D438" s="22"/>
      <c r="E438" s="21" t="s">
        <v>75</v>
      </c>
      <c r="F438" s="21"/>
      <c r="G438" s="147" t="s">
        <v>98</v>
      </c>
      <c r="H438" s="23" t="s">
        <v>419</v>
      </c>
      <c r="I438" s="23"/>
      <c r="J438" s="21" t="s">
        <v>245</v>
      </c>
      <c r="K438" s="21"/>
      <c r="L438" s="21"/>
      <c r="M438" s="26">
        <v>42825</v>
      </c>
      <c r="N438" s="44">
        <v>39</v>
      </c>
      <c r="O438" s="22" t="s">
        <v>15</v>
      </c>
      <c r="P438" s="22" t="s">
        <v>19</v>
      </c>
      <c r="Q438" s="24">
        <f t="shared" si="30"/>
        <v>0</v>
      </c>
      <c r="R438" s="24">
        <f t="shared" si="29"/>
        <v>39</v>
      </c>
      <c r="S438" s="5"/>
      <c r="T438" s="5"/>
    </row>
    <row r="439" spans="1:20" ht="15.75" hidden="1" x14ac:dyDescent="0.25">
      <c r="A439" t="s">
        <v>6753</v>
      </c>
      <c r="B439" s="21" t="s">
        <v>395</v>
      </c>
      <c r="C439" s="22" t="s">
        <v>2450</v>
      </c>
      <c r="D439" s="22"/>
      <c r="E439" s="21" t="s">
        <v>75</v>
      </c>
      <c r="F439" s="21"/>
      <c r="G439" s="147" t="s">
        <v>98</v>
      </c>
      <c r="H439" s="23" t="s">
        <v>432</v>
      </c>
      <c r="I439" s="23"/>
      <c r="J439" s="21" t="s">
        <v>246</v>
      </c>
      <c r="K439" s="21"/>
      <c r="L439" s="21"/>
      <c r="M439" s="26">
        <v>42825</v>
      </c>
      <c r="N439" s="44">
        <v>847.19999999999993</v>
      </c>
      <c r="O439" s="22" t="s">
        <v>15</v>
      </c>
      <c r="P439" s="22" t="s">
        <v>19</v>
      </c>
      <c r="Q439" s="24">
        <f t="shared" si="30"/>
        <v>0</v>
      </c>
      <c r="R439" s="24">
        <f t="shared" si="29"/>
        <v>847.19999999999993</v>
      </c>
      <c r="S439" s="5"/>
      <c r="T439" s="5"/>
    </row>
    <row r="440" spans="1:20" ht="15.75" hidden="1" x14ac:dyDescent="0.25">
      <c r="A440" t="s">
        <v>6753</v>
      </c>
      <c r="B440" s="21" t="s">
        <v>395</v>
      </c>
      <c r="C440" s="22" t="s">
        <v>2450</v>
      </c>
      <c r="D440" s="22"/>
      <c r="E440" s="21" t="s">
        <v>75</v>
      </c>
      <c r="F440" s="21"/>
      <c r="G440" s="147" t="s">
        <v>98</v>
      </c>
      <c r="H440" s="23" t="s">
        <v>419</v>
      </c>
      <c r="I440" s="23"/>
      <c r="J440" s="21" t="s">
        <v>247</v>
      </c>
      <c r="K440" s="21"/>
      <c r="L440" s="21"/>
      <c r="M440" s="26">
        <v>42825</v>
      </c>
      <c r="N440" s="44">
        <v>223</v>
      </c>
      <c r="O440" s="22" t="s">
        <v>15</v>
      </c>
      <c r="P440" s="22" t="s">
        <v>19</v>
      </c>
      <c r="Q440" s="24">
        <f t="shared" si="30"/>
        <v>0</v>
      </c>
      <c r="R440" s="24">
        <f t="shared" si="29"/>
        <v>223</v>
      </c>
      <c r="S440" s="5"/>
      <c r="T440" s="5"/>
    </row>
    <row r="441" spans="1:20" ht="15.75" hidden="1" x14ac:dyDescent="0.25">
      <c r="A441" t="s">
        <v>6753</v>
      </c>
      <c r="B441" s="21" t="s">
        <v>395</v>
      </c>
      <c r="C441" s="22" t="s">
        <v>2450</v>
      </c>
      <c r="D441" s="22"/>
      <c r="E441" s="21" t="s">
        <v>75</v>
      </c>
      <c r="F441" s="21"/>
      <c r="G441" s="147" t="s">
        <v>98</v>
      </c>
      <c r="H441" s="23" t="s">
        <v>471</v>
      </c>
      <c r="I441" s="23"/>
      <c r="J441" s="21" t="s">
        <v>244</v>
      </c>
      <c r="K441" s="21"/>
      <c r="L441" s="21"/>
      <c r="M441" s="26">
        <v>42991</v>
      </c>
      <c r="N441" s="44">
        <v>15.6</v>
      </c>
      <c r="O441" s="22" t="s">
        <v>15</v>
      </c>
      <c r="P441" s="22" t="s">
        <v>19</v>
      </c>
      <c r="Q441" s="24">
        <f t="shared" si="30"/>
        <v>0</v>
      </c>
      <c r="R441" s="24">
        <f t="shared" si="29"/>
        <v>15.6</v>
      </c>
      <c r="S441" s="5"/>
      <c r="T441" s="5"/>
    </row>
    <row r="442" spans="1:20" ht="15.75" hidden="1" x14ac:dyDescent="0.25">
      <c r="A442" t="s">
        <v>6753</v>
      </c>
      <c r="B442" s="21" t="s">
        <v>395</v>
      </c>
      <c r="C442" s="22" t="s">
        <v>2450</v>
      </c>
      <c r="D442" s="22"/>
      <c r="E442" s="21" t="s">
        <v>75</v>
      </c>
      <c r="F442" s="21"/>
      <c r="G442" s="147" t="s">
        <v>98</v>
      </c>
      <c r="H442" s="23" t="s">
        <v>471</v>
      </c>
      <c r="I442" s="23"/>
      <c r="J442" s="21" t="s">
        <v>245</v>
      </c>
      <c r="K442" s="21"/>
      <c r="L442" s="21"/>
      <c r="M442" s="26">
        <v>42991</v>
      </c>
      <c r="N442" s="44">
        <v>140</v>
      </c>
      <c r="O442" s="22" t="s">
        <v>15</v>
      </c>
      <c r="P442" s="22" t="s">
        <v>19</v>
      </c>
      <c r="Q442" s="24">
        <f t="shared" si="30"/>
        <v>0</v>
      </c>
      <c r="R442" s="24">
        <f t="shared" si="29"/>
        <v>140</v>
      </c>
      <c r="S442" s="5"/>
      <c r="T442" s="5"/>
    </row>
    <row r="443" spans="1:20" ht="15.75" hidden="1" x14ac:dyDescent="0.25">
      <c r="A443" t="s">
        <v>6753</v>
      </c>
      <c r="B443" s="21" t="s">
        <v>395</v>
      </c>
      <c r="C443" s="22" t="s">
        <v>2450</v>
      </c>
      <c r="D443" s="22"/>
      <c r="E443" s="21" t="s">
        <v>75</v>
      </c>
      <c r="F443" s="21"/>
      <c r="G443" s="147" t="s">
        <v>98</v>
      </c>
      <c r="H443" s="23" t="s">
        <v>471</v>
      </c>
      <c r="I443" s="23"/>
      <c r="J443" s="21" t="s">
        <v>246</v>
      </c>
      <c r="K443" s="21"/>
      <c r="L443" s="21"/>
      <c r="M443" s="26">
        <v>42991</v>
      </c>
      <c r="N443" s="44">
        <v>197.67999999999998</v>
      </c>
      <c r="O443" s="22" t="s">
        <v>15</v>
      </c>
      <c r="P443" s="22" t="s">
        <v>19</v>
      </c>
      <c r="Q443" s="24">
        <f t="shared" si="30"/>
        <v>0</v>
      </c>
      <c r="R443" s="24">
        <f t="shared" si="29"/>
        <v>197.67999999999998</v>
      </c>
      <c r="S443" s="5"/>
      <c r="T443" s="5"/>
    </row>
    <row r="444" spans="1:20" ht="15.75" hidden="1" x14ac:dyDescent="0.25">
      <c r="A444" t="s">
        <v>6753</v>
      </c>
      <c r="B444" s="21" t="s">
        <v>395</v>
      </c>
      <c r="C444" s="22" t="s">
        <v>2450</v>
      </c>
      <c r="D444" s="22"/>
      <c r="E444" s="21" t="s">
        <v>75</v>
      </c>
      <c r="F444" s="21"/>
      <c r="G444" s="147" t="s">
        <v>98</v>
      </c>
      <c r="H444" s="23" t="s">
        <v>471</v>
      </c>
      <c r="I444" s="23"/>
      <c r="J444" s="21" t="s">
        <v>247</v>
      </c>
      <c r="K444" s="21"/>
      <c r="L444" s="21"/>
      <c r="M444" s="26">
        <v>42991</v>
      </c>
      <c r="N444" s="44">
        <v>3029</v>
      </c>
      <c r="O444" s="22" t="s">
        <v>15</v>
      </c>
      <c r="P444" s="22" t="s">
        <v>19</v>
      </c>
      <c r="Q444" s="24">
        <f t="shared" si="30"/>
        <v>0</v>
      </c>
      <c r="R444" s="24">
        <f t="shared" si="29"/>
        <v>3029</v>
      </c>
      <c r="S444" s="5"/>
      <c r="T444" s="5"/>
    </row>
    <row r="445" spans="1:20" ht="15.75" hidden="1" x14ac:dyDescent="0.25">
      <c r="B445" s="21" t="s">
        <v>395</v>
      </c>
      <c r="C445" s="22" t="s">
        <v>192</v>
      </c>
      <c r="D445" s="22"/>
      <c r="E445" s="21" t="s">
        <v>10</v>
      </c>
      <c r="F445" s="21"/>
      <c r="G445" s="147" t="s">
        <v>11</v>
      </c>
      <c r="H445" s="23" t="s">
        <v>603</v>
      </c>
      <c r="I445" s="23"/>
      <c r="J445" s="21" t="s">
        <v>270</v>
      </c>
      <c r="K445" s="21"/>
      <c r="L445" s="21"/>
      <c r="M445" s="26">
        <v>42941</v>
      </c>
      <c r="N445" s="44">
        <v>1500</v>
      </c>
      <c r="O445" s="22" t="s">
        <v>16</v>
      </c>
      <c r="P445" s="22" t="s">
        <v>19</v>
      </c>
      <c r="Q445" s="24">
        <f t="shared" si="30"/>
        <v>0</v>
      </c>
      <c r="R445" s="24">
        <f t="shared" si="29"/>
        <v>1500</v>
      </c>
      <c r="S445" s="5"/>
      <c r="T445" s="5"/>
    </row>
    <row r="446" spans="1:20" ht="15.75" hidden="1" x14ac:dyDescent="0.25">
      <c r="B446" s="21" t="s">
        <v>395</v>
      </c>
      <c r="C446" s="22" t="s">
        <v>192</v>
      </c>
      <c r="D446" s="22"/>
      <c r="E446" s="21" t="s">
        <v>10</v>
      </c>
      <c r="F446" s="21"/>
      <c r="G446" s="147" t="s">
        <v>11</v>
      </c>
      <c r="H446" s="23" t="s">
        <v>603</v>
      </c>
      <c r="I446" s="23"/>
      <c r="J446" s="21" t="s">
        <v>271</v>
      </c>
      <c r="K446" s="21"/>
      <c r="L446" s="21"/>
      <c r="M446" s="26">
        <v>42941</v>
      </c>
      <c r="N446" s="44">
        <v>17400</v>
      </c>
      <c r="O446" s="22" t="s">
        <v>16</v>
      </c>
      <c r="P446" s="22" t="s">
        <v>19</v>
      </c>
      <c r="Q446" s="24">
        <f t="shared" si="30"/>
        <v>0</v>
      </c>
      <c r="R446" s="24">
        <f t="shared" si="29"/>
        <v>17400</v>
      </c>
      <c r="S446" s="5"/>
      <c r="T446" s="5"/>
    </row>
    <row r="447" spans="1:20" ht="15.75" hidden="1" x14ac:dyDescent="0.25">
      <c r="B447" s="21" t="s">
        <v>395</v>
      </c>
      <c r="C447" s="22" t="s">
        <v>192</v>
      </c>
      <c r="D447" s="22"/>
      <c r="E447" s="21" t="s">
        <v>10</v>
      </c>
      <c r="F447" s="21"/>
      <c r="G447" s="147" t="s">
        <v>11</v>
      </c>
      <c r="H447" s="23" t="s">
        <v>603</v>
      </c>
      <c r="I447" s="23"/>
      <c r="J447" s="21" t="s">
        <v>272</v>
      </c>
      <c r="K447" s="21"/>
      <c r="L447" s="21"/>
      <c r="M447" s="26">
        <v>42941</v>
      </c>
      <c r="N447" s="44">
        <v>1500</v>
      </c>
      <c r="O447" s="22" t="s">
        <v>16</v>
      </c>
      <c r="P447" s="22" t="s">
        <v>19</v>
      </c>
      <c r="Q447" s="24">
        <f t="shared" si="30"/>
        <v>0</v>
      </c>
      <c r="R447" s="24">
        <f t="shared" si="29"/>
        <v>1500</v>
      </c>
      <c r="S447" s="5"/>
      <c r="T447" s="5"/>
    </row>
    <row r="448" spans="1:20" ht="15.75" hidden="1" x14ac:dyDescent="0.25">
      <c r="B448" s="21" t="s">
        <v>395</v>
      </c>
      <c r="C448" s="22" t="s">
        <v>2450</v>
      </c>
      <c r="D448" s="22"/>
      <c r="E448" s="21" t="s">
        <v>75</v>
      </c>
      <c r="F448" s="21"/>
      <c r="G448" s="147" t="s">
        <v>274</v>
      </c>
      <c r="H448" s="23" t="s">
        <v>275</v>
      </c>
      <c r="I448" s="23"/>
      <c r="J448" s="21" t="s">
        <v>277</v>
      </c>
      <c r="K448" s="21"/>
      <c r="L448" s="21"/>
      <c r="M448" s="26">
        <v>42916</v>
      </c>
      <c r="N448" s="44">
        <v>15588.75</v>
      </c>
      <c r="O448" s="22" t="s">
        <v>276</v>
      </c>
      <c r="P448" s="22" t="s">
        <v>19</v>
      </c>
      <c r="Q448" s="24">
        <f t="shared" si="30"/>
        <v>0</v>
      </c>
      <c r="R448" s="24">
        <f t="shared" si="29"/>
        <v>15588.75</v>
      </c>
      <c r="S448" s="5"/>
      <c r="T448" s="5"/>
    </row>
    <row r="449" spans="1:20" ht="15.75" hidden="1" x14ac:dyDescent="0.25">
      <c r="B449" s="21" t="s">
        <v>395</v>
      </c>
      <c r="C449" s="22" t="s">
        <v>2450</v>
      </c>
      <c r="D449" s="22"/>
      <c r="E449" s="21" t="s">
        <v>75</v>
      </c>
      <c r="F449" s="21"/>
      <c r="G449" s="147" t="s">
        <v>274</v>
      </c>
      <c r="H449" s="23" t="s">
        <v>278</v>
      </c>
      <c r="I449" s="23"/>
      <c r="J449" s="21" t="s">
        <v>279</v>
      </c>
      <c r="K449" s="21"/>
      <c r="L449" s="21"/>
      <c r="M449" s="26" t="s">
        <v>295</v>
      </c>
      <c r="N449" s="44">
        <v>2000</v>
      </c>
      <c r="O449" s="22" t="s">
        <v>276</v>
      </c>
      <c r="P449" s="22" t="s">
        <v>19</v>
      </c>
      <c r="Q449" s="24">
        <f t="shared" si="30"/>
        <v>0</v>
      </c>
      <c r="R449" s="24">
        <f t="shared" si="29"/>
        <v>2000</v>
      </c>
      <c r="S449" s="5"/>
      <c r="T449" s="5"/>
    </row>
    <row r="450" spans="1:20" ht="15.75" hidden="1" x14ac:dyDescent="0.25">
      <c r="A450" t="s">
        <v>6091</v>
      </c>
      <c r="B450" s="21" t="s">
        <v>395</v>
      </c>
      <c r="C450" s="22" t="s">
        <v>2450</v>
      </c>
      <c r="D450" s="22"/>
      <c r="E450" s="21" t="s">
        <v>0</v>
      </c>
      <c r="F450" s="21"/>
      <c r="G450" s="147" t="s">
        <v>110</v>
      </c>
      <c r="H450" s="23" t="s">
        <v>267</v>
      </c>
      <c r="I450" s="23"/>
      <c r="J450" s="21" t="s">
        <v>342</v>
      </c>
      <c r="K450" s="21"/>
      <c r="L450" s="21"/>
      <c r="M450" s="26">
        <v>42810</v>
      </c>
      <c r="N450" s="44">
        <f>13430*50%</f>
        <v>6715</v>
      </c>
      <c r="O450" s="22" t="str">
        <f>+'Presta clôturées'!O537</f>
        <v>EUROS</v>
      </c>
      <c r="P450" s="22" t="s">
        <v>19</v>
      </c>
      <c r="Q450" s="24">
        <f t="shared" si="30"/>
        <v>0</v>
      </c>
      <c r="R450" s="24">
        <f t="shared" si="29"/>
        <v>6715</v>
      </c>
      <c r="S450" s="5"/>
      <c r="T450" s="5"/>
    </row>
    <row r="451" spans="1:20" ht="15.75" hidden="1" x14ac:dyDescent="0.25">
      <c r="B451" s="21" t="s">
        <v>395</v>
      </c>
      <c r="C451" s="22" t="s">
        <v>2450</v>
      </c>
      <c r="D451" s="22"/>
      <c r="E451" s="21" t="s">
        <v>75</v>
      </c>
      <c r="F451" s="21"/>
      <c r="G451" s="147" t="s">
        <v>239</v>
      </c>
      <c r="H451" s="23" t="s">
        <v>433</v>
      </c>
      <c r="I451" s="23"/>
      <c r="J451" s="21" t="s">
        <v>303</v>
      </c>
      <c r="K451" s="21"/>
      <c r="L451" s="21"/>
      <c r="M451" s="26">
        <v>43021</v>
      </c>
      <c r="N451" s="44">
        <f>0.5*32900</f>
        <v>16450</v>
      </c>
      <c r="O451" s="22" t="s">
        <v>15</v>
      </c>
      <c r="P451" s="22" t="s">
        <v>19</v>
      </c>
      <c r="Q451" s="24">
        <f t="shared" si="30"/>
        <v>0</v>
      </c>
      <c r="R451" s="24">
        <f t="shared" si="29"/>
        <v>16450</v>
      </c>
      <c r="S451" s="5"/>
      <c r="T451" s="5"/>
    </row>
    <row r="452" spans="1:20" ht="15.75" hidden="1" x14ac:dyDescent="0.25">
      <c r="B452" s="21" t="s">
        <v>395</v>
      </c>
      <c r="C452" s="22" t="s">
        <v>2450</v>
      </c>
      <c r="D452" s="22"/>
      <c r="E452" s="21" t="s">
        <v>75</v>
      </c>
      <c r="F452" s="21"/>
      <c r="G452" s="147" t="s">
        <v>239</v>
      </c>
      <c r="H452" s="23" t="s">
        <v>433</v>
      </c>
      <c r="I452" s="23"/>
      <c r="J452" s="21" t="s">
        <v>304</v>
      </c>
      <c r="K452" s="21"/>
      <c r="L452" s="21"/>
      <c r="M452" s="26">
        <v>43063</v>
      </c>
      <c r="N452" s="44">
        <f>0.5*32900</f>
        <v>16450</v>
      </c>
      <c r="O452" s="22" t="s">
        <v>15</v>
      </c>
      <c r="P452" s="22" t="s">
        <v>19</v>
      </c>
      <c r="Q452" s="24">
        <f t="shared" si="30"/>
        <v>0</v>
      </c>
      <c r="R452" s="24">
        <f t="shared" si="29"/>
        <v>16450</v>
      </c>
      <c r="S452" s="5"/>
      <c r="T452" s="5"/>
    </row>
    <row r="453" spans="1:20" ht="15.75" hidden="1" x14ac:dyDescent="0.25">
      <c r="B453" s="21" t="s">
        <v>395</v>
      </c>
      <c r="C453" s="22" t="s">
        <v>2450</v>
      </c>
      <c r="D453" s="22"/>
      <c r="E453" s="21" t="s">
        <v>75</v>
      </c>
      <c r="F453" s="21"/>
      <c r="G453" s="147" t="s">
        <v>239</v>
      </c>
      <c r="H453" s="23" t="s">
        <v>379</v>
      </c>
      <c r="I453" s="23"/>
      <c r="J453" s="21" t="s">
        <v>303</v>
      </c>
      <c r="K453" s="21"/>
      <c r="L453" s="21"/>
      <c r="M453" s="26" t="s">
        <v>553</v>
      </c>
      <c r="N453" s="44">
        <v>0</v>
      </c>
      <c r="O453" s="22" t="s">
        <v>15</v>
      </c>
      <c r="P453" s="22" t="s">
        <v>19</v>
      </c>
      <c r="Q453" s="24">
        <f t="shared" si="30"/>
        <v>0</v>
      </c>
      <c r="R453" s="24">
        <f t="shared" si="29"/>
        <v>0</v>
      </c>
      <c r="S453" s="5"/>
      <c r="T453" s="5"/>
    </row>
    <row r="454" spans="1:20" ht="15.75" hidden="1" x14ac:dyDescent="0.25">
      <c r="B454" s="21" t="s">
        <v>395</v>
      </c>
      <c r="C454" s="22" t="s">
        <v>2450</v>
      </c>
      <c r="D454" s="22"/>
      <c r="E454" s="21" t="s">
        <v>75</v>
      </c>
      <c r="F454" s="21"/>
      <c r="G454" s="147" t="s">
        <v>239</v>
      </c>
      <c r="H454" s="23" t="s">
        <v>379</v>
      </c>
      <c r="I454" s="23"/>
      <c r="J454" s="21" t="s">
        <v>304</v>
      </c>
      <c r="K454" s="21"/>
      <c r="L454" s="21"/>
      <c r="M454" s="26" t="s">
        <v>553</v>
      </c>
      <c r="N454" s="44">
        <v>0</v>
      </c>
      <c r="O454" s="22" t="s">
        <v>15</v>
      </c>
      <c r="P454" s="22" t="s">
        <v>19</v>
      </c>
      <c r="Q454" s="24">
        <f t="shared" si="30"/>
        <v>0</v>
      </c>
      <c r="R454" s="24">
        <f t="shared" si="29"/>
        <v>0</v>
      </c>
      <c r="S454" s="5"/>
      <c r="T454" s="5"/>
    </row>
    <row r="455" spans="1:20" ht="15.75" hidden="1" x14ac:dyDescent="0.25">
      <c r="B455" s="21" t="s">
        <v>395</v>
      </c>
      <c r="C455" s="22" t="s">
        <v>2450</v>
      </c>
      <c r="D455" s="22"/>
      <c r="E455" s="21" t="s">
        <v>75</v>
      </c>
      <c r="F455" s="21"/>
      <c r="G455" s="147" t="s">
        <v>238</v>
      </c>
      <c r="H455" s="23" t="s">
        <v>467</v>
      </c>
      <c r="I455" s="23"/>
      <c r="J455" s="21" t="s">
        <v>305</v>
      </c>
      <c r="K455" s="21"/>
      <c r="L455" s="21"/>
      <c r="M455" s="26">
        <v>42865</v>
      </c>
      <c r="N455" s="44">
        <f>0.5*8500</f>
        <v>4250</v>
      </c>
      <c r="O455" s="22" t="s">
        <v>15</v>
      </c>
      <c r="P455" s="22" t="s">
        <v>19</v>
      </c>
      <c r="Q455" s="24">
        <f t="shared" si="30"/>
        <v>0</v>
      </c>
      <c r="R455" s="24">
        <f t="shared" si="29"/>
        <v>4250</v>
      </c>
      <c r="S455" s="5"/>
      <c r="T455" s="5"/>
    </row>
    <row r="456" spans="1:20" ht="15.75" hidden="1" x14ac:dyDescent="0.25">
      <c r="B456" s="21" t="s">
        <v>395</v>
      </c>
      <c r="C456" s="22" t="s">
        <v>2450</v>
      </c>
      <c r="D456" s="22"/>
      <c r="E456" s="21" t="s">
        <v>75</v>
      </c>
      <c r="F456" s="21"/>
      <c r="G456" s="147" t="s">
        <v>238</v>
      </c>
      <c r="H456" s="23" t="s">
        <v>467</v>
      </c>
      <c r="I456" s="23"/>
      <c r="J456" s="21" t="s">
        <v>306</v>
      </c>
      <c r="K456" s="21"/>
      <c r="L456" s="21"/>
      <c r="M456" s="26">
        <v>43060</v>
      </c>
      <c r="N456" s="44">
        <f>0.5*8500</f>
        <v>4250</v>
      </c>
      <c r="O456" s="22" t="s">
        <v>15</v>
      </c>
      <c r="P456" s="22" t="s">
        <v>19</v>
      </c>
      <c r="Q456" s="24">
        <f t="shared" si="30"/>
        <v>0</v>
      </c>
      <c r="R456" s="24">
        <f t="shared" si="29"/>
        <v>4250</v>
      </c>
      <c r="S456" s="5"/>
      <c r="T456" s="5"/>
    </row>
    <row r="457" spans="1:20" ht="15.75" hidden="1" x14ac:dyDescent="0.25">
      <c r="A457" t="s">
        <v>6091</v>
      </c>
      <c r="B457" s="21" t="s">
        <v>395</v>
      </c>
      <c r="C457" s="22" t="s">
        <v>2450</v>
      </c>
      <c r="D457" s="22"/>
      <c r="E457" s="21" t="s">
        <v>10</v>
      </c>
      <c r="F457" s="21"/>
      <c r="G457" s="147" t="s">
        <v>1339</v>
      </c>
      <c r="H457" s="23" t="s">
        <v>425</v>
      </c>
      <c r="I457" s="23"/>
      <c r="J457" s="21" t="s">
        <v>338</v>
      </c>
      <c r="K457" s="21"/>
      <c r="L457" s="21"/>
      <c r="M457" s="26">
        <v>42997</v>
      </c>
      <c r="N457" s="44">
        <f>0.5*266863</f>
        <v>133431.5</v>
      </c>
      <c r="O457" s="22" t="s">
        <v>337</v>
      </c>
      <c r="P457" s="22" t="s">
        <v>19</v>
      </c>
      <c r="Q457" s="24">
        <f t="shared" si="30"/>
        <v>0</v>
      </c>
      <c r="R457" s="24">
        <f t="shared" si="29"/>
        <v>133431.5</v>
      </c>
      <c r="S457" s="5"/>
      <c r="T457" s="5"/>
    </row>
    <row r="458" spans="1:20" ht="15.75" hidden="1" x14ac:dyDescent="0.25">
      <c r="A458" t="s">
        <v>6091</v>
      </c>
      <c r="B458" s="21" t="s">
        <v>395</v>
      </c>
      <c r="C458" s="22" t="s">
        <v>2450</v>
      </c>
      <c r="D458" s="22"/>
      <c r="E458" s="21" t="s">
        <v>10</v>
      </c>
      <c r="F458" s="21"/>
      <c r="G458" s="147" t="s">
        <v>1340</v>
      </c>
      <c r="H458" s="169" t="s">
        <v>4043</v>
      </c>
      <c r="I458" s="169"/>
      <c r="J458" s="208" t="s">
        <v>1725</v>
      </c>
      <c r="K458" s="21"/>
      <c r="L458" s="21"/>
      <c r="M458" s="26"/>
      <c r="N458" s="44">
        <v>0</v>
      </c>
      <c r="O458" s="22" t="s">
        <v>337</v>
      </c>
      <c r="P458" s="22"/>
      <c r="Q458" s="24">
        <v>0</v>
      </c>
      <c r="R458" s="24">
        <f t="shared" si="29"/>
        <v>0</v>
      </c>
      <c r="S458" s="5" t="s">
        <v>4042</v>
      </c>
      <c r="T458" s="5"/>
    </row>
    <row r="459" spans="1:20" ht="15.75" hidden="1" x14ac:dyDescent="0.25">
      <c r="A459" t="s">
        <v>6091</v>
      </c>
      <c r="B459" s="21" t="s">
        <v>395</v>
      </c>
      <c r="C459" s="22" t="s">
        <v>2450</v>
      </c>
      <c r="D459" s="22"/>
      <c r="E459" s="21" t="s">
        <v>10</v>
      </c>
      <c r="F459" s="21"/>
      <c r="G459" s="147" t="s">
        <v>1340</v>
      </c>
      <c r="H459" s="169" t="s">
        <v>4043</v>
      </c>
      <c r="I459" s="169"/>
      <c r="J459" s="208" t="s">
        <v>339</v>
      </c>
      <c r="K459" s="21"/>
      <c r="L459" s="21"/>
      <c r="M459" s="26"/>
      <c r="N459" s="44">
        <v>0</v>
      </c>
      <c r="O459" s="22" t="s">
        <v>337</v>
      </c>
      <c r="P459" s="22"/>
      <c r="Q459" s="24">
        <v>0</v>
      </c>
      <c r="R459" s="24">
        <f t="shared" si="29"/>
        <v>0</v>
      </c>
      <c r="S459" s="5" t="s">
        <v>4042</v>
      </c>
      <c r="T459" s="5"/>
    </row>
    <row r="460" spans="1:20" ht="15.75" hidden="1" x14ac:dyDescent="0.25">
      <c r="B460" s="5" t="s">
        <v>1617</v>
      </c>
      <c r="C460" s="4" t="s">
        <v>2427</v>
      </c>
      <c r="D460" s="4"/>
      <c r="E460" s="5" t="s">
        <v>0</v>
      </c>
      <c r="F460" s="5"/>
      <c r="G460" s="146" t="s">
        <v>340</v>
      </c>
      <c r="H460" s="7" t="s">
        <v>435</v>
      </c>
      <c r="I460" s="7"/>
      <c r="J460" s="5" t="s">
        <v>446</v>
      </c>
      <c r="K460" s="5"/>
      <c r="L460" s="5"/>
      <c r="M460" s="7"/>
      <c r="N460" s="45">
        <f>3750*10</f>
        <v>37500</v>
      </c>
      <c r="O460" s="4" t="s">
        <v>341</v>
      </c>
      <c r="P460" s="57">
        <f>17020+7400+22940+8880+16280+15540+11100+19980+15540+2081.75+9620+8880+2960+3030.75+600+998.94</f>
        <v>162851.44</v>
      </c>
      <c r="Q460" s="3">
        <f>IF(P460="en cours",N460,IF(P460="OK",0,IF(N460-P460&lt;0,0,N460-P460)))</f>
        <v>0</v>
      </c>
      <c r="R460" s="3">
        <f t="shared" si="29"/>
        <v>162851.44</v>
      </c>
      <c r="S460" s="5" t="s">
        <v>619</v>
      </c>
      <c r="T460" s="5"/>
    </row>
    <row r="461" spans="1:20" ht="15.75" hidden="1" customHeight="1" x14ac:dyDescent="0.25">
      <c r="B461" s="21" t="s">
        <v>395</v>
      </c>
      <c r="C461" s="22" t="s">
        <v>3980</v>
      </c>
      <c r="D461" s="22"/>
      <c r="E461" s="21" t="s">
        <v>10</v>
      </c>
      <c r="F461" s="21"/>
      <c r="G461" s="147" t="s">
        <v>132</v>
      </c>
      <c r="H461" s="23" t="s">
        <v>343</v>
      </c>
      <c r="I461" s="23"/>
      <c r="J461" s="21" t="s">
        <v>642</v>
      </c>
      <c r="K461" s="21"/>
      <c r="L461" s="21"/>
      <c r="M461" s="26" t="s">
        <v>521</v>
      </c>
      <c r="N461" s="44">
        <v>225000</v>
      </c>
      <c r="O461" s="22" t="s">
        <v>15</v>
      </c>
      <c r="P461" s="44">
        <f>43200+89741+78000</f>
        <v>210941</v>
      </c>
      <c r="Q461" s="24">
        <v>0</v>
      </c>
      <c r="R461" s="24">
        <f t="shared" si="29"/>
        <v>210941</v>
      </c>
      <c r="S461" s="5"/>
      <c r="T461" s="5"/>
    </row>
    <row r="462" spans="1:20" ht="15.75" hidden="1" customHeight="1" x14ac:dyDescent="0.25">
      <c r="B462" s="21" t="s">
        <v>395</v>
      </c>
      <c r="C462" s="22" t="s">
        <v>3980</v>
      </c>
      <c r="D462" s="22"/>
      <c r="E462" s="21" t="s">
        <v>10</v>
      </c>
      <c r="F462" s="21"/>
      <c r="G462" s="147" t="s">
        <v>132</v>
      </c>
      <c r="H462" s="23" t="s">
        <v>343</v>
      </c>
      <c r="I462" s="23"/>
      <c r="J462" s="21" t="s">
        <v>669</v>
      </c>
      <c r="K462" s="21"/>
      <c r="L462" s="21"/>
      <c r="M462" s="26" t="s">
        <v>344</v>
      </c>
      <c r="N462" s="44">
        <v>450000</v>
      </c>
      <c r="O462" s="22" t="s">
        <v>15</v>
      </c>
      <c r="P462" s="44">
        <f>96663.7+147842.54+162642.04</f>
        <v>407148.28</v>
      </c>
      <c r="Q462" s="24">
        <v>0</v>
      </c>
      <c r="R462" s="24">
        <f t="shared" si="29"/>
        <v>407148.28</v>
      </c>
      <c r="S462" s="5"/>
      <c r="T462" s="5"/>
    </row>
    <row r="463" spans="1:20" ht="15.75" hidden="1" customHeight="1" x14ac:dyDescent="0.25">
      <c r="B463" s="21" t="s">
        <v>395</v>
      </c>
      <c r="C463" s="22" t="s">
        <v>3980</v>
      </c>
      <c r="D463" s="22"/>
      <c r="E463" s="21" t="s">
        <v>10</v>
      </c>
      <c r="F463" s="21"/>
      <c r="G463" s="147" t="s">
        <v>132</v>
      </c>
      <c r="H463" s="23" t="s">
        <v>343</v>
      </c>
      <c r="I463" s="23"/>
      <c r="J463" s="21" t="s">
        <v>1338</v>
      </c>
      <c r="K463" s="21"/>
      <c r="L463" s="21"/>
      <c r="M463" s="26" t="s">
        <v>345</v>
      </c>
      <c r="N463" s="44">
        <v>742500</v>
      </c>
      <c r="O463" s="22" t="s">
        <v>15</v>
      </c>
      <c r="P463" s="44">
        <f>167435.24+199862.88+214017.64</f>
        <v>581315.76</v>
      </c>
      <c r="Q463" s="24">
        <v>0</v>
      </c>
      <c r="R463" s="24">
        <f t="shared" si="29"/>
        <v>581315.76</v>
      </c>
      <c r="S463" s="5"/>
      <c r="T463" s="5"/>
    </row>
    <row r="464" spans="1:20" ht="15.75" hidden="1" customHeight="1" x14ac:dyDescent="0.25">
      <c r="B464" s="21" t="s">
        <v>395</v>
      </c>
      <c r="C464" s="22" t="s">
        <v>3980</v>
      </c>
      <c r="D464" s="22"/>
      <c r="E464" s="21" t="s">
        <v>10</v>
      </c>
      <c r="F464" s="21"/>
      <c r="G464" s="147" t="s">
        <v>132</v>
      </c>
      <c r="H464" s="23" t="s">
        <v>343</v>
      </c>
      <c r="I464" s="23"/>
      <c r="J464" s="21" t="s">
        <v>1337</v>
      </c>
      <c r="K464" s="21"/>
      <c r="L464" s="21"/>
      <c r="M464" s="26" t="s">
        <v>346</v>
      </c>
      <c r="N464" s="44">
        <v>1192500</v>
      </c>
      <c r="O464" s="22" t="s">
        <v>15</v>
      </c>
      <c r="P464" s="44">
        <f>284434.57+275404.16+260715.11</f>
        <v>820553.84</v>
      </c>
      <c r="Q464" s="24">
        <v>0</v>
      </c>
      <c r="R464" s="24">
        <f t="shared" si="29"/>
        <v>820553.84</v>
      </c>
      <c r="S464" s="5"/>
      <c r="T464" s="5"/>
    </row>
    <row r="465" spans="2:20" ht="15.75" hidden="1" customHeight="1" x14ac:dyDescent="0.25">
      <c r="B465" s="21" t="s">
        <v>395</v>
      </c>
      <c r="C465" s="22" t="s">
        <v>3980</v>
      </c>
      <c r="D465" s="22"/>
      <c r="E465" s="21" t="s">
        <v>10</v>
      </c>
      <c r="F465" s="21"/>
      <c r="G465" s="147" t="s">
        <v>132</v>
      </c>
      <c r="H465" s="23" t="s">
        <v>343</v>
      </c>
      <c r="I465" s="23"/>
      <c r="J465" s="21" t="s">
        <v>1336</v>
      </c>
      <c r="K465" s="21"/>
      <c r="L465" s="21"/>
      <c r="M465" s="26" t="s">
        <v>347</v>
      </c>
      <c r="N465" s="44">
        <v>1057500</v>
      </c>
      <c r="O465" s="22" t="s">
        <v>15</v>
      </c>
      <c r="P465" s="44">
        <f>313315.29+283830.14+294508.63</f>
        <v>891654.05999999994</v>
      </c>
      <c r="Q465" s="24">
        <v>0</v>
      </c>
      <c r="R465" s="24">
        <f t="shared" si="29"/>
        <v>891654.05999999994</v>
      </c>
      <c r="S465" s="5"/>
      <c r="T465" s="5"/>
    </row>
    <row r="466" spans="2:20" ht="15.75" hidden="1" customHeight="1" x14ac:dyDescent="0.25">
      <c r="B466" s="21" t="s">
        <v>395</v>
      </c>
      <c r="C466" s="22" t="s">
        <v>3980</v>
      </c>
      <c r="D466" s="22"/>
      <c r="E466" s="21" t="s">
        <v>10</v>
      </c>
      <c r="F466" s="21"/>
      <c r="G466" s="147" t="s">
        <v>132</v>
      </c>
      <c r="H466" s="23" t="s">
        <v>343</v>
      </c>
      <c r="I466" s="23"/>
      <c r="J466" s="21" t="s">
        <v>1624</v>
      </c>
      <c r="K466" s="21"/>
      <c r="L466" s="21"/>
      <c r="M466" s="26" t="s">
        <v>1625</v>
      </c>
      <c r="N466" s="44">
        <v>1057500</v>
      </c>
      <c r="O466" s="22" t="s">
        <v>15</v>
      </c>
      <c r="P466" s="44">
        <f>(34.8*15000)+37555.86</f>
        <v>559555.86</v>
      </c>
      <c r="Q466" s="24">
        <v>0</v>
      </c>
      <c r="R466" s="24">
        <f t="shared" si="29"/>
        <v>559555.86</v>
      </c>
      <c r="S466" s="5"/>
      <c r="T466" s="5"/>
    </row>
    <row r="467" spans="2:20" ht="15.75" hidden="1" customHeight="1" x14ac:dyDescent="0.25">
      <c r="B467" s="21" t="s">
        <v>395</v>
      </c>
      <c r="C467" s="22" t="s">
        <v>3980</v>
      </c>
      <c r="D467" s="22"/>
      <c r="E467" s="21" t="s">
        <v>10</v>
      </c>
      <c r="F467" s="21"/>
      <c r="G467" s="147" t="s">
        <v>132</v>
      </c>
      <c r="H467" s="23" t="s">
        <v>343</v>
      </c>
      <c r="I467" s="23"/>
      <c r="J467" s="21" t="s">
        <v>1795</v>
      </c>
      <c r="K467" s="21"/>
      <c r="L467" s="21"/>
      <c r="M467" s="26" t="s">
        <v>1796</v>
      </c>
      <c r="N467" s="44">
        <v>832500</v>
      </c>
      <c r="O467" s="22" t="s">
        <v>15</v>
      </c>
      <c r="P467" s="44">
        <f>((24.5*15000)+25037.23)+((13.1*15000)+22116.75)</f>
        <v>611153.98</v>
      </c>
      <c r="Q467" s="24">
        <v>0</v>
      </c>
      <c r="R467" s="24">
        <f t="shared" si="29"/>
        <v>611153.98</v>
      </c>
      <c r="S467" s="5"/>
      <c r="T467" s="5"/>
    </row>
    <row r="468" spans="2:20" ht="15.75" hidden="1" customHeight="1" x14ac:dyDescent="0.25">
      <c r="B468" s="21" t="s">
        <v>395</v>
      </c>
      <c r="C468" s="22" t="s">
        <v>3980</v>
      </c>
      <c r="D468" s="22"/>
      <c r="E468" s="21" t="s">
        <v>10</v>
      </c>
      <c r="F468" s="21"/>
      <c r="G468" s="147" t="s">
        <v>132</v>
      </c>
      <c r="H468" s="23" t="s">
        <v>343</v>
      </c>
      <c r="I468" s="23"/>
      <c r="J468" s="21" t="s">
        <v>1968</v>
      </c>
      <c r="K468" s="21"/>
      <c r="L468" s="21" t="s">
        <v>1970</v>
      </c>
      <c r="M468" s="26">
        <v>43677</v>
      </c>
      <c r="N468" s="44">
        <f>832500/3</f>
        <v>277500</v>
      </c>
      <c r="O468" s="22" t="s">
        <v>15</v>
      </c>
      <c r="P468" s="44">
        <f>139075.05</f>
        <v>139075.04999999999</v>
      </c>
      <c r="Q468" s="24">
        <v>0</v>
      </c>
      <c r="R468" s="24">
        <f t="shared" si="29"/>
        <v>139075.04999999999</v>
      </c>
      <c r="S468" s="5"/>
      <c r="T468" s="5"/>
    </row>
    <row r="469" spans="2:20" ht="15.75" hidden="1" customHeight="1" x14ac:dyDescent="0.25">
      <c r="B469" s="21" t="s">
        <v>395</v>
      </c>
      <c r="C469" s="22" t="s">
        <v>3980</v>
      </c>
      <c r="D469" s="22"/>
      <c r="E469" s="21" t="s">
        <v>10</v>
      </c>
      <c r="F469" s="21"/>
      <c r="G469" s="147" t="s">
        <v>132</v>
      </c>
      <c r="H469" s="23" t="s">
        <v>343</v>
      </c>
      <c r="I469" s="23"/>
      <c r="J469" s="21" t="s">
        <v>1968</v>
      </c>
      <c r="K469" s="21"/>
      <c r="L469" s="21" t="s">
        <v>1971</v>
      </c>
      <c r="M469" s="26">
        <v>43708</v>
      </c>
      <c r="N469" s="44">
        <f>832500/3</f>
        <v>277500</v>
      </c>
      <c r="O469" s="22" t="s">
        <v>15</v>
      </c>
      <c r="P469" s="44">
        <f>95898.26</f>
        <v>95898.26</v>
      </c>
      <c r="Q469" s="24">
        <v>0</v>
      </c>
      <c r="R469" s="24">
        <f t="shared" si="29"/>
        <v>95898.26</v>
      </c>
      <c r="S469" s="5"/>
      <c r="T469" s="5"/>
    </row>
    <row r="470" spans="2:20" ht="15.75" hidden="1" customHeight="1" x14ac:dyDescent="0.25">
      <c r="B470" s="21" t="s">
        <v>395</v>
      </c>
      <c r="C470" s="22" t="s">
        <v>3980</v>
      </c>
      <c r="D470" s="22"/>
      <c r="E470" s="21" t="s">
        <v>10</v>
      </c>
      <c r="F470" s="21"/>
      <c r="G470" s="147" t="s">
        <v>132</v>
      </c>
      <c r="H470" s="23" t="s">
        <v>343</v>
      </c>
      <c r="I470" s="23"/>
      <c r="J470" s="21" t="s">
        <v>1968</v>
      </c>
      <c r="K470" s="21"/>
      <c r="L470" s="21" t="s">
        <v>2088</v>
      </c>
      <c r="M470" s="26">
        <v>43738</v>
      </c>
      <c r="N470" s="44">
        <v>50000</v>
      </c>
      <c r="O470" s="22" t="s">
        <v>15</v>
      </c>
      <c r="P470" s="44">
        <v>72713.38</v>
      </c>
      <c r="Q470" s="24">
        <f>IF(P470="en cours",N470,IF(P470="OK",0,IF(N470-P470&lt;0,0,N470-P470)))</f>
        <v>0</v>
      </c>
      <c r="R470" s="24">
        <f t="shared" si="29"/>
        <v>72713.38</v>
      </c>
      <c r="S470" s="5" t="s">
        <v>2061</v>
      </c>
      <c r="T470" s="5"/>
    </row>
    <row r="471" spans="2:20" ht="15.75" hidden="1" customHeight="1" x14ac:dyDescent="0.25">
      <c r="B471" s="21" t="s">
        <v>395</v>
      </c>
      <c r="C471" s="22" t="s">
        <v>3980</v>
      </c>
      <c r="D471" s="22"/>
      <c r="E471" s="21" t="s">
        <v>10</v>
      </c>
      <c r="F471" s="21"/>
      <c r="G471" s="147" t="s">
        <v>132</v>
      </c>
      <c r="H471" s="23" t="s">
        <v>343</v>
      </c>
      <c r="I471" s="23"/>
      <c r="J471" s="21" t="s">
        <v>1967</v>
      </c>
      <c r="K471" s="21"/>
      <c r="L471" s="21" t="s">
        <v>2363</v>
      </c>
      <c r="M471" s="26">
        <v>43769</v>
      </c>
      <c r="N471" s="44">
        <v>50000</v>
      </c>
      <c r="O471" s="22" t="s">
        <v>15</v>
      </c>
      <c r="P471" s="44">
        <v>61073.55</v>
      </c>
      <c r="Q471" s="24">
        <f>IF(P471="en cours",N471,IF(P471="OK",0,IF(N471-P471&lt;0,0,N471-P471)))</f>
        <v>0</v>
      </c>
      <c r="R471" s="24">
        <f t="shared" si="29"/>
        <v>61073.55</v>
      </c>
      <c r="S471" s="5" t="s">
        <v>2061</v>
      </c>
      <c r="T471" s="5"/>
    </row>
    <row r="472" spans="2:20" ht="15.75" hidden="1" customHeight="1" x14ac:dyDescent="0.25">
      <c r="B472" s="21" t="s">
        <v>395</v>
      </c>
      <c r="C472" s="22" t="s">
        <v>3980</v>
      </c>
      <c r="D472" s="22"/>
      <c r="E472" s="21" t="s">
        <v>10</v>
      </c>
      <c r="F472" s="21"/>
      <c r="G472" s="147" t="s">
        <v>132</v>
      </c>
      <c r="H472" s="23" t="s">
        <v>343</v>
      </c>
      <c r="I472" s="23"/>
      <c r="J472" s="21" t="s">
        <v>1967</v>
      </c>
      <c r="K472" s="21"/>
      <c r="L472" s="21" t="s">
        <v>2586</v>
      </c>
      <c r="M472" s="26">
        <v>43798</v>
      </c>
      <c r="N472" s="44">
        <v>50000</v>
      </c>
      <c r="O472" s="22" t="s">
        <v>15</v>
      </c>
      <c r="P472" s="44">
        <v>34739.919999999998</v>
      </c>
      <c r="Q472" s="24">
        <v>0</v>
      </c>
      <c r="R472" s="24">
        <f t="shared" si="29"/>
        <v>34739.919999999998</v>
      </c>
      <c r="S472" s="5" t="s">
        <v>2061</v>
      </c>
      <c r="T472" s="5"/>
    </row>
    <row r="473" spans="2:20" ht="15.75" hidden="1" customHeight="1" x14ac:dyDescent="0.25">
      <c r="B473" s="21" t="s">
        <v>395</v>
      </c>
      <c r="C473" s="22" t="s">
        <v>3980</v>
      </c>
      <c r="D473" s="22"/>
      <c r="E473" s="21" t="s">
        <v>10</v>
      </c>
      <c r="F473" s="21"/>
      <c r="G473" s="147" t="s">
        <v>132</v>
      </c>
      <c r="H473" s="23" t="s">
        <v>343</v>
      </c>
      <c r="I473" s="23"/>
      <c r="J473" s="21" t="s">
        <v>1967</v>
      </c>
      <c r="K473" s="21"/>
      <c r="L473" s="21" t="s">
        <v>2672</v>
      </c>
      <c r="M473" s="26">
        <v>43830</v>
      </c>
      <c r="N473" s="44">
        <v>50000</v>
      </c>
      <c r="O473" s="22" t="s">
        <v>15</v>
      </c>
      <c r="P473" s="44">
        <v>12000</v>
      </c>
      <c r="Q473" s="24">
        <v>0</v>
      </c>
      <c r="R473" s="24">
        <f t="shared" si="29"/>
        <v>12000</v>
      </c>
      <c r="S473" s="5" t="s">
        <v>2061</v>
      </c>
      <c r="T473" s="5"/>
    </row>
    <row r="474" spans="2:20" ht="15.75" hidden="1" customHeight="1" x14ac:dyDescent="0.25">
      <c r="B474" s="21" t="s">
        <v>395</v>
      </c>
      <c r="C474" s="22" t="s">
        <v>3980</v>
      </c>
      <c r="D474" s="22"/>
      <c r="E474" s="21" t="s">
        <v>10</v>
      </c>
      <c r="F474" s="21"/>
      <c r="G474" s="147" t="s">
        <v>132</v>
      </c>
      <c r="H474" s="23" t="s">
        <v>343</v>
      </c>
      <c r="I474" s="23"/>
      <c r="J474" s="21" t="s">
        <v>1969</v>
      </c>
      <c r="K474" s="21"/>
      <c r="L474" s="21" t="s">
        <v>2996</v>
      </c>
      <c r="M474" s="26">
        <v>43861</v>
      </c>
      <c r="N474" s="44">
        <v>25000</v>
      </c>
      <c r="O474" s="22" t="s">
        <v>15</v>
      </c>
      <c r="P474" s="44">
        <v>20186.21</v>
      </c>
      <c r="Q474" s="24">
        <v>0</v>
      </c>
      <c r="R474" s="24">
        <f t="shared" si="29"/>
        <v>20186.21</v>
      </c>
      <c r="S474" s="5"/>
      <c r="T474" s="5"/>
    </row>
    <row r="475" spans="2:20" ht="15.75" hidden="1" customHeight="1" x14ac:dyDescent="0.25">
      <c r="B475" s="21" t="s">
        <v>395</v>
      </c>
      <c r="C475" s="22" t="s">
        <v>3980</v>
      </c>
      <c r="D475" s="22"/>
      <c r="E475" s="21" t="s">
        <v>10</v>
      </c>
      <c r="F475" s="21"/>
      <c r="G475" s="147" t="s">
        <v>132</v>
      </c>
      <c r="H475" s="23" t="s">
        <v>343</v>
      </c>
      <c r="I475" s="23"/>
      <c r="J475" s="21" t="s">
        <v>1969</v>
      </c>
      <c r="K475" s="21"/>
      <c r="L475" s="21" t="s">
        <v>2997</v>
      </c>
      <c r="M475" s="26">
        <v>43890</v>
      </c>
      <c r="N475" s="44">
        <v>25000</v>
      </c>
      <c r="O475" s="22" t="s">
        <v>15</v>
      </c>
      <c r="P475" s="44">
        <v>31050.720000000001</v>
      </c>
      <c r="Q475" s="24">
        <f t="shared" ref="Q475:Q481" si="31">IF(P475="en cours",N475,IF(P475="OK",0,IF(N475-P475&lt;0,0,N475-P475)))</f>
        <v>0</v>
      </c>
      <c r="R475" s="24">
        <f t="shared" si="29"/>
        <v>31050.720000000001</v>
      </c>
      <c r="S475" s="5"/>
      <c r="T475" s="5"/>
    </row>
    <row r="476" spans="2:20" ht="15.75" hidden="1" customHeight="1" x14ac:dyDescent="0.25">
      <c r="B476" s="21" t="s">
        <v>395</v>
      </c>
      <c r="C476" s="22" t="s">
        <v>3980</v>
      </c>
      <c r="D476" s="22"/>
      <c r="E476" s="21" t="s">
        <v>10</v>
      </c>
      <c r="F476" s="21"/>
      <c r="G476" s="147" t="s">
        <v>132</v>
      </c>
      <c r="H476" s="23" t="s">
        <v>343</v>
      </c>
      <c r="I476" s="23"/>
      <c r="J476" s="21" t="s">
        <v>1969</v>
      </c>
      <c r="K476" s="21"/>
      <c r="L476" s="21" t="s">
        <v>3073</v>
      </c>
      <c r="M476" s="26">
        <v>43921</v>
      </c>
      <c r="N476" s="44">
        <v>25000</v>
      </c>
      <c r="O476" s="22" t="s">
        <v>15</v>
      </c>
      <c r="P476" s="44">
        <v>33041.800000000003</v>
      </c>
      <c r="Q476" s="24">
        <f t="shared" si="31"/>
        <v>0</v>
      </c>
      <c r="R476" s="24">
        <f t="shared" si="29"/>
        <v>33041.800000000003</v>
      </c>
      <c r="S476" s="5"/>
      <c r="T476" s="5"/>
    </row>
    <row r="477" spans="2:20" ht="15.75" hidden="1" customHeight="1" x14ac:dyDescent="0.25">
      <c r="B477" s="21" t="s">
        <v>395</v>
      </c>
      <c r="C477" s="22" t="s">
        <v>3980</v>
      </c>
      <c r="D477" s="22"/>
      <c r="E477" s="21" t="s">
        <v>10</v>
      </c>
      <c r="F477" s="21"/>
      <c r="G477" s="147" t="s">
        <v>132</v>
      </c>
      <c r="H477" s="23" t="s">
        <v>343</v>
      </c>
      <c r="I477" s="23"/>
      <c r="J477" s="21" t="s">
        <v>4819</v>
      </c>
      <c r="K477" s="21"/>
      <c r="L477" s="21"/>
      <c r="M477" s="26"/>
      <c r="N477" s="44">
        <v>0</v>
      </c>
      <c r="O477" s="22" t="s">
        <v>15</v>
      </c>
      <c r="P477" s="44" t="s">
        <v>19</v>
      </c>
      <c r="Q477" s="24">
        <f t="shared" si="31"/>
        <v>0</v>
      </c>
      <c r="R477" s="24">
        <f t="shared" si="29"/>
        <v>0</v>
      </c>
      <c r="S477" s="5" t="s">
        <v>4820</v>
      </c>
      <c r="T477" s="5"/>
    </row>
    <row r="478" spans="2:20" ht="15.75" hidden="1" customHeight="1" x14ac:dyDescent="0.25">
      <c r="B478" s="21" t="s">
        <v>395</v>
      </c>
      <c r="C478" s="22" t="s">
        <v>3980</v>
      </c>
      <c r="D478" s="22"/>
      <c r="E478" s="21" t="s">
        <v>10</v>
      </c>
      <c r="F478" s="21"/>
      <c r="G478" s="147" t="s">
        <v>132</v>
      </c>
      <c r="H478" s="23" t="s">
        <v>343</v>
      </c>
      <c r="I478" s="23"/>
      <c r="J478" s="21" t="s">
        <v>4819</v>
      </c>
      <c r="K478" s="21"/>
      <c r="L478" s="21"/>
      <c r="M478" s="26"/>
      <c r="N478" s="44">
        <v>0</v>
      </c>
      <c r="O478" s="22" t="s">
        <v>15</v>
      </c>
      <c r="P478" s="44" t="s">
        <v>19</v>
      </c>
      <c r="Q478" s="24">
        <f t="shared" si="31"/>
        <v>0</v>
      </c>
      <c r="R478" s="24">
        <f t="shared" ref="R478:R481" si="32">IF(P478="OK",N478-Q478,IF(P478="en cours",N478-Q478,P478))</f>
        <v>0</v>
      </c>
      <c r="S478" s="5" t="s">
        <v>4820</v>
      </c>
      <c r="T478" s="5"/>
    </row>
    <row r="479" spans="2:20" ht="15.75" hidden="1" customHeight="1" x14ac:dyDescent="0.25">
      <c r="B479" s="21" t="s">
        <v>395</v>
      </c>
      <c r="C479" s="22" t="s">
        <v>3980</v>
      </c>
      <c r="D479" s="22"/>
      <c r="E479" s="21" t="s">
        <v>10</v>
      </c>
      <c r="F479" s="21"/>
      <c r="G479" s="147" t="s">
        <v>132</v>
      </c>
      <c r="H479" s="23" t="s">
        <v>343</v>
      </c>
      <c r="I479" s="23"/>
      <c r="J479" s="21" t="s">
        <v>4819</v>
      </c>
      <c r="K479" s="21"/>
      <c r="L479" s="21"/>
      <c r="M479" s="26"/>
      <c r="N479" s="44">
        <v>0</v>
      </c>
      <c r="O479" s="22" t="s">
        <v>15</v>
      </c>
      <c r="P479" s="44" t="s">
        <v>19</v>
      </c>
      <c r="Q479" s="24">
        <f t="shared" si="31"/>
        <v>0</v>
      </c>
      <c r="R479" s="24">
        <f t="shared" si="32"/>
        <v>0</v>
      </c>
      <c r="S479" s="5" t="s">
        <v>4820</v>
      </c>
      <c r="T479" s="5"/>
    </row>
    <row r="480" spans="2:20" ht="15.75" hidden="1" x14ac:dyDescent="0.25">
      <c r="B480" s="21" t="s">
        <v>395</v>
      </c>
      <c r="C480" s="22" t="s">
        <v>2450</v>
      </c>
      <c r="D480" s="22"/>
      <c r="E480" s="21" t="s">
        <v>75</v>
      </c>
      <c r="F480" s="21"/>
      <c r="G480" s="147" t="s">
        <v>239</v>
      </c>
      <c r="H480" s="23" t="s">
        <v>452</v>
      </c>
      <c r="I480" s="23"/>
      <c r="J480" s="21" t="s">
        <v>450</v>
      </c>
      <c r="K480" s="21"/>
      <c r="L480" s="21"/>
      <c r="M480" s="26">
        <v>43056</v>
      </c>
      <c r="N480" s="44">
        <v>2820</v>
      </c>
      <c r="O480" s="22" t="s">
        <v>15</v>
      </c>
      <c r="P480" s="22" t="s">
        <v>19</v>
      </c>
      <c r="Q480" s="24">
        <f t="shared" si="31"/>
        <v>0</v>
      </c>
      <c r="R480" s="24">
        <f t="shared" si="32"/>
        <v>2820</v>
      </c>
      <c r="S480" s="5"/>
      <c r="T480" s="5"/>
    </row>
    <row r="481" spans="1:20" ht="15.75" hidden="1" x14ac:dyDescent="0.25">
      <c r="B481" s="21" t="s">
        <v>395</v>
      </c>
      <c r="C481" s="22" t="s">
        <v>2450</v>
      </c>
      <c r="D481" s="22"/>
      <c r="E481" s="21" t="s">
        <v>75</v>
      </c>
      <c r="F481" s="21"/>
      <c r="G481" s="147" t="s">
        <v>239</v>
      </c>
      <c r="H481" s="23" t="s">
        <v>452</v>
      </c>
      <c r="I481" s="23"/>
      <c r="J481" s="21" t="s">
        <v>451</v>
      </c>
      <c r="K481" s="21"/>
      <c r="L481" s="21"/>
      <c r="M481" s="26">
        <v>43056</v>
      </c>
      <c r="N481" s="44">
        <f>+N480</f>
        <v>2820</v>
      </c>
      <c r="O481" s="22" t="s">
        <v>15</v>
      </c>
      <c r="P481" s="22" t="s">
        <v>19</v>
      </c>
      <c r="Q481" s="24">
        <f t="shared" si="31"/>
        <v>0</v>
      </c>
      <c r="R481" s="24">
        <f t="shared" si="32"/>
        <v>2820</v>
      </c>
      <c r="S481" s="5"/>
      <c r="T481" s="5"/>
    </row>
    <row r="482" spans="1:20" ht="15.75" hidden="1" x14ac:dyDescent="0.25">
      <c r="B482" s="21" t="s">
        <v>395</v>
      </c>
      <c r="C482" s="22" t="s">
        <v>2450</v>
      </c>
      <c r="D482" s="22"/>
      <c r="E482" s="21" t="s">
        <v>75</v>
      </c>
      <c r="F482" s="21"/>
      <c r="G482" s="147" t="s">
        <v>238</v>
      </c>
      <c r="H482" s="23" t="s">
        <v>460</v>
      </c>
      <c r="I482" s="23"/>
      <c r="J482" s="21" t="s">
        <v>461</v>
      </c>
      <c r="K482" s="21"/>
      <c r="L482" s="21"/>
      <c r="M482" s="26" t="s">
        <v>486</v>
      </c>
      <c r="N482" s="44">
        <v>0</v>
      </c>
      <c r="O482" s="22" t="s">
        <v>341</v>
      </c>
      <c r="P482" s="22" t="s">
        <v>19</v>
      </c>
      <c r="Q482" s="24">
        <v>0</v>
      </c>
      <c r="R482" s="24">
        <v>0</v>
      </c>
      <c r="S482" s="5"/>
      <c r="T482" s="5"/>
    </row>
    <row r="483" spans="1:20" ht="15.75" hidden="1" x14ac:dyDescent="0.25">
      <c r="B483" s="21" t="s">
        <v>395</v>
      </c>
      <c r="C483" s="22" t="s">
        <v>2450</v>
      </c>
      <c r="D483" s="22"/>
      <c r="E483" s="21" t="s">
        <v>75</v>
      </c>
      <c r="F483" s="21"/>
      <c r="G483" s="147" t="s">
        <v>238</v>
      </c>
      <c r="H483" s="23" t="s">
        <v>460</v>
      </c>
      <c r="I483" s="23"/>
      <c r="J483" s="21" t="s">
        <v>462</v>
      </c>
      <c r="K483" s="21"/>
      <c r="L483" s="21"/>
      <c r="M483" s="26" t="s">
        <v>486</v>
      </c>
      <c r="N483" s="44">
        <v>0</v>
      </c>
      <c r="O483" s="22" t="s">
        <v>341</v>
      </c>
      <c r="P483" s="22" t="s">
        <v>19</v>
      </c>
      <c r="Q483" s="24">
        <v>0</v>
      </c>
      <c r="R483" s="24">
        <v>0</v>
      </c>
      <c r="S483" s="5"/>
      <c r="T483" s="5"/>
    </row>
    <row r="484" spans="1:20" ht="15.75" hidden="1" x14ac:dyDescent="0.25">
      <c r="B484" s="21" t="s">
        <v>395</v>
      </c>
      <c r="C484" s="22" t="s">
        <v>2450</v>
      </c>
      <c r="D484" s="22"/>
      <c r="E484" s="21" t="s">
        <v>10</v>
      </c>
      <c r="F484" s="21"/>
      <c r="G484" s="147" t="s">
        <v>102</v>
      </c>
      <c r="H484" s="23" t="s">
        <v>463</v>
      </c>
      <c r="I484" s="23"/>
      <c r="J484" s="21" t="s">
        <v>334</v>
      </c>
      <c r="K484" s="21"/>
      <c r="L484" s="21"/>
      <c r="M484" s="26">
        <v>42913</v>
      </c>
      <c r="N484" s="44">
        <v>3217.2</v>
      </c>
      <c r="O484" s="22" t="s">
        <v>15</v>
      </c>
      <c r="P484" s="22" t="s">
        <v>19</v>
      </c>
      <c r="Q484" s="24">
        <v>0</v>
      </c>
      <c r="R484" s="24">
        <v>3217.2</v>
      </c>
      <c r="S484" s="5"/>
      <c r="T484" s="5"/>
    </row>
    <row r="485" spans="1:20" ht="15.75" hidden="1" x14ac:dyDescent="0.25">
      <c r="B485" s="32" t="s">
        <v>395</v>
      </c>
      <c r="C485" s="22" t="s">
        <v>3980</v>
      </c>
      <c r="D485" s="33"/>
      <c r="E485" s="32" t="s">
        <v>10</v>
      </c>
      <c r="F485" s="32"/>
      <c r="G485" s="155" t="s">
        <v>487</v>
      </c>
      <c r="H485" s="34" t="s">
        <v>488</v>
      </c>
      <c r="I485" s="34"/>
      <c r="J485" s="32" t="s">
        <v>489</v>
      </c>
      <c r="K485" s="32"/>
      <c r="L485" s="32"/>
      <c r="M485" s="35">
        <v>43152</v>
      </c>
      <c r="N485" s="93">
        <v>5000</v>
      </c>
      <c r="O485" s="33" t="s">
        <v>15</v>
      </c>
      <c r="P485" s="22" t="s">
        <v>19</v>
      </c>
      <c r="Q485" s="36">
        <f t="shared" ref="Q485:Q548" si="33">IF(P485="en cours",N485,IF(P485="OK",0,IF(N485-P485&lt;0,0,N485-P485)))</f>
        <v>0</v>
      </c>
      <c r="R485" s="37">
        <f t="shared" ref="R485:R492" si="34">IF(P485="OK",N485-Q485,IF(P485="en cours",N485-Q485,P485))</f>
        <v>5000</v>
      </c>
      <c r="S485" s="5"/>
      <c r="T485" s="5"/>
    </row>
    <row r="486" spans="1:20" ht="15.75" hidden="1" x14ac:dyDescent="0.25">
      <c r="A486" t="s">
        <v>6091</v>
      </c>
      <c r="B486" s="21" t="s">
        <v>395</v>
      </c>
      <c r="C486" s="22" t="s">
        <v>2450</v>
      </c>
      <c r="D486" s="22"/>
      <c r="E486" s="21" t="s">
        <v>0</v>
      </c>
      <c r="F486" s="21"/>
      <c r="G486" s="147" t="s">
        <v>36</v>
      </c>
      <c r="H486" s="23" t="s">
        <v>500</v>
      </c>
      <c r="I486" s="23"/>
      <c r="J486" s="21" t="s">
        <v>501</v>
      </c>
      <c r="K486" s="21"/>
      <c r="L486" s="21"/>
      <c r="M486" s="26">
        <v>43076</v>
      </c>
      <c r="N486" s="44">
        <f>105000-50000</f>
        <v>55000</v>
      </c>
      <c r="O486" s="22" t="s">
        <v>15</v>
      </c>
      <c r="P486" s="22" t="s">
        <v>19</v>
      </c>
      <c r="Q486" s="24">
        <f t="shared" si="33"/>
        <v>0</v>
      </c>
      <c r="R486" s="24">
        <f t="shared" si="34"/>
        <v>55000</v>
      </c>
      <c r="S486" s="5"/>
      <c r="T486" s="5"/>
    </row>
    <row r="487" spans="1:20" ht="15.75" hidden="1" x14ac:dyDescent="0.25">
      <c r="B487" s="21" t="s">
        <v>395</v>
      </c>
      <c r="C487" s="22" t="s">
        <v>2450</v>
      </c>
      <c r="D487" s="22"/>
      <c r="E487" s="21" t="s">
        <v>10</v>
      </c>
      <c r="F487" s="21"/>
      <c r="G487" s="147" t="s">
        <v>373</v>
      </c>
      <c r="H487" s="23" t="s">
        <v>652</v>
      </c>
      <c r="I487" s="23"/>
      <c r="J487" s="21" t="s">
        <v>374</v>
      </c>
      <c r="K487" s="21"/>
      <c r="L487" s="21"/>
      <c r="M487" s="26">
        <v>43088</v>
      </c>
      <c r="N487" s="44">
        <f>0.6*37400</f>
        <v>22440</v>
      </c>
      <c r="O487" s="22" t="s">
        <v>276</v>
      </c>
      <c r="P487" s="22" t="s">
        <v>19</v>
      </c>
      <c r="Q487" s="24">
        <f t="shared" si="33"/>
        <v>0</v>
      </c>
      <c r="R487" s="24">
        <f t="shared" si="34"/>
        <v>22440</v>
      </c>
      <c r="S487" s="5"/>
      <c r="T487" s="5"/>
    </row>
    <row r="488" spans="1:20" ht="15.75" hidden="1" x14ac:dyDescent="0.25">
      <c r="B488" s="21" t="s">
        <v>395</v>
      </c>
      <c r="C488" s="22" t="s">
        <v>2450</v>
      </c>
      <c r="D488" s="22"/>
      <c r="E488" s="21" t="s">
        <v>10</v>
      </c>
      <c r="F488" s="21"/>
      <c r="G488" s="147" t="s">
        <v>373</v>
      </c>
      <c r="H488" s="23" t="s">
        <v>652</v>
      </c>
      <c r="I488" s="23"/>
      <c r="J488" s="21" t="s">
        <v>502</v>
      </c>
      <c r="K488" s="21"/>
      <c r="L488" s="21"/>
      <c r="M488" s="26" t="s">
        <v>788</v>
      </c>
      <c r="N488" s="44">
        <f>0.2*37400</f>
        <v>7480</v>
      </c>
      <c r="O488" s="22" t="s">
        <v>276</v>
      </c>
      <c r="P488" s="22" t="s">
        <v>19</v>
      </c>
      <c r="Q488" s="24">
        <f t="shared" si="33"/>
        <v>0</v>
      </c>
      <c r="R488" s="24">
        <f t="shared" si="34"/>
        <v>7480</v>
      </c>
      <c r="S488" s="5"/>
      <c r="T488" s="5"/>
    </row>
    <row r="489" spans="1:20" ht="15.75" hidden="1" x14ac:dyDescent="0.25">
      <c r="B489" s="21" t="s">
        <v>395</v>
      </c>
      <c r="C489" s="22" t="s">
        <v>2450</v>
      </c>
      <c r="D489" s="22"/>
      <c r="E489" s="21" t="s">
        <v>10</v>
      </c>
      <c r="F489" s="21"/>
      <c r="G489" s="147" t="s">
        <v>373</v>
      </c>
      <c r="H489" s="23" t="s">
        <v>652</v>
      </c>
      <c r="I489" s="23"/>
      <c r="J489" s="21" t="s">
        <v>503</v>
      </c>
      <c r="K489" s="21"/>
      <c r="L489" s="21"/>
      <c r="M489" s="26" t="s">
        <v>788</v>
      </c>
      <c r="N489" s="44">
        <f>0.2*37400</f>
        <v>7480</v>
      </c>
      <c r="O489" s="22" t="s">
        <v>276</v>
      </c>
      <c r="P489" s="22" t="s">
        <v>19</v>
      </c>
      <c r="Q489" s="24">
        <f t="shared" si="33"/>
        <v>0</v>
      </c>
      <c r="R489" s="24">
        <f t="shared" si="34"/>
        <v>7480</v>
      </c>
      <c r="S489" s="5"/>
      <c r="T489" s="5"/>
    </row>
    <row r="490" spans="1:20" ht="15.75" hidden="1" x14ac:dyDescent="0.25">
      <c r="A490" t="s">
        <v>6091</v>
      </c>
      <c r="B490" s="21" t="s">
        <v>395</v>
      </c>
      <c r="C490" s="22" t="s">
        <v>2450</v>
      </c>
      <c r="D490" s="22"/>
      <c r="E490" s="21" t="s">
        <v>10</v>
      </c>
      <c r="F490" s="21"/>
      <c r="G490" s="147" t="s">
        <v>110</v>
      </c>
      <c r="H490" s="23" t="s">
        <v>504</v>
      </c>
      <c r="I490" s="23"/>
      <c r="J490" s="21" t="s">
        <v>592</v>
      </c>
      <c r="K490" s="21"/>
      <c r="L490" s="21"/>
      <c r="M490" s="26" t="s">
        <v>644</v>
      </c>
      <c r="N490" s="44">
        <f>0.67*18700</f>
        <v>12529</v>
      </c>
      <c r="O490" s="22" t="s">
        <v>15</v>
      </c>
      <c r="P490" s="22" t="s">
        <v>19</v>
      </c>
      <c r="Q490" s="24">
        <f t="shared" si="33"/>
        <v>0</v>
      </c>
      <c r="R490" s="24">
        <f t="shared" si="34"/>
        <v>12529</v>
      </c>
      <c r="S490" s="5"/>
      <c r="T490" s="5"/>
    </row>
    <row r="491" spans="1:20" ht="15.75" hidden="1" x14ac:dyDescent="0.25">
      <c r="A491" t="s">
        <v>6091</v>
      </c>
      <c r="B491" s="21" t="s">
        <v>395</v>
      </c>
      <c r="C491" s="22" t="s">
        <v>2450</v>
      </c>
      <c r="D491" s="22"/>
      <c r="E491" s="21" t="s">
        <v>10</v>
      </c>
      <c r="F491" s="21"/>
      <c r="G491" s="147" t="s">
        <v>110</v>
      </c>
      <c r="H491" s="23" t="s">
        <v>504</v>
      </c>
      <c r="I491" s="23"/>
      <c r="J491" s="21" t="s">
        <v>593</v>
      </c>
      <c r="K491" s="21"/>
      <c r="L491" s="21"/>
      <c r="M491" s="26" t="s">
        <v>688</v>
      </c>
      <c r="N491" s="44">
        <f>0.33*18700</f>
        <v>6171</v>
      </c>
      <c r="O491" s="22" t="s">
        <v>15</v>
      </c>
      <c r="P491" s="22" t="s">
        <v>19</v>
      </c>
      <c r="Q491" s="24">
        <f t="shared" si="33"/>
        <v>0</v>
      </c>
      <c r="R491" s="24">
        <f t="shared" si="34"/>
        <v>6171</v>
      </c>
      <c r="S491" s="5"/>
      <c r="T491" s="5"/>
    </row>
    <row r="492" spans="1:20" ht="15.75" hidden="1" x14ac:dyDescent="0.25">
      <c r="B492" s="21" t="s">
        <v>395</v>
      </c>
      <c r="C492" s="22" t="s">
        <v>2450</v>
      </c>
      <c r="D492" s="22"/>
      <c r="E492" s="21" t="s">
        <v>75</v>
      </c>
      <c r="F492" s="21"/>
      <c r="G492" s="147" t="s">
        <v>239</v>
      </c>
      <c r="H492" s="23" t="s">
        <v>513</v>
      </c>
      <c r="I492" s="23"/>
      <c r="J492" s="21" t="s">
        <v>512</v>
      </c>
      <c r="K492" s="21"/>
      <c r="L492" s="21"/>
      <c r="M492" s="26">
        <v>43087</v>
      </c>
      <c r="N492" s="44">
        <v>3350</v>
      </c>
      <c r="O492" s="22" t="s">
        <v>15</v>
      </c>
      <c r="P492" s="22" t="s">
        <v>19</v>
      </c>
      <c r="Q492" s="24">
        <f t="shared" si="33"/>
        <v>0</v>
      </c>
      <c r="R492" s="24">
        <f t="shared" si="34"/>
        <v>3350</v>
      </c>
      <c r="S492" s="5"/>
      <c r="T492" s="5"/>
    </row>
    <row r="493" spans="1:20" ht="15.75" hidden="1" x14ac:dyDescent="0.25">
      <c r="B493" s="21" t="s">
        <v>395</v>
      </c>
      <c r="C493" s="22" t="s">
        <v>3980</v>
      </c>
      <c r="D493" s="22"/>
      <c r="E493" s="21" t="s">
        <v>10</v>
      </c>
      <c r="F493" s="21"/>
      <c r="G493" s="147" t="s">
        <v>11</v>
      </c>
      <c r="H493" s="23" t="s">
        <v>921</v>
      </c>
      <c r="I493" s="23"/>
      <c r="J493" s="21" t="s">
        <v>514</v>
      </c>
      <c r="K493" s="21"/>
      <c r="L493" s="21"/>
      <c r="M493" s="26">
        <v>2500</v>
      </c>
      <c r="N493" s="44"/>
      <c r="O493" s="22" t="s">
        <v>16</v>
      </c>
      <c r="P493" s="22"/>
      <c r="Q493" s="24">
        <f t="shared" si="33"/>
        <v>0</v>
      </c>
      <c r="R493" s="24">
        <f>IF(P493="OK",M493-Q493,IF(P493="en cours",M493-Q493,P493))</f>
        <v>0</v>
      </c>
      <c r="S493" s="5"/>
      <c r="T493" s="5"/>
    </row>
    <row r="494" spans="1:20" ht="15.75" hidden="1" x14ac:dyDescent="0.25">
      <c r="B494" s="21" t="s">
        <v>395</v>
      </c>
      <c r="C494" s="22" t="s">
        <v>3980</v>
      </c>
      <c r="D494" s="22"/>
      <c r="E494" s="21" t="s">
        <v>10</v>
      </c>
      <c r="F494" s="21"/>
      <c r="G494" s="147" t="s">
        <v>11</v>
      </c>
      <c r="H494" s="23" t="s">
        <v>921</v>
      </c>
      <c r="I494" s="23"/>
      <c r="J494" s="21" t="s">
        <v>515</v>
      </c>
      <c r="K494" s="21"/>
      <c r="L494" s="21"/>
      <c r="M494" s="26">
        <v>13600</v>
      </c>
      <c r="N494" s="44"/>
      <c r="O494" s="22" t="s">
        <v>16</v>
      </c>
      <c r="P494" s="22"/>
      <c r="Q494" s="24">
        <f t="shared" si="33"/>
        <v>0</v>
      </c>
      <c r="R494" s="24">
        <f>IF(P494="OK",M494-Q494,IF(P494="en cours",M494-Q494,P494))</f>
        <v>0</v>
      </c>
      <c r="S494" s="5"/>
      <c r="T494" s="5"/>
    </row>
    <row r="495" spans="1:20" ht="15.75" hidden="1" x14ac:dyDescent="0.25">
      <c r="B495" s="21" t="s">
        <v>395</v>
      </c>
      <c r="C495" s="22" t="s">
        <v>3980</v>
      </c>
      <c r="D495" s="22"/>
      <c r="E495" s="21" t="s">
        <v>10</v>
      </c>
      <c r="F495" s="21"/>
      <c r="G495" s="147" t="s">
        <v>11</v>
      </c>
      <c r="H495" s="23" t="s">
        <v>921</v>
      </c>
      <c r="I495" s="23"/>
      <c r="J495" s="21" t="s">
        <v>516</v>
      </c>
      <c r="K495" s="21"/>
      <c r="L495" s="21"/>
      <c r="M495" s="26">
        <v>15800</v>
      </c>
      <c r="N495" s="44"/>
      <c r="O495" s="22" t="s">
        <v>16</v>
      </c>
      <c r="P495" s="22"/>
      <c r="Q495" s="24">
        <f t="shared" si="33"/>
        <v>0</v>
      </c>
      <c r="R495" s="24">
        <f>IF(P495="OK",M495-Q495,IF(P495="en cours",M495-Q495,P495))</f>
        <v>0</v>
      </c>
      <c r="S495" s="5"/>
      <c r="T495" s="5"/>
    </row>
    <row r="496" spans="1:20" ht="15.75" hidden="1" x14ac:dyDescent="0.25">
      <c r="B496" s="21" t="s">
        <v>395</v>
      </c>
      <c r="C496" s="22" t="s">
        <v>3980</v>
      </c>
      <c r="D496" s="22"/>
      <c r="E496" s="21" t="s">
        <v>10</v>
      </c>
      <c r="F496" s="21"/>
      <c r="G496" s="147" t="s">
        <v>11</v>
      </c>
      <c r="H496" s="23" t="s">
        <v>921</v>
      </c>
      <c r="I496" s="23"/>
      <c r="J496" s="21" t="s">
        <v>517</v>
      </c>
      <c r="K496" s="21"/>
      <c r="L496" s="21"/>
      <c r="M496" s="26" t="s">
        <v>2434</v>
      </c>
      <c r="N496" s="44"/>
      <c r="O496" s="22" t="s">
        <v>16</v>
      </c>
      <c r="P496" s="22"/>
      <c r="Q496" s="24">
        <f t="shared" si="33"/>
        <v>0</v>
      </c>
      <c r="R496" s="24">
        <f>IF(P496="OK",M496-Q496,IF(P496="en cours",M496-Q496,P496))</f>
        <v>0</v>
      </c>
      <c r="S496" s="5"/>
      <c r="T496" s="5"/>
    </row>
    <row r="497" spans="1:20" ht="15.75" hidden="1" x14ac:dyDescent="0.25">
      <c r="B497" s="21" t="s">
        <v>395</v>
      </c>
      <c r="C497" s="22" t="s">
        <v>3980</v>
      </c>
      <c r="D497" s="22"/>
      <c r="E497" s="21" t="s">
        <v>10</v>
      </c>
      <c r="F497" s="21"/>
      <c r="G497" s="147" t="s">
        <v>11</v>
      </c>
      <c r="H497" s="23" t="s">
        <v>921</v>
      </c>
      <c r="I497" s="23"/>
      <c r="J497" s="21" t="s">
        <v>518</v>
      </c>
      <c r="K497" s="21"/>
      <c r="L497" s="21"/>
      <c r="M497" s="26">
        <v>6500</v>
      </c>
      <c r="N497" s="44"/>
      <c r="O497" s="22" t="s">
        <v>16</v>
      </c>
      <c r="P497" s="22"/>
      <c r="Q497" s="24">
        <f t="shared" si="33"/>
        <v>0</v>
      </c>
      <c r="R497" s="24">
        <f>IF(P497="OK",M497-Q497,IF(P497="en cours",M497-Q497,P497))</f>
        <v>0</v>
      </c>
      <c r="S497" s="5"/>
      <c r="T497" s="5"/>
    </row>
    <row r="498" spans="1:20" ht="15.75" hidden="1" x14ac:dyDescent="0.25">
      <c r="A498" t="s">
        <v>6091</v>
      </c>
      <c r="B498" s="32" t="s">
        <v>395</v>
      </c>
      <c r="C498" s="33" t="s">
        <v>2450</v>
      </c>
      <c r="D498" s="33"/>
      <c r="E498" s="32" t="s">
        <v>10</v>
      </c>
      <c r="F498" s="32"/>
      <c r="G498" s="155" t="s">
        <v>519</v>
      </c>
      <c r="H498" s="34" t="s">
        <v>520</v>
      </c>
      <c r="I498" s="34"/>
      <c r="J498" s="34" t="s">
        <v>546</v>
      </c>
      <c r="K498" s="34"/>
      <c r="L498" s="34"/>
      <c r="M498" s="35">
        <v>43186</v>
      </c>
      <c r="N498" s="93">
        <v>22524</v>
      </c>
      <c r="O498" s="33" t="s">
        <v>15</v>
      </c>
      <c r="P498" s="22" t="s">
        <v>19</v>
      </c>
      <c r="Q498" s="36">
        <f t="shared" si="33"/>
        <v>0</v>
      </c>
      <c r="R498" s="36">
        <f t="shared" ref="R498:R508" si="35">IF(P498="OK",N498-Q498,IF(P498="en cours",N498-Q498,P498))</f>
        <v>22524</v>
      </c>
      <c r="S498" s="5"/>
      <c r="T498" s="5"/>
    </row>
    <row r="499" spans="1:20" ht="15.75" hidden="1" x14ac:dyDescent="0.25">
      <c r="A499" t="s">
        <v>6091</v>
      </c>
      <c r="B499" s="32" t="s">
        <v>395</v>
      </c>
      <c r="C499" s="33" t="s">
        <v>2450</v>
      </c>
      <c r="D499" s="33"/>
      <c r="E499" s="32" t="s">
        <v>10</v>
      </c>
      <c r="F499" s="32"/>
      <c r="G499" s="155" t="s">
        <v>519</v>
      </c>
      <c r="H499" s="34" t="s">
        <v>520</v>
      </c>
      <c r="I499" s="34"/>
      <c r="J499" s="34" t="s">
        <v>547</v>
      </c>
      <c r="K499" s="34"/>
      <c r="L499" s="34"/>
      <c r="M499" s="35">
        <v>43186</v>
      </c>
      <c r="N499" s="93">
        <v>38929</v>
      </c>
      <c r="O499" s="33" t="s">
        <v>15</v>
      </c>
      <c r="P499" s="22" t="s">
        <v>19</v>
      </c>
      <c r="Q499" s="36">
        <f t="shared" si="33"/>
        <v>0</v>
      </c>
      <c r="R499" s="36">
        <f t="shared" si="35"/>
        <v>38929</v>
      </c>
      <c r="S499" s="5"/>
      <c r="T499" s="5"/>
    </row>
    <row r="500" spans="1:20" ht="15.75" hidden="1" x14ac:dyDescent="0.25">
      <c r="A500" t="s">
        <v>6091</v>
      </c>
      <c r="B500" s="32" t="s">
        <v>395</v>
      </c>
      <c r="C500" s="33" t="s">
        <v>2450</v>
      </c>
      <c r="D500" s="33"/>
      <c r="E500" s="32" t="s">
        <v>10</v>
      </c>
      <c r="F500" s="32"/>
      <c r="G500" s="155" t="s">
        <v>519</v>
      </c>
      <c r="H500" s="34" t="s">
        <v>520</v>
      </c>
      <c r="I500" s="34"/>
      <c r="J500" s="34" t="s">
        <v>548</v>
      </c>
      <c r="K500" s="34"/>
      <c r="L500" s="34"/>
      <c r="M500" s="35">
        <v>43186</v>
      </c>
      <c r="N500" s="93">
        <v>2526</v>
      </c>
      <c r="O500" s="33" t="s">
        <v>15</v>
      </c>
      <c r="P500" s="22" t="s">
        <v>19</v>
      </c>
      <c r="Q500" s="36">
        <f t="shared" si="33"/>
        <v>0</v>
      </c>
      <c r="R500" s="36">
        <f t="shared" si="35"/>
        <v>2526</v>
      </c>
      <c r="S500" s="5"/>
      <c r="T500" s="5"/>
    </row>
    <row r="501" spans="1:20" ht="15.75" hidden="1" x14ac:dyDescent="0.25">
      <c r="A501" t="s">
        <v>6091</v>
      </c>
      <c r="B501" s="32" t="s">
        <v>395</v>
      </c>
      <c r="C501" s="22" t="s">
        <v>2450</v>
      </c>
      <c r="D501" s="22"/>
      <c r="E501" s="21" t="s">
        <v>0</v>
      </c>
      <c r="F501" s="21"/>
      <c r="G501" s="147" t="s">
        <v>522</v>
      </c>
      <c r="H501" s="23" t="s">
        <v>523</v>
      </c>
      <c r="I501" s="23"/>
      <c r="J501" s="23" t="s">
        <v>524</v>
      </c>
      <c r="K501" s="23"/>
      <c r="L501" s="23"/>
      <c r="M501" s="329">
        <v>15120</v>
      </c>
      <c r="N501" s="44">
        <v>0</v>
      </c>
      <c r="O501" s="22" t="s">
        <v>15</v>
      </c>
      <c r="P501" s="22"/>
      <c r="Q501" s="24">
        <f t="shared" si="33"/>
        <v>0</v>
      </c>
      <c r="R501" s="24">
        <f t="shared" si="35"/>
        <v>0</v>
      </c>
      <c r="S501" s="5"/>
      <c r="T501" s="5"/>
    </row>
    <row r="502" spans="1:20" ht="15.75" hidden="1" x14ac:dyDescent="0.25">
      <c r="A502" t="s">
        <v>6091</v>
      </c>
      <c r="B502" s="32" t="s">
        <v>395</v>
      </c>
      <c r="C502" s="22" t="s">
        <v>2450</v>
      </c>
      <c r="D502" s="22"/>
      <c r="E502" s="21" t="s">
        <v>0</v>
      </c>
      <c r="F502" s="21"/>
      <c r="G502" s="147" t="s">
        <v>522</v>
      </c>
      <c r="H502" s="23" t="s">
        <v>523</v>
      </c>
      <c r="I502" s="23"/>
      <c r="J502" s="21" t="s">
        <v>525</v>
      </c>
      <c r="K502" s="21"/>
      <c r="L502" s="21"/>
      <c r="M502" s="329">
        <v>10954</v>
      </c>
      <c r="N502" s="44">
        <v>0</v>
      </c>
      <c r="O502" s="22" t="s">
        <v>15</v>
      </c>
      <c r="P502" s="22"/>
      <c r="Q502" s="24">
        <f t="shared" si="33"/>
        <v>0</v>
      </c>
      <c r="R502" s="24">
        <f t="shared" si="35"/>
        <v>0</v>
      </c>
      <c r="S502" s="5"/>
      <c r="T502" s="5"/>
    </row>
    <row r="503" spans="1:20" ht="15.75" hidden="1" x14ac:dyDescent="0.25">
      <c r="A503" t="s">
        <v>6091</v>
      </c>
      <c r="B503" s="32" t="s">
        <v>395</v>
      </c>
      <c r="C503" s="22" t="s">
        <v>2450</v>
      </c>
      <c r="D503" s="22"/>
      <c r="E503" s="21" t="s">
        <v>0</v>
      </c>
      <c r="F503" s="21"/>
      <c r="G503" s="147" t="s">
        <v>522</v>
      </c>
      <c r="H503" s="23" t="s">
        <v>523</v>
      </c>
      <c r="I503" s="23"/>
      <c r="J503" s="21" t="s">
        <v>526</v>
      </c>
      <c r="K503" s="21"/>
      <c r="L503" s="21"/>
      <c r="M503" s="329">
        <v>7783</v>
      </c>
      <c r="N503" s="44">
        <v>0</v>
      </c>
      <c r="O503" s="22" t="s">
        <v>15</v>
      </c>
      <c r="P503" s="22"/>
      <c r="Q503" s="24">
        <f t="shared" si="33"/>
        <v>0</v>
      </c>
      <c r="R503" s="24">
        <f t="shared" si="35"/>
        <v>0</v>
      </c>
      <c r="S503" s="5"/>
      <c r="T503" s="5"/>
    </row>
    <row r="504" spans="1:20" ht="15.75" hidden="1" x14ac:dyDescent="0.25">
      <c r="A504" t="s">
        <v>6091</v>
      </c>
      <c r="B504" s="32" t="s">
        <v>395</v>
      </c>
      <c r="C504" s="22" t="s">
        <v>2450</v>
      </c>
      <c r="D504" s="22"/>
      <c r="E504" s="21" t="s">
        <v>0</v>
      </c>
      <c r="F504" s="21"/>
      <c r="G504" s="147" t="s">
        <v>522</v>
      </c>
      <c r="H504" s="23" t="s">
        <v>523</v>
      </c>
      <c r="I504" s="23"/>
      <c r="J504" s="21" t="s">
        <v>527</v>
      </c>
      <c r="K504" s="21"/>
      <c r="L504" s="21"/>
      <c r="M504" s="329" t="s">
        <v>3562</v>
      </c>
      <c r="N504" s="44">
        <v>0</v>
      </c>
      <c r="O504" s="22" t="s">
        <v>15</v>
      </c>
      <c r="P504" s="22"/>
      <c r="Q504" s="24">
        <f t="shared" si="33"/>
        <v>0</v>
      </c>
      <c r="R504" s="24">
        <f t="shared" si="35"/>
        <v>0</v>
      </c>
      <c r="S504" s="5"/>
      <c r="T504" s="5"/>
    </row>
    <row r="505" spans="1:20" ht="15.75" hidden="1" x14ac:dyDescent="0.25">
      <c r="A505" t="s">
        <v>6091</v>
      </c>
      <c r="B505" s="32" t="s">
        <v>395</v>
      </c>
      <c r="C505" s="22" t="s">
        <v>2450</v>
      </c>
      <c r="D505" s="22"/>
      <c r="E505" s="21" t="s">
        <v>0</v>
      </c>
      <c r="F505" s="21"/>
      <c r="G505" s="147" t="s">
        <v>522</v>
      </c>
      <c r="H505" s="23" t="s">
        <v>523</v>
      </c>
      <c r="I505" s="23"/>
      <c r="J505" s="21" t="s">
        <v>528</v>
      </c>
      <c r="K505" s="21"/>
      <c r="L505" s="21"/>
      <c r="M505" s="329">
        <v>9026</v>
      </c>
      <c r="N505" s="44">
        <v>0</v>
      </c>
      <c r="O505" s="22" t="s">
        <v>15</v>
      </c>
      <c r="P505" s="22"/>
      <c r="Q505" s="24">
        <f t="shared" si="33"/>
        <v>0</v>
      </c>
      <c r="R505" s="24">
        <f t="shared" si="35"/>
        <v>0</v>
      </c>
      <c r="S505" s="5"/>
      <c r="T505" s="5"/>
    </row>
    <row r="506" spans="1:20" ht="15.75" hidden="1" x14ac:dyDescent="0.25">
      <c r="A506" t="s">
        <v>6091</v>
      </c>
      <c r="B506" s="32" t="s">
        <v>395</v>
      </c>
      <c r="C506" s="22" t="s">
        <v>2450</v>
      </c>
      <c r="D506" s="22"/>
      <c r="E506" s="21" t="s">
        <v>0</v>
      </c>
      <c r="F506" s="21"/>
      <c r="G506" s="147" t="s">
        <v>522</v>
      </c>
      <c r="H506" s="23" t="s">
        <v>523</v>
      </c>
      <c r="I506" s="23"/>
      <c r="J506" s="21" t="s">
        <v>529</v>
      </c>
      <c r="K506" s="21"/>
      <c r="L506" s="21"/>
      <c r="M506" s="329">
        <v>549</v>
      </c>
      <c r="N506" s="44">
        <v>0</v>
      </c>
      <c r="O506" s="22" t="s">
        <v>15</v>
      </c>
      <c r="P506" s="22"/>
      <c r="Q506" s="24">
        <f t="shared" si="33"/>
        <v>0</v>
      </c>
      <c r="R506" s="24">
        <f t="shared" si="35"/>
        <v>0</v>
      </c>
      <c r="S506" s="5"/>
      <c r="T506" s="5"/>
    </row>
    <row r="507" spans="1:20" ht="15.75" hidden="1" x14ac:dyDescent="0.25">
      <c r="A507" t="s">
        <v>6091</v>
      </c>
      <c r="B507" s="21" t="s">
        <v>395</v>
      </c>
      <c r="C507" s="22" t="s">
        <v>2450</v>
      </c>
      <c r="D507" s="22"/>
      <c r="E507" s="21" t="s">
        <v>0</v>
      </c>
      <c r="F507" s="21"/>
      <c r="G507" s="147" t="s">
        <v>522</v>
      </c>
      <c r="H507" s="23" t="s">
        <v>523</v>
      </c>
      <c r="I507" s="23"/>
      <c r="J507" s="21" t="s">
        <v>530</v>
      </c>
      <c r="K507" s="21"/>
      <c r="L507" s="21"/>
      <c r="M507" s="26" t="s">
        <v>585</v>
      </c>
      <c r="N507" s="44">
        <f>55401*40%</f>
        <v>22160.400000000001</v>
      </c>
      <c r="O507" s="22" t="s">
        <v>15</v>
      </c>
      <c r="P507" s="22" t="s">
        <v>19</v>
      </c>
      <c r="Q507" s="24">
        <f t="shared" si="33"/>
        <v>0</v>
      </c>
      <c r="R507" s="24">
        <f t="shared" si="35"/>
        <v>22160.400000000001</v>
      </c>
      <c r="S507" s="5"/>
      <c r="T507" s="5"/>
    </row>
    <row r="508" spans="1:20" ht="15.75" hidden="1" x14ac:dyDescent="0.25">
      <c r="A508" t="s">
        <v>6091</v>
      </c>
      <c r="B508" s="21" t="s">
        <v>395</v>
      </c>
      <c r="C508" s="22" t="s">
        <v>2450</v>
      </c>
      <c r="D508" s="22"/>
      <c r="E508" s="21" t="s">
        <v>0</v>
      </c>
      <c r="F508" s="21"/>
      <c r="G508" s="147" t="s">
        <v>522</v>
      </c>
      <c r="H508" s="23" t="s">
        <v>523</v>
      </c>
      <c r="I508" s="23"/>
      <c r="J508" s="21" t="s">
        <v>531</v>
      </c>
      <c r="K508" s="21"/>
      <c r="L508" s="21"/>
      <c r="M508" s="26" t="s">
        <v>689</v>
      </c>
      <c r="N508" s="44">
        <f>+N507/40%*60%</f>
        <v>33240.6</v>
      </c>
      <c r="O508" s="22" t="s">
        <v>15</v>
      </c>
      <c r="P508" s="22" t="s">
        <v>19</v>
      </c>
      <c r="Q508" s="24">
        <f t="shared" si="33"/>
        <v>0</v>
      </c>
      <c r="R508" s="24">
        <f t="shared" si="35"/>
        <v>33240.6</v>
      </c>
      <c r="S508" s="5"/>
      <c r="T508" s="5"/>
    </row>
    <row r="509" spans="1:20" ht="15.75" hidden="1" x14ac:dyDescent="0.25">
      <c r="B509" s="21" t="s">
        <v>395</v>
      </c>
      <c r="C509" s="22" t="s">
        <v>3980</v>
      </c>
      <c r="D509" s="22"/>
      <c r="E509" s="21" t="s">
        <v>10</v>
      </c>
      <c r="F509" s="21"/>
      <c r="G509" s="147" t="s">
        <v>11</v>
      </c>
      <c r="H509" s="23" t="s">
        <v>921</v>
      </c>
      <c r="I509" s="23"/>
      <c r="J509" s="21" t="s">
        <v>604</v>
      </c>
      <c r="K509" s="21"/>
      <c r="L509" s="21"/>
      <c r="M509" s="26" t="s">
        <v>920</v>
      </c>
      <c r="N509" s="44">
        <v>0</v>
      </c>
      <c r="O509" s="22" t="s">
        <v>16</v>
      </c>
      <c r="P509" s="22">
        <f>50000+12600</f>
        <v>62600</v>
      </c>
      <c r="Q509" s="24">
        <f t="shared" si="33"/>
        <v>0</v>
      </c>
      <c r="R509" s="24">
        <f>IF(P509="OK",M509-Q509,IF(P509="en cours",M509-Q509,P509))</f>
        <v>62600</v>
      </c>
      <c r="S509" s="5"/>
      <c r="T509" s="5"/>
    </row>
    <row r="510" spans="1:20" ht="15.75" hidden="1" x14ac:dyDescent="0.25">
      <c r="B510" s="32" t="s">
        <v>395</v>
      </c>
      <c r="C510" s="33" t="s">
        <v>2450</v>
      </c>
      <c r="D510" s="33"/>
      <c r="E510" s="32" t="s">
        <v>75</v>
      </c>
      <c r="F510" s="32"/>
      <c r="G510" s="155" t="s">
        <v>620</v>
      </c>
      <c r="H510" s="34" t="s">
        <v>621</v>
      </c>
      <c r="I510" s="34"/>
      <c r="J510" s="32" t="s">
        <v>654</v>
      </c>
      <c r="K510" s="32"/>
      <c r="L510" s="32"/>
      <c r="M510" s="35">
        <v>43159</v>
      </c>
      <c r="N510" s="93">
        <v>16580</v>
      </c>
      <c r="O510" s="33" t="s">
        <v>15</v>
      </c>
      <c r="P510" s="22" t="s">
        <v>19</v>
      </c>
      <c r="Q510" s="36">
        <f t="shared" si="33"/>
        <v>0</v>
      </c>
      <c r="R510" s="37">
        <f t="shared" ref="R510:R515" si="36">IF(P510="OK",N510-Q510,IF(P510="en cours",N510-Q510,P510))</f>
        <v>16580</v>
      </c>
      <c r="S510" s="5"/>
      <c r="T510" s="5"/>
    </row>
    <row r="511" spans="1:20" ht="15.75" hidden="1" x14ac:dyDescent="0.25">
      <c r="A511" t="s">
        <v>6091</v>
      </c>
      <c r="B511" s="21" t="s">
        <v>395</v>
      </c>
      <c r="C511" s="22" t="s">
        <v>2450</v>
      </c>
      <c r="D511" s="22"/>
      <c r="E511" s="21" t="s">
        <v>10</v>
      </c>
      <c r="F511" s="21"/>
      <c r="G511" s="147" t="s">
        <v>110</v>
      </c>
      <c r="H511" s="23" t="s">
        <v>639</v>
      </c>
      <c r="I511" s="23"/>
      <c r="J511" s="21" t="s">
        <v>640</v>
      </c>
      <c r="K511" s="21"/>
      <c r="L511" s="21"/>
      <c r="M511" s="26">
        <v>43159</v>
      </c>
      <c r="N511" s="44">
        <f>0.67*58900</f>
        <v>39463</v>
      </c>
      <c r="O511" s="22" t="s">
        <v>15</v>
      </c>
      <c r="P511" s="22" t="s">
        <v>19</v>
      </c>
      <c r="Q511" s="24">
        <f t="shared" si="33"/>
        <v>0</v>
      </c>
      <c r="R511" s="24">
        <f t="shared" si="36"/>
        <v>39463</v>
      </c>
      <c r="S511" s="5"/>
      <c r="T511" s="5"/>
    </row>
    <row r="512" spans="1:20" ht="15.75" hidden="1" x14ac:dyDescent="0.25">
      <c r="A512" t="s">
        <v>6091</v>
      </c>
      <c r="B512" s="21" t="s">
        <v>395</v>
      </c>
      <c r="C512" s="22" t="s">
        <v>2450</v>
      </c>
      <c r="D512" s="22"/>
      <c r="E512" s="21" t="s">
        <v>10</v>
      </c>
      <c r="F512" s="21"/>
      <c r="G512" s="147" t="s">
        <v>110</v>
      </c>
      <c r="H512" s="23" t="s">
        <v>639</v>
      </c>
      <c r="I512" s="23"/>
      <c r="J512" s="21" t="s">
        <v>641</v>
      </c>
      <c r="K512" s="21"/>
      <c r="L512" s="21" t="s">
        <v>2164</v>
      </c>
      <c r="M512" s="26">
        <v>43299</v>
      </c>
      <c r="N512" s="44">
        <f>0.33*58900</f>
        <v>19437</v>
      </c>
      <c r="O512" s="22" t="s">
        <v>15</v>
      </c>
      <c r="P512" s="22" t="s">
        <v>19</v>
      </c>
      <c r="Q512" s="24">
        <f t="shared" si="33"/>
        <v>0</v>
      </c>
      <c r="R512" s="24">
        <f t="shared" si="36"/>
        <v>19437</v>
      </c>
      <c r="S512" s="5"/>
      <c r="T512" s="5"/>
    </row>
    <row r="513" spans="1:20" ht="15.75" hidden="1" x14ac:dyDescent="0.25">
      <c r="A513" t="s">
        <v>6091</v>
      </c>
      <c r="B513" s="21" t="s">
        <v>395</v>
      </c>
      <c r="C513" s="22" t="s">
        <v>2450</v>
      </c>
      <c r="D513" s="22"/>
      <c r="E513" s="21" t="s">
        <v>10</v>
      </c>
      <c r="F513" s="21"/>
      <c r="G513" s="147" t="s">
        <v>110</v>
      </c>
      <c r="H513" s="23" t="s">
        <v>1107</v>
      </c>
      <c r="I513" s="23"/>
      <c r="J513" s="21" t="s">
        <v>1108</v>
      </c>
      <c r="K513" s="21"/>
      <c r="L513" s="21" t="s">
        <v>2165</v>
      </c>
      <c r="M513" s="26">
        <v>43434</v>
      </c>
      <c r="N513" s="44">
        <v>9600</v>
      </c>
      <c r="O513" s="22" t="s">
        <v>15</v>
      </c>
      <c r="P513" s="22" t="s">
        <v>19</v>
      </c>
      <c r="Q513" s="24">
        <f t="shared" si="33"/>
        <v>0</v>
      </c>
      <c r="R513" s="24">
        <f t="shared" si="36"/>
        <v>9600</v>
      </c>
      <c r="S513" s="5"/>
      <c r="T513" s="5"/>
    </row>
    <row r="514" spans="1:20" ht="15.75" hidden="1" x14ac:dyDescent="0.25">
      <c r="B514" s="32" t="s">
        <v>395</v>
      </c>
      <c r="C514" s="22" t="s">
        <v>3980</v>
      </c>
      <c r="D514" s="33"/>
      <c r="E514" s="32" t="s">
        <v>10</v>
      </c>
      <c r="F514" s="32"/>
      <c r="G514" s="155" t="s">
        <v>487</v>
      </c>
      <c r="H514" s="34" t="s">
        <v>915</v>
      </c>
      <c r="I514" s="34"/>
      <c r="J514" s="32" t="s">
        <v>489</v>
      </c>
      <c r="K514" s="32"/>
      <c r="L514" s="32"/>
      <c r="M514" s="26">
        <v>43166</v>
      </c>
      <c r="N514" s="93">
        <v>5000</v>
      </c>
      <c r="O514" s="33" t="s">
        <v>15</v>
      </c>
      <c r="P514" s="22" t="s">
        <v>19</v>
      </c>
      <c r="Q514" s="36">
        <f t="shared" si="33"/>
        <v>0</v>
      </c>
      <c r="R514" s="37">
        <f t="shared" si="36"/>
        <v>5000</v>
      </c>
      <c r="S514" s="5"/>
      <c r="T514" s="5"/>
    </row>
    <row r="515" spans="1:20" ht="15.75" hidden="1" x14ac:dyDescent="0.25">
      <c r="A515" t="s">
        <v>6091</v>
      </c>
      <c r="B515" s="32" t="s">
        <v>395</v>
      </c>
      <c r="C515" s="33" t="s">
        <v>2450</v>
      </c>
      <c r="D515" s="33"/>
      <c r="E515" s="32" t="s">
        <v>10</v>
      </c>
      <c r="F515" s="32"/>
      <c r="G515" s="155" t="s">
        <v>110</v>
      </c>
      <c r="H515" s="51" t="s">
        <v>662</v>
      </c>
      <c r="I515" s="51"/>
      <c r="J515" s="52" t="s">
        <v>663</v>
      </c>
      <c r="K515" s="52"/>
      <c r="L515" s="52" t="s">
        <v>2167</v>
      </c>
      <c r="M515" s="26" t="s">
        <v>2166</v>
      </c>
      <c r="N515" s="98">
        <f>(0.67*384800)-46475-(44741)</f>
        <v>166600.00000000003</v>
      </c>
      <c r="O515" s="54" t="s">
        <v>15</v>
      </c>
      <c r="P515" s="55">
        <v>166600</v>
      </c>
      <c r="Q515" s="53">
        <f t="shared" si="33"/>
        <v>2.9103830456733704E-11</v>
      </c>
      <c r="R515" s="56">
        <f t="shared" si="36"/>
        <v>166600</v>
      </c>
      <c r="S515" s="5" t="s">
        <v>1837</v>
      </c>
      <c r="T515" s="5"/>
    </row>
    <row r="516" spans="1:20" ht="15.75" hidden="1" x14ac:dyDescent="0.25">
      <c r="A516" t="s">
        <v>6091</v>
      </c>
      <c r="B516" s="32" t="s">
        <v>395</v>
      </c>
      <c r="C516" s="33" t="s">
        <v>2450</v>
      </c>
      <c r="D516" s="33"/>
      <c r="E516" s="32" t="s">
        <v>10</v>
      </c>
      <c r="F516" s="32"/>
      <c r="G516" s="155" t="s">
        <v>110</v>
      </c>
      <c r="H516" s="51" t="s">
        <v>662</v>
      </c>
      <c r="I516" s="51"/>
      <c r="J516" s="52" t="s">
        <v>664</v>
      </c>
      <c r="K516" s="52"/>
      <c r="L516" s="52"/>
      <c r="M516" s="330" t="s">
        <v>6130</v>
      </c>
      <c r="N516" s="98">
        <v>0</v>
      </c>
      <c r="O516" s="54" t="s">
        <v>15</v>
      </c>
      <c r="P516" s="55" t="s">
        <v>19</v>
      </c>
      <c r="Q516" s="53">
        <f t="shared" si="33"/>
        <v>0</v>
      </c>
      <c r="R516" s="56">
        <f>IF(P516="OK",N516-Q516,IF(P516="en cours",M516-Q516,P516))</f>
        <v>0</v>
      </c>
      <c r="S516" s="5" t="s">
        <v>754</v>
      </c>
      <c r="T516" s="5"/>
    </row>
    <row r="517" spans="1:20" ht="15.75" hidden="1" x14ac:dyDescent="0.25">
      <c r="A517" t="s">
        <v>6091</v>
      </c>
      <c r="B517" s="32" t="s">
        <v>395</v>
      </c>
      <c r="C517" s="33" t="s">
        <v>2450</v>
      </c>
      <c r="D517" s="33"/>
      <c r="E517" s="32" t="s">
        <v>10</v>
      </c>
      <c r="F517" s="32"/>
      <c r="G517" s="155" t="s">
        <v>110</v>
      </c>
      <c r="H517" s="51" t="s">
        <v>990</v>
      </c>
      <c r="I517" s="51"/>
      <c r="J517" s="52" t="s">
        <v>991</v>
      </c>
      <c r="K517" s="52"/>
      <c r="L517" s="52" t="s">
        <v>2168</v>
      </c>
      <c r="M517" s="26">
        <v>43425</v>
      </c>
      <c r="N517" s="98">
        <v>780</v>
      </c>
      <c r="O517" s="54" t="s">
        <v>15</v>
      </c>
      <c r="P517" s="55" t="s">
        <v>19</v>
      </c>
      <c r="Q517" s="53">
        <f t="shared" si="33"/>
        <v>0</v>
      </c>
      <c r="R517" s="56">
        <f>IF(P517="OK",N517-Q517,IF(P517="en cours",M517-Q517,P517))</f>
        <v>780</v>
      </c>
      <c r="S517" s="5" t="s">
        <v>989</v>
      </c>
      <c r="T517" s="5"/>
    </row>
    <row r="518" spans="1:20" ht="15.75" hidden="1" x14ac:dyDescent="0.25">
      <c r="B518" s="21" t="s">
        <v>395</v>
      </c>
      <c r="C518" s="22" t="s">
        <v>2450</v>
      </c>
      <c r="D518" s="22"/>
      <c r="E518" s="21" t="s">
        <v>0</v>
      </c>
      <c r="F518" s="21"/>
      <c r="G518" s="147" t="s">
        <v>49</v>
      </c>
      <c r="H518" s="23" t="s">
        <v>671</v>
      </c>
      <c r="I518" s="23"/>
      <c r="J518" s="21" t="s">
        <v>672</v>
      </c>
      <c r="K518" s="21"/>
      <c r="L518" s="21" t="s">
        <v>2156</v>
      </c>
      <c r="M518" s="46">
        <v>43270</v>
      </c>
      <c r="N518" s="44">
        <v>4500</v>
      </c>
      <c r="O518" s="22" t="s">
        <v>15</v>
      </c>
      <c r="P518" s="22" t="s">
        <v>19</v>
      </c>
      <c r="Q518" s="24">
        <f t="shared" si="33"/>
        <v>0</v>
      </c>
      <c r="R518" s="24">
        <f t="shared" ref="R518:R581" si="37">IF(P518="OK",N518-Q518,IF(P518="en cours",N518-Q518,P518))</f>
        <v>4500</v>
      </c>
      <c r="S518" s="5"/>
      <c r="T518" s="5"/>
    </row>
    <row r="519" spans="1:20" ht="15.75" hidden="1" x14ac:dyDescent="0.25">
      <c r="B519" s="21" t="s">
        <v>395</v>
      </c>
      <c r="C519" s="22" t="s">
        <v>2450</v>
      </c>
      <c r="D519" s="22"/>
      <c r="E519" s="21" t="s">
        <v>0</v>
      </c>
      <c r="F519" s="21"/>
      <c r="G519" s="147" t="s">
        <v>49</v>
      </c>
      <c r="H519" s="23" t="s">
        <v>671</v>
      </c>
      <c r="I519" s="23"/>
      <c r="J519" s="21" t="s">
        <v>673</v>
      </c>
      <c r="K519" s="21"/>
      <c r="L519" s="21" t="s">
        <v>2155</v>
      </c>
      <c r="M519" s="46">
        <v>43409</v>
      </c>
      <c r="N519" s="44">
        <v>4500</v>
      </c>
      <c r="O519" s="22" t="s">
        <v>15</v>
      </c>
      <c r="P519" s="22" t="s">
        <v>19</v>
      </c>
      <c r="Q519" s="24">
        <f t="shared" si="33"/>
        <v>0</v>
      </c>
      <c r="R519" s="24">
        <f t="shared" si="37"/>
        <v>4500</v>
      </c>
      <c r="S519" s="5"/>
      <c r="T519" s="5"/>
    </row>
    <row r="520" spans="1:20" ht="15.75" hidden="1" x14ac:dyDescent="0.25">
      <c r="B520" s="21" t="s">
        <v>395</v>
      </c>
      <c r="C520" s="22" t="s">
        <v>2450</v>
      </c>
      <c r="D520" s="22"/>
      <c r="E520" s="21" t="s">
        <v>0</v>
      </c>
      <c r="F520" s="21"/>
      <c r="G520" s="147" t="s">
        <v>49</v>
      </c>
      <c r="H520" s="23" t="s">
        <v>671</v>
      </c>
      <c r="I520" s="23"/>
      <c r="J520" s="21" t="s">
        <v>674</v>
      </c>
      <c r="K520" s="120"/>
      <c r="L520" s="21"/>
      <c r="M520" s="46"/>
      <c r="N520" s="44">
        <v>0</v>
      </c>
      <c r="O520" s="22" t="s">
        <v>15</v>
      </c>
      <c r="P520" s="22"/>
      <c r="Q520" s="24">
        <f t="shared" si="33"/>
        <v>0</v>
      </c>
      <c r="R520" s="24">
        <f t="shared" si="37"/>
        <v>0</v>
      </c>
      <c r="S520" s="5" t="s">
        <v>2759</v>
      </c>
      <c r="T520" s="5"/>
    </row>
    <row r="521" spans="1:20" ht="15.75" hidden="1" x14ac:dyDescent="0.25">
      <c r="B521" s="21" t="s">
        <v>395</v>
      </c>
      <c r="C521" s="22" t="s">
        <v>2450</v>
      </c>
      <c r="D521" s="22"/>
      <c r="E521" s="21" t="s">
        <v>0</v>
      </c>
      <c r="F521" s="21"/>
      <c r="G521" s="147" t="s">
        <v>49</v>
      </c>
      <c r="H521" s="23" t="s">
        <v>671</v>
      </c>
      <c r="I521" s="23"/>
      <c r="J521" s="21" t="s">
        <v>675</v>
      </c>
      <c r="K521" s="120"/>
      <c r="L521" s="21" t="s">
        <v>4295</v>
      </c>
      <c r="M521" s="46">
        <v>43852</v>
      </c>
      <c r="N521" s="44">
        <v>5000</v>
      </c>
      <c r="O521" s="22" t="s">
        <v>15</v>
      </c>
      <c r="P521" s="22" t="s">
        <v>19</v>
      </c>
      <c r="Q521" s="24">
        <f t="shared" si="33"/>
        <v>0</v>
      </c>
      <c r="R521" s="24">
        <f t="shared" si="37"/>
        <v>5000</v>
      </c>
      <c r="S521" s="5"/>
      <c r="T521" s="5"/>
    </row>
    <row r="522" spans="1:20" ht="15.75" hidden="1" x14ac:dyDescent="0.25">
      <c r="B522" s="21" t="s">
        <v>395</v>
      </c>
      <c r="C522" s="22" t="s">
        <v>2450</v>
      </c>
      <c r="D522" s="22"/>
      <c r="E522" s="21" t="s">
        <v>10</v>
      </c>
      <c r="F522" s="21"/>
      <c r="G522" s="147" t="s">
        <v>132</v>
      </c>
      <c r="H522" s="23" t="s">
        <v>690</v>
      </c>
      <c r="I522" s="23"/>
      <c r="J522" s="21" t="s">
        <v>691</v>
      </c>
      <c r="K522" s="21"/>
      <c r="L522" s="21" t="s">
        <v>1972</v>
      </c>
      <c r="M522" s="26">
        <v>43279</v>
      </c>
      <c r="N522" s="44">
        <v>46800</v>
      </c>
      <c r="O522" s="22" t="s">
        <v>15</v>
      </c>
      <c r="P522" s="22" t="s">
        <v>19</v>
      </c>
      <c r="Q522" s="24">
        <f t="shared" si="33"/>
        <v>0</v>
      </c>
      <c r="R522" s="24">
        <f t="shared" si="37"/>
        <v>46800</v>
      </c>
      <c r="S522" s="5"/>
      <c r="T522" s="5"/>
    </row>
    <row r="523" spans="1:20" ht="15.75" hidden="1" x14ac:dyDescent="0.25">
      <c r="A523" t="s">
        <v>6753</v>
      </c>
      <c r="B523" s="21" t="s">
        <v>395</v>
      </c>
      <c r="C523" s="22" t="s">
        <v>2462</v>
      </c>
      <c r="D523" s="22"/>
      <c r="E523" s="21" t="s">
        <v>75</v>
      </c>
      <c r="F523" s="21"/>
      <c r="G523" s="147" t="s">
        <v>98</v>
      </c>
      <c r="H523" s="23" t="s">
        <v>699</v>
      </c>
      <c r="I523" s="23"/>
      <c r="J523" s="21" t="s">
        <v>700</v>
      </c>
      <c r="K523" s="21"/>
      <c r="L523" s="21"/>
      <c r="M523" s="167">
        <v>43220</v>
      </c>
      <c r="N523" s="44">
        <v>524.87</v>
      </c>
      <c r="O523" s="22" t="s">
        <v>15</v>
      </c>
      <c r="P523" s="22" t="s">
        <v>19</v>
      </c>
      <c r="Q523" s="24">
        <f t="shared" si="33"/>
        <v>0</v>
      </c>
      <c r="R523" s="24">
        <f t="shared" si="37"/>
        <v>524.87</v>
      </c>
      <c r="S523" s="5"/>
      <c r="T523" s="5"/>
    </row>
    <row r="524" spans="1:20" ht="15.75" hidden="1" x14ac:dyDescent="0.25">
      <c r="B524" s="21" t="s">
        <v>395</v>
      </c>
      <c r="C524" s="22" t="s">
        <v>2456</v>
      </c>
      <c r="D524" s="22"/>
      <c r="E524" s="21" t="s">
        <v>75</v>
      </c>
      <c r="F524" s="21"/>
      <c r="G524" s="147" t="s">
        <v>239</v>
      </c>
      <c r="H524" s="23" t="s">
        <v>710</v>
      </c>
      <c r="I524" s="23"/>
      <c r="J524" s="21" t="s">
        <v>712</v>
      </c>
      <c r="K524" s="21"/>
      <c r="L524" s="21"/>
      <c r="M524" s="167">
        <v>43245</v>
      </c>
      <c r="N524" s="44">
        <f>0.5*51200</f>
        <v>25600</v>
      </c>
      <c r="O524" s="22" t="s">
        <v>15</v>
      </c>
      <c r="P524" s="22" t="s">
        <v>19</v>
      </c>
      <c r="Q524" s="24">
        <f t="shared" si="33"/>
        <v>0</v>
      </c>
      <c r="R524" s="24">
        <f t="shared" si="37"/>
        <v>25600</v>
      </c>
      <c r="S524" s="5"/>
      <c r="T524" s="5"/>
    </row>
    <row r="525" spans="1:20" ht="15.75" hidden="1" x14ac:dyDescent="0.25">
      <c r="B525" s="21" t="s">
        <v>395</v>
      </c>
      <c r="C525" s="22" t="s">
        <v>2456</v>
      </c>
      <c r="D525" s="22"/>
      <c r="E525" s="21" t="s">
        <v>75</v>
      </c>
      <c r="F525" s="21"/>
      <c r="G525" s="147" t="s">
        <v>239</v>
      </c>
      <c r="H525" s="23" t="s">
        <v>710</v>
      </c>
      <c r="I525" s="23"/>
      <c r="J525" s="21" t="s">
        <v>348</v>
      </c>
      <c r="K525" s="21"/>
      <c r="L525" s="21"/>
      <c r="M525" s="167">
        <v>43287</v>
      </c>
      <c r="N525" s="44">
        <f>0.5*51200</f>
        <v>25600</v>
      </c>
      <c r="O525" s="22" t="s">
        <v>15</v>
      </c>
      <c r="P525" s="22" t="s">
        <v>19</v>
      </c>
      <c r="Q525" s="24">
        <f t="shared" si="33"/>
        <v>0</v>
      </c>
      <c r="R525" s="24">
        <f t="shared" si="37"/>
        <v>25600</v>
      </c>
      <c r="S525" s="5"/>
      <c r="T525" s="5"/>
    </row>
    <row r="526" spans="1:20" ht="15.75" hidden="1" x14ac:dyDescent="0.25">
      <c r="B526" s="32" t="s">
        <v>395</v>
      </c>
      <c r="C526" s="22" t="s">
        <v>3980</v>
      </c>
      <c r="D526" s="33"/>
      <c r="E526" s="32" t="s">
        <v>10</v>
      </c>
      <c r="F526" s="32"/>
      <c r="G526" s="155" t="s">
        <v>487</v>
      </c>
      <c r="H526" s="34" t="s">
        <v>769</v>
      </c>
      <c r="I526" s="34"/>
      <c r="J526" s="32" t="s">
        <v>489</v>
      </c>
      <c r="K526" s="32"/>
      <c r="L526" s="32"/>
      <c r="M526" s="66">
        <v>43287</v>
      </c>
      <c r="N526" s="93">
        <v>5000</v>
      </c>
      <c r="O526" s="33" t="s">
        <v>15</v>
      </c>
      <c r="P526" s="22" t="s">
        <v>19</v>
      </c>
      <c r="Q526" s="36">
        <f t="shared" si="33"/>
        <v>0</v>
      </c>
      <c r="R526" s="37">
        <f t="shared" si="37"/>
        <v>5000</v>
      </c>
      <c r="S526" s="5"/>
      <c r="T526" s="5"/>
    </row>
    <row r="527" spans="1:20" ht="15.75" hidden="1" x14ac:dyDescent="0.25">
      <c r="B527" s="32" t="s">
        <v>395</v>
      </c>
      <c r="C527" s="22" t="s">
        <v>3980</v>
      </c>
      <c r="D527" s="33"/>
      <c r="E527" s="32" t="s">
        <v>10</v>
      </c>
      <c r="F527" s="32"/>
      <c r="G527" s="155" t="s">
        <v>487</v>
      </c>
      <c r="H527" s="34" t="s">
        <v>947</v>
      </c>
      <c r="I527" s="34"/>
      <c r="J527" s="32" t="s">
        <v>489</v>
      </c>
      <c r="K527" s="32"/>
      <c r="L527" s="32"/>
      <c r="M527" s="66">
        <v>43398</v>
      </c>
      <c r="N527" s="93">
        <v>5000</v>
      </c>
      <c r="O527" s="33" t="s">
        <v>15</v>
      </c>
      <c r="P527" s="22" t="s">
        <v>19</v>
      </c>
      <c r="Q527" s="36">
        <f t="shared" si="33"/>
        <v>0</v>
      </c>
      <c r="R527" s="37">
        <f t="shared" si="37"/>
        <v>5000</v>
      </c>
      <c r="S527" s="5"/>
      <c r="T527" s="5"/>
    </row>
    <row r="528" spans="1:20" ht="15.75" hidden="1" x14ac:dyDescent="0.25">
      <c r="B528" s="32" t="s">
        <v>395</v>
      </c>
      <c r="C528" s="22" t="s">
        <v>3980</v>
      </c>
      <c r="D528" s="33"/>
      <c r="E528" s="32" t="s">
        <v>10</v>
      </c>
      <c r="F528" s="32"/>
      <c r="G528" s="155" t="s">
        <v>487</v>
      </c>
      <c r="H528" s="34" t="s">
        <v>914</v>
      </c>
      <c r="I528" s="34"/>
      <c r="J528" s="32" t="s">
        <v>489</v>
      </c>
      <c r="K528" s="32"/>
      <c r="L528" s="32"/>
      <c r="M528" s="66">
        <v>43384</v>
      </c>
      <c r="N528" s="93">
        <v>5000</v>
      </c>
      <c r="O528" s="33" t="s">
        <v>15</v>
      </c>
      <c r="P528" s="22" t="s">
        <v>19</v>
      </c>
      <c r="Q528" s="36">
        <f t="shared" si="33"/>
        <v>0</v>
      </c>
      <c r="R528" s="37">
        <f t="shared" si="37"/>
        <v>5000</v>
      </c>
      <c r="S528" s="5"/>
      <c r="T528" s="5"/>
    </row>
    <row r="529" spans="2:20" ht="15.75" hidden="1" x14ac:dyDescent="0.25">
      <c r="B529" s="32" t="s">
        <v>395</v>
      </c>
      <c r="C529" s="22" t="s">
        <v>3980</v>
      </c>
      <c r="D529" s="33"/>
      <c r="E529" s="32" t="s">
        <v>10</v>
      </c>
      <c r="F529" s="32"/>
      <c r="G529" s="155" t="s">
        <v>487</v>
      </c>
      <c r="H529" s="34" t="s">
        <v>715</v>
      </c>
      <c r="I529" s="34"/>
      <c r="J529" s="32" t="s">
        <v>489</v>
      </c>
      <c r="K529" s="32"/>
      <c r="L529" s="32"/>
      <c r="M529" s="66">
        <v>43251</v>
      </c>
      <c r="N529" s="93">
        <v>5000</v>
      </c>
      <c r="O529" s="33" t="s">
        <v>15</v>
      </c>
      <c r="P529" s="22" t="s">
        <v>19</v>
      </c>
      <c r="Q529" s="36">
        <f t="shared" si="33"/>
        <v>0</v>
      </c>
      <c r="R529" s="37">
        <f t="shared" si="37"/>
        <v>5000</v>
      </c>
      <c r="S529" s="5"/>
      <c r="T529" s="5"/>
    </row>
    <row r="530" spans="2:20" ht="15.75" hidden="1" x14ac:dyDescent="0.25">
      <c r="B530" s="21" t="s">
        <v>395</v>
      </c>
      <c r="C530" s="22" t="s">
        <v>2456</v>
      </c>
      <c r="D530" s="22"/>
      <c r="E530" s="21" t="s">
        <v>729</v>
      </c>
      <c r="F530" s="21"/>
      <c r="G530" s="147" t="s">
        <v>210</v>
      </c>
      <c r="H530" s="23" t="s">
        <v>731</v>
      </c>
      <c r="I530" s="23"/>
      <c r="J530" s="21" t="s">
        <v>730</v>
      </c>
      <c r="K530" s="21"/>
      <c r="L530" s="21"/>
      <c r="M530" s="66" t="s">
        <v>847</v>
      </c>
      <c r="N530" s="44">
        <v>4000</v>
      </c>
      <c r="O530" s="22" t="s">
        <v>15</v>
      </c>
      <c r="P530" s="114">
        <f>4000+220</f>
        <v>4220</v>
      </c>
      <c r="Q530" s="24">
        <f t="shared" si="33"/>
        <v>0</v>
      </c>
      <c r="R530" s="24">
        <f t="shared" si="37"/>
        <v>4220</v>
      </c>
      <c r="S530" s="5"/>
      <c r="T530" s="5"/>
    </row>
    <row r="531" spans="2:20" ht="15.75" hidden="1" x14ac:dyDescent="0.25">
      <c r="B531" s="21" t="s">
        <v>395</v>
      </c>
      <c r="C531" s="22" t="s">
        <v>2427</v>
      </c>
      <c r="D531" s="22"/>
      <c r="E531" s="21" t="s">
        <v>10</v>
      </c>
      <c r="F531" s="21"/>
      <c r="G531" s="147" t="s">
        <v>70</v>
      </c>
      <c r="H531" s="23" t="s">
        <v>734</v>
      </c>
      <c r="I531" s="23"/>
      <c r="J531" s="27" t="s">
        <v>197</v>
      </c>
      <c r="K531" s="27"/>
      <c r="L531" s="27"/>
      <c r="M531" s="66" t="s">
        <v>742</v>
      </c>
      <c r="N531" s="44">
        <f>0.5*(45300+4100)</f>
        <v>24700</v>
      </c>
      <c r="O531" s="22" t="s">
        <v>15</v>
      </c>
      <c r="P531" s="22" t="s">
        <v>19</v>
      </c>
      <c r="Q531" s="24">
        <f t="shared" si="33"/>
        <v>0</v>
      </c>
      <c r="R531" s="24">
        <f t="shared" si="37"/>
        <v>24700</v>
      </c>
      <c r="S531" s="5"/>
      <c r="T531" s="5"/>
    </row>
    <row r="532" spans="2:20" ht="15.75" hidden="1" x14ac:dyDescent="0.25">
      <c r="B532" s="21" t="s">
        <v>395</v>
      </c>
      <c r="C532" s="22" t="s">
        <v>2427</v>
      </c>
      <c r="D532" s="22"/>
      <c r="E532" s="21" t="s">
        <v>10</v>
      </c>
      <c r="F532" s="21"/>
      <c r="G532" s="147" t="s">
        <v>70</v>
      </c>
      <c r="H532" s="23" t="s">
        <v>734</v>
      </c>
      <c r="I532" s="23"/>
      <c r="J532" s="27" t="s">
        <v>735</v>
      </c>
      <c r="K532" s="27"/>
      <c r="L532" s="27"/>
      <c r="M532" s="66" t="s">
        <v>1527</v>
      </c>
      <c r="N532" s="44">
        <f>0.3*(45300+4100)</f>
        <v>14820</v>
      </c>
      <c r="O532" s="22" t="s">
        <v>15</v>
      </c>
      <c r="P532" s="22" t="s">
        <v>19</v>
      </c>
      <c r="Q532" s="24">
        <f t="shared" si="33"/>
        <v>0</v>
      </c>
      <c r="R532" s="24">
        <f t="shared" si="37"/>
        <v>14820</v>
      </c>
      <c r="S532" s="5"/>
      <c r="T532" s="5"/>
    </row>
    <row r="533" spans="2:20" ht="15.75" hidden="1" x14ac:dyDescent="0.25">
      <c r="B533" s="21" t="s">
        <v>395</v>
      </c>
      <c r="C533" s="22" t="s">
        <v>2427</v>
      </c>
      <c r="D533" s="22"/>
      <c r="E533" s="21" t="s">
        <v>10</v>
      </c>
      <c r="F533" s="21"/>
      <c r="G533" s="147" t="s">
        <v>70</v>
      </c>
      <c r="H533" s="23" t="s">
        <v>734</v>
      </c>
      <c r="I533" s="23"/>
      <c r="J533" s="27" t="s">
        <v>736</v>
      </c>
      <c r="K533" s="27"/>
      <c r="L533" s="27"/>
      <c r="M533" s="66" t="s">
        <v>1576</v>
      </c>
      <c r="N533" s="44">
        <f>0.2*(45300+4100)</f>
        <v>9880</v>
      </c>
      <c r="O533" s="22" t="s">
        <v>15</v>
      </c>
      <c r="P533" s="22" t="s">
        <v>19</v>
      </c>
      <c r="Q533" s="24">
        <f t="shared" si="33"/>
        <v>0</v>
      </c>
      <c r="R533" s="24">
        <f t="shared" si="37"/>
        <v>9880</v>
      </c>
      <c r="S533" s="5"/>
      <c r="T533" s="5"/>
    </row>
    <row r="534" spans="2:20" ht="15.75" hidden="1" x14ac:dyDescent="0.25">
      <c r="B534" s="21" t="s">
        <v>395</v>
      </c>
      <c r="C534" s="22" t="s">
        <v>2427</v>
      </c>
      <c r="D534" s="22"/>
      <c r="E534" s="21" t="s">
        <v>10</v>
      </c>
      <c r="F534" s="21"/>
      <c r="G534" s="147" t="s">
        <v>70</v>
      </c>
      <c r="H534" s="23" t="s">
        <v>792</v>
      </c>
      <c r="I534" s="23"/>
      <c r="J534" s="27" t="s">
        <v>790</v>
      </c>
      <c r="K534" s="27"/>
      <c r="L534" s="27"/>
      <c r="M534" s="66" t="s">
        <v>799</v>
      </c>
      <c r="N534" s="44">
        <v>5100</v>
      </c>
      <c r="O534" s="22" t="s">
        <v>15</v>
      </c>
      <c r="P534" s="22" t="s">
        <v>19</v>
      </c>
      <c r="Q534" s="24">
        <f t="shared" si="33"/>
        <v>0</v>
      </c>
      <c r="R534" s="24">
        <f t="shared" si="37"/>
        <v>5100</v>
      </c>
      <c r="S534" s="5"/>
      <c r="T534" s="5"/>
    </row>
    <row r="535" spans="2:20" ht="15.75" hidden="1" x14ac:dyDescent="0.25">
      <c r="B535" s="5"/>
      <c r="C535" s="4" t="s">
        <v>2427</v>
      </c>
      <c r="D535" s="4"/>
      <c r="E535" s="5" t="s">
        <v>10</v>
      </c>
      <c r="F535" s="5"/>
      <c r="G535" s="146" t="s">
        <v>70</v>
      </c>
      <c r="H535" s="7" t="s">
        <v>734</v>
      </c>
      <c r="I535" s="7"/>
      <c r="J535" s="5" t="s">
        <v>737</v>
      </c>
      <c r="K535" s="5"/>
      <c r="L535" s="5"/>
      <c r="M535" s="66" t="s">
        <v>741</v>
      </c>
      <c r="N535" s="45">
        <v>0</v>
      </c>
      <c r="O535" s="4" t="s">
        <v>15</v>
      </c>
      <c r="P535" s="4"/>
      <c r="Q535" s="3">
        <f t="shared" si="33"/>
        <v>0</v>
      </c>
      <c r="R535" s="3">
        <f t="shared" si="37"/>
        <v>0</v>
      </c>
      <c r="S535" s="5"/>
      <c r="T535" s="5"/>
    </row>
    <row r="536" spans="2:20" ht="15.75" hidden="1" x14ac:dyDescent="0.25">
      <c r="B536" s="21" t="s">
        <v>395</v>
      </c>
      <c r="C536" s="22" t="s">
        <v>2427</v>
      </c>
      <c r="D536" s="22"/>
      <c r="E536" s="21" t="s">
        <v>10</v>
      </c>
      <c r="F536" s="21"/>
      <c r="G536" s="147" t="s">
        <v>70</v>
      </c>
      <c r="H536" s="23" t="s">
        <v>738</v>
      </c>
      <c r="I536" s="23"/>
      <c r="J536" s="27" t="s">
        <v>197</v>
      </c>
      <c r="K536" s="27"/>
      <c r="L536" s="27"/>
      <c r="M536" s="66" t="s">
        <v>743</v>
      </c>
      <c r="N536" s="44">
        <f>0.5*(47200+4100)</f>
        <v>25650</v>
      </c>
      <c r="O536" s="22" t="s">
        <v>15</v>
      </c>
      <c r="P536" s="22" t="s">
        <v>19</v>
      </c>
      <c r="Q536" s="24">
        <f t="shared" si="33"/>
        <v>0</v>
      </c>
      <c r="R536" s="24">
        <f t="shared" si="37"/>
        <v>25650</v>
      </c>
      <c r="S536" s="5"/>
      <c r="T536" s="5"/>
    </row>
    <row r="537" spans="2:20" ht="15.75" hidden="1" x14ac:dyDescent="0.25">
      <c r="B537" s="21" t="s">
        <v>395</v>
      </c>
      <c r="C537" s="22" t="s">
        <v>2427</v>
      </c>
      <c r="D537" s="22"/>
      <c r="E537" s="21" t="s">
        <v>10</v>
      </c>
      <c r="F537" s="21"/>
      <c r="G537" s="147" t="s">
        <v>70</v>
      </c>
      <c r="H537" s="23" t="s">
        <v>738</v>
      </c>
      <c r="I537" s="23"/>
      <c r="J537" s="27" t="s">
        <v>735</v>
      </c>
      <c r="K537" s="27"/>
      <c r="L537" s="27"/>
      <c r="M537" s="66" t="s">
        <v>1101</v>
      </c>
      <c r="N537" s="44">
        <f>0.3*(47200+4100)</f>
        <v>15390</v>
      </c>
      <c r="O537" s="22" t="s">
        <v>15</v>
      </c>
      <c r="P537" s="22" t="s">
        <v>19</v>
      </c>
      <c r="Q537" s="24">
        <f t="shared" si="33"/>
        <v>0</v>
      </c>
      <c r="R537" s="24">
        <f t="shared" si="37"/>
        <v>15390</v>
      </c>
      <c r="S537" s="5"/>
      <c r="T537" s="5"/>
    </row>
    <row r="538" spans="2:20" ht="15.75" hidden="1" x14ac:dyDescent="0.25">
      <c r="B538" s="21" t="s">
        <v>395</v>
      </c>
      <c r="C538" s="22" t="s">
        <v>2427</v>
      </c>
      <c r="D538" s="22"/>
      <c r="E538" s="21" t="s">
        <v>10</v>
      </c>
      <c r="F538" s="21"/>
      <c r="G538" s="147" t="s">
        <v>70</v>
      </c>
      <c r="H538" s="23" t="s">
        <v>738</v>
      </c>
      <c r="I538" s="23"/>
      <c r="J538" s="27" t="s">
        <v>736</v>
      </c>
      <c r="K538" s="27"/>
      <c r="L538" s="27"/>
      <c r="M538" s="66" t="s">
        <v>1167</v>
      </c>
      <c r="N538" s="44">
        <f>0.2*(47200+4100)</f>
        <v>10260</v>
      </c>
      <c r="O538" s="22" t="s">
        <v>15</v>
      </c>
      <c r="P538" s="22" t="s">
        <v>19</v>
      </c>
      <c r="Q538" s="24">
        <f t="shared" si="33"/>
        <v>0</v>
      </c>
      <c r="R538" s="24">
        <f t="shared" si="37"/>
        <v>10260</v>
      </c>
      <c r="S538" s="5"/>
      <c r="T538" s="5"/>
    </row>
    <row r="539" spans="2:20" ht="15.75" hidden="1" x14ac:dyDescent="0.25">
      <c r="B539" s="21" t="s">
        <v>395</v>
      </c>
      <c r="C539" s="22" t="s">
        <v>2427</v>
      </c>
      <c r="D539" s="22"/>
      <c r="E539" s="21" t="s">
        <v>10</v>
      </c>
      <c r="F539" s="21"/>
      <c r="G539" s="147" t="s">
        <v>70</v>
      </c>
      <c r="H539" s="23" t="s">
        <v>738</v>
      </c>
      <c r="I539" s="23"/>
      <c r="J539" s="27" t="s">
        <v>791</v>
      </c>
      <c r="K539" s="27"/>
      <c r="L539" s="27"/>
      <c r="M539" s="66" t="s">
        <v>798</v>
      </c>
      <c r="N539" s="44">
        <v>-6600</v>
      </c>
      <c r="O539" s="22" t="s">
        <v>15</v>
      </c>
      <c r="P539" s="22" t="s">
        <v>19</v>
      </c>
      <c r="Q539" s="24">
        <f t="shared" si="33"/>
        <v>0</v>
      </c>
      <c r="R539" s="24">
        <f t="shared" si="37"/>
        <v>-6600</v>
      </c>
      <c r="S539" s="5"/>
      <c r="T539" s="5"/>
    </row>
    <row r="540" spans="2:20" ht="15.75" hidden="1" x14ac:dyDescent="0.25">
      <c r="B540" s="5"/>
      <c r="C540" s="4" t="s">
        <v>2427</v>
      </c>
      <c r="D540" s="4"/>
      <c r="E540" s="5" t="s">
        <v>10</v>
      </c>
      <c r="F540" s="5"/>
      <c r="G540" s="146" t="s">
        <v>70</v>
      </c>
      <c r="H540" s="7" t="s">
        <v>738</v>
      </c>
      <c r="I540" s="7"/>
      <c r="J540" s="5" t="s">
        <v>737</v>
      </c>
      <c r="K540" s="5"/>
      <c r="L540" s="5"/>
      <c r="M540" s="66" t="s">
        <v>741</v>
      </c>
      <c r="N540" s="45">
        <v>0</v>
      </c>
      <c r="O540" s="4" t="s">
        <v>15</v>
      </c>
      <c r="P540" s="4"/>
      <c r="Q540" s="3">
        <f t="shared" si="33"/>
        <v>0</v>
      </c>
      <c r="R540" s="3">
        <f t="shared" si="37"/>
        <v>0</v>
      </c>
      <c r="T540" s="5"/>
    </row>
    <row r="541" spans="2:20" ht="15.75" hidden="1" x14ac:dyDescent="0.25">
      <c r="B541" s="32" t="s">
        <v>395</v>
      </c>
      <c r="C541" s="33" t="s">
        <v>2427</v>
      </c>
      <c r="D541" s="33"/>
      <c r="E541" s="32" t="s">
        <v>0</v>
      </c>
      <c r="F541" s="32"/>
      <c r="G541" s="155" t="s">
        <v>661</v>
      </c>
      <c r="H541" s="34" t="s">
        <v>787</v>
      </c>
      <c r="I541" s="34"/>
      <c r="J541" s="32" t="s">
        <v>2393</v>
      </c>
      <c r="K541" s="120"/>
      <c r="L541" s="32" t="s">
        <v>2394</v>
      </c>
      <c r="M541" s="166">
        <v>43384</v>
      </c>
      <c r="N541" s="93">
        <v>50000</v>
      </c>
      <c r="O541" s="33" t="s">
        <v>15</v>
      </c>
      <c r="P541" s="22" t="s">
        <v>19</v>
      </c>
      <c r="Q541" s="36">
        <f t="shared" si="33"/>
        <v>0</v>
      </c>
      <c r="R541" s="36">
        <f t="shared" si="37"/>
        <v>50000</v>
      </c>
      <c r="S541" s="5"/>
      <c r="T541" s="5"/>
    </row>
    <row r="542" spans="2:20" ht="15.75" hidden="1" x14ac:dyDescent="0.25">
      <c r="B542" s="21" t="s">
        <v>395</v>
      </c>
      <c r="C542" s="22" t="s">
        <v>2456</v>
      </c>
      <c r="D542" s="22"/>
      <c r="E542" s="21" t="s">
        <v>75</v>
      </c>
      <c r="F542" s="21"/>
      <c r="G542" s="147" t="s">
        <v>239</v>
      </c>
      <c r="H542" s="23" t="s">
        <v>832</v>
      </c>
      <c r="I542" s="23"/>
      <c r="J542" s="21" t="s">
        <v>712</v>
      </c>
      <c r="K542" s="120"/>
      <c r="L542" s="21"/>
      <c r="M542" s="70">
        <v>43326</v>
      </c>
      <c r="N542" s="44">
        <f>0.5*16100</f>
        <v>8050</v>
      </c>
      <c r="O542" s="22" t="s">
        <v>15</v>
      </c>
      <c r="P542" s="22" t="s">
        <v>19</v>
      </c>
      <c r="Q542" s="24">
        <f t="shared" si="33"/>
        <v>0</v>
      </c>
      <c r="R542" s="24">
        <f t="shared" si="37"/>
        <v>8050</v>
      </c>
      <c r="S542" s="5"/>
      <c r="T542" s="5"/>
    </row>
    <row r="543" spans="2:20" ht="15.75" hidden="1" x14ac:dyDescent="0.25">
      <c r="B543" s="21" t="s">
        <v>395</v>
      </c>
      <c r="C543" s="22" t="s">
        <v>2456</v>
      </c>
      <c r="D543" s="22"/>
      <c r="E543" s="21" t="s">
        <v>75</v>
      </c>
      <c r="F543" s="21"/>
      <c r="G543" s="147" t="s">
        <v>239</v>
      </c>
      <c r="H543" s="23" t="s">
        <v>832</v>
      </c>
      <c r="I543" s="23"/>
      <c r="J543" s="21" t="s">
        <v>348</v>
      </c>
      <c r="K543" s="120"/>
      <c r="L543" s="21"/>
      <c r="M543" s="70" t="s">
        <v>926</v>
      </c>
      <c r="N543" s="44">
        <f>0.5*16100</f>
        <v>8050</v>
      </c>
      <c r="O543" s="22" t="s">
        <v>15</v>
      </c>
      <c r="P543" s="22" t="s">
        <v>19</v>
      </c>
      <c r="Q543" s="24">
        <f t="shared" si="33"/>
        <v>0</v>
      </c>
      <c r="R543" s="24">
        <f t="shared" si="37"/>
        <v>8050</v>
      </c>
      <c r="S543" s="5"/>
      <c r="T543" s="5"/>
    </row>
    <row r="544" spans="2:20" ht="15.75" hidden="1" x14ac:dyDescent="0.25">
      <c r="B544" s="21" t="s">
        <v>395</v>
      </c>
      <c r="C544" s="22" t="s">
        <v>2456</v>
      </c>
      <c r="D544" s="22"/>
      <c r="E544" s="21" t="s">
        <v>75</v>
      </c>
      <c r="F544" s="21"/>
      <c r="G544" s="147" t="s">
        <v>239</v>
      </c>
      <c r="H544" s="23" t="s">
        <v>833</v>
      </c>
      <c r="I544" s="23"/>
      <c r="J544" s="21" t="s">
        <v>804</v>
      </c>
      <c r="K544" s="120"/>
      <c r="L544" s="21"/>
      <c r="M544" s="70" t="s">
        <v>923</v>
      </c>
      <c r="N544" s="44">
        <v>65700</v>
      </c>
      <c r="O544" s="22" t="s">
        <v>15</v>
      </c>
      <c r="P544" s="22">
        <f>32850+32850</f>
        <v>65700</v>
      </c>
      <c r="Q544" s="24">
        <f t="shared" si="33"/>
        <v>0</v>
      </c>
      <c r="R544" s="24">
        <f t="shared" si="37"/>
        <v>65700</v>
      </c>
      <c r="S544" s="5"/>
      <c r="T544" s="5"/>
    </row>
    <row r="545" spans="1:20" ht="15.75" hidden="1" x14ac:dyDescent="0.25">
      <c r="A545" t="s">
        <v>6091</v>
      </c>
      <c r="B545" s="21" t="s">
        <v>395</v>
      </c>
      <c r="C545" s="22" t="s">
        <v>2427</v>
      </c>
      <c r="D545" s="22"/>
      <c r="E545" s="21" t="s">
        <v>10</v>
      </c>
      <c r="F545" s="21"/>
      <c r="G545" s="147" t="s">
        <v>110</v>
      </c>
      <c r="H545" s="23" t="s">
        <v>881</v>
      </c>
      <c r="I545" s="23"/>
      <c r="J545" s="21" t="s">
        <v>848</v>
      </c>
      <c r="K545" s="120"/>
      <c r="L545" s="21" t="s">
        <v>2169</v>
      </c>
      <c r="M545" s="26">
        <v>43388</v>
      </c>
      <c r="N545" s="44">
        <f>0.25*152900</f>
        <v>38225</v>
      </c>
      <c r="O545" s="22" t="s">
        <v>15</v>
      </c>
      <c r="P545" s="22" t="s">
        <v>19</v>
      </c>
      <c r="Q545" s="24">
        <f t="shared" si="33"/>
        <v>0</v>
      </c>
      <c r="R545" s="24">
        <f t="shared" si="37"/>
        <v>38225</v>
      </c>
      <c r="S545" s="5"/>
      <c r="T545" s="5"/>
    </row>
    <row r="546" spans="1:20" ht="15.75" hidden="1" x14ac:dyDescent="0.25">
      <c r="A546" t="s">
        <v>6091</v>
      </c>
      <c r="B546" s="21" t="s">
        <v>395</v>
      </c>
      <c r="C546" s="22" t="s">
        <v>2427</v>
      </c>
      <c r="D546" s="22"/>
      <c r="E546" s="21" t="s">
        <v>10</v>
      </c>
      <c r="F546" s="21"/>
      <c r="G546" s="147" t="s">
        <v>110</v>
      </c>
      <c r="H546" s="23" t="s">
        <v>881</v>
      </c>
      <c r="I546" s="23"/>
      <c r="J546" s="21" t="s">
        <v>849</v>
      </c>
      <c r="K546" s="120"/>
      <c r="L546" s="21" t="s">
        <v>2170</v>
      </c>
      <c r="M546" s="26">
        <v>43402</v>
      </c>
      <c r="N546" s="44">
        <f>0.35*152900</f>
        <v>53515</v>
      </c>
      <c r="O546" s="22" t="s">
        <v>15</v>
      </c>
      <c r="P546" s="22" t="s">
        <v>19</v>
      </c>
      <c r="Q546" s="24">
        <f t="shared" si="33"/>
        <v>0</v>
      </c>
      <c r="R546" s="24">
        <f t="shared" si="37"/>
        <v>53515</v>
      </c>
      <c r="S546" s="5"/>
      <c r="T546" s="5"/>
    </row>
    <row r="547" spans="1:20" ht="15.75" hidden="1" x14ac:dyDescent="0.25">
      <c r="A547" t="s">
        <v>6091</v>
      </c>
      <c r="B547" s="21" t="s">
        <v>395</v>
      </c>
      <c r="C547" s="22" t="s">
        <v>2427</v>
      </c>
      <c r="D547" s="22"/>
      <c r="E547" s="21" t="s">
        <v>10</v>
      </c>
      <c r="F547" s="21"/>
      <c r="G547" s="147" t="s">
        <v>110</v>
      </c>
      <c r="H547" s="23" t="s">
        <v>881</v>
      </c>
      <c r="I547" s="23"/>
      <c r="J547" s="21" t="s">
        <v>850</v>
      </c>
      <c r="K547" s="120"/>
      <c r="L547" s="21" t="s">
        <v>2171</v>
      </c>
      <c r="M547" s="26">
        <v>43451</v>
      </c>
      <c r="N547" s="44">
        <f>0.35*152900</f>
        <v>53515</v>
      </c>
      <c r="O547" s="22" t="s">
        <v>15</v>
      </c>
      <c r="P547" s="22" t="s">
        <v>19</v>
      </c>
      <c r="Q547" s="24">
        <f t="shared" si="33"/>
        <v>0</v>
      </c>
      <c r="R547" s="24">
        <f t="shared" si="37"/>
        <v>53515</v>
      </c>
      <c r="S547" s="5"/>
      <c r="T547" s="5"/>
    </row>
    <row r="548" spans="1:20" ht="15.75" hidden="1" x14ac:dyDescent="0.25">
      <c r="A548" t="s">
        <v>6091</v>
      </c>
      <c r="B548" s="21" t="s">
        <v>395</v>
      </c>
      <c r="C548" s="22" t="s">
        <v>2427</v>
      </c>
      <c r="D548" s="22"/>
      <c r="E548" s="21" t="s">
        <v>10</v>
      </c>
      <c r="F548" s="21"/>
      <c r="G548" s="147" t="s">
        <v>110</v>
      </c>
      <c r="H548" s="23" t="s">
        <v>881</v>
      </c>
      <c r="I548" s="23"/>
      <c r="J548" s="21" t="s">
        <v>851</v>
      </c>
      <c r="K548" s="120"/>
      <c r="L548" s="21" t="s">
        <v>2172</v>
      </c>
      <c r="M548" s="26">
        <v>43549</v>
      </c>
      <c r="N548" s="44">
        <f>0.05*152900</f>
        <v>7645</v>
      </c>
      <c r="O548" s="22" t="s">
        <v>15</v>
      </c>
      <c r="P548" s="22" t="s">
        <v>19</v>
      </c>
      <c r="Q548" s="24">
        <f t="shared" si="33"/>
        <v>0</v>
      </c>
      <c r="R548" s="24">
        <f t="shared" si="37"/>
        <v>7645</v>
      </c>
      <c r="S548" s="5" t="s">
        <v>1344</v>
      </c>
      <c r="T548" s="5"/>
    </row>
    <row r="549" spans="1:20" ht="15.75" hidden="1" x14ac:dyDescent="0.25">
      <c r="B549" s="21" t="s">
        <v>395</v>
      </c>
      <c r="C549" s="22" t="s">
        <v>2450</v>
      </c>
      <c r="D549" s="22"/>
      <c r="E549" s="21" t="s">
        <v>159</v>
      </c>
      <c r="F549" s="21"/>
      <c r="G549" s="147" t="s">
        <v>877</v>
      </c>
      <c r="H549" s="23" t="s">
        <v>878</v>
      </c>
      <c r="I549" s="23"/>
      <c r="J549" s="21" t="s">
        <v>879</v>
      </c>
      <c r="K549" s="120"/>
      <c r="L549" s="21"/>
      <c r="M549" s="21" t="s">
        <v>3701</v>
      </c>
      <c r="N549" s="44">
        <f>21320</f>
        <v>21320</v>
      </c>
      <c r="O549" s="22" t="s">
        <v>341</v>
      </c>
      <c r="P549" s="24">
        <f>(3970+(15648.06)+4290+6690+11850+6670+7800+5900+6460+12270+11680+7850)+(9650+8630)+16430+1320+13100+30710+89010+67704.46</f>
        <v>337632.52</v>
      </c>
      <c r="Q549" s="24">
        <f t="shared" ref="Q549" si="38">IF(P549="en cours",N549,IF(P549="OK",0,IF(N549-P549&lt;0,0,N549-P549)))</f>
        <v>0</v>
      </c>
      <c r="R549" s="24">
        <f t="shared" si="37"/>
        <v>337632.52</v>
      </c>
      <c r="S549" s="5"/>
      <c r="T549" s="5"/>
    </row>
    <row r="550" spans="1:20" ht="15.75" hidden="1" x14ac:dyDescent="0.25">
      <c r="B550" s="21" t="s">
        <v>395</v>
      </c>
      <c r="C550" s="22" t="s">
        <v>2450</v>
      </c>
      <c r="D550" s="22"/>
      <c r="E550" s="21" t="s">
        <v>159</v>
      </c>
      <c r="F550" s="21"/>
      <c r="G550" s="147" t="s">
        <v>877</v>
      </c>
      <c r="H550" s="23" t="s">
        <v>878</v>
      </c>
      <c r="I550" s="23"/>
      <c r="J550" s="21" t="s">
        <v>880</v>
      </c>
      <c r="K550" s="120"/>
      <c r="L550" s="21"/>
      <c r="M550" s="21" t="s">
        <v>4142</v>
      </c>
      <c r="N550" s="44">
        <v>10000</v>
      </c>
      <c r="O550" s="22" t="s">
        <v>341</v>
      </c>
      <c r="P550" s="24">
        <f>840+225.14+854.04+1503.7+300.98+651.08+1264+316+1289+2042</f>
        <v>9285.94</v>
      </c>
      <c r="Q550" s="24">
        <v>0</v>
      </c>
      <c r="R550" s="24">
        <f t="shared" si="37"/>
        <v>9285.94</v>
      </c>
      <c r="S550" s="5"/>
      <c r="T550" s="5"/>
    </row>
    <row r="551" spans="1:20" ht="15.75" hidden="1" x14ac:dyDescent="0.25">
      <c r="B551" s="21" t="s">
        <v>395</v>
      </c>
      <c r="C551" s="22" t="s">
        <v>2450</v>
      </c>
      <c r="D551" s="22"/>
      <c r="E551" s="21" t="s">
        <v>729</v>
      </c>
      <c r="F551" s="21"/>
      <c r="G551" s="147" t="s">
        <v>884</v>
      </c>
      <c r="H551" s="23" t="s">
        <v>885</v>
      </c>
      <c r="I551" s="23"/>
      <c r="J551" s="21" t="s">
        <v>886</v>
      </c>
      <c r="K551" s="120"/>
      <c r="L551" s="21"/>
      <c r="M551" s="70" t="s">
        <v>935</v>
      </c>
      <c r="N551" s="44">
        <v>2250</v>
      </c>
      <c r="O551" s="22" t="s">
        <v>15</v>
      </c>
      <c r="P551" s="22" t="s">
        <v>19</v>
      </c>
      <c r="Q551" s="24">
        <f t="shared" ref="Q551:Q614" si="39">IF(P551="en cours",N551,IF(P551="OK",0,IF(N551-P551&lt;0,0,N551-P551)))</f>
        <v>0</v>
      </c>
      <c r="R551" s="24">
        <f t="shared" si="37"/>
        <v>2250</v>
      </c>
      <c r="S551" s="5"/>
      <c r="T551" s="5"/>
    </row>
    <row r="552" spans="1:20" ht="15.75" hidden="1" x14ac:dyDescent="0.25">
      <c r="B552" s="21" t="s">
        <v>395</v>
      </c>
      <c r="C552" s="22" t="s">
        <v>2450</v>
      </c>
      <c r="D552" s="22"/>
      <c r="E552" s="21" t="s">
        <v>0</v>
      </c>
      <c r="F552" s="21"/>
      <c r="G552" s="147" t="s">
        <v>522</v>
      </c>
      <c r="H552" s="23" t="s">
        <v>890</v>
      </c>
      <c r="I552" s="23"/>
      <c r="J552" s="21" t="s">
        <v>889</v>
      </c>
      <c r="K552" s="120"/>
      <c r="L552" s="21"/>
      <c r="M552" s="70" t="s">
        <v>1833</v>
      </c>
      <c r="N552" s="44">
        <f>-43350</f>
        <v>-43350</v>
      </c>
      <c r="O552" s="22" t="s">
        <v>15</v>
      </c>
      <c r="P552" s="22" t="s">
        <v>19</v>
      </c>
      <c r="Q552" s="24">
        <f t="shared" si="39"/>
        <v>0</v>
      </c>
      <c r="R552" s="24">
        <f t="shared" si="37"/>
        <v>-43350</v>
      </c>
      <c r="S552" s="5"/>
      <c r="T552" s="5"/>
    </row>
    <row r="553" spans="1:20" ht="15.75" hidden="1" x14ac:dyDescent="0.25">
      <c r="B553" s="21" t="s">
        <v>395</v>
      </c>
      <c r="C553" s="22" t="s">
        <v>2450</v>
      </c>
      <c r="D553" s="22"/>
      <c r="E553" s="21" t="s">
        <v>729</v>
      </c>
      <c r="F553" s="21"/>
      <c r="G553" s="147" t="s">
        <v>884</v>
      </c>
      <c r="H553" s="23" t="s">
        <v>902</v>
      </c>
      <c r="I553" s="23"/>
      <c r="J553" s="21" t="s">
        <v>901</v>
      </c>
      <c r="K553" s="120"/>
      <c r="L553" s="21"/>
      <c r="M553" s="26" t="s">
        <v>936</v>
      </c>
      <c r="N553" s="44">
        <v>2400</v>
      </c>
      <c r="O553" s="22" t="s">
        <v>15</v>
      </c>
      <c r="P553" s="22" t="s">
        <v>19</v>
      </c>
      <c r="Q553" s="24">
        <f t="shared" si="39"/>
        <v>0</v>
      </c>
      <c r="R553" s="24">
        <f t="shared" si="37"/>
        <v>2400</v>
      </c>
      <c r="S553" s="5"/>
      <c r="T553" s="5"/>
    </row>
    <row r="554" spans="1:20" ht="15.75" hidden="1" x14ac:dyDescent="0.25">
      <c r="B554" s="21" t="s">
        <v>395</v>
      </c>
      <c r="C554" s="22" t="s">
        <v>2450</v>
      </c>
      <c r="D554" s="22"/>
      <c r="E554" s="21" t="s">
        <v>729</v>
      </c>
      <c r="F554" s="21"/>
      <c r="G554" s="147" t="s">
        <v>884</v>
      </c>
      <c r="H554" s="23" t="s">
        <v>902</v>
      </c>
      <c r="I554" s="23"/>
      <c r="J554" s="21" t="s">
        <v>909</v>
      </c>
      <c r="K554" s="120"/>
      <c r="L554" s="21"/>
      <c r="M554" s="26" t="s">
        <v>956</v>
      </c>
      <c r="N554" s="44">
        <f>0.8*8400</f>
        <v>6720</v>
      </c>
      <c r="O554" s="22" t="s">
        <v>15</v>
      </c>
      <c r="P554" s="22" t="s">
        <v>19</v>
      </c>
      <c r="Q554" s="24">
        <f t="shared" si="39"/>
        <v>0</v>
      </c>
      <c r="R554" s="24">
        <f t="shared" si="37"/>
        <v>6720</v>
      </c>
      <c r="S554" s="5"/>
      <c r="T554" s="5"/>
    </row>
    <row r="555" spans="1:20" ht="15.75" hidden="1" x14ac:dyDescent="0.25">
      <c r="B555" s="21" t="s">
        <v>395</v>
      </c>
      <c r="C555" s="22" t="s">
        <v>2450</v>
      </c>
      <c r="D555" s="22"/>
      <c r="E555" s="21" t="s">
        <v>729</v>
      </c>
      <c r="F555" s="21"/>
      <c r="G555" s="147" t="s">
        <v>884</v>
      </c>
      <c r="H555" s="23" t="s">
        <v>902</v>
      </c>
      <c r="I555" s="23"/>
      <c r="J555" s="21" t="s">
        <v>910</v>
      </c>
      <c r="K555" s="120"/>
      <c r="L555" s="21"/>
      <c r="M555" s="26" t="s">
        <v>1106</v>
      </c>
      <c r="N555" s="44">
        <f>0.2*8400</f>
        <v>1680</v>
      </c>
      <c r="O555" s="22" t="s">
        <v>15</v>
      </c>
      <c r="P555" s="22" t="s">
        <v>19</v>
      </c>
      <c r="Q555" s="24">
        <f t="shared" si="39"/>
        <v>0</v>
      </c>
      <c r="R555" s="24">
        <f t="shared" si="37"/>
        <v>1680</v>
      </c>
      <c r="S555" s="5"/>
      <c r="T555" s="5"/>
    </row>
    <row r="556" spans="1:20" ht="15.75" hidden="1" x14ac:dyDescent="0.25">
      <c r="B556" s="21" t="s">
        <v>395</v>
      </c>
      <c r="C556" s="22" t="s">
        <v>2450</v>
      </c>
      <c r="D556" s="22"/>
      <c r="E556" s="21" t="s">
        <v>729</v>
      </c>
      <c r="F556" s="21"/>
      <c r="G556" s="147" t="s">
        <v>884</v>
      </c>
      <c r="H556" s="23" t="s">
        <v>902</v>
      </c>
      <c r="I556" s="23"/>
      <c r="J556" s="21" t="s">
        <v>905</v>
      </c>
      <c r="K556" s="120"/>
      <c r="L556" s="21"/>
      <c r="M556" s="26" t="s">
        <v>956</v>
      </c>
      <c r="N556" s="44">
        <f>0.8*7200</f>
        <v>5760</v>
      </c>
      <c r="O556" s="22" t="s">
        <v>15</v>
      </c>
      <c r="P556" s="22" t="s">
        <v>19</v>
      </c>
      <c r="Q556" s="24">
        <f t="shared" si="39"/>
        <v>0</v>
      </c>
      <c r="R556" s="24">
        <f t="shared" si="37"/>
        <v>5760</v>
      </c>
      <c r="S556" s="5"/>
      <c r="T556" s="5"/>
    </row>
    <row r="557" spans="1:20" ht="15.75" hidden="1" x14ac:dyDescent="0.25">
      <c r="B557" s="21" t="s">
        <v>395</v>
      </c>
      <c r="C557" s="22" t="s">
        <v>2450</v>
      </c>
      <c r="D557" s="22"/>
      <c r="E557" s="21" t="s">
        <v>729</v>
      </c>
      <c r="F557" s="21"/>
      <c r="G557" s="147" t="s">
        <v>884</v>
      </c>
      <c r="H557" s="23" t="s">
        <v>902</v>
      </c>
      <c r="I557" s="23"/>
      <c r="J557" s="21" t="s">
        <v>906</v>
      </c>
      <c r="K557" s="120"/>
      <c r="L557" s="21"/>
      <c r="M557" s="26" t="s">
        <v>1122</v>
      </c>
      <c r="N557" s="44">
        <f>0.2*7200</f>
        <v>1440</v>
      </c>
      <c r="O557" s="22" t="s">
        <v>15</v>
      </c>
      <c r="P557" s="22" t="s">
        <v>19</v>
      </c>
      <c r="Q557" s="24">
        <f t="shared" si="39"/>
        <v>0</v>
      </c>
      <c r="R557" s="24">
        <f t="shared" si="37"/>
        <v>1440</v>
      </c>
      <c r="S557" s="5"/>
      <c r="T557" s="5"/>
    </row>
    <row r="558" spans="1:20" ht="15.75" hidden="1" x14ac:dyDescent="0.25">
      <c r="B558" s="21" t="s">
        <v>395</v>
      </c>
      <c r="C558" s="22" t="s">
        <v>2450</v>
      </c>
      <c r="D558" s="22"/>
      <c r="E558" s="21" t="s">
        <v>729</v>
      </c>
      <c r="F558" s="21"/>
      <c r="G558" s="147" t="s">
        <v>884</v>
      </c>
      <c r="H558" s="23" t="s">
        <v>902</v>
      </c>
      <c r="I558" s="23"/>
      <c r="J558" s="21" t="s">
        <v>907</v>
      </c>
      <c r="K558" s="120"/>
      <c r="L558" s="21"/>
      <c r="M558" s="26" t="s">
        <v>956</v>
      </c>
      <c r="N558" s="44">
        <f>0.8*7200</f>
        <v>5760</v>
      </c>
      <c r="O558" s="22" t="s">
        <v>15</v>
      </c>
      <c r="P558" s="22" t="s">
        <v>19</v>
      </c>
      <c r="Q558" s="24">
        <f t="shared" si="39"/>
        <v>0</v>
      </c>
      <c r="R558" s="24">
        <f t="shared" si="37"/>
        <v>5760</v>
      </c>
      <c r="S558" s="5"/>
      <c r="T558" s="5"/>
    </row>
    <row r="559" spans="1:20" ht="15.75" hidden="1" x14ac:dyDescent="0.25">
      <c r="B559" s="21" t="s">
        <v>395</v>
      </c>
      <c r="C559" s="22" t="s">
        <v>2450</v>
      </c>
      <c r="D559" s="22"/>
      <c r="E559" s="21" t="s">
        <v>729</v>
      </c>
      <c r="F559" s="21"/>
      <c r="G559" s="147" t="s">
        <v>884</v>
      </c>
      <c r="H559" s="23" t="s">
        <v>902</v>
      </c>
      <c r="I559" s="23"/>
      <c r="J559" s="21" t="s">
        <v>908</v>
      </c>
      <c r="K559" s="120"/>
      <c r="L559" s="21"/>
      <c r="M559" s="26" t="s">
        <v>1121</v>
      </c>
      <c r="N559" s="44">
        <f>0.2*7200</f>
        <v>1440</v>
      </c>
      <c r="O559" s="22" t="s">
        <v>15</v>
      </c>
      <c r="P559" s="22" t="s">
        <v>19</v>
      </c>
      <c r="Q559" s="24">
        <f t="shared" si="39"/>
        <v>0</v>
      </c>
      <c r="R559" s="24">
        <f t="shared" si="37"/>
        <v>1440</v>
      </c>
      <c r="S559" s="5"/>
      <c r="T559" s="5"/>
    </row>
    <row r="560" spans="1:20" ht="15.75" hidden="1" x14ac:dyDescent="0.25">
      <c r="B560" s="21" t="s">
        <v>395</v>
      </c>
      <c r="C560" s="22" t="s">
        <v>2450</v>
      </c>
      <c r="D560" s="22"/>
      <c r="E560" s="21" t="s">
        <v>729</v>
      </c>
      <c r="F560" s="21"/>
      <c r="G560" s="147" t="s">
        <v>884</v>
      </c>
      <c r="H560" s="23" t="s">
        <v>902</v>
      </c>
      <c r="I560" s="23"/>
      <c r="J560" s="21" t="s">
        <v>911</v>
      </c>
      <c r="K560" s="120"/>
      <c r="L560" s="21"/>
      <c r="M560" s="26" t="s">
        <v>956</v>
      </c>
      <c r="N560" s="44">
        <f>0.8*9600</f>
        <v>7680</v>
      </c>
      <c r="O560" s="22" t="s">
        <v>15</v>
      </c>
      <c r="P560" s="22" t="s">
        <v>19</v>
      </c>
      <c r="Q560" s="24">
        <f t="shared" si="39"/>
        <v>0</v>
      </c>
      <c r="R560" s="24">
        <f t="shared" si="37"/>
        <v>7680</v>
      </c>
      <c r="S560" s="5"/>
      <c r="T560" s="5"/>
    </row>
    <row r="561" spans="1:20" ht="15.75" hidden="1" x14ac:dyDescent="0.25">
      <c r="B561" s="21" t="s">
        <v>395</v>
      </c>
      <c r="C561" s="22" t="s">
        <v>2450</v>
      </c>
      <c r="D561" s="22"/>
      <c r="E561" s="21" t="s">
        <v>729</v>
      </c>
      <c r="F561" s="21"/>
      <c r="G561" s="147" t="s">
        <v>884</v>
      </c>
      <c r="H561" s="23" t="s">
        <v>902</v>
      </c>
      <c r="I561" s="23"/>
      <c r="J561" s="21" t="s">
        <v>912</v>
      </c>
      <c r="K561" s="120"/>
      <c r="L561" s="21"/>
      <c r="M561" s="26" t="s">
        <v>1119</v>
      </c>
      <c r="N561" s="44">
        <f>(0.2*9600)-2400</f>
        <v>-480</v>
      </c>
      <c r="O561" s="22" t="s">
        <v>15</v>
      </c>
      <c r="P561" s="22">
        <f>-2400+1920</f>
        <v>-480</v>
      </c>
      <c r="Q561" s="24">
        <f t="shared" si="39"/>
        <v>0</v>
      </c>
      <c r="R561" s="24">
        <f t="shared" si="37"/>
        <v>-480</v>
      </c>
      <c r="S561" s="5" t="s">
        <v>1120</v>
      </c>
      <c r="T561" s="5"/>
    </row>
    <row r="562" spans="1:20" ht="15.75" hidden="1" x14ac:dyDescent="0.25">
      <c r="B562" s="21" t="s">
        <v>395</v>
      </c>
      <c r="C562" s="22" t="s">
        <v>2450</v>
      </c>
      <c r="D562" s="22"/>
      <c r="E562" s="21" t="s">
        <v>729</v>
      </c>
      <c r="F562" s="21"/>
      <c r="G562" s="147" t="s">
        <v>884</v>
      </c>
      <c r="H562" s="23" t="s">
        <v>902</v>
      </c>
      <c r="I562" s="23"/>
      <c r="J562" s="21" t="s">
        <v>903</v>
      </c>
      <c r="K562" s="120"/>
      <c r="L562" s="21"/>
      <c r="M562" s="26" t="s">
        <v>936</v>
      </c>
      <c r="N562" s="44">
        <f>1200</f>
        <v>1200</v>
      </c>
      <c r="O562" s="22" t="s">
        <v>15</v>
      </c>
      <c r="P562" s="22" t="s">
        <v>19</v>
      </c>
      <c r="Q562" s="24">
        <f t="shared" si="39"/>
        <v>0</v>
      </c>
      <c r="R562" s="24">
        <f t="shared" si="37"/>
        <v>1200</v>
      </c>
      <c r="S562" s="5"/>
      <c r="T562" s="5"/>
    </row>
    <row r="563" spans="1:20" ht="15.75" hidden="1" x14ac:dyDescent="0.25">
      <c r="B563" s="21" t="s">
        <v>395</v>
      </c>
      <c r="C563" s="22" t="s">
        <v>2450</v>
      </c>
      <c r="D563" s="22"/>
      <c r="E563" s="21" t="s">
        <v>729</v>
      </c>
      <c r="F563" s="21"/>
      <c r="G563" s="147" t="s">
        <v>884</v>
      </c>
      <c r="H563" s="23" t="s">
        <v>902</v>
      </c>
      <c r="I563" s="23"/>
      <c r="J563" s="21" t="s">
        <v>904</v>
      </c>
      <c r="K563" s="120"/>
      <c r="L563" s="21"/>
      <c r="M563" s="26" t="s">
        <v>936</v>
      </c>
      <c r="N563" s="44">
        <f>3600</f>
        <v>3600</v>
      </c>
      <c r="O563" s="22" t="s">
        <v>15</v>
      </c>
      <c r="P563" s="22" t="s">
        <v>19</v>
      </c>
      <c r="Q563" s="24">
        <f t="shared" si="39"/>
        <v>0</v>
      </c>
      <c r="R563" s="24">
        <f t="shared" si="37"/>
        <v>3600</v>
      </c>
      <c r="S563" s="5"/>
      <c r="T563" s="5"/>
    </row>
    <row r="564" spans="1:20" ht="15.75" hidden="1" x14ac:dyDescent="0.25">
      <c r="A564" t="s">
        <v>6753</v>
      </c>
      <c r="B564" s="21" t="s">
        <v>395</v>
      </c>
      <c r="C564" s="22" t="s">
        <v>158</v>
      </c>
      <c r="D564" s="22"/>
      <c r="E564" s="21" t="s">
        <v>10</v>
      </c>
      <c r="F564" s="21"/>
      <c r="G564" s="147" t="s">
        <v>916</v>
      </c>
      <c r="H564" s="23" t="s">
        <v>929</v>
      </c>
      <c r="I564" s="23"/>
      <c r="J564" s="21" t="s">
        <v>917</v>
      </c>
      <c r="K564" s="120"/>
      <c r="L564" s="21" t="s">
        <v>2533</v>
      </c>
      <c r="M564" s="26">
        <v>43453</v>
      </c>
      <c r="N564" s="44">
        <f>0.3*2476.56</f>
        <v>742.96799999999996</v>
      </c>
      <c r="O564" s="22" t="s">
        <v>15</v>
      </c>
      <c r="P564" s="22" t="s">
        <v>19</v>
      </c>
      <c r="Q564" s="24">
        <f t="shared" si="39"/>
        <v>0</v>
      </c>
      <c r="R564" s="24">
        <f t="shared" si="37"/>
        <v>742.96799999999996</v>
      </c>
      <c r="S564" s="5" t="s">
        <v>919</v>
      </c>
      <c r="T564" s="5"/>
    </row>
    <row r="565" spans="1:20" ht="15.75" hidden="1" x14ac:dyDescent="0.25">
      <c r="A565" t="s">
        <v>6753</v>
      </c>
      <c r="B565" s="21" t="s">
        <v>395</v>
      </c>
      <c r="C565" s="22" t="s">
        <v>158</v>
      </c>
      <c r="D565" s="22"/>
      <c r="E565" s="21" t="s">
        <v>10</v>
      </c>
      <c r="F565" s="21"/>
      <c r="G565" s="147" t="s">
        <v>916</v>
      </c>
      <c r="H565" s="23" t="s">
        <v>930</v>
      </c>
      <c r="I565" s="23"/>
      <c r="J565" s="21" t="s">
        <v>918</v>
      </c>
      <c r="K565" s="120"/>
      <c r="L565" s="21" t="s">
        <v>2533</v>
      </c>
      <c r="M565" s="26">
        <v>43453</v>
      </c>
      <c r="N565" s="44">
        <f>0.7*2476.56</f>
        <v>1733.5919999999999</v>
      </c>
      <c r="O565" s="22" t="s">
        <v>15</v>
      </c>
      <c r="P565" s="22" t="s">
        <v>19</v>
      </c>
      <c r="Q565" s="24">
        <f t="shared" si="39"/>
        <v>0</v>
      </c>
      <c r="R565" s="24">
        <f t="shared" si="37"/>
        <v>1733.5919999999999</v>
      </c>
      <c r="S565" s="5"/>
      <c r="T565" s="5"/>
    </row>
    <row r="566" spans="1:20" ht="15.75" hidden="1" x14ac:dyDescent="0.25">
      <c r="B566" s="21" t="s">
        <v>395</v>
      </c>
      <c r="C566" s="22" t="s">
        <v>2450</v>
      </c>
      <c r="D566" s="22" t="s">
        <v>1154</v>
      </c>
      <c r="E566" s="21" t="s">
        <v>10</v>
      </c>
      <c r="F566" s="21"/>
      <c r="G566" s="147" t="s">
        <v>110</v>
      </c>
      <c r="H566" s="23" t="s">
        <v>942</v>
      </c>
      <c r="I566" s="23"/>
      <c r="J566" s="21" t="s">
        <v>943</v>
      </c>
      <c r="K566" s="21"/>
      <c r="L566" s="21" t="s">
        <v>2173</v>
      </c>
      <c r="M566" s="26">
        <v>43451</v>
      </c>
      <c r="N566" s="44">
        <v>86000</v>
      </c>
      <c r="O566" s="22" t="s">
        <v>15</v>
      </c>
      <c r="P566" s="22" t="s">
        <v>19</v>
      </c>
      <c r="Q566" s="24">
        <f t="shared" si="39"/>
        <v>0</v>
      </c>
      <c r="R566" s="24">
        <f t="shared" si="37"/>
        <v>86000</v>
      </c>
      <c r="S566" s="5"/>
      <c r="T566" s="5"/>
    </row>
    <row r="567" spans="1:20" ht="15.75" hidden="1" x14ac:dyDescent="0.25">
      <c r="B567" s="21" t="s">
        <v>395</v>
      </c>
      <c r="C567" s="22" t="s">
        <v>2450</v>
      </c>
      <c r="D567" s="22" t="s">
        <v>1154</v>
      </c>
      <c r="E567" s="21" t="s">
        <v>10</v>
      </c>
      <c r="F567" s="21"/>
      <c r="G567" s="147" t="s">
        <v>110</v>
      </c>
      <c r="H567" s="23" t="s">
        <v>942</v>
      </c>
      <c r="I567" s="23"/>
      <c r="J567" s="21" t="s">
        <v>944</v>
      </c>
      <c r="K567" s="21"/>
      <c r="L567" s="21" t="s">
        <v>2173</v>
      </c>
      <c r="M567" s="26">
        <v>43451</v>
      </c>
      <c r="N567" s="44">
        <v>24600</v>
      </c>
      <c r="O567" s="22" t="s">
        <v>15</v>
      </c>
      <c r="P567" s="22" t="s">
        <v>19</v>
      </c>
      <c r="Q567" s="24">
        <f t="shared" si="39"/>
        <v>0</v>
      </c>
      <c r="R567" s="24">
        <f t="shared" si="37"/>
        <v>24600</v>
      </c>
      <c r="S567" s="5"/>
      <c r="T567" s="5"/>
    </row>
    <row r="568" spans="1:20" ht="15.75" hidden="1" x14ac:dyDescent="0.25">
      <c r="B568" s="21" t="s">
        <v>395</v>
      </c>
      <c r="C568" s="22" t="s">
        <v>2450</v>
      </c>
      <c r="D568" s="22" t="s">
        <v>1154</v>
      </c>
      <c r="E568" s="21" t="s">
        <v>10</v>
      </c>
      <c r="F568" s="21"/>
      <c r="G568" s="147" t="s">
        <v>110</v>
      </c>
      <c r="H568" s="23" t="s">
        <v>942</v>
      </c>
      <c r="I568" s="23"/>
      <c r="J568" s="21" t="s">
        <v>945</v>
      </c>
      <c r="K568" s="21"/>
      <c r="L568" s="21" t="s">
        <v>2174</v>
      </c>
      <c r="M568" s="26">
        <v>43486</v>
      </c>
      <c r="N568" s="44">
        <v>24600</v>
      </c>
      <c r="O568" s="22" t="s">
        <v>15</v>
      </c>
      <c r="P568" s="22" t="s">
        <v>19</v>
      </c>
      <c r="Q568" s="24">
        <f t="shared" si="39"/>
        <v>0</v>
      </c>
      <c r="R568" s="24">
        <f t="shared" si="37"/>
        <v>24600</v>
      </c>
      <c r="S568" s="5"/>
      <c r="T568" s="5"/>
    </row>
    <row r="569" spans="1:20" ht="15.75" hidden="1" x14ac:dyDescent="0.25">
      <c r="B569" s="21" t="s">
        <v>395</v>
      </c>
      <c r="C569" s="22" t="s">
        <v>2450</v>
      </c>
      <c r="D569" s="22" t="s">
        <v>1154</v>
      </c>
      <c r="E569" s="21" t="s">
        <v>10</v>
      </c>
      <c r="F569" s="21"/>
      <c r="G569" s="147" t="s">
        <v>110</v>
      </c>
      <c r="H569" s="23" t="s">
        <v>942</v>
      </c>
      <c r="I569" s="23"/>
      <c r="J569" s="21" t="s">
        <v>946</v>
      </c>
      <c r="K569" s="21"/>
      <c r="L569" s="21" t="s">
        <v>2175</v>
      </c>
      <c r="M569" s="26">
        <v>43524</v>
      </c>
      <c r="N569" s="44">
        <v>7120</v>
      </c>
      <c r="O569" s="22" t="s">
        <v>15</v>
      </c>
      <c r="P569" s="22" t="s">
        <v>19</v>
      </c>
      <c r="Q569" s="24">
        <f t="shared" si="39"/>
        <v>0</v>
      </c>
      <c r="R569" s="24">
        <f t="shared" si="37"/>
        <v>7120</v>
      </c>
      <c r="S569" s="5"/>
      <c r="T569" s="5"/>
    </row>
    <row r="570" spans="1:20" ht="15.75" hidden="1" x14ac:dyDescent="0.25">
      <c r="B570" s="21" t="s">
        <v>395</v>
      </c>
      <c r="C570" s="22" t="s">
        <v>2450</v>
      </c>
      <c r="D570" s="22" t="s">
        <v>1155</v>
      </c>
      <c r="E570" s="21" t="s">
        <v>10</v>
      </c>
      <c r="F570" s="21"/>
      <c r="G570" s="147" t="s">
        <v>110</v>
      </c>
      <c r="H570" s="23" t="s">
        <v>1581</v>
      </c>
      <c r="I570" s="23"/>
      <c r="J570" s="21" t="s">
        <v>1580</v>
      </c>
      <c r="K570" s="21"/>
      <c r="L570" s="21" t="s">
        <v>2177</v>
      </c>
      <c r="M570" s="26" t="s">
        <v>2176</v>
      </c>
      <c r="N570" s="44">
        <v>1820</v>
      </c>
      <c r="O570" s="22" t="s">
        <v>15</v>
      </c>
      <c r="P570" s="22" t="s">
        <v>19</v>
      </c>
      <c r="Q570" s="24">
        <f t="shared" si="39"/>
        <v>0</v>
      </c>
      <c r="R570" s="24">
        <f t="shared" si="37"/>
        <v>1820</v>
      </c>
      <c r="S570" s="5"/>
      <c r="T570" s="5"/>
    </row>
    <row r="571" spans="1:20" ht="15.75" hidden="1" x14ac:dyDescent="0.25">
      <c r="B571" s="21" t="s">
        <v>395</v>
      </c>
      <c r="C571" s="22" t="s">
        <v>2450</v>
      </c>
      <c r="D571" s="22" t="s">
        <v>1155</v>
      </c>
      <c r="E571" s="21" t="s">
        <v>10</v>
      </c>
      <c r="F571" s="21"/>
      <c r="G571" s="147" t="s">
        <v>110</v>
      </c>
      <c r="H571" s="23" t="s">
        <v>1374</v>
      </c>
      <c r="I571" s="23"/>
      <c r="J571" s="21" t="s">
        <v>1373</v>
      </c>
      <c r="K571" s="21"/>
      <c r="L571" s="21" t="s">
        <v>2178</v>
      </c>
      <c r="M571" s="26">
        <v>43524</v>
      </c>
      <c r="N571" s="44">
        <v>14980</v>
      </c>
      <c r="O571" s="22" t="s">
        <v>15</v>
      </c>
      <c r="P571" s="22" t="s">
        <v>19</v>
      </c>
      <c r="Q571" s="24">
        <f t="shared" si="39"/>
        <v>0</v>
      </c>
      <c r="R571" s="24">
        <f t="shared" si="37"/>
        <v>14980</v>
      </c>
      <c r="S571" s="5"/>
      <c r="T571" s="5"/>
    </row>
    <row r="572" spans="1:20" ht="15.75" hidden="1" x14ac:dyDescent="0.25">
      <c r="B572" s="21" t="s">
        <v>395</v>
      </c>
      <c r="C572" s="22" t="s">
        <v>2427</v>
      </c>
      <c r="D572" s="22"/>
      <c r="E572" s="21" t="s">
        <v>0</v>
      </c>
      <c r="F572" s="21"/>
      <c r="G572" s="147" t="s">
        <v>961</v>
      </c>
      <c r="H572" s="23" t="s">
        <v>962</v>
      </c>
      <c r="I572" s="23"/>
      <c r="J572" s="21" t="s">
        <v>2435</v>
      </c>
      <c r="K572" s="21"/>
      <c r="L572" s="21" t="s">
        <v>2633</v>
      </c>
      <c r="M572" s="26">
        <v>43452</v>
      </c>
      <c r="N572" s="44">
        <v>2950</v>
      </c>
      <c r="O572" s="22" t="s">
        <v>15</v>
      </c>
      <c r="P572" s="22" t="s">
        <v>19</v>
      </c>
      <c r="Q572" s="24">
        <f t="shared" si="39"/>
        <v>0</v>
      </c>
      <c r="R572" s="24">
        <f t="shared" si="37"/>
        <v>2950</v>
      </c>
      <c r="S572" s="5"/>
      <c r="T572" s="5"/>
    </row>
    <row r="573" spans="1:20" ht="15.75" hidden="1" x14ac:dyDescent="0.25">
      <c r="B573" s="21" t="s">
        <v>395</v>
      </c>
      <c r="C573" s="22" t="s">
        <v>2427</v>
      </c>
      <c r="D573" s="22"/>
      <c r="E573" s="21" t="s">
        <v>0</v>
      </c>
      <c r="F573" s="21"/>
      <c r="G573" s="147" t="s">
        <v>49</v>
      </c>
      <c r="H573" s="23" t="s">
        <v>963</v>
      </c>
      <c r="I573" s="23"/>
      <c r="J573" s="21" t="s">
        <v>964</v>
      </c>
      <c r="K573" s="21"/>
      <c r="L573" s="21" t="s">
        <v>2154</v>
      </c>
      <c r="M573" s="26">
        <v>43409</v>
      </c>
      <c r="N573" s="44">
        <v>7500</v>
      </c>
      <c r="O573" s="22" t="s">
        <v>15</v>
      </c>
      <c r="P573" s="22" t="s">
        <v>19</v>
      </c>
      <c r="Q573" s="24">
        <f t="shared" si="39"/>
        <v>0</v>
      </c>
      <c r="R573" s="24">
        <f t="shared" si="37"/>
        <v>7500</v>
      </c>
      <c r="S573" s="5"/>
      <c r="T573" s="5"/>
    </row>
    <row r="574" spans="1:20" ht="15.75" hidden="1" x14ac:dyDescent="0.25">
      <c r="B574" s="21" t="s">
        <v>395</v>
      </c>
      <c r="C574" s="22" t="s">
        <v>2427</v>
      </c>
      <c r="D574" s="22"/>
      <c r="E574" s="21" t="s">
        <v>0</v>
      </c>
      <c r="F574" s="21"/>
      <c r="G574" s="147" t="s">
        <v>49</v>
      </c>
      <c r="H574" s="23" t="s">
        <v>963</v>
      </c>
      <c r="I574" s="23"/>
      <c r="J574" s="21" t="s">
        <v>965</v>
      </c>
      <c r="K574" s="21"/>
      <c r="L574" s="21" t="s">
        <v>2157</v>
      </c>
      <c r="M574" s="26">
        <v>43747</v>
      </c>
      <c r="N574" s="44">
        <v>7500</v>
      </c>
      <c r="O574" s="22" t="s">
        <v>15</v>
      </c>
      <c r="P574" s="22" t="s">
        <v>19</v>
      </c>
      <c r="Q574" s="24">
        <f t="shared" si="39"/>
        <v>0</v>
      </c>
      <c r="R574" s="24">
        <f t="shared" si="37"/>
        <v>7500</v>
      </c>
      <c r="S574" s="5" t="s">
        <v>1718</v>
      </c>
      <c r="T574" s="5"/>
    </row>
    <row r="575" spans="1:20" ht="15.75" hidden="1" x14ac:dyDescent="0.25">
      <c r="B575" s="21" t="s">
        <v>395</v>
      </c>
      <c r="C575" s="22" t="s">
        <v>2427</v>
      </c>
      <c r="D575" s="22"/>
      <c r="E575" s="21" t="s">
        <v>0</v>
      </c>
      <c r="F575" s="21"/>
      <c r="G575" s="147" t="s">
        <v>49</v>
      </c>
      <c r="H575" s="23" t="s">
        <v>966</v>
      </c>
      <c r="I575" s="23"/>
      <c r="J575" s="21" t="s">
        <v>2436</v>
      </c>
      <c r="K575" s="21"/>
      <c r="L575" s="21" t="s">
        <v>2153</v>
      </c>
      <c r="M575" s="26">
        <v>43409</v>
      </c>
      <c r="N575" s="44">
        <v>19500</v>
      </c>
      <c r="O575" s="22" t="s">
        <v>15</v>
      </c>
      <c r="P575" s="22" t="s">
        <v>19</v>
      </c>
      <c r="Q575" s="24">
        <f t="shared" si="39"/>
        <v>0</v>
      </c>
      <c r="R575" s="24">
        <f t="shared" si="37"/>
        <v>19500</v>
      </c>
      <c r="S575" s="5"/>
      <c r="T575" s="5"/>
    </row>
    <row r="576" spans="1:20" ht="15.75" hidden="1" x14ac:dyDescent="0.25">
      <c r="B576" s="21" t="s">
        <v>395</v>
      </c>
      <c r="C576" s="22" t="s">
        <v>2450</v>
      </c>
      <c r="D576" s="22"/>
      <c r="E576" s="21" t="s">
        <v>0</v>
      </c>
      <c r="F576" s="21"/>
      <c r="G576" s="147" t="s">
        <v>49</v>
      </c>
      <c r="H576" s="23" t="s">
        <v>969</v>
      </c>
      <c r="I576" s="23"/>
      <c r="J576" s="21" t="s">
        <v>967</v>
      </c>
      <c r="K576" s="21"/>
      <c r="L576" s="21" t="s">
        <v>2151</v>
      </c>
      <c r="M576" s="26">
        <v>43409</v>
      </c>
      <c r="N576" s="44">
        <v>4000</v>
      </c>
      <c r="O576" s="22" t="s">
        <v>15</v>
      </c>
      <c r="P576" s="22" t="s">
        <v>19</v>
      </c>
      <c r="Q576" s="24">
        <f t="shared" si="39"/>
        <v>0</v>
      </c>
      <c r="R576" s="24">
        <f t="shared" si="37"/>
        <v>4000</v>
      </c>
      <c r="S576" s="5"/>
      <c r="T576" s="5"/>
    </row>
    <row r="577" spans="2:20" ht="15.75" hidden="1" x14ac:dyDescent="0.25">
      <c r="B577" s="21" t="s">
        <v>395</v>
      </c>
      <c r="C577" s="22" t="s">
        <v>2450</v>
      </c>
      <c r="D577" s="22"/>
      <c r="E577" s="21" t="s">
        <v>0</v>
      </c>
      <c r="F577" s="21"/>
      <c r="G577" s="147" t="s">
        <v>49</v>
      </c>
      <c r="H577" s="23" t="s">
        <v>969</v>
      </c>
      <c r="I577" s="23"/>
      <c r="J577" s="21" t="s">
        <v>968</v>
      </c>
      <c r="K577" s="21"/>
      <c r="L577" s="21" t="s">
        <v>2152</v>
      </c>
      <c r="M577" s="26">
        <v>43496</v>
      </c>
      <c r="N577" s="44">
        <v>4000</v>
      </c>
      <c r="O577" s="22" t="s">
        <v>15</v>
      </c>
      <c r="P577" s="22" t="s">
        <v>19</v>
      </c>
      <c r="Q577" s="24">
        <f t="shared" si="39"/>
        <v>0</v>
      </c>
      <c r="R577" s="24">
        <f t="shared" si="37"/>
        <v>4000</v>
      </c>
      <c r="S577" s="5"/>
      <c r="T577" s="5"/>
    </row>
    <row r="578" spans="2:20" ht="15.75" hidden="1" x14ac:dyDescent="0.25">
      <c r="B578" s="21" t="s">
        <v>395</v>
      </c>
      <c r="C578" s="22" t="s">
        <v>2427</v>
      </c>
      <c r="D578" s="22"/>
      <c r="E578" s="21" t="s">
        <v>0</v>
      </c>
      <c r="F578" s="21"/>
      <c r="G578" s="147" t="s">
        <v>961</v>
      </c>
      <c r="H578" s="23" t="s">
        <v>962</v>
      </c>
      <c r="I578" s="23"/>
      <c r="J578" s="21" t="s">
        <v>2435</v>
      </c>
      <c r="K578" s="21"/>
      <c r="L578" s="21" t="s">
        <v>2633</v>
      </c>
      <c r="M578" s="26">
        <v>43452</v>
      </c>
      <c r="N578" s="44">
        <v>2950</v>
      </c>
      <c r="O578" s="22" t="s">
        <v>15</v>
      </c>
      <c r="P578" s="22" t="s">
        <v>19</v>
      </c>
      <c r="Q578" s="24">
        <f t="shared" si="39"/>
        <v>0</v>
      </c>
      <c r="R578" s="24">
        <f t="shared" si="37"/>
        <v>2950</v>
      </c>
      <c r="S578" s="5"/>
      <c r="T578" s="5"/>
    </row>
    <row r="579" spans="2:20" ht="15.75" hidden="1" x14ac:dyDescent="0.25">
      <c r="B579" s="21" t="s">
        <v>395</v>
      </c>
      <c r="C579" s="22" t="s">
        <v>2427</v>
      </c>
      <c r="D579" s="22"/>
      <c r="E579" s="21" t="s">
        <v>0</v>
      </c>
      <c r="F579" s="21"/>
      <c r="G579" s="147" t="s">
        <v>49</v>
      </c>
      <c r="H579" s="23" t="s">
        <v>963</v>
      </c>
      <c r="I579" s="23"/>
      <c r="J579" s="21" t="s">
        <v>964</v>
      </c>
      <c r="K579" s="21"/>
      <c r="L579" s="21" t="s">
        <v>2154</v>
      </c>
      <c r="M579" s="26">
        <v>43409</v>
      </c>
      <c r="N579" s="44">
        <v>7500</v>
      </c>
      <c r="O579" s="22" t="s">
        <v>15</v>
      </c>
      <c r="P579" s="22" t="s">
        <v>19</v>
      </c>
      <c r="Q579" s="24">
        <f t="shared" si="39"/>
        <v>0</v>
      </c>
      <c r="R579" s="24">
        <f t="shared" si="37"/>
        <v>7500</v>
      </c>
      <c r="S579" s="5"/>
      <c r="T579" s="5"/>
    </row>
    <row r="580" spans="2:20" ht="15.75" hidden="1" x14ac:dyDescent="0.25">
      <c r="B580" s="21" t="s">
        <v>395</v>
      </c>
      <c r="C580" s="22" t="s">
        <v>2427</v>
      </c>
      <c r="D580" s="22"/>
      <c r="E580" s="21" t="s">
        <v>0</v>
      </c>
      <c r="F580" s="21"/>
      <c r="G580" s="147" t="s">
        <v>49</v>
      </c>
      <c r="H580" s="23" t="s">
        <v>963</v>
      </c>
      <c r="I580" s="23"/>
      <c r="J580" s="21" t="s">
        <v>965</v>
      </c>
      <c r="K580" s="21"/>
      <c r="L580" s="21" t="s">
        <v>2157</v>
      </c>
      <c r="M580" s="26">
        <v>43747</v>
      </c>
      <c r="N580" s="44">
        <v>7500</v>
      </c>
      <c r="O580" s="22" t="s">
        <v>15</v>
      </c>
      <c r="P580" s="22" t="s">
        <v>19</v>
      </c>
      <c r="Q580" s="24">
        <f t="shared" si="39"/>
        <v>0</v>
      </c>
      <c r="R580" s="24">
        <f t="shared" si="37"/>
        <v>7500</v>
      </c>
      <c r="S580" s="5" t="s">
        <v>1718</v>
      </c>
      <c r="T580" s="5"/>
    </row>
    <row r="581" spans="2:20" ht="15.75" hidden="1" x14ac:dyDescent="0.25">
      <c r="B581" s="21" t="s">
        <v>395</v>
      </c>
      <c r="C581" s="22" t="s">
        <v>2427</v>
      </c>
      <c r="D581" s="22"/>
      <c r="E581" s="21" t="s">
        <v>0</v>
      </c>
      <c r="F581" s="21"/>
      <c r="G581" s="147" t="s">
        <v>49</v>
      </c>
      <c r="H581" s="23" t="s">
        <v>966</v>
      </c>
      <c r="I581" s="23"/>
      <c r="J581" s="21" t="s">
        <v>2436</v>
      </c>
      <c r="K581" s="21"/>
      <c r="L581" s="21" t="s">
        <v>2153</v>
      </c>
      <c r="M581" s="26">
        <v>43409</v>
      </c>
      <c r="N581" s="44">
        <v>19500</v>
      </c>
      <c r="O581" s="22" t="s">
        <v>15</v>
      </c>
      <c r="P581" s="22" t="s">
        <v>19</v>
      </c>
      <c r="Q581" s="24">
        <f t="shared" si="39"/>
        <v>0</v>
      </c>
      <c r="R581" s="24">
        <f t="shared" si="37"/>
        <v>19500</v>
      </c>
      <c r="S581" s="5"/>
      <c r="T581" s="5"/>
    </row>
    <row r="582" spans="2:20" ht="15.75" hidden="1" x14ac:dyDescent="0.25">
      <c r="B582" s="21" t="s">
        <v>395</v>
      </c>
      <c r="C582" s="22" t="s">
        <v>2450</v>
      </c>
      <c r="D582" s="22"/>
      <c r="E582" s="21" t="s">
        <v>0</v>
      </c>
      <c r="F582" s="21"/>
      <c r="G582" s="147" t="s">
        <v>49</v>
      </c>
      <c r="H582" s="23" t="s">
        <v>969</v>
      </c>
      <c r="I582" s="23"/>
      <c r="J582" s="21" t="s">
        <v>967</v>
      </c>
      <c r="K582" s="21"/>
      <c r="L582" s="21" t="s">
        <v>2151</v>
      </c>
      <c r="M582" s="26">
        <v>43409</v>
      </c>
      <c r="N582" s="44">
        <v>4000</v>
      </c>
      <c r="O582" s="22" t="s">
        <v>15</v>
      </c>
      <c r="P582" s="22" t="s">
        <v>19</v>
      </c>
      <c r="Q582" s="24">
        <f t="shared" si="39"/>
        <v>0</v>
      </c>
      <c r="R582" s="24">
        <f t="shared" ref="R582:R618" si="40">IF(P582="OK",N582-Q582,IF(P582="en cours",N582-Q582,P582))</f>
        <v>4000</v>
      </c>
      <c r="S582" s="5"/>
      <c r="T582" s="5"/>
    </row>
    <row r="583" spans="2:20" ht="15.75" hidden="1" x14ac:dyDescent="0.25">
      <c r="B583" s="21" t="s">
        <v>395</v>
      </c>
      <c r="C583" s="22" t="s">
        <v>2450</v>
      </c>
      <c r="D583" s="22"/>
      <c r="E583" s="21" t="s">
        <v>0</v>
      </c>
      <c r="F583" s="21"/>
      <c r="G583" s="147" t="s">
        <v>49</v>
      </c>
      <c r="H583" s="23" t="s">
        <v>969</v>
      </c>
      <c r="I583" s="23"/>
      <c r="J583" s="21" t="s">
        <v>968</v>
      </c>
      <c r="K583" s="21"/>
      <c r="L583" s="21" t="s">
        <v>2152</v>
      </c>
      <c r="M583" s="26">
        <v>43496</v>
      </c>
      <c r="N583" s="44">
        <v>4000</v>
      </c>
      <c r="O583" s="22" t="s">
        <v>15</v>
      </c>
      <c r="P583" s="22" t="s">
        <v>19</v>
      </c>
      <c r="Q583" s="24">
        <f t="shared" si="39"/>
        <v>0</v>
      </c>
      <c r="R583" s="24">
        <f t="shared" si="40"/>
        <v>4000</v>
      </c>
      <c r="S583" s="5"/>
      <c r="T583" s="5"/>
    </row>
    <row r="584" spans="2:20" ht="15.75" hidden="1" x14ac:dyDescent="0.25">
      <c r="B584" s="21" t="s">
        <v>395</v>
      </c>
      <c r="C584" s="22" t="s">
        <v>2450</v>
      </c>
      <c r="D584" s="22" t="s">
        <v>1155</v>
      </c>
      <c r="E584" s="21" t="s">
        <v>10</v>
      </c>
      <c r="F584" s="21"/>
      <c r="G584" s="147" t="s">
        <v>110</v>
      </c>
      <c r="H584" s="23" t="s">
        <v>972</v>
      </c>
      <c r="I584" s="23"/>
      <c r="J584" s="21" t="s">
        <v>1170</v>
      </c>
      <c r="K584" s="21"/>
      <c r="L584" s="21" t="s">
        <v>2179</v>
      </c>
      <c r="M584" s="26">
        <v>43451</v>
      </c>
      <c r="N584" s="44">
        <v>166600</v>
      </c>
      <c r="O584" s="22" t="s">
        <v>15</v>
      </c>
      <c r="P584" s="22" t="s">
        <v>19</v>
      </c>
      <c r="Q584" s="24">
        <f t="shared" si="39"/>
        <v>0</v>
      </c>
      <c r="R584" s="24">
        <f t="shared" si="40"/>
        <v>166600</v>
      </c>
      <c r="S584" s="5"/>
      <c r="T584" s="5"/>
    </row>
    <row r="585" spans="2:20" ht="15.75" hidden="1" x14ac:dyDescent="0.25">
      <c r="B585" s="21" t="s">
        <v>395</v>
      </c>
      <c r="C585" s="22" t="s">
        <v>2450</v>
      </c>
      <c r="D585" s="22" t="s">
        <v>1155</v>
      </c>
      <c r="E585" s="21" t="s">
        <v>10</v>
      </c>
      <c r="F585" s="21"/>
      <c r="G585" s="147" t="s">
        <v>110</v>
      </c>
      <c r="H585" s="23" t="s">
        <v>1331</v>
      </c>
      <c r="I585" s="23"/>
      <c r="J585" s="21" t="s">
        <v>973</v>
      </c>
      <c r="K585" s="21"/>
      <c r="L585" s="21"/>
      <c r="M585" s="26" t="s">
        <v>1327</v>
      </c>
      <c r="N585" s="44">
        <v>0</v>
      </c>
      <c r="O585" s="22" t="s">
        <v>15</v>
      </c>
      <c r="P585" s="22" t="s">
        <v>19</v>
      </c>
      <c r="Q585" s="24">
        <f t="shared" si="39"/>
        <v>0</v>
      </c>
      <c r="R585" s="24">
        <f t="shared" si="40"/>
        <v>0</v>
      </c>
      <c r="T585" s="5"/>
    </row>
    <row r="586" spans="2:20" ht="15.75" hidden="1" x14ac:dyDescent="0.25">
      <c r="B586" s="21" t="s">
        <v>395</v>
      </c>
      <c r="C586" s="22" t="s">
        <v>2450</v>
      </c>
      <c r="D586" s="22" t="s">
        <v>1155</v>
      </c>
      <c r="E586" s="21" t="s">
        <v>10</v>
      </c>
      <c r="F586" s="21"/>
      <c r="G586" s="147" t="s">
        <v>110</v>
      </c>
      <c r="H586" s="23" t="s">
        <v>1331</v>
      </c>
      <c r="I586" s="23"/>
      <c r="J586" s="21" t="s">
        <v>974</v>
      </c>
      <c r="K586" s="21"/>
      <c r="L586" s="21"/>
      <c r="M586" s="26" t="s">
        <v>1328</v>
      </c>
      <c r="N586" s="44">
        <v>0</v>
      </c>
      <c r="O586" s="22" t="s">
        <v>15</v>
      </c>
      <c r="P586" s="22" t="s">
        <v>19</v>
      </c>
      <c r="Q586" s="24">
        <f t="shared" si="39"/>
        <v>0</v>
      </c>
      <c r="R586" s="24">
        <f t="shared" si="40"/>
        <v>0</v>
      </c>
      <c r="T586" s="5"/>
    </row>
    <row r="587" spans="2:20" ht="15.75" hidden="1" x14ac:dyDescent="0.25">
      <c r="B587" s="21" t="s">
        <v>395</v>
      </c>
      <c r="C587" s="22" t="s">
        <v>2450</v>
      </c>
      <c r="D587" s="22" t="s">
        <v>1155</v>
      </c>
      <c r="E587" s="21" t="s">
        <v>10</v>
      </c>
      <c r="F587" s="21"/>
      <c r="G587" s="147" t="s">
        <v>110</v>
      </c>
      <c r="H587" s="23" t="s">
        <v>1332</v>
      </c>
      <c r="I587" s="23"/>
      <c r="J587" s="21" t="s">
        <v>974</v>
      </c>
      <c r="K587" s="21"/>
      <c r="L587" s="21"/>
      <c r="M587" s="26" t="s">
        <v>1329</v>
      </c>
      <c r="N587" s="44">
        <v>0</v>
      </c>
      <c r="O587" s="22" t="s">
        <v>15</v>
      </c>
      <c r="P587" s="22" t="s">
        <v>19</v>
      </c>
      <c r="Q587" s="24">
        <f t="shared" si="39"/>
        <v>0</v>
      </c>
      <c r="R587" s="24">
        <f t="shared" si="40"/>
        <v>0</v>
      </c>
      <c r="T587" s="5"/>
    </row>
    <row r="588" spans="2:20" ht="15.75" hidden="1" x14ac:dyDescent="0.25">
      <c r="B588" s="21" t="s">
        <v>395</v>
      </c>
      <c r="C588" s="22" t="s">
        <v>2450</v>
      </c>
      <c r="D588" s="22" t="s">
        <v>1155</v>
      </c>
      <c r="E588" s="21" t="s">
        <v>10</v>
      </c>
      <c r="F588" s="21"/>
      <c r="G588" s="147" t="s">
        <v>110</v>
      </c>
      <c r="H588" s="23" t="s">
        <v>1332</v>
      </c>
      <c r="I588" s="23"/>
      <c r="J588" s="21" t="s">
        <v>975</v>
      </c>
      <c r="K588" s="21"/>
      <c r="L588" s="21"/>
      <c r="M588" s="26" t="s">
        <v>1330</v>
      </c>
      <c r="N588" s="44">
        <v>0</v>
      </c>
      <c r="O588" s="22" t="s">
        <v>15</v>
      </c>
      <c r="P588" s="22" t="s">
        <v>19</v>
      </c>
      <c r="Q588" s="24">
        <f t="shared" si="39"/>
        <v>0</v>
      </c>
      <c r="R588" s="24">
        <f t="shared" si="40"/>
        <v>0</v>
      </c>
      <c r="T588" s="5"/>
    </row>
    <row r="589" spans="2:20" ht="15.75" hidden="1" x14ac:dyDescent="0.25">
      <c r="B589" s="21" t="s">
        <v>395</v>
      </c>
      <c r="C589" s="22" t="s">
        <v>2450</v>
      </c>
      <c r="D589" s="22" t="s">
        <v>1155</v>
      </c>
      <c r="E589" s="21" t="s">
        <v>10</v>
      </c>
      <c r="F589" s="21"/>
      <c r="G589" s="147" t="s">
        <v>110</v>
      </c>
      <c r="H589" s="23" t="s">
        <v>1498</v>
      </c>
      <c r="I589" s="23"/>
      <c r="J589" s="21" t="s">
        <v>1326</v>
      </c>
      <c r="K589" s="21"/>
      <c r="L589" s="21" t="s">
        <v>2406</v>
      </c>
      <c r="M589" s="26">
        <v>43524</v>
      </c>
      <c r="N589" s="44">
        <f>206500-N584</f>
        <v>39900</v>
      </c>
      <c r="O589" s="22" t="s">
        <v>15</v>
      </c>
      <c r="P589" s="22" t="s">
        <v>19</v>
      </c>
      <c r="Q589" s="24">
        <f t="shared" si="39"/>
        <v>0</v>
      </c>
      <c r="R589" s="24">
        <f t="shared" si="40"/>
        <v>39900</v>
      </c>
      <c r="S589" s="5"/>
      <c r="T589" s="5"/>
    </row>
    <row r="590" spans="2:20" ht="15.75" hidden="1" x14ac:dyDescent="0.25">
      <c r="B590" s="32" t="s">
        <v>395</v>
      </c>
      <c r="C590" s="22" t="s">
        <v>3980</v>
      </c>
      <c r="D590" s="33"/>
      <c r="E590" s="32" t="s">
        <v>10</v>
      </c>
      <c r="F590" s="32"/>
      <c r="G590" s="155" t="s">
        <v>487</v>
      </c>
      <c r="H590" s="34" t="s">
        <v>984</v>
      </c>
      <c r="I590" s="34"/>
      <c r="J590" s="32" t="s">
        <v>489</v>
      </c>
      <c r="K590" s="21"/>
      <c r="L590" s="32"/>
      <c r="M590" s="26" t="s">
        <v>1100</v>
      </c>
      <c r="N590" s="93">
        <v>5000</v>
      </c>
      <c r="O590" s="33" t="s">
        <v>15</v>
      </c>
      <c r="P590" s="22" t="s">
        <v>19</v>
      </c>
      <c r="Q590" s="36">
        <f t="shared" si="39"/>
        <v>0</v>
      </c>
      <c r="R590" s="37">
        <f t="shared" si="40"/>
        <v>5000</v>
      </c>
      <c r="S590" s="5"/>
      <c r="T590" s="5"/>
    </row>
    <row r="591" spans="2:20" ht="15.75" hidden="1" x14ac:dyDescent="0.25">
      <c r="B591" s="21" t="s">
        <v>395</v>
      </c>
      <c r="C591" s="22" t="s">
        <v>2450</v>
      </c>
      <c r="D591" s="22"/>
      <c r="E591" s="21" t="s">
        <v>159</v>
      </c>
      <c r="F591" s="21"/>
      <c r="G591" s="147" t="s">
        <v>877</v>
      </c>
      <c r="H591" s="23" t="s">
        <v>1530</v>
      </c>
      <c r="I591" s="23"/>
      <c r="J591" s="21" t="s">
        <v>987</v>
      </c>
      <c r="K591" s="21"/>
      <c r="L591" s="21" t="s">
        <v>2089</v>
      </c>
      <c r="M591" s="26">
        <v>43412</v>
      </c>
      <c r="N591" s="44">
        <f>45*280</f>
        <v>12600</v>
      </c>
      <c r="O591" s="22" t="s">
        <v>341</v>
      </c>
      <c r="P591" s="116" t="s">
        <v>19</v>
      </c>
      <c r="Q591" s="24">
        <f t="shared" si="39"/>
        <v>0</v>
      </c>
      <c r="R591" s="24">
        <f t="shared" si="40"/>
        <v>12600</v>
      </c>
      <c r="S591" s="5"/>
      <c r="T591" s="5"/>
    </row>
    <row r="592" spans="2:20" ht="15.75" hidden="1" x14ac:dyDescent="0.25">
      <c r="B592" s="21" t="s">
        <v>395</v>
      </c>
      <c r="C592" s="22" t="s">
        <v>2450</v>
      </c>
      <c r="D592" s="22"/>
      <c r="E592" s="21" t="s">
        <v>159</v>
      </c>
      <c r="F592" s="21"/>
      <c r="G592" s="147" t="s">
        <v>877</v>
      </c>
      <c r="H592" s="23" t="s">
        <v>1530</v>
      </c>
      <c r="I592" s="23"/>
      <c r="J592" s="21" t="s">
        <v>988</v>
      </c>
      <c r="K592" s="21"/>
      <c r="L592" s="21" t="s">
        <v>2090</v>
      </c>
      <c r="M592" s="26">
        <v>43412</v>
      </c>
      <c r="N592" s="44">
        <f>P592</f>
        <v>2760</v>
      </c>
      <c r="O592" s="22" t="s">
        <v>341</v>
      </c>
      <c r="P592" s="116">
        <v>2760</v>
      </c>
      <c r="Q592" s="24">
        <f t="shared" si="39"/>
        <v>0</v>
      </c>
      <c r="R592" s="24">
        <f t="shared" si="40"/>
        <v>2760</v>
      </c>
      <c r="S592" s="5"/>
      <c r="T592" s="5"/>
    </row>
    <row r="593" spans="2:20" ht="15.75" hidden="1" x14ac:dyDescent="0.25">
      <c r="B593" s="21" t="s">
        <v>395</v>
      </c>
      <c r="C593" s="22" t="s">
        <v>2450</v>
      </c>
      <c r="D593" s="22"/>
      <c r="E593" s="21" t="s">
        <v>0</v>
      </c>
      <c r="F593" s="21"/>
      <c r="G593" s="147" t="s">
        <v>36</v>
      </c>
      <c r="H593" s="23" t="s">
        <v>992</v>
      </c>
      <c r="I593" s="23"/>
      <c r="J593" s="21" t="s">
        <v>993</v>
      </c>
      <c r="K593" s="21"/>
      <c r="L593" s="21" t="s">
        <v>1909</v>
      </c>
      <c r="M593" s="26">
        <v>43434</v>
      </c>
      <c r="N593" s="44">
        <v>65000</v>
      </c>
      <c r="O593" s="22" t="s">
        <v>15</v>
      </c>
      <c r="P593" s="22" t="s">
        <v>19</v>
      </c>
      <c r="Q593" s="24">
        <f t="shared" si="39"/>
        <v>0</v>
      </c>
      <c r="R593" s="24">
        <f t="shared" si="40"/>
        <v>65000</v>
      </c>
      <c r="S593" s="5"/>
      <c r="T593" s="5"/>
    </row>
    <row r="594" spans="2:20" ht="15.75" hidden="1" x14ac:dyDescent="0.25">
      <c r="B594" s="21" t="s">
        <v>395</v>
      </c>
      <c r="C594" s="22" t="s">
        <v>2450</v>
      </c>
      <c r="D594" s="22"/>
      <c r="E594" s="21" t="s">
        <v>0</v>
      </c>
      <c r="F594" s="21"/>
      <c r="G594" s="147" t="s">
        <v>36</v>
      </c>
      <c r="H594" s="23" t="s">
        <v>992</v>
      </c>
      <c r="I594" s="23"/>
      <c r="J594" s="21" t="s">
        <v>1349</v>
      </c>
      <c r="K594" s="21"/>
      <c r="L594" s="21" t="s">
        <v>1908</v>
      </c>
      <c r="M594" s="26">
        <v>43476</v>
      </c>
      <c r="N594" s="44">
        <v>18000</v>
      </c>
      <c r="O594" s="22" t="s">
        <v>15</v>
      </c>
      <c r="P594" s="22" t="s">
        <v>19</v>
      </c>
      <c r="Q594" s="24">
        <f t="shared" si="39"/>
        <v>0</v>
      </c>
      <c r="R594" s="24">
        <f t="shared" si="40"/>
        <v>18000</v>
      </c>
      <c r="S594" s="5"/>
      <c r="T594" s="5"/>
    </row>
    <row r="595" spans="2:20" ht="15.75" hidden="1" x14ac:dyDescent="0.25">
      <c r="B595" s="21" t="s">
        <v>395</v>
      </c>
      <c r="C595" s="22" t="s">
        <v>2450</v>
      </c>
      <c r="D595" s="22"/>
      <c r="E595" s="21" t="s">
        <v>0</v>
      </c>
      <c r="F595" s="21"/>
      <c r="G595" s="147" t="s">
        <v>36</v>
      </c>
      <c r="H595" s="23" t="s">
        <v>992</v>
      </c>
      <c r="I595" s="23"/>
      <c r="J595" s="21" t="s">
        <v>994</v>
      </c>
      <c r="K595" s="21"/>
      <c r="L595" s="21" t="s">
        <v>2352</v>
      </c>
      <c r="M595" s="26">
        <v>43523</v>
      </c>
      <c r="N595" s="44">
        <f>165000-(65000+18000)</f>
        <v>82000</v>
      </c>
      <c r="O595" s="22" t="s">
        <v>15</v>
      </c>
      <c r="P595" s="22">
        <v>72000</v>
      </c>
      <c r="Q595" s="24">
        <f t="shared" si="39"/>
        <v>10000</v>
      </c>
      <c r="R595" s="24">
        <f t="shared" si="40"/>
        <v>72000</v>
      </c>
      <c r="S595" s="5"/>
      <c r="T595" s="5"/>
    </row>
    <row r="596" spans="2:20" ht="15.75" hidden="1" x14ac:dyDescent="0.25">
      <c r="B596" s="21" t="s">
        <v>395</v>
      </c>
      <c r="C596" s="22" t="s">
        <v>2450</v>
      </c>
      <c r="D596" s="22"/>
      <c r="E596" s="21" t="s">
        <v>0</v>
      </c>
      <c r="F596" s="21"/>
      <c r="G596" s="147" t="s">
        <v>995</v>
      </c>
      <c r="H596" s="23" t="s">
        <v>1722</v>
      </c>
      <c r="I596" s="23"/>
      <c r="J596" s="21" t="s">
        <v>2635</v>
      </c>
      <c r="K596" s="21"/>
      <c r="L596" s="21" t="s">
        <v>2624</v>
      </c>
      <c r="M596" s="26">
        <v>43438</v>
      </c>
      <c r="N596" s="44">
        <f>(0.3*164550)-10680</f>
        <v>38685</v>
      </c>
      <c r="O596" s="22" t="s">
        <v>15</v>
      </c>
      <c r="P596" s="24">
        <v>38685</v>
      </c>
      <c r="Q596" s="24">
        <f t="shared" si="39"/>
        <v>0</v>
      </c>
      <c r="R596" s="24">
        <f t="shared" si="40"/>
        <v>38685</v>
      </c>
      <c r="S596" s="5"/>
      <c r="T596" s="5"/>
    </row>
    <row r="597" spans="2:20" ht="15.75" hidden="1" x14ac:dyDescent="0.25">
      <c r="B597" s="21" t="s">
        <v>395</v>
      </c>
      <c r="C597" s="22" t="s">
        <v>2450</v>
      </c>
      <c r="D597" s="22"/>
      <c r="E597" s="21" t="s">
        <v>0</v>
      </c>
      <c r="F597" s="21"/>
      <c r="G597" s="147" t="s">
        <v>995</v>
      </c>
      <c r="H597" s="23" t="s">
        <v>1722</v>
      </c>
      <c r="I597" s="23"/>
      <c r="J597" s="21" t="s">
        <v>2636</v>
      </c>
      <c r="K597" s="21"/>
      <c r="L597" s="21" t="s">
        <v>2625</v>
      </c>
      <c r="M597" s="26">
        <v>43559</v>
      </c>
      <c r="N597" s="44">
        <f>(164550-16000)-N596</f>
        <v>109865</v>
      </c>
      <c r="O597" s="22" t="s">
        <v>15</v>
      </c>
      <c r="P597" s="22" t="s">
        <v>19</v>
      </c>
      <c r="Q597" s="24">
        <f t="shared" si="39"/>
        <v>0</v>
      </c>
      <c r="R597" s="24">
        <f t="shared" si="40"/>
        <v>109865</v>
      </c>
      <c r="S597" s="5"/>
      <c r="T597" s="5"/>
    </row>
    <row r="598" spans="2:20" ht="15.75" hidden="1" x14ac:dyDescent="0.25">
      <c r="B598" s="21" t="s">
        <v>395</v>
      </c>
      <c r="C598" s="22" t="s">
        <v>2450</v>
      </c>
      <c r="D598" s="22"/>
      <c r="E598" s="21" t="s">
        <v>0</v>
      </c>
      <c r="F598" s="21"/>
      <c r="G598" s="147" t="s">
        <v>995</v>
      </c>
      <c r="H598" s="23" t="s">
        <v>1722</v>
      </c>
      <c r="I598" s="23"/>
      <c r="J598" s="21" t="s">
        <v>1723</v>
      </c>
      <c r="K598" s="21"/>
      <c r="L598" s="21" t="s">
        <v>2626</v>
      </c>
      <c r="M598" s="26">
        <v>43637</v>
      </c>
      <c r="N598" s="44">
        <f>164550-(N597+N596)</f>
        <v>16000</v>
      </c>
      <c r="O598" s="22" t="s">
        <v>15</v>
      </c>
      <c r="P598" s="22" t="s">
        <v>19</v>
      </c>
      <c r="Q598" s="24">
        <f t="shared" si="39"/>
        <v>0</v>
      </c>
      <c r="R598" s="24">
        <f t="shared" si="40"/>
        <v>16000</v>
      </c>
      <c r="S598" s="5"/>
      <c r="T598" s="5"/>
    </row>
    <row r="599" spans="2:20" ht="15.75" hidden="1" x14ac:dyDescent="0.25">
      <c r="B599" s="21" t="s">
        <v>395</v>
      </c>
      <c r="C599" s="22" t="s">
        <v>158</v>
      </c>
      <c r="D599" s="22"/>
      <c r="E599" s="21" t="s">
        <v>996</v>
      </c>
      <c r="F599" s="21"/>
      <c r="G599" s="147" t="s">
        <v>997</v>
      </c>
      <c r="H599" s="107" t="s">
        <v>998</v>
      </c>
      <c r="I599" s="107"/>
      <c r="J599" s="21" t="s">
        <v>999</v>
      </c>
      <c r="K599" s="21"/>
      <c r="L599" s="21" t="s">
        <v>3698</v>
      </c>
      <c r="M599" s="26">
        <v>43455</v>
      </c>
      <c r="N599" s="44">
        <v>2332</v>
      </c>
      <c r="O599" s="22" t="s">
        <v>15</v>
      </c>
      <c r="P599" s="22" t="s">
        <v>19</v>
      </c>
      <c r="Q599" s="24">
        <f t="shared" si="39"/>
        <v>0</v>
      </c>
      <c r="R599" s="116">
        <f t="shared" si="40"/>
        <v>2332</v>
      </c>
      <c r="S599" s="5"/>
      <c r="T599" s="5"/>
    </row>
    <row r="600" spans="2:20" ht="15.75" hidden="1" x14ac:dyDescent="0.25">
      <c r="B600" s="21" t="s">
        <v>395</v>
      </c>
      <c r="C600" s="22" t="s">
        <v>158</v>
      </c>
      <c r="D600" s="22"/>
      <c r="E600" s="21" t="s">
        <v>996</v>
      </c>
      <c r="F600" s="21"/>
      <c r="G600" s="147" t="s">
        <v>997</v>
      </c>
      <c r="H600" s="107" t="s">
        <v>998</v>
      </c>
      <c r="I600" s="107"/>
      <c r="J600" s="21" t="s">
        <v>1000</v>
      </c>
      <c r="K600" s="21"/>
      <c r="L600" s="21" t="s">
        <v>3698</v>
      </c>
      <c r="M600" s="26">
        <v>43455</v>
      </c>
      <c r="N600" s="44">
        <v>2332</v>
      </c>
      <c r="O600" s="22" t="s">
        <v>15</v>
      </c>
      <c r="P600" s="22" t="s">
        <v>19</v>
      </c>
      <c r="Q600" s="24">
        <f t="shared" si="39"/>
        <v>0</v>
      </c>
      <c r="R600" s="116">
        <f t="shared" si="40"/>
        <v>2332</v>
      </c>
      <c r="S600" s="5"/>
      <c r="T600" s="5"/>
    </row>
    <row r="601" spans="2:20" ht="15.75" hidden="1" x14ac:dyDescent="0.25">
      <c r="B601" s="21" t="s">
        <v>395</v>
      </c>
      <c r="C601" s="22" t="s">
        <v>158</v>
      </c>
      <c r="D601" s="22"/>
      <c r="E601" s="21" t="s">
        <v>996</v>
      </c>
      <c r="F601" s="21"/>
      <c r="G601" s="147" t="s">
        <v>997</v>
      </c>
      <c r="H601" s="107" t="s">
        <v>998</v>
      </c>
      <c r="I601" s="107"/>
      <c r="J601" s="21" t="s">
        <v>1001</v>
      </c>
      <c r="K601" s="21"/>
      <c r="L601" s="21" t="s">
        <v>3698</v>
      </c>
      <c r="M601" s="26">
        <v>43455</v>
      </c>
      <c r="N601" s="44">
        <v>2332</v>
      </c>
      <c r="O601" s="22" t="s">
        <v>15</v>
      </c>
      <c r="P601" s="22" t="s">
        <v>19</v>
      </c>
      <c r="Q601" s="24">
        <f t="shared" si="39"/>
        <v>0</v>
      </c>
      <c r="R601" s="116">
        <f t="shared" si="40"/>
        <v>2332</v>
      </c>
      <c r="S601" s="5"/>
      <c r="T601" s="5"/>
    </row>
    <row r="602" spans="2:20" ht="15.75" hidden="1" x14ac:dyDescent="0.25">
      <c r="B602" s="21" t="s">
        <v>395</v>
      </c>
      <c r="C602" s="22" t="s">
        <v>158</v>
      </c>
      <c r="D602" s="22"/>
      <c r="E602" s="21" t="s">
        <v>996</v>
      </c>
      <c r="F602" s="21"/>
      <c r="G602" s="147" t="s">
        <v>997</v>
      </c>
      <c r="H602" s="107" t="s">
        <v>998</v>
      </c>
      <c r="I602" s="107"/>
      <c r="J602" s="21" t="s">
        <v>1002</v>
      </c>
      <c r="K602" s="21"/>
      <c r="L602" s="21" t="s">
        <v>3698</v>
      </c>
      <c r="M602" s="26">
        <v>43455</v>
      </c>
      <c r="N602" s="44">
        <v>2332</v>
      </c>
      <c r="O602" s="22" t="s">
        <v>15</v>
      </c>
      <c r="P602" s="22" t="s">
        <v>19</v>
      </c>
      <c r="Q602" s="24">
        <f t="shared" si="39"/>
        <v>0</v>
      </c>
      <c r="R602" s="116">
        <f t="shared" si="40"/>
        <v>2332</v>
      </c>
      <c r="S602" s="5"/>
      <c r="T602" s="5"/>
    </row>
    <row r="603" spans="2:20" ht="15.75" hidden="1" x14ac:dyDescent="0.25">
      <c r="B603" s="5"/>
      <c r="C603" s="4" t="s">
        <v>158</v>
      </c>
      <c r="D603" s="4"/>
      <c r="E603" s="5" t="s">
        <v>996</v>
      </c>
      <c r="F603" s="5"/>
      <c r="G603" s="146" t="s">
        <v>1003</v>
      </c>
      <c r="H603" s="58" t="s">
        <v>1004</v>
      </c>
      <c r="I603" s="58"/>
      <c r="J603" s="5" t="s">
        <v>1005</v>
      </c>
      <c r="K603" s="21"/>
      <c r="L603" s="5"/>
      <c r="M603" s="26"/>
      <c r="N603" s="45">
        <f>469*12</f>
        <v>5628</v>
      </c>
      <c r="O603" s="4" t="s">
        <v>15</v>
      </c>
      <c r="P603" s="4"/>
      <c r="Q603" s="3">
        <f t="shared" si="39"/>
        <v>5628</v>
      </c>
      <c r="R603" s="25">
        <f t="shared" si="40"/>
        <v>0</v>
      </c>
      <c r="S603" s="5"/>
      <c r="T603" s="5"/>
    </row>
    <row r="604" spans="2:20" ht="15.75" hidden="1" x14ac:dyDescent="0.25">
      <c r="B604" s="5"/>
      <c r="C604" s="4" t="s">
        <v>158</v>
      </c>
      <c r="D604" s="4"/>
      <c r="E604" s="5" t="s">
        <v>996</v>
      </c>
      <c r="F604" s="5"/>
      <c r="G604" s="146" t="s">
        <v>1003</v>
      </c>
      <c r="H604" s="58" t="s">
        <v>1004</v>
      </c>
      <c r="I604" s="58"/>
      <c r="J604" s="5" t="s">
        <v>1006</v>
      </c>
      <c r="K604" s="21"/>
      <c r="L604" s="5"/>
      <c r="M604" s="26"/>
      <c r="N604" s="45">
        <f>469*12</f>
        <v>5628</v>
      </c>
      <c r="O604" s="4" t="s">
        <v>15</v>
      </c>
      <c r="P604" s="4"/>
      <c r="Q604" s="3">
        <f t="shared" si="39"/>
        <v>5628</v>
      </c>
      <c r="R604" s="25">
        <f t="shared" si="40"/>
        <v>0</v>
      </c>
      <c r="S604" s="5"/>
      <c r="T604" s="5"/>
    </row>
    <row r="605" spans="2:20" ht="15.75" hidden="1" x14ac:dyDescent="0.25">
      <c r="B605" s="5"/>
      <c r="C605" s="4" t="s">
        <v>158</v>
      </c>
      <c r="D605" s="4"/>
      <c r="E605" s="5" t="s">
        <v>996</v>
      </c>
      <c r="F605" s="5"/>
      <c r="G605" s="146" t="s">
        <v>1003</v>
      </c>
      <c r="H605" s="58" t="s">
        <v>1004</v>
      </c>
      <c r="I605" s="58"/>
      <c r="J605" s="5" t="s">
        <v>1007</v>
      </c>
      <c r="K605" s="21"/>
      <c r="L605" s="5"/>
      <c r="M605" s="26"/>
      <c r="N605" s="45">
        <f>469*12</f>
        <v>5628</v>
      </c>
      <c r="O605" s="4" t="s">
        <v>15</v>
      </c>
      <c r="P605" s="4"/>
      <c r="Q605" s="3">
        <f t="shared" si="39"/>
        <v>5628</v>
      </c>
      <c r="R605" s="25">
        <f t="shared" si="40"/>
        <v>0</v>
      </c>
      <c r="S605" s="5"/>
      <c r="T605" s="5"/>
    </row>
    <row r="606" spans="2:20" ht="15.75" hidden="1" x14ac:dyDescent="0.25">
      <c r="B606" s="5"/>
      <c r="C606" s="4" t="s">
        <v>158</v>
      </c>
      <c r="D606" s="4"/>
      <c r="E606" s="5" t="s">
        <v>996</v>
      </c>
      <c r="F606" s="5"/>
      <c r="G606" s="146" t="s">
        <v>1003</v>
      </c>
      <c r="H606" s="58" t="s">
        <v>1004</v>
      </c>
      <c r="I606" s="58"/>
      <c r="J606" s="5" t="s">
        <v>1008</v>
      </c>
      <c r="K606" s="21"/>
      <c r="L606" s="5"/>
      <c r="M606" s="26"/>
      <c r="N606" s="45">
        <f>469*12</f>
        <v>5628</v>
      </c>
      <c r="O606" s="4" t="s">
        <v>15</v>
      </c>
      <c r="P606" s="4"/>
      <c r="Q606" s="3">
        <f t="shared" si="39"/>
        <v>5628</v>
      </c>
      <c r="R606" s="25">
        <f t="shared" si="40"/>
        <v>0</v>
      </c>
      <c r="S606" s="5"/>
      <c r="T606" s="5"/>
    </row>
    <row r="607" spans="2:20" ht="15.75" hidden="1" x14ac:dyDescent="0.25">
      <c r="B607" s="21" t="s">
        <v>395</v>
      </c>
      <c r="C607" s="22" t="s">
        <v>2450</v>
      </c>
      <c r="D607" s="33" t="s">
        <v>1451</v>
      </c>
      <c r="E607" s="21" t="s">
        <v>10</v>
      </c>
      <c r="F607" s="21"/>
      <c r="G607" s="147" t="s">
        <v>665</v>
      </c>
      <c r="H607" s="23" t="s">
        <v>1079</v>
      </c>
      <c r="I607" s="23"/>
      <c r="J607" s="21" t="s">
        <v>1583</v>
      </c>
      <c r="K607" s="21"/>
      <c r="L607" s="21" t="s">
        <v>2019</v>
      </c>
      <c r="M607" s="26">
        <v>43458</v>
      </c>
      <c r="N607" s="44">
        <f>0.5*202410</f>
        <v>101205</v>
      </c>
      <c r="O607" s="22" t="s">
        <v>15</v>
      </c>
      <c r="P607" s="22" t="s">
        <v>19</v>
      </c>
      <c r="Q607" s="24">
        <f t="shared" si="39"/>
        <v>0</v>
      </c>
      <c r="R607" s="24">
        <f t="shared" si="40"/>
        <v>101205</v>
      </c>
      <c r="S607" s="5"/>
      <c r="T607" s="5" t="s">
        <v>1347</v>
      </c>
    </row>
    <row r="608" spans="2:20" ht="15.75" hidden="1" x14ac:dyDescent="0.25">
      <c r="B608" s="21" t="s">
        <v>395</v>
      </c>
      <c r="C608" s="22" t="s">
        <v>2450</v>
      </c>
      <c r="D608" s="33" t="s">
        <v>1451</v>
      </c>
      <c r="E608" s="21" t="s">
        <v>10</v>
      </c>
      <c r="F608" s="21"/>
      <c r="G608" s="147" t="s">
        <v>665</v>
      </c>
      <c r="H608" s="23" t="s">
        <v>1079</v>
      </c>
      <c r="I608" s="23"/>
      <c r="J608" s="21" t="s">
        <v>1584</v>
      </c>
      <c r="K608" s="21"/>
      <c r="L608" s="21" t="s">
        <v>2020</v>
      </c>
      <c r="M608" s="26">
        <v>43538</v>
      </c>
      <c r="N608" s="44">
        <f>0.45*202410</f>
        <v>91084.5</v>
      </c>
      <c r="O608" s="22" t="s">
        <v>15</v>
      </c>
      <c r="P608" s="22" t="s">
        <v>19</v>
      </c>
      <c r="Q608" s="24">
        <f t="shared" si="39"/>
        <v>0</v>
      </c>
      <c r="R608" s="24">
        <f t="shared" si="40"/>
        <v>91084.5</v>
      </c>
      <c r="S608" s="5"/>
      <c r="T608" s="5"/>
    </row>
    <row r="609" spans="2:20" ht="15.75" hidden="1" x14ac:dyDescent="0.25">
      <c r="B609" s="21" t="s">
        <v>395</v>
      </c>
      <c r="C609" s="22" t="s">
        <v>2450</v>
      </c>
      <c r="D609" s="33" t="s">
        <v>1451</v>
      </c>
      <c r="E609" s="21" t="s">
        <v>10</v>
      </c>
      <c r="F609" s="21"/>
      <c r="G609" s="147" t="s">
        <v>665</v>
      </c>
      <c r="H609" s="23" t="s">
        <v>1079</v>
      </c>
      <c r="I609" s="23"/>
      <c r="J609" s="21" t="s">
        <v>1585</v>
      </c>
      <c r="K609" s="21"/>
      <c r="L609" s="21" t="s">
        <v>2021</v>
      </c>
      <c r="M609" s="26">
        <v>43585</v>
      </c>
      <c r="N609" s="44">
        <f>0.05*202410</f>
        <v>10120.5</v>
      </c>
      <c r="O609" s="22" t="s">
        <v>15</v>
      </c>
      <c r="P609" s="22" t="s">
        <v>19</v>
      </c>
      <c r="Q609" s="24">
        <f t="shared" si="39"/>
        <v>0</v>
      </c>
      <c r="R609" s="24">
        <f t="shared" si="40"/>
        <v>10120.5</v>
      </c>
      <c r="S609" s="5"/>
      <c r="T609" s="5"/>
    </row>
    <row r="610" spans="2:20" ht="15.75" hidden="1" x14ac:dyDescent="0.25">
      <c r="B610" s="32" t="s">
        <v>395</v>
      </c>
      <c r="C610" s="33" t="s">
        <v>2450</v>
      </c>
      <c r="D610" s="33" t="s">
        <v>1451</v>
      </c>
      <c r="E610" s="32" t="s">
        <v>10</v>
      </c>
      <c r="F610" s="32"/>
      <c r="G610" s="155" t="s">
        <v>665</v>
      </c>
      <c r="H610" s="34" t="s">
        <v>1582</v>
      </c>
      <c r="I610" s="34"/>
      <c r="J610" s="32" t="s">
        <v>1586</v>
      </c>
      <c r="K610" s="21"/>
      <c r="L610" s="21" t="s">
        <v>2024</v>
      </c>
      <c r="M610" s="26">
        <v>43580</v>
      </c>
      <c r="N610" s="93">
        <v>1050</v>
      </c>
      <c r="O610" s="33" t="s">
        <v>15</v>
      </c>
      <c r="P610" s="22">
        <f>1205+284</f>
        <v>1489</v>
      </c>
      <c r="Q610" s="36">
        <f t="shared" si="39"/>
        <v>0</v>
      </c>
      <c r="R610" s="36">
        <f t="shared" si="40"/>
        <v>1489</v>
      </c>
      <c r="S610" s="5"/>
      <c r="T610" s="5"/>
    </row>
    <row r="611" spans="2:20" ht="15.75" hidden="1" x14ac:dyDescent="0.25">
      <c r="B611" s="32" t="s">
        <v>395</v>
      </c>
      <c r="C611" s="33" t="s">
        <v>2450</v>
      </c>
      <c r="D611" s="33" t="s">
        <v>1451</v>
      </c>
      <c r="E611" s="32" t="s">
        <v>10</v>
      </c>
      <c r="F611" s="32"/>
      <c r="G611" s="155" t="s">
        <v>665</v>
      </c>
      <c r="H611" s="34" t="s">
        <v>1280</v>
      </c>
      <c r="I611" s="34"/>
      <c r="J611" s="32" t="s">
        <v>2302</v>
      </c>
      <c r="K611" s="21"/>
      <c r="L611" s="21" t="s">
        <v>2022</v>
      </c>
      <c r="M611" s="26">
        <v>43489</v>
      </c>
      <c r="N611" s="93">
        <v>2830</v>
      </c>
      <c r="O611" s="33" t="s">
        <v>15</v>
      </c>
      <c r="P611" s="22" t="s">
        <v>19</v>
      </c>
      <c r="Q611" s="36">
        <f t="shared" si="39"/>
        <v>0</v>
      </c>
      <c r="R611" s="36">
        <f t="shared" si="40"/>
        <v>2830</v>
      </c>
      <c r="S611" s="5"/>
      <c r="T611" s="5"/>
    </row>
    <row r="612" spans="2:20" ht="15.75" hidden="1" x14ac:dyDescent="0.25">
      <c r="B612" s="32" t="s">
        <v>395</v>
      </c>
      <c r="C612" s="33" t="s">
        <v>2450</v>
      </c>
      <c r="D612" s="33" t="s">
        <v>1451</v>
      </c>
      <c r="E612" s="32" t="s">
        <v>10</v>
      </c>
      <c r="F612" s="32"/>
      <c r="G612" s="155" t="s">
        <v>665</v>
      </c>
      <c r="H612" s="34" t="s">
        <v>1281</v>
      </c>
      <c r="I612" s="34"/>
      <c r="J612" s="32" t="s">
        <v>2302</v>
      </c>
      <c r="K612" s="21"/>
      <c r="L612" s="21" t="s">
        <v>2023</v>
      </c>
      <c r="M612" s="26">
        <v>43503</v>
      </c>
      <c r="N612" s="93">
        <v>2640</v>
      </c>
      <c r="O612" s="33" t="s">
        <v>15</v>
      </c>
      <c r="P612" s="22" t="s">
        <v>19</v>
      </c>
      <c r="Q612" s="36">
        <f t="shared" si="39"/>
        <v>0</v>
      </c>
      <c r="R612" s="36">
        <f t="shared" si="40"/>
        <v>2640</v>
      </c>
      <c r="S612" s="5"/>
      <c r="T612" s="5"/>
    </row>
    <row r="613" spans="2:20" ht="15.75" hidden="1" x14ac:dyDescent="0.25">
      <c r="B613" s="21" t="s">
        <v>395</v>
      </c>
      <c r="C613" s="22" t="s">
        <v>2427</v>
      </c>
      <c r="D613" s="22"/>
      <c r="E613" s="21" t="s">
        <v>10</v>
      </c>
      <c r="F613" s="21"/>
      <c r="G613" s="147" t="s">
        <v>98</v>
      </c>
      <c r="H613" s="23" t="s">
        <v>1067</v>
      </c>
      <c r="I613" s="23"/>
      <c r="J613" s="21" t="s">
        <v>1068</v>
      </c>
      <c r="K613" s="21"/>
      <c r="L613" s="21"/>
      <c r="M613" s="26" t="s">
        <v>1172</v>
      </c>
      <c r="N613" s="44">
        <v>454.08</v>
      </c>
      <c r="O613" s="22" t="s">
        <v>15</v>
      </c>
      <c r="P613" s="22" t="s">
        <v>19</v>
      </c>
      <c r="Q613" s="24">
        <f t="shared" si="39"/>
        <v>0</v>
      </c>
      <c r="R613" s="24">
        <f t="shared" si="40"/>
        <v>454.08</v>
      </c>
      <c r="S613" s="5"/>
      <c r="T613" s="5"/>
    </row>
    <row r="614" spans="2:20" ht="15.75" hidden="1" x14ac:dyDescent="0.25">
      <c r="B614" s="21" t="s">
        <v>395</v>
      </c>
      <c r="C614" s="22" t="s">
        <v>2427</v>
      </c>
      <c r="D614" s="22"/>
      <c r="E614" s="21" t="s">
        <v>10</v>
      </c>
      <c r="F614" s="21"/>
      <c r="G614" s="147" t="s">
        <v>98</v>
      </c>
      <c r="H614" s="23" t="s">
        <v>1067</v>
      </c>
      <c r="I614" s="23"/>
      <c r="J614" s="21" t="s">
        <v>1069</v>
      </c>
      <c r="K614" s="21"/>
      <c r="L614" s="21"/>
      <c r="M614" s="26" t="s">
        <v>1172</v>
      </c>
      <c r="N614" s="44">
        <v>132</v>
      </c>
      <c r="O614" s="22" t="s">
        <v>15</v>
      </c>
      <c r="P614" s="22" t="s">
        <v>19</v>
      </c>
      <c r="Q614" s="24">
        <f t="shared" si="39"/>
        <v>0</v>
      </c>
      <c r="R614" s="24">
        <f t="shared" si="40"/>
        <v>132</v>
      </c>
      <c r="S614" s="5"/>
      <c r="T614" s="5"/>
    </row>
    <row r="615" spans="2:20" ht="15.75" hidden="1" x14ac:dyDescent="0.25">
      <c r="B615" s="21" t="s">
        <v>395</v>
      </c>
      <c r="C615" s="22" t="s">
        <v>2427</v>
      </c>
      <c r="D615" s="22"/>
      <c r="E615" s="21" t="s">
        <v>10</v>
      </c>
      <c r="F615" s="21"/>
      <c r="G615" s="147" t="s">
        <v>98</v>
      </c>
      <c r="H615" s="23" t="s">
        <v>1067</v>
      </c>
      <c r="I615" s="23"/>
      <c r="J615" s="21" t="s">
        <v>1070</v>
      </c>
      <c r="K615" s="21"/>
      <c r="L615" s="21"/>
      <c r="M615" s="26" t="s">
        <v>1172</v>
      </c>
      <c r="N615" s="44">
        <v>36.119999999999997</v>
      </c>
      <c r="O615" s="22" t="s">
        <v>15</v>
      </c>
      <c r="P615" s="22" t="s">
        <v>19</v>
      </c>
      <c r="Q615" s="24">
        <f t="shared" ref="Q615:Q618" si="41">IF(P615="en cours",N615,IF(P615="OK",0,IF(N615-P615&lt;0,0,N615-P615)))</f>
        <v>0</v>
      </c>
      <c r="R615" s="24">
        <f t="shared" si="40"/>
        <v>36.119999999999997</v>
      </c>
      <c r="S615" s="5"/>
      <c r="T615" s="5"/>
    </row>
    <row r="616" spans="2:20" ht="15.75" hidden="1" x14ac:dyDescent="0.25">
      <c r="B616" s="21" t="s">
        <v>395</v>
      </c>
      <c r="C616" s="22" t="s">
        <v>2427</v>
      </c>
      <c r="D616" s="22"/>
      <c r="E616" s="21" t="s">
        <v>10</v>
      </c>
      <c r="F616" s="21"/>
      <c r="G616" s="147" t="s">
        <v>98</v>
      </c>
      <c r="H616" s="23" t="s">
        <v>1067</v>
      </c>
      <c r="I616" s="23"/>
      <c r="J616" s="21" t="s">
        <v>1071</v>
      </c>
      <c r="K616" s="21"/>
      <c r="L616" s="21"/>
      <c r="M616" s="26" t="s">
        <v>1172</v>
      </c>
      <c r="N616" s="44">
        <v>36.119999999999997</v>
      </c>
      <c r="O616" s="22" t="s">
        <v>15</v>
      </c>
      <c r="P616" s="22" t="s">
        <v>19</v>
      </c>
      <c r="Q616" s="24">
        <f t="shared" si="41"/>
        <v>0</v>
      </c>
      <c r="R616" s="24">
        <f t="shared" si="40"/>
        <v>36.119999999999997</v>
      </c>
      <c r="S616" s="5"/>
      <c r="T616" s="5"/>
    </row>
    <row r="617" spans="2:20" ht="15.75" hidden="1" x14ac:dyDescent="0.25">
      <c r="B617" s="21" t="s">
        <v>395</v>
      </c>
      <c r="C617" s="22" t="s">
        <v>2427</v>
      </c>
      <c r="D617" s="22"/>
      <c r="E617" s="21" t="s">
        <v>10</v>
      </c>
      <c r="F617" s="21"/>
      <c r="G617" s="147" t="s">
        <v>98</v>
      </c>
      <c r="H617" s="23" t="s">
        <v>1067</v>
      </c>
      <c r="I617" s="23"/>
      <c r="J617" s="21" t="s">
        <v>1072</v>
      </c>
      <c r="K617" s="21"/>
      <c r="L617" s="21"/>
      <c r="M617" s="26" t="s">
        <v>1172</v>
      </c>
      <c r="N617" s="44">
        <v>180.8</v>
      </c>
      <c r="O617" s="22" t="s">
        <v>15</v>
      </c>
      <c r="P617" s="22" t="s">
        <v>19</v>
      </c>
      <c r="Q617" s="24">
        <f t="shared" si="41"/>
        <v>0</v>
      </c>
      <c r="R617" s="24">
        <f t="shared" si="40"/>
        <v>180.8</v>
      </c>
      <c r="S617" s="5"/>
      <c r="T617" s="5"/>
    </row>
    <row r="618" spans="2:20" ht="24" hidden="1" customHeight="1" x14ac:dyDescent="0.25">
      <c r="B618" s="5"/>
      <c r="C618" s="4" t="s">
        <v>2427</v>
      </c>
      <c r="D618" s="4"/>
      <c r="E618" s="5" t="s">
        <v>10</v>
      </c>
      <c r="F618" s="5"/>
      <c r="G618" s="146" t="s">
        <v>98</v>
      </c>
      <c r="H618" s="7" t="s">
        <v>1067</v>
      </c>
      <c r="I618" s="7"/>
      <c r="J618" s="14" t="s">
        <v>1171</v>
      </c>
      <c r="K618" s="13"/>
      <c r="L618" s="14"/>
      <c r="M618" s="26" t="s">
        <v>1172</v>
      </c>
      <c r="N618" s="45">
        <v>610.20000000000005</v>
      </c>
      <c r="O618" s="4" t="s">
        <v>15</v>
      </c>
      <c r="P618" s="4">
        <f>50.85</f>
        <v>50.85</v>
      </c>
      <c r="Q618" s="3">
        <f t="shared" si="41"/>
        <v>559.35</v>
      </c>
      <c r="R618" s="25">
        <f t="shared" si="40"/>
        <v>50.85</v>
      </c>
      <c r="S618" s="5"/>
      <c r="T618" s="5"/>
    </row>
    <row r="619" spans="2:20" ht="15.75" hidden="1" x14ac:dyDescent="0.25">
      <c r="B619" s="32" t="s">
        <v>395</v>
      </c>
      <c r="C619" s="33" t="s">
        <v>2427</v>
      </c>
      <c r="D619" s="33"/>
      <c r="E619" s="32" t="s">
        <v>0</v>
      </c>
      <c r="F619" s="32"/>
      <c r="G619" s="155" t="s">
        <v>1073</v>
      </c>
      <c r="H619" s="34" t="s">
        <v>1074</v>
      </c>
      <c r="I619" s="34"/>
      <c r="J619" s="32" t="s">
        <v>2437</v>
      </c>
      <c r="K619" s="21"/>
      <c r="L619" s="32" t="s">
        <v>2395</v>
      </c>
      <c r="M619" s="26">
        <v>43693</v>
      </c>
      <c r="N619" s="93">
        <v>11416</v>
      </c>
      <c r="O619" s="33" t="s">
        <v>15</v>
      </c>
      <c r="P619" s="22">
        <v>15236.07</v>
      </c>
      <c r="Q619" s="36">
        <f t="shared" ref="Q619:Q682" si="42">IF(P619="en cours",N619,IF(P619="OK",0,IF(N619-P619&lt;0,0,N619-P619)))</f>
        <v>0</v>
      </c>
      <c r="R619" s="36">
        <f t="shared" ref="R619:R682" si="43">IF(P619="OK",N619-Q619,IF(P619="en cours",N619-Q619,P619))</f>
        <v>15236.07</v>
      </c>
      <c r="S619" s="5"/>
      <c r="T619" s="5"/>
    </row>
    <row r="620" spans="2:20" ht="15.75" hidden="1" x14ac:dyDescent="0.25">
      <c r="B620" s="32" t="s">
        <v>395</v>
      </c>
      <c r="C620" s="33" t="s">
        <v>2427</v>
      </c>
      <c r="D620" s="33"/>
      <c r="E620" s="32" t="s">
        <v>0</v>
      </c>
      <c r="F620" s="32"/>
      <c r="G620" s="155" t="s">
        <v>1073</v>
      </c>
      <c r="H620" s="34" t="s">
        <v>1074</v>
      </c>
      <c r="I620" s="34"/>
      <c r="J620" s="32" t="s">
        <v>1075</v>
      </c>
      <c r="K620" s="21"/>
      <c r="L620" s="32" t="s">
        <v>2395</v>
      </c>
      <c r="M620" s="26">
        <v>43693</v>
      </c>
      <c r="N620" s="93">
        <v>570.79999999999995</v>
      </c>
      <c r="O620" s="33" t="s">
        <v>15</v>
      </c>
      <c r="P620" s="22">
        <v>761.8</v>
      </c>
      <c r="Q620" s="36">
        <f t="shared" si="42"/>
        <v>0</v>
      </c>
      <c r="R620" s="36">
        <f t="shared" si="43"/>
        <v>761.8</v>
      </c>
      <c r="S620" s="5"/>
      <c r="T620" s="5"/>
    </row>
    <row r="621" spans="2:20" ht="15.75" hidden="1" x14ac:dyDescent="0.25">
      <c r="B621" s="21" t="s">
        <v>395</v>
      </c>
      <c r="C621" s="22" t="s">
        <v>2450</v>
      </c>
      <c r="D621" s="22"/>
      <c r="E621" s="21" t="s">
        <v>10</v>
      </c>
      <c r="F621" s="21"/>
      <c r="G621" s="147" t="s">
        <v>239</v>
      </c>
      <c r="H621" s="23" t="s">
        <v>1078</v>
      </c>
      <c r="I621" s="23"/>
      <c r="J621" s="21" t="s">
        <v>1076</v>
      </c>
      <c r="K621" s="21"/>
      <c r="L621" s="21"/>
      <c r="M621" s="26" t="s">
        <v>1456</v>
      </c>
      <c r="N621" s="44">
        <f>0.5*4920</f>
        <v>2460</v>
      </c>
      <c r="O621" s="22" t="s">
        <v>15</v>
      </c>
      <c r="P621" s="22" t="s">
        <v>19</v>
      </c>
      <c r="Q621" s="24">
        <f t="shared" si="42"/>
        <v>0</v>
      </c>
      <c r="R621" s="24">
        <f t="shared" si="43"/>
        <v>2460</v>
      </c>
      <c r="S621" s="5"/>
      <c r="T621" s="5"/>
    </row>
    <row r="622" spans="2:20" ht="15.75" hidden="1" x14ac:dyDescent="0.25">
      <c r="B622" s="21" t="s">
        <v>395</v>
      </c>
      <c r="C622" s="22" t="s">
        <v>2450</v>
      </c>
      <c r="D622" s="22"/>
      <c r="E622" s="21" t="s">
        <v>10</v>
      </c>
      <c r="F622" s="21"/>
      <c r="G622" s="147" t="s">
        <v>239</v>
      </c>
      <c r="H622" s="23" t="s">
        <v>1078</v>
      </c>
      <c r="I622" s="23"/>
      <c r="J622" s="21" t="s">
        <v>1077</v>
      </c>
      <c r="K622" s="21"/>
      <c r="L622" s="21"/>
      <c r="M622" s="26" t="s">
        <v>1456</v>
      </c>
      <c r="N622" s="44">
        <f>0.5*4920</f>
        <v>2460</v>
      </c>
      <c r="O622" s="22" t="s">
        <v>15</v>
      </c>
      <c r="P622" s="22" t="s">
        <v>19</v>
      </c>
      <c r="Q622" s="24">
        <f t="shared" si="42"/>
        <v>0</v>
      </c>
      <c r="R622" s="24">
        <f t="shared" si="43"/>
        <v>2460</v>
      </c>
      <c r="S622" s="5"/>
      <c r="T622" s="5"/>
    </row>
    <row r="623" spans="2:20" ht="15.75" hidden="1" x14ac:dyDescent="0.25">
      <c r="B623" s="32" t="s">
        <v>395</v>
      </c>
      <c r="C623" s="22" t="s">
        <v>3980</v>
      </c>
      <c r="D623" s="33"/>
      <c r="E623" s="32" t="s">
        <v>10</v>
      </c>
      <c r="F623" s="32"/>
      <c r="G623" s="155" t="s">
        <v>487</v>
      </c>
      <c r="H623" s="34" t="s">
        <v>1139</v>
      </c>
      <c r="I623" s="34"/>
      <c r="J623" s="32" t="s">
        <v>489</v>
      </c>
      <c r="K623" s="21"/>
      <c r="L623" s="32" t="s">
        <v>3304</v>
      </c>
      <c r="M623" s="26" t="s">
        <v>3305</v>
      </c>
      <c r="N623" s="93">
        <v>5000</v>
      </c>
      <c r="O623" s="33" t="s">
        <v>15</v>
      </c>
      <c r="P623" s="22" t="s">
        <v>19</v>
      </c>
      <c r="Q623" s="36">
        <f t="shared" si="42"/>
        <v>0</v>
      </c>
      <c r="R623" s="37">
        <f t="shared" si="43"/>
        <v>5000</v>
      </c>
      <c r="S623" s="5"/>
      <c r="T623" s="5"/>
    </row>
    <row r="624" spans="2:20" ht="15.75" hidden="1" x14ac:dyDescent="0.25">
      <c r="B624" s="32" t="s">
        <v>395</v>
      </c>
      <c r="C624" s="22" t="s">
        <v>3980</v>
      </c>
      <c r="D624" s="33"/>
      <c r="E624" s="32" t="s">
        <v>10</v>
      </c>
      <c r="F624" s="32"/>
      <c r="G624" s="155" t="s">
        <v>487</v>
      </c>
      <c r="H624" s="34" t="s">
        <v>1099</v>
      </c>
      <c r="I624" s="34"/>
      <c r="J624" s="32" t="s">
        <v>489</v>
      </c>
      <c r="K624" s="21"/>
      <c r="L624" s="32"/>
      <c r="M624" s="35" t="s">
        <v>1102</v>
      </c>
      <c r="N624" s="93">
        <v>5000</v>
      </c>
      <c r="O624" s="33" t="s">
        <v>15</v>
      </c>
      <c r="P624" s="22" t="s">
        <v>19</v>
      </c>
      <c r="Q624" s="36">
        <f t="shared" si="42"/>
        <v>0</v>
      </c>
      <c r="R624" s="37">
        <f t="shared" si="43"/>
        <v>5000</v>
      </c>
      <c r="S624" s="5"/>
      <c r="T624" s="5"/>
    </row>
    <row r="625" spans="1:20" ht="15.75" hidden="1" x14ac:dyDescent="0.25">
      <c r="B625" s="32" t="s">
        <v>395</v>
      </c>
      <c r="C625" s="33" t="s">
        <v>2450</v>
      </c>
      <c r="D625" s="33"/>
      <c r="E625" s="32" t="s">
        <v>10</v>
      </c>
      <c r="F625" s="32"/>
      <c r="G625" s="155" t="s">
        <v>1103</v>
      </c>
      <c r="H625" s="34" t="s">
        <v>1104</v>
      </c>
      <c r="I625" s="34"/>
      <c r="J625" s="32" t="s">
        <v>1105</v>
      </c>
      <c r="K625" s="21"/>
      <c r="L625" s="32" t="s">
        <v>2782</v>
      </c>
      <c r="M625" s="35">
        <v>43446</v>
      </c>
      <c r="N625" s="93">
        <f>0.6*47560</f>
        <v>28536</v>
      </c>
      <c r="O625" s="33" t="s">
        <v>276</v>
      </c>
      <c r="P625" s="22" t="s">
        <v>19</v>
      </c>
      <c r="Q625" s="36">
        <f t="shared" si="42"/>
        <v>0</v>
      </c>
      <c r="R625" s="119">
        <f t="shared" si="43"/>
        <v>28536</v>
      </c>
      <c r="S625" s="5"/>
      <c r="T625" s="5"/>
    </row>
    <row r="626" spans="1:20" ht="15.75" hidden="1" x14ac:dyDescent="0.25">
      <c r="B626" s="32" t="s">
        <v>395</v>
      </c>
      <c r="C626" s="33" t="s">
        <v>2450</v>
      </c>
      <c r="D626" s="33"/>
      <c r="E626" s="32" t="s">
        <v>10</v>
      </c>
      <c r="F626" s="32"/>
      <c r="G626" s="155" t="s">
        <v>1103</v>
      </c>
      <c r="H626" s="34" t="s">
        <v>1104</v>
      </c>
      <c r="I626" s="34"/>
      <c r="J626" s="32" t="s">
        <v>1732</v>
      </c>
      <c r="K626" s="21"/>
      <c r="L626" s="32" t="s">
        <v>2784</v>
      </c>
      <c r="M626" s="35" t="s">
        <v>2783</v>
      </c>
      <c r="N626" s="93">
        <f>0.4*47560</f>
        <v>19024</v>
      </c>
      <c r="O626" s="33" t="s">
        <v>276</v>
      </c>
      <c r="P626" s="22" t="s">
        <v>19</v>
      </c>
      <c r="Q626" s="36">
        <f t="shared" si="42"/>
        <v>0</v>
      </c>
      <c r="R626" s="119">
        <f t="shared" si="43"/>
        <v>19024</v>
      </c>
      <c r="S626" s="5"/>
      <c r="T626" s="5"/>
    </row>
    <row r="627" spans="1:20" ht="15.75" hidden="1" x14ac:dyDescent="0.25">
      <c r="B627" s="32" t="s">
        <v>395</v>
      </c>
      <c r="C627" s="33" t="s">
        <v>2450</v>
      </c>
      <c r="D627" s="33"/>
      <c r="E627" s="32" t="s">
        <v>10</v>
      </c>
      <c r="F627" s="32"/>
      <c r="G627" s="155" t="s">
        <v>1103</v>
      </c>
      <c r="H627" s="34" t="s">
        <v>1138</v>
      </c>
      <c r="I627" s="34"/>
      <c r="J627" s="32" t="s">
        <v>1735</v>
      </c>
      <c r="K627" s="21"/>
      <c r="L627" s="32" t="s">
        <v>2785</v>
      </c>
      <c r="M627" s="35">
        <v>43446</v>
      </c>
      <c r="N627" s="93">
        <f>0.6*47980</f>
        <v>28788</v>
      </c>
      <c r="O627" s="33" t="s">
        <v>276</v>
      </c>
      <c r="P627" s="22" t="s">
        <v>19</v>
      </c>
      <c r="Q627" s="36">
        <f t="shared" si="42"/>
        <v>0</v>
      </c>
      <c r="R627" s="119">
        <f t="shared" si="43"/>
        <v>28788</v>
      </c>
      <c r="S627" s="5"/>
      <c r="T627" s="5"/>
    </row>
    <row r="628" spans="1:20" ht="15.75" hidden="1" x14ac:dyDescent="0.25">
      <c r="B628" s="32" t="s">
        <v>395</v>
      </c>
      <c r="C628" s="33" t="s">
        <v>2450</v>
      </c>
      <c r="D628" s="33"/>
      <c r="E628" s="32" t="s">
        <v>10</v>
      </c>
      <c r="F628" s="32"/>
      <c r="G628" s="155" t="s">
        <v>1103</v>
      </c>
      <c r="H628" s="34" t="s">
        <v>1138</v>
      </c>
      <c r="I628" s="34"/>
      <c r="J628" s="32" t="s">
        <v>1736</v>
      </c>
      <c r="K628" s="21"/>
      <c r="L628" s="32" t="s">
        <v>2796</v>
      </c>
      <c r="M628" s="35">
        <v>43852</v>
      </c>
      <c r="N628" s="93">
        <f>0.4*47980</f>
        <v>19192</v>
      </c>
      <c r="O628" s="33" t="s">
        <v>276</v>
      </c>
      <c r="P628" s="22" t="s">
        <v>19</v>
      </c>
      <c r="Q628" s="36">
        <f t="shared" si="42"/>
        <v>0</v>
      </c>
      <c r="R628" s="119">
        <f t="shared" si="43"/>
        <v>19192</v>
      </c>
      <c r="S628" s="5"/>
      <c r="T628" s="5"/>
    </row>
    <row r="629" spans="1:20" ht="15.75" hidden="1" x14ac:dyDescent="0.25">
      <c r="B629" s="32" t="s">
        <v>395</v>
      </c>
      <c r="C629" s="33" t="s">
        <v>2450</v>
      </c>
      <c r="D629" s="33"/>
      <c r="E629" s="32" t="s">
        <v>10</v>
      </c>
      <c r="F629" s="32"/>
      <c r="G629" s="155" t="s">
        <v>1103</v>
      </c>
      <c r="H629" s="34" t="s">
        <v>1137</v>
      </c>
      <c r="I629" s="34"/>
      <c r="J629" s="32" t="s">
        <v>1733</v>
      </c>
      <c r="K629" s="21"/>
      <c r="L629" s="32" t="s">
        <v>2786</v>
      </c>
      <c r="M629" s="35">
        <v>43446</v>
      </c>
      <c r="N629" s="93">
        <f>0.6*61650</f>
        <v>36990</v>
      </c>
      <c r="O629" s="33" t="s">
        <v>276</v>
      </c>
      <c r="P629" s="22" t="s">
        <v>19</v>
      </c>
      <c r="Q629" s="36">
        <f t="shared" si="42"/>
        <v>0</v>
      </c>
      <c r="R629" s="119">
        <f t="shared" si="43"/>
        <v>36990</v>
      </c>
      <c r="S629" s="5"/>
      <c r="T629" s="5"/>
    </row>
    <row r="630" spans="1:20" ht="15.75" hidden="1" x14ac:dyDescent="0.25">
      <c r="B630" s="21" t="s">
        <v>395</v>
      </c>
      <c r="C630" s="22" t="s">
        <v>2450</v>
      </c>
      <c r="D630" s="22"/>
      <c r="E630" s="21" t="s">
        <v>10</v>
      </c>
      <c r="F630" s="21"/>
      <c r="G630" s="147" t="s">
        <v>1103</v>
      </c>
      <c r="H630" s="23" t="s">
        <v>1137</v>
      </c>
      <c r="I630" s="23"/>
      <c r="J630" s="21" t="s">
        <v>1734</v>
      </c>
      <c r="K630" s="21"/>
      <c r="L630" s="21" t="s">
        <v>2787</v>
      </c>
      <c r="M630" s="26">
        <v>43654</v>
      </c>
      <c r="N630" s="44">
        <f>0.4*61650</f>
        <v>24660</v>
      </c>
      <c r="O630" s="22" t="s">
        <v>276</v>
      </c>
      <c r="P630" s="22" t="s">
        <v>19</v>
      </c>
      <c r="Q630" s="24">
        <f t="shared" si="42"/>
        <v>0</v>
      </c>
      <c r="R630" s="24">
        <f t="shared" si="43"/>
        <v>24660</v>
      </c>
      <c r="S630" s="5"/>
      <c r="T630" s="5"/>
    </row>
    <row r="631" spans="1:20" ht="15.75" hidden="1" x14ac:dyDescent="0.25">
      <c r="B631" s="21" t="s">
        <v>395</v>
      </c>
      <c r="C631" s="22" t="s">
        <v>2459</v>
      </c>
      <c r="D631" s="22"/>
      <c r="E631" s="21" t="s">
        <v>75</v>
      </c>
      <c r="F631" s="21"/>
      <c r="G631" s="147" t="s">
        <v>155</v>
      </c>
      <c r="H631" s="23" t="s">
        <v>1109</v>
      </c>
      <c r="I631" s="23"/>
      <c r="J631" s="21" t="s">
        <v>1110</v>
      </c>
      <c r="K631" s="21"/>
      <c r="L631" s="21"/>
      <c r="M631" s="26" t="s">
        <v>1169</v>
      </c>
      <c r="N631" s="44">
        <v>8808</v>
      </c>
      <c r="O631" s="22" t="s">
        <v>15</v>
      </c>
      <c r="P631" s="22" t="s">
        <v>19</v>
      </c>
      <c r="Q631" s="24">
        <f t="shared" si="42"/>
        <v>0</v>
      </c>
      <c r="R631" s="24">
        <f t="shared" si="43"/>
        <v>8808</v>
      </c>
      <c r="S631" s="5"/>
      <c r="T631" s="5"/>
    </row>
    <row r="632" spans="1:20" ht="15.75" hidden="1" x14ac:dyDescent="0.25">
      <c r="B632" s="21" t="s">
        <v>395</v>
      </c>
      <c r="C632" s="22" t="s">
        <v>2459</v>
      </c>
      <c r="D632" s="22"/>
      <c r="E632" s="21" t="s">
        <v>75</v>
      </c>
      <c r="F632" s="21"/>
      <c r="G632" s="147" t="s">
        <v>155</v>
      </c>
      <c r="H632" s="23" t="s">
        <v>1109</v>
      </c>
      <c r="I632" s="23"/>
      <c r="J632" s="21" t="s">
        <v>1111</v>
      </c>
      <c r="K632" s="21"/>
      <c r="L632" s="21"/>
      <c r="M632" s="26" t="s">
        <v>1409</v>
      </c>
      <c r="N632" s="44">
        <v>8808</v>
      </c>
      <c r="O632" s="22" t="s">
        <v>15</v>
      </c>
      <c r="P632" s="22" t="s">
        <v>19</v>
      </c>
      <c r="Q632" s="24">
        <f t="shared" si="42"/>
        <v>0</v>
      </c>
      <c r="R632" s="24">
        <f t="shared" si="43"/>
        <v>8808</v>
      </c>
      <c r="S632" s="5"/>
      <c r="T632" s="5"/>
    </row>
    <row r="633" spans="1:20" ht="15.75" hidden="1" x14ac:dyDescent="0.25">
      <c r="B633" s="21" t="s">
        <v>395</v>
      </c>
      <c r="C633" s="22" t="s">
        <v>2459</v>
      </c>
      <c r="D633" s="22"/>
      <c r="E633" s="21" t="s">
        <v>75</v>
      </c>
      <c r="F633" s="21"/>
      <c r="G633" s="147" t="s">
        <v>155</v>
      </c>
      <c r="H633" s="23" t="s">
        <v>1109</v>
      </c>
      <c r="I633" s="23"/>
      <c r="J633" s="21" t="s">
        <v>1112</v>
      </c>
      <c r="K633" s="21"/>
      <c r="L633" s="21"/>
      <c r="M633" s="26" t="s">
        <v>1568</v>
      </c>
      <c r="N633" s="44">
        <v>17616</v>
      </c>
      <c r="O633" s="22" t="s">
        <v>15</v>
      </c>
      <c r="P633" s="22" t="s">
        <v>19</v>
      </c>
      <c r="Q633" s="24">
        <f t="shared" si="42"/>
        <v>0</v>
      </c>
      <c r="R633" s="24">
        <f t="shared" si="43"/>
        <v>17616</v>
      </c>
      <c r="S633" s="5"/>
      <c r="T633" s="5"/>
    </row>
    <row r="634" spans="1:20" ht="15.75" hidden="1" x14ac:dyDescent="0.25">
      <c r="B634" s="21" t="s">
        <v>395</v>
      </c>
      <c r="C634" s="22" t="s">
        <v>2459</v>
      </c>
      <c r="D634" s="22"/>
      <c r="E634" s="21" t="s">
        <v>75</v>
      </c>
      <c r="F634" s="21"/>
      <c r="G634" s="147" t="s">
        <v>155</v>
      </c>
      <c r="H634" s="23" t="s">
        <v>1109</v>
      </c>
      <c r="I634" s="23"/>
      <c r="J634" s="21" t="s">
        <v>1113</v>
      </c>
      <c r="K634" s="21"/>
      <c r="L634" s="21"/>
      <c r="M634" s="26" t="s">
        <v>1706</v>
      </c>
      <c r="N634" s="44">
        <v>8808</v>
      </c>
      <c r="O634" s="22" t="s">
        <v>15</v>
      </c>
      <c r="P634" s="22" t="s">
        <v>19</v>
      </c>
      <c r="Q634" s="24">
        <f t="shared" si="42"/>
        <v>0</v>
      </c>
      <c r="R634" s="24">
        <f t="shared" si="43"/>
        <v>8808</v>
      </c>
      <c r="S634" s="5"/>
      <c r="T634" s="5"/>
    </row>
    <row r="635" spans="1:20" ht="15.75" hidden="1" x14ac:dyDescent="0.25">
      <c r="A635" t="s">
        <v>6753</v>
      </c>
      <c r="B635" s="21" t="s">
        <v>395</v>
      </c>
      <c r="C635" s="22" t="s">
        <v>2456</v>
      </c>
      <c r="D635" s="22"/>
      <c r="E635" s="21" t="s">
        <v>10</v>
      </c>
      <c r="F635" s="21"/>
      <c r="G635" s="147" t="s">
        <v>98</v>
      </c>
      <c r="H635" s="23" t="s">
        <v>1114</v>
      </c>
      <c r="I635" s="23"/>
      <c r="J635" s="21" t="s">
        <v>1115</v>
      </c>
      <c r="K635" s="21"/>
      <c r="L635" s="21"/>
      <c r="M635" s="26" t="s">
        <v>1173</v>
      </c>
      <c r="N635" s="44">
        <v>537.24</v>
      </c>
      <c r="O635" s="22" t="s">
        <v>15</v>
      </c>
      <c r="P635" s="22" t="s">
        <v>19</v>
      </c>
      <c r="Q635" s="24">
        <f t="shared" si="42"/>
        <v>0</v>
      </c>
      <c r="R635" s="24">
        <f t="shared" si="43"/>
        <v>537.24</v>
      </c>
      <c r="S635" s="5"/>
      <c r="T635" s="5"/>
    </row>
    <row r="636" spans="1:20" ht="15.75" hidden="1" x14ac:dyDescent="0.25">
      <c r="B636" s="21" t="s">
        <v>395</v>
      </c>
      <c r="C636" s="22" t="s">
        <v>2450</v>
      </c>
      <c r="D636" s="22"/>
      <c r="E636" s="21" t="s">
        <v>0</v>
      </c>
      <c r="F636" s="21"/>
      <c r="G636" s="147" t="s">
        <v>522</v>
      </c>
      <c r="H636" s="23" t="s">
        <v>1132</v>
      </c>
      <c r="I636" s="23"/>
      <c r="J636" s="21" t="s">
        <v>1133</v>
      </c>
      <c r="K636" s="21"/>
      <c r="L636" s="21"/>
      <c r="M636" s="26" t="s">
        <v>1223</v>
      </c>
      <c r="N636" s="44">
        <v>300</v>
      </c>
      <c r="O636" s="22" t="s">
        <v>15</v>
      </c>
      <c r="P636" s="22" t="s">
        <v>19</v>
      </c>
      <c r="Q636" s="24">
        <f t="shared" si="42"/>
        <v>0</v>
      </c>
      <c r="R636" s="24">
        <f t="shared" si="43"/>
        <v>300</v>
      </c>
      <c r="S636" s="5" t="s">
        <v>1224</v>
      </c>
      <c r="T636" s="5"/>
    </row>
    <row r="637" spans="1:20" ht="15.75" hidden="1" x14ac:dyDescent="0.25">
      <c r="B637" s="21" t="s">
        <v>395</v>
      </c>
      <c r="C637" s="22" t="s">
        <v>2450</v>
      </c>
      <c r="D637" s="22"/>
      <c r="E637" s="21" t="s">
        <v>10</v>
      </c>
      <c r="F637" s="21"/>
      <c r="G637" s="147" t="s">
        <v>1103</v>
      </c>
      <c r="H637" s="23" t="s">
        <v>1134</v>
      </c>
      <c r="I637" s="23"/>
      <c r="J637" s="21" t="s">
        <v>1135</v>
      </c>
      <c r="K637" s="21"/>
      <c r="L637" s="21" t="s">
        <v>2788</v>
      </c>
      <c r="M637" s="26">
        <v>43446</v>
      </c>
      <c r="N637" s="44">
        <f>0.6*25550</f>
        <v>15330</v>
      </c>
      <c r="O637" s="22" t="s">
        <v>276</v>
      </c>
      <c r="P637" s="22" t="s">
        <v>19</v>
      </c>
      <c r="Q637" s="24">
        <f t="shared" si="42"/>
        <v>0</v>
      </c>
      <c r="R637" s="24">
        <f t="shared" si="43"/>
        <v>15330</v>
      </c>
      <c r="S637" s="5"/>
      <c r="T637" s="5"/>
    </row>
    <row r="638" spans="1:20" ht="15.75" hidden="1" x14ac:dyDescent="0.25">
      <c r="B638" s="21" t="s">
        <v>395</v>
      </c>
      <c r="C638" s="22" t="s">
        <v>2450</v>
      </c>
      <c r="D638" s="22"/>
      <c r="E638" s="21" t="s">
        <v>10</v>
      </c>
      <c r="F638" s="21"/>
      <c r="G638" s="147" t="s">
        <v>1103</v>
      </c>
      <c r="H638" s="23" t="s">
        <v>1134</v>
      </c>
      <c r="I638" s="23"/>
      <c r="J638" s="21" t="s">
        <v>1136</v>
      </c>
      <c r="K638" s="21"/>
      <c r="L638" s="21" t="s">
        <v>2789</v>
      </c>
      <c r="M638" s="26">
        <v>43607</v>
      </c>
      <c r="N638" s="44">
        <f>0.4*25550</f>
        <v>10220</v>
      </c>
      <c r="O638" s="22" t="s">
        <v>276</v>
      </c>
      <c r="P638" s="22" t="s">
        <v>19</v>
      </c>
      <c r="Q638" s="24">
        <f t="shared" si="42"/>
        <v>0</v>
      </c>
      <c r="R638" s="24">
        <f t="shared" si="43"/>
        <v>10220</v>
      </c>
      <c r="S638" s="5"/>
      <c r="T638" s="5"/>
    </row>
    <row r="639" spans="1:20" ht="15.75" hidden="1" x14ac:dyDescent="0.25">
      <c r="B639" s="21" t="s">
        <v>395</v>
      </c>
      <c r="C639" s="22" t="s">
        <v>2459</v>
      </c>
      <c r="D639" s="22"/>
      <c r="E639" s="21" t="s">
        <v>75</v>
      </c>
      <c r="F639" s="21"/>
      <c r="G639" s="147" t="s">
        <v>210</v>
      </c>
      <c r="H639" s="23" t="s">
        <v>1509</v>
      </c>
      <c r="I639" s="23"/>
      <c r="J639" s="21" t="s">
        <v>1140</v>
      </c>
      <c r="K639" s="21"/>
      <c r="L639" s="21"/>
      <c r="M639" s="120" t="s">
        <v>3085</v>
      </c>
      <c r="N639" s="44">
        <v>78160</v>
      </c>
      <c r="O639" s="22" t="s">
        <v>15</v>
      </c>
      <c r="P639" s="44">
        <f>50525+12840+540+3240+900+3600+3610+2700+7695</f>
        <v>85650</v>
      </c>
      <c r="Q639" s="24">
        <f t="shared" si="42"/>
        <v>0</v>
      </c>
      <c r="R639" s="24">
        <f t="shared" si="43"/>
        <v>85650</v>
      </c>
      <c r="S639" s="5" t="s">
        <v>6160</v>
      </c>
      <c r="T639" s="5"/>
    </row>
    <row r="640" spans="1:20" ht="15.75" hidden="1" x14ac:dyDescent="0.25">
      <c r="B640" s="21" t="s">
        <v>395</v>
      </c>
      <c r="C640" s="22" t="s">
        <v>2459</v>
      </c>
      <c r="D640" s="22"/>
      <c r="E640" s="21" t="s">
        <v>75</v>
      </c>
      <c r="F640" s="21"/>
      <c r="G640" s="147" t="s">
        <v>210</v>
      </c>
      <c r="H640" s="23" t="s">
        <v>1509</v>
      </c>
      <c r="I640" s="23"/>
      <c r="J640" s="21" t="s">
        <v>180</v>
      </c>
      <c r="K640" s="21"/>
      <c r="L640" s="21"/>
      <c r="M640" s="120" t="s">
        <v>6159</v>
      </c>
      <c r="N640" s="44">
        <v>19700</v>
      </c>
      <c r="O640" s="22" t="s">
        <v>15</v>
      </c>
      <c r="P640" s="44">
        <f>4132.95+1043.43+156.08+502.74+323.36+84.55+295.07+845.74+676.57</f>
        <v>8060.4899999999989</v>
      </c>
      <c r="Q640" s="24">
        <f t="shared" si="42"/>
        <v>11639.510000000002</v>
      </c>
      <c r="R640" s="24">
        <f t="shared" si="43"/>
        <v>8060.4899999999989</v>
      </c>
      <c r="S640" s="5"/>
      <c r="T640" s="5"/>
    </row>
    <row r="641" spans="2:20" ht="15.75" hidden="1" x14ac:dyDescent="0.25">
      <c r="B641" s="21" t="s">
        <v>395</v>
      </c>
      <c r="C641" s="22" t="s">
        <v>2459</v>
      </c>
      <c r="D641" s="22"/>
      <c r="E641" s="21" t="s">
        <v>75</v>
      </c>
      <c r="F641" s="21"/>
      <c r="G641" s="147" t="s">
        <v>1142</v>
      </c>
      <c r="H641" s="23" t="s">
        <v>1246</v>
      </c>
      <c r="I641" s="23"/>
      <c r="J641" s="21" t="s">
        <v>1143</v>
      </c>
      <c r="K641" s="21"/>
      <c r="L641" s="21"/>
      <c r="M641" s="23" t="s">
        <v>1335</v>
      </c>
      <c r="N641" s="44">
        <f>0.3*238661</f>
        <v>71598.3</v>
      </c>
      <c r="O641" s="22" t="s">
        <v>15</v>
      </c>
      <c r="P641" s="44">
        <f>62505+9093.3</f>
        <v>71598.3</v>
      </c>
      <c r="Q641" s="24">
        <f t="shared" si="42"/>
        <v>0</v>
      </c>
      <c r="R641" s="44">
        <f t="shared" si="43"/>
        <v>71598.3</v>
      </c>
      <c r="S641" s="5" t="s">
        <v>1471</v>
      </c>
      <c r="T641" s="5"/>
    </row>
    <row r="642" spans="2:20" ht="15.75" hidden="1" x14ac:dyDescent="0.25">
      <c r="B642" s="21" t="s">
        <v>395</v>
      </c>
      <c r="C642" s="22" t="s">
        <v>2459</v>
      </c>
      <c r="D642" s="22"/>
      <c r="E642" s="21" t="s">
        <v>75</v>
      </c>
      <c r="F642" s="21"/>
      <c r="G642" s="147" t="s">
        <v>1142</v>
      </c>
      <c r="H642" s="23" t="s">
        <v>1246</v>
      </c>
      <c r="I642" s="23"/>
      <c r="J642" s="21" t="s">
        <v>1144</v>
      </c>
      <c r="K642" s="21"/>
      <c r="L642" s="21"/>
      <c r="M642" s="23" t="s">
        <v>1472</v>
      </c>
      <c r="N642" s="44">
        <v>0</v>
      </c>
      <c r="O642" s="22" t="s">
        <v>15</v>
      </c>
      <c r="P642" s="44"/>
      <c r="Q642" s="24">
        <f t="shared" si="42"/>
        <v>0</v>
      </c>
      <c r="R642" s="44">
        <f t="shared" si="43"/>
        <v>0</v>
      </c>
      <c r="S642" s="5"/>
      <c r="T642" s="5"/>
    </row>
    <row r="643" spans="2:20" ht="15.75" hidden="1" x14ac:dyDescent="0.25">
      <c r="B643" s="21" t="s">
        <v>395</v>
      </c>
      <c r="C643" s="22" t="s">
        <v>2459</v>
      </c>
      <c r="D643" s="22"/>
      <c r="E643" s="21" t="s">
        <v>75</v>
      </c>
      <c r="F643" s="21"/>
      <c r="G643" s="147" t="s">
        <v>1142</v>
      </c>
      <c r="H643" s="23" t="s">
        <v>1246</v>
      </c>
      <c r="I643" s="23"/>
      <c r="J643" s="21" t="s">
        <v>1145</v>
      </c>
      <c r="K643" s="21"/>
      <c r="L643" s="21"/>
      <c r="M643" s="23" t="s">
        <v>1472</v>
      </c>
      <c r="N643" s="44">
        <v>0</v>
      </c>
      <c r="O643" s="22" t="s">
        <v>15</v>
      </c>
      <c r="P643" s="44"/>
      <c r="Q643" s="24">
        <f t="shared" si="42"/>
        <v>0</v>
      </c>
      <c r="R643" s="44">
        <f t="shared" si="43"/>
        <v>0</v>
      </c>
      <c r="S643" s="5"/>
      <c r="T643" s="5"/>
    </row>
    <row r="644" spans="2:20" ht="15.75" hidden="1" x14ac:dyDescent="0.25">
      <c r="B644" s="21" t="s">
        <v>395</v>
      </c>
      <c r="C644" s="22" t="s">
        <v>2427</v>
      </c>
      <c r="D644" s="22"/>
      <c r="E644" s="21" t="s">
        <v>75</v>
      </c>
      <c r="F644" s="21"/>
      <c r="G644" s="147" t="s">
        <v>155</v>
      </c>
      <c r="H644" s="23" t="s">
        <v>1160</v>
      </c>
      <c r="I644" s="23"/>
      <c r="J644" s="21" t="s">
        <v>2438</v>
      </c>
      <c r="K644" s="21"/>
      <c r="L644" s="21"/>
      <c r="M644" s="26" t="s">
        <v>1161</v>
      </c>
      <c r="N644" s="44">
        <v>2250</v>
      </c>
      <c r="O644" s="22" t="s">
        <v>15</v>
      </c>
      <c r="P644" s="22" t="s">
        <v>19</v>
      </c>
      <c r="Q644" s="24">
        <f t="shared" si="42"/>
        <v>0</v>
      </c>
      <c r="R644" s="24">
        <f t="shared" si="43"/>
        <v>2250</v>
      </c>
      <c r="S644" s="5"/>
      <c r="T644" s="5"/>
    </row>
    <row r="645" spans="2:20" ht="15.75" hidden="1" x14ac:dyDescent="0.25">
      <c r="B645" s="21" t="s">
        <v>395</v>
      </c>
      <c r="C645" s="22" t="s">
        <v>2459</v>
      </c>
      <c r="D645" s="22"/>
      <c r="E645" s="21" t="s">
        <v>75</v>
      </c>
      <c r="F645" s="21"/>
      <c r="G645" s="147" t="s">
        <v>1164</v>
      </c>
      <c r="H645" s="23" t="s">
        <v>1165</v>
      </c>
      <c r="I645" s="23"/>
      <c r="J645" s="21" t="s">
        <v>1166</v>
      </c>
      <c r="K645" s="21"/>
      <c r="L645" s="21"/>
      <c r="M645" s="26"/>
      <c r="N645" s="44">
        <v>109225</v>
      </c>
      <c r="O645" s="22" t="s">
        <v>276</v>
      </c>
      <c r="P645" s="22" t="s">
        <v>19</v>
      </c>
      <c r="Q645" s="24">
        <f t="shared" si="42"/>
        <v>0</v>
      </c>
      <c r="R645" s="24">
        <f t="shared" si="43"/>
        <v>109225</v>
      </c>
      <c r="S645" s="5"/>
      <c r="T645" s="5"/>
    </row>
    <row r="646" spans="2:20" ht="15.75" hidden="1" x14ac:dyDescent="0.25">
      <c r="B646" s="21" t="s">
        <v>395</v>
      </c>
      <c r="C646" s="22" t="s">
        <v>2450</v>
      </c>
      <c r="D646" s="22"/>
      <c r="E646" s="21" t="s">
        <v>0</v>
      </c>
      <c r="F646" s="21"/>
      <c r="G646" s="147" t="s">
        <v>132</v>
      </c>
      <c r="H646" s="23" t="s">
        <v>1186</v>
      </c>
      <c r="I646" s="23"/>
      <c r="J646" s="21" t="s">
        <v>1185</v>
      </c>
      <c r="K646" s="21"/>
      <c r="L646" s="21" t="s">
        <v>1973</v>
      </c>
      <c r="M646" s="26">
        <v>43571</v>
      </c>
      <c r="N646" s="44">
        <v>26400</v>
      </c>
      <c r="O646" s="22" t="s">
        <v>15</v>
      </c>
      <c r="P646" s="22" t="s">
        <v>19</v>
      </c>
      <c r="Q646" s="24">
        <f t="shared" si="42"/>
        <v>0</v>
      </c>
      <c r="R646" s="24">
        <f t="shared" si="43"/>
        <v>26400</v>
      </c>
      <c r="S646" s="5"/>
      <c r="T646" s="5"/>
    </row>
    <row r="647" spans="2:20" ht="15.75" hidden="1" x14ac:dyDescent="0.25">
      <c r="B647" s="21" t="s">
        <v>395</v>
      </c>
      <c r="C647" s="22" t="s">
        <v>2450</v>
      </c>
      <c r="D647" s="22"/>
      <c r="E647" s="21" t="s">
        <v>0</v>
      </c>
      <c r="F647" s="21"/>
      <c r="G647" s="147" t="s">
        <v>132</v>
      </c>
      <c r="H647" s="23" t="s">
        <v>1186</v>
      </c>
      <c r="I647" s="23"/>
      <c r="J647" s="21" t="s">
        <v>1187</v>
      </c>
      <c r="K647" s="21"/>
      <c r="L647" s="21" t="s">
        <v>1974</v>
      </c>
      <c r="M647" s="26">
        <v>43626</v>
      </c>
      <c r="N647" s="44">
        <v>20500</v>
      </c>
      <c r="O647" s="22" t="s">
        <v>15</v>
      </c>
      <c r="P647" s="22" t="s">
        <v>19</v>
      </c>
      <c r="Q647" s="24">
        <f t="shared" si="42"/>
        <v>0</v>
      </c>
      <c r="R647" s="24">
        <f t="shared" si="43"/>
        <v>20500</v>
      </c>
      <c r="S647" s="5" t="s">
        <v>1539</v>
      </c>
      <c r="T647" s="5"/>
    </row>
    <row r="648" spans="2:20" ht="15.75" hidden="1" x14ac:dyDescent="0.25">
      <c r="B648" s="21" t="s">
        <v>395</v>
      </c>
      <c r="C648" s="22" t="s">
        <v>2450</v>
      </c>
      <c r="D648" s="22"/>
      <c r="E648" s="21" t="s">
        <v>0</v>
      </c>
      <c r="F648" s="21"/>
      <c r="G648" s="147" t="s">
        <v>132</v>
      </c>
      <c r="H648" s="23" t="s">
        <v>1186</v>
      </c>
      <c r="I648" s="23"/>
      <c r="J648" s="21" t="s">
        <v>1188</v>
      </c>
      <c r="K648" s="21"/>
      <c r="L648" s="21"/>
      <c r="M648" s="26">
        <v>43599</v>
      </c>
      <c r="N648" s="44">
        <v>22000</v>
      </c>
      <c r="O648" s="22" t="s">
        <v>15</v>
      </c>
      <c r="P648" s="22" t="s">
        <v>19</v>
      </c>
      <c r="Q648" s="24">
        <f t="shared" si="42"/>
        <v>0</v>
      </c>
      <c r="R648" s="24">
        <f t="shared" si="43"/>
        <v>22000</v>
      </c>
      <c r="S648" s="5"/>
      <c r="T648" s="5"/>
    </row>
    <row r="649" spans="2:20" ht="15.75" hidden="1" x14ac:dyDescent="0.25">
      <c r="B649" s="5"/>
      <c r="C649" s="4" t="s">
        <v>3980</v>
      </c>
      <c r="D649" s="4"/>
      <c r="E649" s="5" t="s">
        <v>10</v>
      </c>
      <c r="F649" s="5"/>
      <c r="G649" s="146" t="s">
        <v>487</v>
      </c>
      <c r="H649" s="7" t="s">
        <v>1302</v>
      </c>
      <c r="I649" s="7"/>
      <c r="J649" s="5" t="s">
        <v>1189</v>
      </c>
      <c r="K649" s="5"/>
      <c r="L649" s="5"/>
      <c r="M649" s="7" t="s">
        <v>1630</v>
      </c>
      <c r="N649" s="45">
        <v>9802</v>
      </c>
      <c r="O649" s="4" t="s">
        <v>15</v>
      </c>
      <c r="P649" s="4">
        <f>7554+1316</f>
        <v>8870</v>
      </c>
      <c r="Q649" s="3">
        <f t="shared" si="42"/>
        <v>932</v>
      </c>
      <c r="R649" s="3">
        <f t="shared" si="43"/>
        <v>8870</v>
      </c>
      <c r="S649" s="5" t="s">
        <v>1726</v>
      </c>
      <c r="T649" s="5"/>
    </row>
    <row r="650" spans="2:20" ht="15.75" hidden="1" x14ac:dyDescent="0.25">
      <c r="B650" s="21" t="s">
        <v>395</v>
      </c>
      <c r="C650" s="22" t="s">
        <v>2450</v>
      </c>
      <c r="D650" s="22" t="s">
        <v>1417</v>
      </c>
      <c r="E650" s="21" t="s">
        <v>10</v>
      </c>
      <c r="F650" s="21"/>
      <c r="G650" s="147" t="s">
        <v>110</v>
      </c>
      <c r="H650" s="23" t="s">
        <v>1209</v>
      </c>
      <c r="I650" s="23"/>
      <c r="J650" s="21" t="s">
        <v>1600</v>
      </c>
      <c r="K650" s="21"/>
      <c r="L650" s="21" t="s">
        <v>2180</v>
      </c>
      <c r="M650" s="26">
        <v>43516</v>
      </c>
      <c r="N650" s="44">
        <f>0.67*15500</f>
        <v>10385</v>
      </c>
      <c r="O650" s="22" t="s">
        <v>15</v>
      </c>
      <c r="P650" s="22" t="s">
        <v>19</v>
      </c>
      <c r="Q650" s="24">
        <f t="shared" si="42"/>
        <v>0</v>
      </c>
      <c r="R650" s="24">
        <f t="shared" si="43"/>
        <v>10385</v>
      </c>
      <c r="S650" s="5"/>
      <c r="T650" s="5"/>
    </row>
    <row r="651" spans="2:20" ht="15.75" hidden="1" x14ac:dyDescent="0.25">
      <c r="B651" s="21" t="s">
        <v>395</v>
      </c>
      <c r="C651" s="22" t="s">
        <v>2450</v>
      </c>
      <c r="D651" s="22" t="s">
        <v>1417</v>
      </c>
      <c r="E651" s="21" t="s">
        <v>10</v>
      </c>
      <c r="F651" s="21"/>
      <c r="G651" s="147" t="s">
        <v>110</v>
      </c>
      <c r="H651" s="23" t="s">
        <v>1209</v>
      </c>
      <c r="I651" s="23"/>
      <c r="J651" s="21" t="s">
        <v>1601</v>
      </c>
      <c r="K651" s="21"/>
      <c r="L651" s="21" t="s">
        <v>2514</v>
      </c>
      <c r="M651" s="26">
        <v>43774</v>
      </c>
      <c r="N651" s="44">
        <f>0.33*15500</f>
        <v>5115</v>
      </c>
      <c r="O651" s="22" t="s">
        <v>15</v>
      </c>
      <c r="P651" s="22" t="s">
        <v>19</v>
      </c>
      <c r="Q651" s="24">
        <f t="shared" si="42"/>
        <v>0</v>
      </c>
      <c r="R651" s="24">
        <f t="shared" si="43"/>
        <v>5115</v>
      </c>
      <c r="S651" s="5"/>
      <c r="T651" s="5"/>
    </row>
    <row r="652" spans="2:20" ht="15.75" hidden="1" x14ac:dyDescent="0.25">
      <c r="B652" s="21" t="s">
        <v>395</v>
      </c>
      <c r="C652" s="22" t="s">
        <v>2450</v>
      </c>
      <c r="D652" s="22" t="s">
        <v>1417</v>
      </c>
      <c r="E652" s="21" t="s">
        <v>10</v>
      </c>
      <c r="F652" s="21"/>
      <c r="G652" s="147" t="s">
        <v>110</v>
      </c>
      <c r="H652" s="23" t="s">
        <v>1209</v>
      </c>
      <c r="I652" s="23"/>
      <c r="J652" s="21" t="s">
        <v>1602</v>
      </c>
      <c r="K652" s="21"/>
      <c r="L652" s="21" t="s">
        <v>2180</v>
      </c>
      <c r="M652" s="26">
        <v>43516</v>
      </c>
      <c r="N652" s="44">
        <f>0.67*12200</f>
        <v>8174.0000000000009</v>
      </c>
      <c r="O652" s="22" t="s">
        <v>15</v>
      </c>
      <c r="P652" s="22" t="s">
        <v>19</v>
      </c>
      <c r="Q652" s="24">
        <f t="shared" si="42"/>
        <v>0</v>
      </c>
      <c r="R652" s="24">
        <f t="shared" si="43"/>
        <v>8174.0000000000009</v>
      </c>
      <c r="S652" s="5"/>
      <c r="T652" s="5"/>
    </row>
    <row r="653" spans="2:20" ht="18" hidden="1" customHeight="1" x14ac:dyDescent="0.25">
      <c r="B653" s="21" t="s">
        <v>395</v>
      </c>
      <c r="C653" s="22" t="s">
        <v>2450</v>
      </c>
      <c r="D653" s="22" t="s">
        <v>1417</v>
      </c>
      <c r="E653" s="21" t="s">
        <v>10</v>
      </c>
      <c r="F653" s="21"/>
      <c r="G653" s="147" t="s">
        <v>110</v>
      </c>
      <c r="H653" s="23" t="s">
        <v>1209</v>
      </c>
      <c r="I653" s="23"/>
      <c r="J653" s="21" t="s">
        <v>1603</v>
      </c>
      <c r="K653" s="21"/>
      <c r="L653" s="47" t="s">
        <v>2307</v>
      </c>
      <c r="M653" s="26">
        <v>43685</v>
      </c>
      <c r="N653" s="44">
        <f>0.33*12200</f>
        <v>4026</v>
      </c>
      <c r="O653" s="22" t="s">
        <v>15</v>
      </c>
      <c r="P653" s="22" t="s">
        <v>19</v>
      </c>
      <c r="Q653" s="24">
        <f t="shared" si="42"/>
        <v>0</v>
      </c>
      <c r="R653" s="24">
        <f t="shared" si="43"/>
        <v>4026</v>
      </c>
      <c r="S653" s="5"/>
      <c r="T653" s="5"/>
    </row>
    <row r="654" spans="2:20" ht="15.75" hidden="1" x14ac:dyDescent="0.25">
      <c r="B654" s="21" t="s">
        <v>395</v>
      </c>
      <c r="C654" s="22" t="s">
        <v>2450</v>
      </c>
      <c r="D654" s="22" t="s">
        <v>1417</v>
      </c>
      <c r="E654" s="21" t="s">
        <v>10</v>
      </c>
      <c r="F654" s="21"/>
      <c r="G654" s="147" t="s">
        <v>110</v>
      </c>
      <c r="H654" s="23" t="s">
        <v>1209</v>
      </c>
      <c r="I654" s="23"/>
      <c r="J654" s="21" t="s">
        <v>1604</v>
      </c>
      <c r="K654" s="21"/>
      <c r="L654" s="21" t="s">
        <v>2180</v>
      </c>
      <c r="M654" s="26">
        <v>43516</v>
      </c>
      <c r="N654" s="44">
        <f>0.67*12700</f>
        <v>8509</v>
      </c>
      <c r="O654" s="22" t="s">
        <v>15</v>
      </c>
      <c r="P654" s="22" t="s">
        <v>19</v>
      </c>
      <c r="Q654" s="24">
        <f t="shared" si="42"/>
        <v>0</v>
      </c>
      <c r="R654" s="24">
        <f t="shared" si="43"/>
        <v>8509</v>
      </c>
      <c r="S654" s="5"/>
      <c r="T654" s="5"/>
    </row>
    <row r="655" spans="2:20" ht="15.75" hidden="1" x14ac:dyDescent="0.25">
      <c r="B655" s="21" t="s">
        <v>395</v>
      </c>
      <c r="C655" s="22" t="s">
        <v>2450</v>
      </c>
      <c r="D655" s="22" t="s">
        <v>1417</v>
      </c>
      <c r="E655" s="21" t="s">
        <v>10</v>
      </c>
      <c r="F655" s="21"/>
      <c r="G655" s="147" t="s">
        <v>110</v>
      </c>
      <c r="H655" s="23" t="s">
        <v>1209</v>
      </c>
      <c r="I655" s="23"/>
      <c r="J655" s="21" t="s">
        <v>1605</v>
      </c>
      <c r="K655" s="21"/>
      <c r="L655" s="21" t="s">
        <v>2515</v>
      </c>
      <c r="M655" s="26">
        <v>43774</v>
      </c>
      <c r="N655" s="44">
        <f>0.33*12700</f>
        <v>4191</v>
      </c>
      <c r="O655" s="22" t="s">
        <v>15</v>
      </c>
      <c r="P655" s="22" t="s">
        <v>19</v>
      </c>
      <c r="Q655" s="24">
        <f t="shared" si="42"/>
        <v>0</v>
      </c>
      <c r="R655" s="24">
        <f t="shared" si="43"/>
        <v>4191</v>
      </c>
      <c r="S655" s="5"/>
      <c r="T655" s="5"/>
    </row>
    <row r="656" spans="2:20" ht="15.75" hidden="1" x14ac:dyDescent="0.25">
      <c r="B656" s="21" t="s">
        <v>395</v>
      </c>
      <c r="C656" s="22" t="s">
        <v>2450</v>
      </c>
      <c r="D656" s="22" t="s">
        <v>1417</v>
      </c>
      <c r="E656" s="21" t="s">
        <v>10</v>
      </c>
      <c r="F656" s="21"/>
      <c r="G656" s="147" t="s">
        <v>110</v>
      </c>
      <c r="H656" s="23" t="s">
        <v>1724</v>
      </c>
      <c r="I656" s="23"/>
      <c r="J656" s="21" t="s">
        <v>3352</v>
      </c>
      <c r="K656" s="21"/>
      <c r="L656" s="21" t="s">
        <v>2181</v>
      </c>
      <c r="M656" s="26">
        <v>43655</v>
      </c>
      <c r="N656" s="44">
        <v>9000</v>
      </c>
      <c r="O656" s="22" t="s">
        <v>15</v>
      </c>
      <c r="P656" s="22" t="s">
        <v>19</v>
      </c>
      <c r="Q656" s="24">
        <f t="shared" si="42"/>
        <v>0</v>
      </c>
      <c r="R656" s="24">
        <f t="shared" si="43"/>
        <v>9000</v>
      </c>
      <c r="S656" s="5"/>
      <c r="T656" s="5"/>
    </row>
    <row r="657" spans="1:20" ht="15.75" hidden="1" x14ac:dyDescent="0.25">
      <c r="B657" s="21" t="s">
        <v>395</v>
      </c>
      <c r="C657" s="22" t="s">
        <v>2427</v>
      </c>
      <c r="D657" s="22"/>
      <c r="E657" s="21" t="s">
        <v>0</v>
      </c>
      <c r="F657" s="21"/>
      <c r="G657" s="147" t="s">
        <v>784</v>
      </c>
      <c r="H657" s="23" t="s">
        <v>1190</v>
      </c>
      <c r="I657" s="23"/>
      <c r="J657" s="21" t="s">
        <v>1191</v>
      </c>
      <c r="K657" s="21"/>
      <c r="L657" s="21" t="s">
        <v>2127</v>
      </c>
      <c r="M657" s="26">
        <v>43507</v>
      </c>
      <c r="N657" s="44">
        <v>5800</v>
      </c>
      <c r="O657" s="22" t="s">
        <v>15</v>
      </c>
      <c r="P657" s="22" t="s">
        <v>19</v>
      </c>
      <c r="Q657" s="24">
        <f t="shared" si="42"/>
        <v>0</v>
      </c>
      <c r="R657" s="24">
        <f t="shared" si="43"/>
        <v>5800</v>
      </c>
      <c r="S657" s="5"/>
      <c r="T657" s="5"/>
    </row>
    <row r="658" spans="1:20" ht="15.75" hidden="1" x14ac:dyDescent="0.25">
      <c r="B658" s="21" t="s">
        <v>395</v>
      </c>
      <c r="C658" s="22" t="s">
        <v>2427</v>
      </c>
      <c r="D658" s="22"/>
      <c r="E658" s="21" t="s">
        <v>10</v>
      </c>
      <c r="F658" s="21"/>
      <c r="G658" s="147" t="s">
        <v>238</v>
      </c>
      <c r="H658" s="23" t="s">
        <v>1194</v>
      </c>
      <c r="I658" s="23"/>
      <c r="J658" s="21" t="s">
        <v>2439</v>
      </c>
      <c r="K658" s="21"/>
      <c r="L658" s="21" t="s">
        <v>1904</v>
      </c>
      <c r="M658" s="26" t="s">
        <v>1903</v>
      </c>
      <c r="N658" s="44">
        <f>0.5*54944</f>
        <v>27472</v>
      </c>
      <c r="O658" s="22" t="s">
        <v>276</v>
      </c>
      <c r="P658" s="22" t="s">
        <v>19</v>
      </c>
      <c r="Q658" s="24">
        <f t="shared" si="42"/>
        <v>0</v>
      </c>
      <c r="R658" s="24">
        <f t="shared" si="43"/>
        <v>27472</v>
      </c>
      <c r="S658" s="5"/>
      <c r="T658" s="5"/>
    </row>
    <row r="659" spans="1:20" ht="15.75" hidden="1" x14ac:dyDescent="0.25">
      <c r="B659" s="21" t="s">
        <v>395</v>
      </c>
      <c r="C659" s="22" t="s">
        <v>2427</v>
      </c>
      <c r="D659" s="22"/>
      <c r="E659" s="21" t="s">
        <v>10</v>
      </c>
      <c r="F659" s="21"/>
      <c r="G659" s="147" t="s">
        <v>238</v>
      </c>
      <c r="H659" s="23" t="s">
        <v>1194</v>
      </c>
      <c r="I659" s="23"/>
      <c r="J659" s="21" t="s">
        <v>2440</v>
      </c>
      <c r="K659" s="21"/>
      <c r="L659" s="21" t="s">
        <v>1902</v>
      </c>
      <c r="M659" s="26" t="s">
        <v>1901</v>
      </c>
      <c r="N659" s="44">
        <f>0.5*54944</f>
        <v>27472</v>
      </c>
      <c r="O659" s="22" t="s">
        <v>276</v>
      </c>
      <c r="P659" s="22" t="s">
        <v>19</v>
      </c>
      <c r="Q659" s="24">
        <f t="shared" si="42"/>
        <v>0</v>
      </c>
      <c r="R659" s="24">
        <f t="shared" si="43"/>
        <v>27472</v>
      </c>
      <c r="S659" s="5"/>
      <c r="T659" s="5"/>
    </row>
    <row r="660" spans="1:20" ht="15.75" hidden="1" x14ac:dyDescent="0.25">
      <c r="B660" s="5"/>
      <c r="C660" s="4" t="s">
        <v>2457</v>
      </c>
      <c r="D660" s="4"/>
      <c r="E660" s="5" t="s">
        <v>75</v>
      </c>
      <c r="F660" s="5"/>
      <c r="G660" s="146" t="s">
        <v>1195</v>
      </c>
      <c r="H660" s="7" t="s">
        <v>1196</v>
      </c>
      <c r="I660" s="7"/>
      <c r="J660" s="5" t="s">
        <v>1197</v>
      </c>
      <c r="K660" s="21"/>
      <c r="L660" s="5"/>
      <c r="M660" s="7"/>
      <c r="N660" s="45">
        <v>1456.8</v>
      </c>
      <c r="O660" s="4" t="s">
        <v>15</v>
      </c>
      <c r="P660" s="4"/>
      <c r="Q660" s="3">
        <f t="shared" si="42"/>
        <v>1456.8</v>
      </c>
      <c r="R660" s="3">
        <f t="shared" si="43"/>
        <v>0</v>
      </c>
      <c r="S660" s="5"/>
      <c r="T660" s="5"/>
    </row>
    <row r="661" spans="1:20" ht="15.75" hidden="1" x14ac:dyDescent="0.25">
      <c r="A661" t="s">
        <v>6753</v>
      </c>
      <c r="B661" s="21" t="s">
        <v>395</v>
      </c>
      <c r="C661" s="22" t="s">
        <v>2450</v>
      </c>
      <c r="D661" s="22"/>
      <c r="E661" s="21" t="s">
        <v>10</v>
      </c>
      <c r="F661" s="21"/>
      <c r="G661" s="147" t="s">
        <v>1090</v>
      </c>
      <c r="H661" s="23" t="s">
        <v>1198</v>
      </c>
      <c r="I661" s="23"/>
      <c r="J661" s="21" t="s">
        <v>1199</v>
      </c>
      <c r="K661" s="21"/>
      <c r="L661" s="21" t="s">
        <v>2808</v>
      </c>
      <c r="M661" s="26" t="s">
        <v>2809</v>
      </c>
      <c r="N661" s="44">
        <v>4338.3999999999996</v>
      </c>
      <c r="O661" s="22" t="s">
        <v>15</v>
      </c>
      <c r="P661" s="22">
        <f>4264.8+73.6</f>
        <v>4338.4000000000005</v>
      </c>
      <c r="Q661" s="24">
        <f t="shared" si="42"/>
        <v>0</v>
      </c>
      <c r="R661" s="24">
        <f t="shared" si="43"/>
        <v>4338.4000000000005</v>
      </c>
      <c r="S661" s="5" t="s">
        <v>1726</v>
      </c>
      <c r="T661" s="5"/>
    </row>
    <row r="662" spans="1:20" ht="15.75" hidden="1" x14ac:dyDescent="0.25">
      <c r="B662" s="21" t="s">
        <v>395</v>
      </c>
      <c r="C662" s="22" t="s">
        <v>2450</v>
      </c>
      <c r="D662" s="22"/>
      <c r="E662" s="21" t="s">
        <v>10</v>
      </c>
      <c r="F662" s="21"/>
      <c r="G662" s="147" t="s">
        <v>238</v>
      </c>
      <c r="H662" s="23" t="s">
        <v>1407</v>
      </c>
      <c r="I662" s="23"/>
      <c r="J662" s="21" t="s">
        <v>1200</v>
      </c>
      <c r="K662" s="21"/>
      <c r="L662" s="21"/>
      <c r="M662" s="26" t="s">
        <v>1408</v>
      </c>
      <c r="N662" s="44">
        <v>14488</v>
      </c>
      <c r="O662" s="22" t="s">
        <v>15</v>
      </c>
      <c r="P662" s="22" t="s">
        <v>19</v>
      </c>
      <c r="Q662" s="24">
        <f t="shared" si="42"/>
        <v>0</v>
      </c>
      <c r="R662" s="24">
        <f t="shared" si="43"/>
        <v>14488</v>
      </c>
      <c r="S662" s="5"/>
      <c r="T662" s="5"/>
    </row>
    <row r="663" spans="1:20" ht="15.75" hidden="1" x14ac:dyDescent="0.25">
      <c r="B663" s="21" t="s">
        <v>395</v>
      </c>
      <c r="C663" s="22" t="s">
        <v>2456</v>
      </c>
      <c r="D663" s="22"/>
      <c r="E663" s="21" t="s">
        <v>75</v>
      </c>
      <c r="F663" s="21"/>
      <c r="G663" s="147" t="s">
        <v>239</v>
      </c>
      <c r="H663" s="23" t="s">
        <v>1202</v>
      </c>
      <c r="I663" s="23"/>
      <c r="J663" s="21" t="s">
        <v>1203</v>
      </c>
      <c r="K663" s="21"/>
      <c r="L663" s="21"/>
      <c r="M663" s="26" t="s">
        <v>1259</v>
      </c>
      <c r="N663" s="44">
        <f>0.5*33660</f>
        <v>16830</v>
      </c>
      <c r="O663" s="22" t="s">
        <v>15</v>
      </c>
      <c r="P663" s="22" t="s">
        <v>19</v>
      </c>
      <c r="Q663" s="24">
        <f t="shared" si="42"/>
        <v>0</v>
      </c>
      <c r="R663" s="24">
        <f t="shared" si="43"/>
        <v>16830</v>
      </c>
      <c r="S663" s="5"/>
      <c r="T663" s="5"/>
    </row>
    <row r="664" spans="1:20" ht="15.75" hidden="1" x14ac:dyDescent="0.25">
      <c r="B664" s="21" t="s">
        <v>395</v>
      </c>
      <c r="C664" s="22" t="s">
        <v>2456</v>
      </c>
      <c r="D664" s="22"/>
      <c r="E664" s="21" t="s">
        <v>75</v>
      </c>
      <c r="F664" s="21"/>
      <c r="G664" s="147" t="s">
        <v>239</v>
      </c>
      <c r="H664" s="23" t="s">
        <v>1202</v>
      </c>
      <c r="I664" s="23"/>
      <c r="J664" s="21" t="s">
        <v>1204</v>
      </c>
      <c r="K664" s="21"/>
      <c r="L664" s="21"/>
      <c r="M664" s="26" t="s">
        <v>1348</v>
      </c>
      <c r="N664" s="44">
        <f>0.5*33660</f>
        <v>16830</v>
      </c>
      <c r="O664" s="22" t="s">
        <v>15</v>
      </c>
      <c r="P664" s="22" t="s">
        <v>19</v>
      </c>
      <c r="Q664" s="24">
        <f t="shared" si="42"/>
        <v>0</v>
      </c>
      <c r="R664" s="24">
        <f t="shared" si="43"/>
        <v>16830</v>
      </c>
      <c r="S664" s="5"/>
      <c r="T664" s="5"/>
    </row>
    <row r="665" spans="1:20" ht="15.75" hidden="1" x14ac:dyDescent="0.25">
      <c r="B665" s="21" t="s">
        <v>395</v>
      </c>
      <c r="C665" s="22" t="s">
        <v>2457</v>
      </c>
      <c r="D665" s="22"/>
      <c r="E665" s="21" t="s">
        <v>75</v>
      </c>
      <c r="F665" s="21"/>
      <c r="G665" s="147" t="s">
        <v>239</v>
      </c>
      <c r="H665" s="23" t="s">
        <v>1205</v>
      </c>
      <c r="I665" s="23"/>
      <c r="J665" s="21" t="s">
        <v>1646</v>
      </c>
      <c r="K665" s="21"/>
      <c r="L665" s="21"/>
      <c r="M665" s="26" t="s">
        <v>1260</v>
      </c>
      <c r="N665" s="44">
        <f>0.5*16830</f>
        <v>8415</v>
      </c>
      <c r="O665" s="22" t="s">
        <v>15</v>
      </c>
      <c r="P665" s="22" t="s">
        <v>19</v>
      </c>
      <c r="Q665" s="24">
        <f t="shared" si="42"/>
        <v>0</v>
      </c>
      <c r="R665" s="24">
        <f t="shared" si="43"/>
        <v>8415</v>
      </c>
      <c r="S665" s="5"/>
      <c r="T665" s="5"/>
    </row>
    <row r="666" spans="1:20" ht="15.75" hidden="1" x14ac:dyDescent="0.25">
      <c r="B666" s="21" t="s">
        <v>395</v>
      </c>
      <c r="C666" s="22" t="s">
        <v>2457</v>
      </c>
      <c r="D666" s="22"/>
      <c r="E666" s="21" t="s">
        <v>75</v>
      </c>
      <c r="F666" s="21"/>
      <c r="G666" s="147" t="s">
        <v>239</v>
      </c>
      <c r="H666" s="23" t="s">
        <v>1205</v>
      </c>
      <c r="I666" s="23"/>
      <c r="J666" s="21" t="s">
        <v>1204</v>
      </c>
      <c r="K666" s="21"/>
      <c r="L666" s="21" t="s">
        <v>1922</v>
      </c>
      <c r="M666" s="26">
        <v>43714</v>
      </c>
      <c r="N666" s="44">
        <f>0.5*16830</f>
        <v>8415</v>
      </c>
      <c r="O666" s="22" t="s">
        <v>15</v>
      </c>
      <c r="P666" s="22" t="s">
        <v>19</v>
      </c>
      <c r="Q666" s="24">
        <f t="shared" si="42"/>
        <v>0</v>
      </c>
      <c r="R666" s="24">
        <f t="shared" si="43"/>
        <v>8415</v>
      </c>
      <c r="S666" s="5"/>
      <c r="T666" s="5"/>
    </row>
    <row r="667" spans="1:20" ht="15.75" hidden="1" x14ac:dyDescent="0.25">
      <c r="B667" s="21" t="s">
        <v>395</v>
      </c>
      <c r="C667" s="22" t="s">
        <v>2450</v>
      </c>
      <c r="D667" s="22"/>
      <c r="E667" s="21" t="s">
        <v>10</v>
      </c>
      <c r="F667" s="21"/>
      <c r="G667" s="147" t="s">
        <v>1207</v>
      </c>
      <c r="H667" s="23" t="s">
        <v>1208</v>
      </c>
      <c r="I667" s="23"/>
      <c r="J667" s="21" t="s">
        <v>1727</v>
      </c>
      <c r="K667" s="164"/>
      <c r="L667" s="21" t="s">
        <v>2677</v>
      </c>
      <c r="M667" s="26">
        <v>43825</v>
      </c>
      <c r="N667" s="44">
        <v>2881.94</v>
      </c>
      <c r="O667" s="22" t="s">
        <v>15</v>
      </c>
      <c r="P667" s="44">
        <v>3269.42</v>
      </c>
      <c r="Q667" s="24">
        <f t="shared" si="42"/>
        <v>0</v>
      </c>
      <c r="R667" s="24">
        <f t="shared" si="43"/>
        <v>3269.42</v>
      </c>
      <c r="S667" s="5" t="s">
        <v>1731</v>
      </c>
      <c r="T667" s="5"/>
    </row>
    <row r="668" spans="1:20" ht="15.75" hidden="1" x14ac:dyDescent="0.25">
      <c r="B668" s="21" t="s">
        <v>395</v>
      </c>
      <c r="C668" s="22" t="s">
        <v>2427</v>
      </c>
      <c r="D668" s="22"/>
      <c r="E668" s="21" t="s">
        <v>10</v>
      </c>
      <c r="F668" s="21"/>
      <c r="G668" s="147" t="s">
        <v>102</v>
      </c>
      <c r="H668" s="23" t="s">
        <v>1216</v>
      </c>
      <c r="I668" s="23"/>
      <c r="J668" s="21" t="s">
        <v>2441</v>
      </c>
      <c r="K668" s="21"/>
      <c r="L668" s="21"/>
      <c r="M668" s="26" t="s">
        <v>1221</v>
      </c>
      <c r="N668" s="44">
        <f>0.5*17200</f>
        <v>8600</v>
      </c>
      <c r="O668" s="22" t="s">
        <v>15</v>
      </c>
      <c r="P668" s="22" t="s">
        <v>19</v>
      </c>
      <c r="Q668" s="24">
        <f t="shared" si="42"/>
        <v>0</v>
      </c>
      <c r="R668" s="24">
        <f t="shared" si="43"/>
        <v>8600</v>
      </c>
      <c r="S668" s="5" t="s">
        <v>1222</v>
      </c>
      <c r="T668" s="5"/>
    </row>
    <row r="669" spans="1:20" ht="15.75" hidden="1" x14ac:dyDescent="0.25">
      <c r="B669" s="21" t="s">
        <v>395</v>
      </c>
      <c r="C669" s="22" t="s">
        <v>2427</v>
      </c>
      <c r="D669" s="22"/>
      <c r="E669" s="21" t="s">
        <v>10</v>
      </c>
      <c r="F669" s="21"/>
      <c r="G669" s="147" t="s">
        <v>102</v>
      </c>
      <c r="H669" s="23" t="s">
        <v>1216</v>
      </c>
      <c r="I669" s="23"/>
      <c r="J669" s="21" t="s">
        <v>2441</v>
      </c>
      <c r="K669" s="21"/>
      <c r="L669" s="21"/>
      <c r="M669" s="26" t="s">
        <v>1606</v>
      </c>
      <c r="N669" s="44">
        <f>0.5*17200</f>
        <v>8600</v>
      </c>
      <c r="O669" s="22" t="s">
        <v>15</v>
      </c>
      <c r="P669" s="22" t="s">
        <v>19</v>
      </c>
      <c r="Q669" s="24">
        <f t="shared" si="42"/>
        <v>0</v>
      </c>
      <c r="R669" s="24">
        <f t="shared" si="43"/>
        <v>8600</v>
      </c>
      <c r="S669" s="5"/>
      <c r="T669" s="5"/>
    </row>
    <row r="670" spans="1:20" ht="15.75" hidden="1" x14ac:dyDescent="0.25">
      <c r="B670" s="21" t="s">
        <v>395</v>
      </c>
      <c r="C670" s="22" t="s">
        <v>2427</v>
      </c>
      <c r="D670" s="22"/>
      <c r="E670" s="21" t="s">
        <v>10</v>
      </c>
      <c r="F670" s="21"/>
      <c r="G670" s="147" t="s">
        <v>102</v>
      </c>
      <c r="H670" s="23" t="s">
        <v>1240</v>
      </c>
      <c r="I670" s="23"/>
      <c r="J670" s="21" t="s">
        <v>1238</v>
      </c>
      <c r="K670" s="21"/>
      <c r="L670" s="21"/>
      <c r="M670" s="26" t="s">
        <v>1271</v>
      </c>
      <c r="N670" s="44">
        <f>0.5*16492</f>
        <v>8246</v>
      </c>
      <c r="O670" s="22" t="s">
        <v>15</v>
      </c>
      <c r="P670" s="22" t="s">
        <v>19</v>
      </c>
      <c r="Q670" s="24">
        <f t="shared" si="42"/>
        <v>0</v>
      </c>
      <c r="R670" s="24">
        <f t="shared" si="43"/>
        <v>8246</v>
      </c>
      <c r="S670" s="5"/>
      <c r="T670" s="5"/>
    </row>
    <row r="671" spans="1:20" ht="15.75" hidden="1" x14ac:dyDescent="0.25">
      <c r="B671" s="21" t="s">
        <v>395</v>
      </c>
      <c r="C671" s="22" t="s">
        <v>2427</v>
      </c>
      <c r="D671" s="22"/>
      <c r="E671" s="21" t="s">
        <v>10</v>
      </c>
      <c r="F671" s="21"/>
      <c r="G671" s="147" t="s">
        <v>102</v>
      </c>
      <c r="H671" s="23" t="s">
        <v>1240</v>
      </c>
      <c r="I671" s="23"/>
      <c r="J671" s="21" t="s">
        <v>1239</v>
      </c>
      <c r="K671" s="21"/>
      <c r="L671" s="21"/>
      <c r="M671" s="26" t="s">
        <v>1362</v>
      </c>
      <c r="N671" s="44">
        <f>0.5*16492</f>
        <v>8246</v>
      </c>
      <c r="O671" s="22" t="s">
        <v>15</v>
      </c>
      <c r="P671" s="22" t="s">
        <v>19</v>
      </c>
      <c r="Q671" s="24">
        <f t="shared" si="42"/>
        <v>0</v>
      </c>
      <c r="R671" s="24">
        <f t="shared" si="43"/>
        <v>8246</v>
      </c>
      <c r="S671" s="5"/>
      <c r="T671" s="5"/>
    </row>
    <row r="672" spans="1:20" ht="15.75" hidden="1" x14ac:dyDescent="0.25">
      <c r="B672" s="32" t="s">
        <v>395</v>
      </c>
      <c r="C672" s="33" t="s">
        <v>2450</v>
      </c>
      <c r="D672" s="33" t="s">
        <v>1451</v>
      </c>
      <c r="E672" s="32" t="s">
        <v>10</v>
      </c>
      <c r="F672" s="32"/>
      <c r="G672" s="155" t="s">
        <v>665</v>
      </c>
      <c r="H672" s="34" t="s">
        <v>1247</v>
      </c>
      <c r="I672" s="34"/>
      <c r="J672" s="32" t="s">
        <v>2378</v>
      </c>
      <c r="K672" s="21"/>
      <c r="L672" s="32" t="s">
        <v>1951</v>
      </c>
      <c r="M672" s="35">
        <v>43496</v>
      </c>
      <c r="N672" s="93">
        <f>0.5*500680</f>
        <v>250340</v>
      </c>
      <c r="O672" s="33" t="s">
        <v>15</v>
      </c>
      <c r="P672" s="22" t="s">
        <v>19</v>
      </c>
      <c r="Q672" s="36">
        <f t="shared" si="42"/>
        <v>0</v>
      </c>
      <c r="R672" s="36">
        <f t="shared" si="43"/>
        <v>250340</v>
      </c>
      <c r="S672" s="5"/>
      <c r="T672" s="5"/>
    </row>
    <row r="673" spans="2:20" ht="15.75" hidden="1" x14ac:dyDescent="0.25">
      <c r="B673" s="32" t="s">
        <v>395</v>
      </c>
      <c r="C673" s="33" t="s">
        <v>2450</v>
      </c>
      <c r="D673" s="33" t="s">
        <v>1451</v>
      </c>
      <c r="E673" s="32" t="s">
        <v>10</v>
      </c>
      <c r="F673" s="32"/>
      <c r="G673" s="155" t="s">
        <v>665</v>
      </c>
      <c r="H673" s="34" t="s">
        <v>1247</v>
      </c>
      <c r="I673" s="34"/>
      <c r="J673" s="32" t="s">
        <v>2379</v>
      </c>
      <c r="K673" s="21"/>
      <c r="L673" s="32" t="s">
        <v>2304</v>
      </c>
      <c r="M673" s="35">
        <v>43738</v>
      </c>
      <c r="N673" s="93">
        <f>0.45*500680</f>
        <v>225306</v>
      </c>
      <c r="O673" s="33" t="s">
        <v>15</v>
      </c>
      <c r="P673" s="22" t="s">
        <v>19</v>
      </c>
      <c r="Q673" s="36">
        <f t="shared" si="42"/>
        <v>0</v>
      </c>
      <c r="R673" s="36">
        <f t="shared" si="43"/>
        <v>225306</v>
      </c>
      <c r="S673" s="5"/>
      <c r="T673" s="5"/>
    </row>
    <row r="674" spans="2:20" ht="15.75" hidden="1" x14ac:dyDescent="0.25">
      <c r="B674" s="32" t="s">
        <v>395</v>
      </c>
      <c r="C674" s="33" t="s">
        <v>2450</v>
      </c>
      <c r="D674" s="33" t="s">
        <v>1451</v>
      </c>
      <c r="E674" s="32" t="s">
        <v>10</v>
      </c>
      <c r="F674" s="32"/>
      <c r="G674" s="155" t="s">
        <v>665</v>
      </c>
      <c r="H674" s="34" t="s">
        <v>1247</v>
      </c>
      <c r="I674" s="34"/>
      <c r="J674" s="32" t="s">
        <v>2380</v>
      </c>
      <c r="K674" s="21"/>
      <c r="L674" s="32" t="s">
        <v>2662</v>
      </c>
      <c r="M674" s="35" t="s">
        <v>2663</v>
      </c>
      <c r="N674" s="93">
        <f>0.05*500680</f>
        <v>25034</v>
      </c>
      <c r="O674" s="33" t="s">
        <v>15</v>
      </c>
      <c r="P674" s="22" t="s">
        <v>19</v>
      </c>
      <c r="Q674" s="36">
        <f t="shared" si="42"/>
        <v>0</v>
      </c>
      <c r="R674" s="36">
        <f t="shared" si="43"/>
        <v>25034</v>
      </c>
      <c r="S674" s="5"/>
      <c r="T674" s="5"/>
    </row>
    <row r="675" spans="2:20" ht="15.75" hidden="1" x14ac:dyDescent="0.25">
      <c r="B675" s="32" t="s">
        <v>395</v>
      </c>
      <c r="C675" s="33" t="s">
        <v>2450</v>
      </c>
      <c r="D675" s="33" t="s">
        <v>1451</v>
      </c>
      <c r="E675" s="32" t="s">
        <v>10</v>
      </c>
      <c r="F675" s="32"/>
      <c r="G675" s="155" t="s">
        <v>665</v>
      </c>
      <c r="H675" s="34" t="s">
        <v>2383</v>
      </c>
      <c r="I675" s="34"/>
      <c r="J675" s="32" t="s">
        <v>2375</v>
      </c>
      <c r="K675" s="21"/>
      <c r="L675" s="32" t="s">
        <v>2190</v>
      </c>
      <c r="M675" s="35">
        <v>43725</v>
      </c>
      <c r="N675" s="93">
        <v>1100</v>
      </c>
      <c r="O675" s="33" t="s">
        <v>15</v>
      </c>
      <c r="P675" s="22">
        <v>819</v>
      </c>
      <c r="Q675" s="36">
        <f t="shared" si="42"/>
        <v>281</v>
      </c>
      <c r="R675" s="36">
        <f t="shared" si="43"/>
        <v>819</v>
      </c>
      <c r="S675" s="5"/>
      <c r="T675" s="5"/>
    </row>
    <row r="676" spans="2:20" ht="15.75" hidden="1" x14ac:dyDescent="0.25">
      <c r="B676" s="32" t="s">
        <v>395</v>
      </c>
      <c r="C676" s="33" t="s">
        <v>2450</v>
      </c>
      <c r="D676" s="33"/>
      <c r="E676" s="32" t="s">
        <v>10</v>
      </c>
      <c r="F676" s="32"/>
      <c r="G676" s="155" t="s">
        <v>519</v>
      </c>
      <c r="H676" s="34" t="s">
        <v>1252</v>
      </c>
      <c r="I676" s="34"/>
      <c r="J676" s="34" t="s">
        <v>1250</v>
      </c>
      <c r="K676" s="121"/>
      <c r="L676" s="34"/>
      <c r="M676" s="35" t="s">
        <v>1455</v>
      </c>
      <c r="N676" s="93">
        <v>536</v>
      </c>
      <c r="O676" s="33" t="s">
        <v>341</v>
      </c>
      <c r="P676" s="22" t="s">
        <v>19</v>
      </c>
      <c r="Q676" s="36">
        <f t="shared" si="42"/>
        <v>0</v>
      </c>
      <c r="R676" s="36">
        <f t="shared" si="43"/>
        <v>536</v>
      </c>
      <c r="S676" s="5"/>
      <c r="T676" s="5"/>
    </row>
    <row r="677" spans="2:20" ht="15.75" hidden="1" x14ac:dyDescent="0.25">
      <c r="B677" s="32" t="s">
        <v>395</v>
      </c>
      <c r="C677" s="33" t="s">
        <v>2450</v>
      </c>
      <c r="D677" s="33"/>
      <c r="E677" s="32" t="s">
        <v>10</v>
      </c>
      <c r="F677" s="32"/>
      <c r="G677" s="155" t="s">
        <v>519</v>
      </c>
      <c r="H677" s="34" t="s">
        <v>1252</v>
      </c>
      <c r="I677" s="34"/>
      <c r="J677" s="34" t="s">
        <v>1251</v>
      </c>
      <c r="K677" s="121"/>
      <c r="L677" s="34"/>
      <c r="M677" s="35" t="s">
        <v>1455</v>
      </c>
      <c r="N677" s="93">
        <v>6120</v>
      </c>
      <c r="O677" s="33" t="s">
        <v>341</v>
      </c>
      <c r="P677" s="22" t="s">
        <v>19</v>
      </c>
      <c r="Q677" s="36">
        <f t="shared" si="42"/>
        <v>0</v>
      </c>
      <c r="R677" s="36">
        <f t="shared" si="43"/>
        <v>6120</v>
      </c>
      <c r="S677" s="5"/>
      <c r="T677" s="5"/>
    </row>
    <row r="678" spans="2:20" ht="15.75" hidden="1" x14ac:dyDescent="0.25">
      <c r="B678" s="32" t="s">
        <v>395</v>
      </c>
      <c r="C678" s="33" t="s">
        <v>2450</v>
      </c>
      <c r="D678" s="33"/>
      <c r="E678" s="32" t="s">
        <v>10</v>
      </c>
      <c r="F678" s="32"/>
      <c r="G678" s="155" t="s">
        <v>519</v>
      </c>
      <c r="H678" s="34" t="s">
        <v>1252</v>
      </c>
      <c r="I678" s="34"/>
      <c r="J678" s="34" t="s">
        <v>1254</v>
      </c>
      <c r="K678" s="121"/>
      <c r="L678" s="34"/>
      <c r="M678" s="35" t="s">
        <v>1455</v>
      </c>
      <c r="N678" s="93">
        <v>6120</v>
      </c>
      <c r="O678" s="33" t="s">
        <v>341</v>
      </c>
      <c r="P678" s="22" t="s">
        <v>19</v>
      </c>
      <c r="Q678" s="36">
        <f t="shared" si="42"/>
        <v>0</v>
      </c>
      <c r="R678" s="36">
        <f t="shared" si="43"/>
        <v>6120</v>
      </c>
      <c r="S678" s="5"/>
      <c r="T678" s="5"/>
    </row>
    <row r="679" spans="2:20" ht="15.75" hidden="1" x14ac:dyDescent="0.25">
      <c r="B679" s="32" t="s">
        <v>395</v>
      </c>
      <c r="C679" s="33" t="s">
        <v>2450</v>
      </c>
      <c r="D679" s="33"/>
      <c r="E679" s="32" t="s">
        <v>10</v>
      </c>
      <c r="F679" s="32"/>
      <c r="G679" s="155" t="s">
        <v>519</v>
      </c>
      <c r="H679" s="34" t="s">
        <v>1252</v>
      </c>
      <c r="I679" s="34"/>
      <c r="J679" s="34" t="s">
        <v>1253</v>
      </c>
      <c r="K679" s="121"/>
      <c r="L679" s="34"/>
      <c r="M679" s="35" t="s">
        <v>1455</v>
      </c>
      <c r="N679" s="93">
        <v>16983</v>
      </c>
      <c r="O679" s="33" t="s">
        <v>341</v>
      </c>
      <c r="P679" s="22" t="s">
        <v>19</v>
      </c>
      <c r="Q679" s="36">
        <f t="shared" si="42"/>
        <v>0</v>
      </c>
      <c r="R679" s="36">
        <f t="shared" si="43"/>
        <v>16983</v>
      </c>
      <c r="S679" s="5"/>
      <c r="T679" s="5"/>
    </row>
    <row r="680" spans="2:20" ht="15.75" hidden="1" x14ac:dyDescent="0.25">
      <c r="B680" s="32" t="s">
        <v>395</v>
      </c>
      <c r="C680" s="33" t="s">
        <v>2450</v>
      </c>
      <c r="D680" s="33"/>
      <c r="E680" s="32" t="s">
        <v>10</v>
      </c>
      <c r="F680" s="32"/>
      <c r="G680" s="155" t="s">
        <v>519</v>
      </c>
      <c r="H680" s="34" t="s">
        <v>1252</v>
      </c>
      <c r="I680" s="34"/>
      <c r="J680" s="34" t="s">
        <v>1255</v>
      </c>
      <c r="K680" s="121"/>
      <c r="L680" s="34"/>
      <c r="M680" s="35" t="s">
        <v>1455</v>
      </c>
      <c r="N680" s="93">
        <v>10518</v>
      </c>
      <c r="O680" s="33" t="s">
        <v>341</v>
      </c>
      <c r="P680" s="22" t="s">
        <v>19</v>
      </c>
      <c r="Q680" s="36">
        <f t="shared" si="42"/>
        <v>0</v>
      </c>
      <c r="R680" s="36">
        <f t="shared" si="43"/>
        <v>10518</v>
      </c>
      <c r="S680" s="5"/>
      <c r="T680" s="5"/>
    </row>
    <row r="681" spans="2:20" ht="15.75" hidden="1" x14ac:dyDescent="0.25">
      <c r="B681" s="32" t="s">
        <v>395</v>
      </c>
      <c r="C681" s="33" t="s">
        <v>2450</v>
      </c>
      <c r="D681" s="33"/>
      <c r="E681" s="32" t="s">
        <v>10</v>
      </c>
      <c r="F681" s="32"/>
      <c r="G681" s="155" t="s">
        <v>519</v>
      </c>
      <c r="H681" s="34" t="s">
        <v>1252</v>
      </c>
      <c r="I681" s="34"/>
      <c r="J681" s="34" t="s">
        <v>1256</v>
      </c>
      <c r="K681" s="121"/>
      <c r="L681" s="34"/>
      <c r="M681" s="35" t="s">
        <v>1455</v>
      </c>
      <c r="N681" s="93">
        <v>10518</v>
      </c>
      <c r="O681" s="33" t="s">
        <v>341</v>
      </c>
      <c r="P681" s="22" t="s">
        <v>19</v>
      </c>
      <c r="Q681" s="36">
        <f t="shared" si="42"/>
        <v>0</v>
      </c>
      <c r="R681" s="36">
        <f t="shared" si="43"/>
        <v>10518</v>
      </c>
      <c r="S681" s="5"/>
      <c r="T681" s="5"/>
    </row>
    <row r="682" spans="2:20" ht="15.75" hidden="1" x14ac:dyDescent="0.25">
      <c r="B682" s="32" t="s">
        <v>395</v>
      </c>
      <c r="C682" s="33" t="s">
        <v>2450</v>
      </c>
      <c r="D682" s="33"/>
      <c r="E682" s="32" t="s">
        <v>10</v>
      </c>
      <c r="F682" s="32"/>
      <c r="G682" s="155" t="s">
        <v>519</v>
      </c>
      <c r="H682" s="34" t="s">
        <v>1252</v>
      </c>
      <c r="I682" s="34"/>
      <c r="J682" s="34" t="s">
        <v>1257</v>
      </c>
      <c r="K682" s="121"/>
      <c r="L682" s="34"/>
      <c r="M682" s="35" t="s">
        <v>1455</v>
      </c>
      <c r="N682" s="93">
        <v>957</v>
      </c>
      <c r="O682" s="33" t="s">
        <v>341</v>
      </c>
      <c r="P682" s="22" t="s">
        <v>19</v>
      </c>
      <c r="Q682" s="36">
        <f t="shared" si="42"/>
        <v>0</v>
      </c>
      <c r="R682" s="36">
        <f t="shared" si="43"/>
        <v>957</v>
      </c>
      <c r="S682" s="5"/>
      <c r="T682" s="5"/>
    </row>
    <row r="683" spans="2:20" ht="15.75" hidden="1" x14ac:dyDescent="0.25">
      <c r="B683" s="32" t="s">
        <v>395</v>
      </c>
      <c r="C683" s="33" t="s">
        <v>2450</v>
      </c>
      <c r="D683" s="33"/>
      <c r="E683" s="32" t="s">
        <v>10</v>
      </c>
      <c r="F683" s="32"/>
      <c r="G683" s="155" t="s">
        <v>519</v>
      </c>
      <c r="H683" s="34" t="s">
        <v>1252</v>
      </c>
      <c r="I683" s="34"/>
      <c r="J683" s="34" t="s">
        <v>1258</v>
      </c>
      <c r="K683" s="121"/>
      <c r="L683" s="34"/>
      <c r="M683" s="35" t="s">
        <v>1455</v>
      </c>
      <c r="N683" s="93">
        <v>957</v>
      </c>
      <c r="O683" s="33" t="s">
        <v>341</v>
      </c>
      <c r="P683" s="22" t="s">
        <v>19</v>
      </c>
      <c r="Q683" s="36">
        <f t="shared" ref="Q683:Q687" si="44">IF(P683="en cours",N683,IF(P683="OK",0,IF(N683-P683&lt;0,0,N683-P683)))</f>
        <v>0</v>
      </c>
      <c r="R683" s="36">
        <f t="shared" ref="R683:R687" si="45">IF(P683="OK",N683-Q683,IF(P683="en cours",N683-Q683,P683))</f>
        <v>957</v>
      </c>
      <c r="S683" s="5"/>
      <c r="T683" s="5"/>
    </row>
    <row r="684" spans="2:20" ht="15.75" hidden="1" x14ac:dyDescent="0.25">
      <c r="B684" s="21" t="s">
        <v>395</v>
      </c>
      <c r="C684" s="22" t="s">
        <v>2456</v>
      </c>
      <c r="D684" s="22"/>
      <c r="E684" s="21" t="s">
        <v>75</v>
      </c>
      <c r="F684" s="21"/>
      <c r="G684" s="147" t="s">
        <v>239</v>
      </c>
      <c r="H684" s="23" t="s">
        <v>1613</v>
      </c>
      <c r="I684" s="23"/>
      <c r="J684" s="21" t="s">
        <v>1267</v>
      </c>
      <c r="K684" s="21"/>
      <c r="L684" s="21"/>
      <c r="M684" s="26" t="s">
        <v>1262</v>
      </c>
      <c r="N684" s="44">
        <f>16830*0.5</f>
        <v>8415</v>
      </c>
      <c r="O684" s="22" t="s">
        <v>15</v>
      </c>
      <c r="P684" s="22" t="s">
        <v>19</v>
      </c>
      <c r="Q684" s="24">
        <f t="shared" si="44"/>
        <v>0</v>
      </c>
      <c r="R684" s="24">
        <f t="shared" si="45"/>
        <v>8415</v>
      </c>
      <c r="S684" s="5"/>
      <c r="T684" s="5"/>
    </row>
    <row r="685" spans="2:20" ht="15.75" hidden="1" x14ac:dyDescent="0.25">
      <c r="B685" s="21" t="s">
        <v>395</v>
      </c>
      <c r="C685" s="22" t="s">
        <v>2456</v>
      </c>
      <c r="D685" s="22"/>
      <c r="E685" s="21" t="s">
        <v>75</v>
      </c>
      <c r="F685" s="21"/>
      <c r="G685" s="147" t="s">
        <v>239</v>
      </c>
      <c r="H685" s="23" t="s">
        <v>1613</v>
      </c>
      <c r="I685" s="23"/>
      <c r="J685" s="21" t="s">
        <v>1267</v>
      </c>
      <c r="K685" s="21"/>
      <c r="L685" s="21"/>
      <c r="M685" s="26" t="s">
        <v>1272</v>
      </c>
      <c r="N685" s="44">
        <f>16830*0.5</f>
        <v>8415</v>
      </c>
      <c r="O685" s="22" t="s">
        <v>15</v>
      </c>
      <c r="P685" s="22" t="s">
        <v>19</v>
      </c>
      <c r="Q685" s="24">
        <f t="shared" si="44"/>
        <v>0</v>
      </c>
      <c r="R685" s="24">
        <f t="shared" si="45"/>
        <v>8415</v>
      </c>
      <c r="S685" s="5"/>
      <c r="T685" s="5"/>
    </row>
    <row r="686" spans="2:20" ht="15.75" hidden="1" x14ac:dyDescent="0.25">
      <c r="B686" s="21" t="s">
        <v>395</v>
      </c>
      <c r="C686" s="22" t="s">
        <v>2459</v>
      </c>
      <c r="D686" s="22"/>
      <c r="E686" s="21" t="s">
        <v>75</v>
      </c>
      <c r="F686" s="21"/>
      <c r="G686" s="147" t="s">
        <v>1164</v>
      </c>
      <c r="H686" s="23" t="s">
        <v>1263</v>
      </c>
      <c r="I686" s="23"/>
      <c r="J686" s="21" t="s">
        <v>1264</v>
      </c>
      <c r="K686" s="121"/>
      <c r="L686" s="21"/>
      <c r="M686" s="26" t="s">
        <v>1266</v>
      </c>
      <c r="N686" s="44">
        <v>11000</v>
      </c>
      <c r="O686" s="22" t="s">
        <v>276</v>
      </c>
      <c r="P686" s="22" t="s">
        <v>19</v>
      </c>
      <c r="Q686" s="24">
        <f t="shared" si="44"/>
        <v>0</v>
      </c>
      <c r="R686" s="24">
        <f t="shared" si="45"/>
        <v>11000</v>
      </c>
      <c r="S686" s="5"/>
      <c r="T686" s="5"/>
    </row>
    <row r="687" spans="2:20" ht="15.75" hidden="1" x14ac:dyDescent="0.25">
      <c r="B687" s="21" t="s">
        <v>395</v>
      </c>
      <c r="C687" s="22" t="s">
        <v>2459</v>
      </c>
      <c r="D687" s="22"/>
      <c r="E687" s="21" t="s">
        <v>75</v>
      </c>
      <c r="F687" s="21"/>
      <c r="G687" s="147" t="s">
        <v>1164</v>
      </c>
      <c r="H687" s="23" t="s">
        <v>1263</v>
      </c>
      <c r="I687" s="23"/>
      <c r="J687" s="21" t="s">
        <v>1265</v>
      </c>
      <c r="K687" s="121"/>
      <c r="L687" s="21"/>
      <c r="M687" s="26" t="s">
        <v>1266</v>
      </c>
      <c r="N687" s="44">
        <v>3000</v>
      </c>
      <c r="O687" s="22" t="s">
        <v>276</v>
      </c>
      <c r="P687" s="22" t="s">
        <v>19</v>
      </c>
      <c r="Q687" s="24">
        <f t="shared" si="44"/>
        <v>0</v>
      </c>
      <c r="R687" s="24">
        <f t="shared" si="45"/>
        <v>3000</v>
      </c>
      <c r="S687" s="5"/>
      <c r="T687" s="5"/>
    </row>
    <row r="688" spans="2:20" ht="15.75" hidden="1" x14ac:dyDescent="0.25">
      <c r="B688" s="21" t="s">
        <v>395</v>
      </c>
      <c r="C688" s="22" t="s">
        <v>2450</v>
      </c>
      <c r="D688" s="22"/>
      <c r="E688" s="21" t="s">
        <v>0</v>
      </c>
      <c r="F688" s="21"/>
      <c r="G688" s="147" t="s">
        <v>170</v>
      </c>
      <c r="H688" s="23" t="s">
        <v>1275</v>
      </c>
      <c r="I688" s="23"/>
      <c r="J688" s="21" t="s">
        <v>1274</v>
      </c>
      <c r="K688" s="121"/>
      <c r="L688" s="21"/>
      <c r="M688" s="26" t="s">
        <v>1375</v>
      </c>
      <c r="N688" s="44">
        <v>1500</v>
      </c>
      <c r="O688" s="22" t="s">
        <v>15</v>
      </c>
      <c r="P688" s="45" t="s">
        <v>19</v>
      </c>
      <c r="Q688" s="24"/>
      <c r="R688" s="24"/>
      <c r="S688" s="5"/>
      <c r="T688" s="5"/>
    </row>
    <row r="689" spans="2:20" ht="15.75" hidden="1" x14ac:dyDescent="0.25">
      <c r="B689" s="21" t="s">
        <v>395</v>
      </c>
      <c r="C689" s="22" t="s">
        <v>2450</v>
      </c>
      <c r="D689" s="22"/>
      <c r="E689" s="21" t="s">
        <v>0</v>
      </c>
      <c r="F689" s="21"/>
      <c r="G689" s="147" t="s">
        <v>132</v>
      </c>
      <c r="H689" s="23" t="s">
        <v>1276</v>
      </c>
      <c r="I689" s="23"/>
      <c r="J689" s="21" t="s">
        <v>1277</v>
      </c>
      <c r="K689" s="21"/>
      <c r="L689" s="21" t="s">
        <v>1949</v>
      </c>
      <c r="M689" s="26">
        <v>43726</v>
      </c>
      <c r="N689" s="44">
        <v>8000</v>
      </c>
      <c r="O689" s="22" t="s">
        <v>15</v>
      </c>
      <c r="P689" s="22" t="s">
        <v>19</v>
      </c>
      <c r="Q689" s="24">
        <f t="shared" ref="Q689:Q749" si="46">IF(P689="en cours",N689,IF(P689="OK",0,IF(N689-P689&lt;0,0,N689-P689)))</f>
        <v>0</v>
      </c>
      <c r="R689" s="24">
        <f t="shared" ref="R689:R697" si="47">IF(P689="OK",N689-Q689,IF(P689="en cours",N689-Q689,P689))</f>
        <v>8000</v>
      </c>
      <c r="S689" s="5"/>
      <c r="T689" s="5"/>
    </row>
    <row r="690" spans="2:20" ht="15.75" hidden="1" x14ac:dyDescent="0.25">
      <c r="B690" s="21" t="s">
        <v>395</v>
      </c>
      <c r="C690" s="22" t="s">
        <v>2427</v>
      </c>
      <c r="D690" s="22"/>
      <c r="E690" s="21" t="s">
        <v>0</v>
      </c>
      <c r="F690" s="21"/>
      <c r="G690" s="147" t="s">
        <v>522</v>
      </c>
      <c r="H690" s="23" t="s">
        <v>1279</v>
      </c>
      <c r="I690" s="23"/>
      <c r="J690" s="21" t="s">
        <v>1278</v>
      </c>
      <c r="K690" s="21"/>
      <c r="L690" s="21"/>
      <c r="M690" s="26" t="s">
        <v>1303</v>
      </c>
      <c r="N690" s="44">
        <v>1400</v>
      </c>
      <c r="O690" s="22" t="s">
        <v>15</v>
      </c>
      <c r="P690" s="22" t="s">
        <v>19</v>
      </c>
      <c r="Q690" s="24">
        <f t="shared" si="46"/>
        <v>0</v>
      </c>
      <c r="R690" s="24">
        <f t="shared" si="47"/>
        <v>1400</v>
      </c>
      <c r="S690" s="5"/>
      <c r="T690" s="5"/>
    </row>
    <row r="691" spans="2:20" ht="15.75" hidden="1" x14ac:dyDescent="0.25">
      <c r="B691" s="21" t="s">
        <v>395</v>
      </c>
      <c r="C691" s="22" t="s">
        <v>2450</v>
      </c>
      <c r="D691" s="22"/>
      <c r="E691" s="21" t="s">
        <v>10</v>
      </c>
      <c r="F691" s="21"/>
      <c r="G691" s="147" t="s">
        <v>102</v>
      </c>
      <c r="H691" s="23" t="s">
        <v>1291</v>
      </c>
      <c r="I691" s="23"/>
      <c r="J691" s="21" t="s">
        <v>1284</v>
      </c>
      <c r="K691" s="21"/>
      <c r="L691" s="21"/>
      <c r="M691" s="26" t="s">
        <v>1292</v>
      </c>
      <c r="N691" s="44">
        <f>0.4*7500</f>
        <v>3000</v>
      </c>
      <c r="O691" s="22" t="s">
        <v>15</v>
      </c>
      <c r="P691" s="22" t="s">
        <v>19</v>
      </c>
      <c r="Q691" s="24">
        <f t="shared" si="46"/>
        <v>0</v>
      </c>
      <c r="R691" s="24">
        <f t="shared" si="47"/>
        <v>3000</v>
      </c>
      <c r="S691" s="5"/>
      <c r="T691" s="5"/>
    </row>
    <row r="692" spans="2:20" ht="15.75" hidden="1" x14ac:dyDescent="0.25">
      <c r="B692" s="21" t="s">
        <v>395</v>
      </c>
      <c r="C692" s="22" t="s">
        <v>2450</v>
      </c>
      <c r="D692" s="22"/>
      <c r="E692" s="21" t="s">
        <v>10</v>
      </c>
      <c r="F692" s="21"/>
      <c r="G692" s="147" t="s">
        <v>102</v>
      </c>
      <c r="H692" s="23" t="s">
        <v>1291</v>
      </c>
      <c r="I692" s="23"/>
      <c r="J692" s="21" t="s">
        <v>1285</v>
      </c>
      <c r="K692" s="21"/>
      <c r="L692" s="21"/>
      <c r="M692" s="26" t="s">
        <v>1629</v>
      </c>
      <c r="N692" s="44">
        <f>0.5*7500</f>
        <v>3750</v>
      </c>
      <c r="O692" s="22" t="s">
        <v>15</v>
      </c>
      <c r="P692" s="22" t="s">
        <v>19</v>
      </c>
      <c r="Q692" s="24">
        <f t="shared" si="46"/>
        <v>0</v>
      </c>
      <c r="R692" s="24">
        <f t="shared" si="47"/>
        <v>3750</v>
      </c>
      <c r="S692" s="5"/>
      <c r="T692" s="5"/>
    </row>
    <row r="693" spans="2:20" ht="15.75" hidden="1" x14ac:dyDescent="0.25">
      <c r="B693" s="21" t="s">
        <v>395</v>
      </c>
      <c r="C693" s="22" t="s">
        <v>2450</v>
      </c>
      <c r="D693" s="22"/>
      <c r="E693" s="21" t="s">
        <v>10</v>
      </c>
      <c r="F693" s="21"/>
      <c r="G693" s="147" t="s">
        <v>102</v>
      </c>
      <c r="H693" s="23" t="s">
        <v>1291</v>
      </c>
      <c r="I693" s="23"/>
      <c r="J693" s="21" t="s">
        <v>1286</v>
      </c>
      <c r="K693" s="21"/>
      <c r="L693" s="21" t="s">
        <v>3254</v>
      </c>
      <c r="M693" s="26">
        <v>43987</v>
      </c>
      <c r="N693" s="44">
        <f>0.1*7500</f>
        <v>750</v>
      </c>
      <c r="O693" s="22" t="s">
        <v>15</v>
      </c>
      <c r="P693" s="22" t="s">
        <v>19</v>
      </c>
      <c r="Q693" s="24">
        <f t="shared" si="46"/>
        <v>0</v>
      </c>
      <c r="R693" s="24">
        <f t="shared" si="47"/>
        <v>750</v>
      </c>
      <c r="S693" s="5"/>
      <c r="T693" s="5"/>
    </row>
    <row r="694" spans="2:20" ht="15.75" hidden="1" x14ac:dyDescent="0.25">
      <c r="B694" s="21" t="s">
        <v>395</v>
      </c>
      <c r="C694" s="22" t="s">
        <v>2450</v>
      </c>
      <c r="D694" s="22"/>
      <c r="E694" s="21" t="s">
        <v>10</v>
      </c>
      <c r="F694" s="21"/>
      <c r="G694" s="147" t="s">
        <v>102</v>
      </c>
      <c r="H694" s="23" t="s">
        <v>1287</v>
      </c>
      <c r="I694" s="23"/>
      <c r="J694" s="21" t="s">
        <v>1288</v>
      </c>
      <c r="K694" s="21"/>
      <c r="L694" s="21" t="s">
        <v>2502</v>
      </c>
      <c r="M694" s="26">
        <v>43504</v>
      </c>
      <c r="N694" s="44">
        <f>0.4*26304</f>
        <v>10521.6</v>
      </c>
      <c r="O694" s="22" t="s">
        <v>15</v>
      </c>
      <c r="P694" s="22" t="s">
        <v>19</v>
      </c>
      <c r="Q694" s="24">
        <f t="shared" si="46"/>
        <v>0</v>
      </c>
      <c r="R694" s="24">
        <f t="shared" si="47"/>
        <v>10521.6</v>
      </c>
      <c r="S694" s="5"/>
      <c r="T694" s="5"/>
    </row>
    <row r="695" spans="2:20" ht="15.75" hidden="1" x14ac:dyDescent="0.25">
      <c r="B695" s="21" t="s">
        <v>395</v>
      </c>
      <c r="C695" s="22" t="s">
        <v>2450</v>
      </c>
      <c r="D695" s="22"/>
      <c r="E695" s="21" t="s">
        <v>10</v>
      </c>
      <c r="F695" s="21"/>
      <c r="G695" s="147" t="s">
        <v>102</v>
      </c>
      <c r="H695" s="23" t="s">
        <v>1287</v>
      </c>
      <c r="I695" s="23"/>
      <c r="J695" s="21" t="s">
        <v>1289</v>
      </c>
      <c r="K695" s="21"/>
      <c r="L695" s="21" t="s">
        <v>2503</v>
      </c>
      <c r="M695" s="26">
        <v>43612</v>
      </c>
      <c r="N695" s="44">
        <f>0.5*26304</f>
        <v>13152</v>
      </c>
      <c r="O695" s="22" t="s">
        <v>15</v>
      </c>
      <c r="P695" s="22" t="s">
        <v>19</v>
      </c>
      <c r="Q695" s="24">
        <f t="shared" si="46"/>
        <v>0</v>
      </c>
      <c r="R695" s="24">
        <f t="shared" si="47"/>
        <v>13152</v>
      </c>
      <c r="S695" s="5"/>
      <c r="T695" s="5"/>
    </row>
    <row r="696" spans="2:20" ht="15.75" hidden="1" x14ac:dyDescent="0.25">
      <c r="B696" s="21" t="s">
        <v>395</v>
      </c>
      <c r="C696" s="22" t="s">
        <v>2450</v>
      </c>
      <c r="D696" s="22"/>
      <c r="E696" s="21" t="s">
        <v>10</v>
      </c>
      <c r="F696" s="21"/>
      <c r="G696" s="147" t="s">
        <v>102</v>
      </c>
      <c r="H696" s="23" t="s">
        <v>1287</v>
      </c>
      <c r="I696" s="23"/>
      <c r="J696" s="21" t="s">
        <v>1290</v>
      </c>
      <c r="K696" s="21"/>
      <c r="L696" s="21" t="s">
        <v>2504</v>
      </c>
      <c r="M696" s="26">
        <v>43782</v>
      </c>
      <c r="N696" s="44">
        <f>0.1*26304</f>
        <v>2630.4</v>
      </c>
      <c r="O696" s="22" t="s">
        <v>15</v>
      </c>
      <c r="P696" s="22" t="s">
        <v>19</v>
      </c>
      <c r="Q696" s="24">
        <f t="shared" si="46"/>
        <v>0</v>
      </c>
      <c r="R696" s="24">
        <f t="shared" si="47"/>
        <v>2630.4</v>
      </c>
      <c r="S696" s="5"/>
      <c r="T696" s="5"/>
    </row>
    <row r="697" spans="2:20" ht="15.75" hidden="1" x14ac:dyDescent="0.25">
      <c r="B697" s="21" t="s">
        <v>395</v>
      </c>
      <c r="C697" s="22" t="s">
        <v>2450</v>
      </c>
      <c r="D697" s="22"/>
      <c r="E697" s="21" t="s">
        <v>10</v>
      </c>
      <c r="F697" s="21"/>
      <c r="G697" s="147" t="s">
        <v>169</v>
      </c>
      <c r="H697" s="23" t="s">
        <v>1296</v>
      </c>
      <c r="I697" s="23"/>
      <c r="J697" s="21" t="s">
        <v>1297</v>
      </c>
      <c r="K697" s="21"/>
      <c r="L697" s="21" t="s">
        <v>2275</v>
      </c>
      <c r="M697" s="26" t="s">
        <v>2274</v>
      </c>
      <c r="N697" s="44">
        <v>10000</v>
      </c>
      <c r="O697" s="22" t="s">
        <v>15</v>
      </c>
      <c r="P697" s="22">
        <f>2000+8000</f>
        <v>10000</v>
      </c>
      <c r="Q697" s="24">
        <f t="shared" si="46"/>
        <v>0</v>
      </c>
      <c r="R697" s="24">
        <f t="shared" si="47"/>
        <v>10000</v>
      </c>
      <c r="S697" s="5" t="s">
        <v>1790</v>
      </c>
      <c r="T697" s="5"/>
    </row>
    <row r="698" spans="2:20" ht="15.75" hidden="1" x14ac:dyDescent="0.25">
      <c r="B698" s="21" t="s">
        <v>395</v>
      </c>
      <c r="C698" s="22" t="s">
        <v>2427</v>
      </c>
      <c r="D698" s="22"/>
      <c r="E698" s="21" t="s">
        <v>75</v>
      </c>
      <c r="F698" s="21"/>
      <c r="G698" s="147" t="s">
        <v>1298</v>
      </c>
      <c r="H698" s="23" t="s">
        <v>1299</v>
      </c>
      <c r="I698" s="23"/>
      <c r="J698" s="21" t="s">
        <v>2442</v>
      </c>
      <c r="K698" s="121"/>
      <c r="L698" s="21"/>
      <c r="M698" s="26" t="s">
        <v>1360</v>
      </c>
      <c r="N698" s="44">
        <v>2352</v>
      </c>
      <c r="O698" s="22" t="s">
        <v>15</v>
      </c>
      <c r="P698" s="22" t="s">
        <v>19</v>
      </c>
      <c r="Q698" s="24">
        <f t="shared" si="46"/>
        <v>0</v>
      </c>
      <c r="R698" s="24"/>
      <c r="S698" s="5"/>
      <c r="T698" s="5"/>
    </row>
    <row r="699" spans="2:20" ht="15.75" hidden="1" x14ac:dyDescent="0.25">
      <c r="B699" s="21" t="s">
        <v>395</v>
      </c>
      <c r="C699" s="22" t="s">
        <v>2450</v>
      </c>
      <c r="D699" s="22"/>
      <c r="E699" s="21" t="s">
        <v>10</v>
      </c>
      <c r="F699" s="21"/>
      <c r="G699" s="147" t="s">
        <v>238</v>
      </c>
      <c r="H699" s="23" t="s">
        <v>1300</v>
      </c>
      <c r="I699" s="23"/>
      <c r="J699" s="21" t="s">
        <v>1301</v>
      </c>
      <c r="K699" s="121"/>
      <c r="L699" s="21"/>
      <c r="M699" s="26" t="s">
        <v>1761</v>
      </c>
      <c r="N699" s="44">
        <v>8418.14</v>
      </c>
      <c r="O699" s="22" t="s">
        <v>15</v>
      </c>
      <c r="P699" s="22" t="s">
        <v>19</v>
      </c>
      <c r="Q699" s="24">
        <f t="shared" si="46"/>
        <v>0</v>
      </c>
      <c r="R699" s="24">
        <f>IF(P699="OK",N699-Q699,IF(P699="en cours",N699-Q699,P699))</f>
        <v>8418.14</v>
      </c>
      <c r="S699" s="5" t="s">
        <v>1762</v>
      </c>
      <c r="T699" s="5"/>
    </row>
    <row r="700" spans="2:20" ht="15.75" hidden="1" x14ac:dyDescent="0.25">
      <c r="B700" s="21" t="s">
        <v>395</v>
      </c>
      <c r="C700" s="22" t="s">
        <v>2450</v>
      </c>
      <c r="D700" s="22"/>
      <c r="E700" s="21" t="s">
        <v>10</v>
      </c>
      <c r="F700" s="21"/>
      <c r="G700" s="147" t="s">
        <v>1103</v>
      </c>
      <c r="H700" s="23" t="s">
        <v>1305</v>
      </c>
      <c r="I700" s="23"/>
      <c r="J700" s="21" t="s">
        <v>1304</v>
      </c>
      <c r="K700" s="21"/>
      <c r="L700" s="21" t="s">
        <v>2790</v>
      </c>
      <c r="M700" s="26">
        <v>43509</v>
      </c>
      <c r="N700" s="44">
        <v>5050</v>
      </c>
      <c r="O700" s="22" t="s">
        <v>276</v>
      </c>
      <c r="P700" s="22" t="s">
        <v>19</v>
      </c>
      <c r="Q700" s="24">
        <f t="shared" si="46"/>
        <v>0</v>
      </c>
      <c r="R700" s="24">
        <f>IF(P700="OK",N700-Q700,IF(P700="en cours",N700-Q700,P700))</f>
        <v>5050</v>
      </c>
      <c r="S700" s="5"/>
      <c r="T700" s="5"/>
    </row>
    <row r="701" spans="2:20" ht="15.75" hidden="1" x14ac:dyDescent="0.25">
      <c r="B701" s="21" t="s">
        <v>395</v>
      </c>
      <c r="C701" s="22" t="s">
        <v>2450</v>
      </c>
      <c r="D701" s="22"/>
      <c r="E701" s="21" t="s">
        <v>10</v>
      </c>
      <c r="F701" s="21"/>
      <c r="G701" s="147" t="s">
        <v>1103</v>
      </c>
      <c r="H701" s="23" t="s">
        <v>1307</v>
      </c>
      <c r="I701" s="23"/>
      <c r="J701" s="21" t="s">
        <v>1306</v>
      </c>
      <c r="K701" s="21"/>
      <c r="L701" s="21" t="s">
        <v>2791</v>
      </c>
      <c r="M701" s="26">
        <v>43509</v>
      </c>
      <c r="N701" s="44">
        <v>2250</v>
      </c>
      <c r="O701" s="22" t="s">
        <v>276</v>
      </c>
      <c r="P701" s="22" t="s">
        <v>19</v>
      </c>
      <c r="Q701" s="24">
        <f t="shared" si="46"/>
        <v>0</v>
      </c>
      <c r="R701" s="24">
        <f>IF(P701="OK",N701-Q701,IF(P701="en cours",N701-Q701,P701))</f>
        <v>2250</v>
      </c>
      <c r="S701" s="5"/>
      <c r="T701" s="5"/>
    </row>
    <row r="702" spans="2:20" ht="15.75" hidden="1" x14ac:dyDescent="0.25">
      <c r="B702" s="21" t="s">
        <v>395</v>
      </c>
      <c r="C702" s="22" t="s">
        <v>2450</v>
      </c>
      <c r="D702" s="22"/>
      <c r="E702" s="21" t="s">
        <v>10</v>
      </c>
      <c r="F702" s="21"/>
      <c r="G702" s="147" t="s">
        <v>169</v>
      </c>
      <c r="H702" s="23" t="s">
        <v>1440</v>
      </c>
      <c r="I702" s="23"/>
      <c r="J702" s="21" t="s">
        <v>1313</v>
      </c>
      <c r="K702" s="21"/>
      <c r="L702" s="21" t="s">
        <v>2276</v>
      </c>
      <c r="M702" s="26">
        <v>43546</v>
      </c>
      <c r="N702" s="44">
        <v>3700</v>
      </c>
      <c r="O702" s="22" t="s">
        <v>15</v>
      </c>
      <c r="P702" s="22" t="s">
        <v>19</v>
      </c>
      <c r="Q702" s="24">
        <f t="shared" si="46"/>
        <v>0</v>
      </c>
      <c r="R702" s="24">
        <f>IF(P702="OK",N702-Q702,IF(P702="en cours",N702-Q702,P702))</f>
        <v>3700</v>
      </c>
      <c r="S702" s="5"/>
      <c r="T702" s="5"/>
    </row>
    <row r="703" spans="2:20" ht="15.75" hidden="1" x14ac:dyDescent="0.25">
      <c r="B703" s="21" t="s">
        <v>395</v>
      </c>
      <c r="C703" s="22" t="s">
        <v>2450</v>
      </c>
      <c r="D703" s="22"/>
      <c r="E703" s="21" t="s">
        <v>10</v>
      </c>
      <c r="F703" s="21"/>
      <c r="G703" s="147" t="s">
        <v>169</v>
      </c>
      <c r="H703" s="23" t="s">
        <v>4935</v>
      </c>
      <c r="I703" s="23"/>
      <c r="J703" s="208" t="s">
        <v>1314</v>
      </c>
      <c r="K703" s="21"/>
      <c r="L703" s="21"/>
      <c r="M703" s="26"/>
      <c r="N703" s="44">
        <v>0</v>
      </c>
      <c r="O703" s="22" t="s">
        <v>15</v>
      </c>
      <c r="P703" s="22" t="s">
        <v>19</v>
      </c>
      <c r="Q703" s="24">
        <f t="shared" si="46"/>
        <v>0</v>
      </c>
      <c r="R703" s="24">
        <f>IF(P703="OK",N703-Q703,IF(P703="en cours",N703-Q703,P703))</f>
        <v>0</v>
      </c>
      <c r="S703" s="5" t="s">
        <v>4936</v>
      </c>
      <c r="T703" s="5"/>
    </row>
    <row r="704" spans="2:20" ht="15.75" hidden="1" x14ac:dyDescent="0.25">
      <c r="B704" s="21" t="s">
        <v>395</v>
      </c>
      <c r="C704" s="22" t="s">
        <v>2427</v>
      </c>
      <c r="D704" s="22"/>
      <c r="E704" s="21" t="s">
        <v>0</v>
      </c>
      <c r="F704" s="21"/>
      <c r="G704" s="147" t="s">
        <v>49</v>
      </c>
      <c r="H704" s="23" t="s">
        <v>1315</v>
      </c>
      <c r="I704" s="23"/>
      <c r="J704" s="21" t="s">
        <v>1316</v>
      </c>
      <c r="K704" s="21"/>
      <c r="L704" s="21" t="s">
        <v>2150</v>
      </c>
      <c r="M704" s="26">
        <v>43511</v>
      </c>
      <c r="N704" s="44">
        <v>3375</v>
      </c>
      <c r="O704" s="22" t="s">
        <v>15</v>
      </c>
      <c r="P704" s="22" t="s">
        <v>19</v>
      </c>
      <c r="Q704" s="24">
        <f t="shared" si="46"/>
        <v>0</v>
      </c>
      <c r="R704" s="24"/>
      <c r="S704" s="5"/>
      <c r="T704" s="5"/>
    </row>
    <row r="705" spans="1:20" ht="15.75" hidden="1" x14ac:dyDescent="0.25">
      <c r="B705" s="21" t="s">
        <v>395</v>
      </c>
      <c r="C705" s="22" t="s">
        <v>2427</v>
      </c>
      <c r="D705" s="22"/>
      <c r="E705" s="21" t="s">
        <v>0</v>
      </c>
      <c r="F705" s="21"/>
      <c r="G705" s="147" t="s">
        <v>49</v>
      </c>
      <c r="H705" s="23" t="s">
        <v>1315</v>
      </c>
      <c r="I705" s="23"/>
      <c r="J705" s="21" t="s">
        <v>1317</v>
      </c>
      <c r="K705" s="21"/>
      <c r="L705" s="21" t="s">
        <v>2149</v>
      </c>
      <c r="M705" s="26">
        <v>43644</v>
      </c>
      <c r="N705" s="44">
        <v>2250</v>
      </c>
      <c r="O705" s="22" t="s">
        <v>15</v>
      </c>
      <c r="P705" s="22" t="s">
        <v>19</v>
      </c>
      <c r="Q705" s="24">
        <f t="shared" si="46"/>
        <v>0</v>
      </c>
      <c r="R705" s="24">
        <f>IF(P705="OK",N705-Q705,IF(P705="en cours",N705-Q705,P705))</f>
        <v>2250</v>
      </c>
      <c r="S705" s="5" t="s">
        <v>1802</v>
      </c>
      <c r="T705" s="5"/>
    </row>
    <row r="706" spans="1:20" ht="15.75" hidden="1" x14ac:dyDescent="0.25">
      <c r="B706" s="32" t="s">
        <v>395</v>
      </c>
      <c r="C706" s="22" t="s">
        <v>3980</v>
      </c>
      <c r="D706" s="33"/>
      <c r="E706" s="32" t="s">
        <v>10</v>
      </c>
      <c r="F706" s="32"/>
      <c r="G706" s="155" t="s">
        <v>487</v>
      </c>
      <c r="H706" s="34" t="s">
        <v>1320</v>
      </c>
      <c r="I706" s="34"/>
      <c r="J706" s="32" t="s">
        <v>489</v>
      </c>
      <c r="K706" s="164"/>
      <c r="L706" s="32"/>
      <c r="M706" s="35" t="s">
        <v>1318</v>
      </c>
      <c r="N706" s="93">
        <v>5000</v>
      </c>
      <c r="O706" s="33" t="s">
        <v>15</v>
      </c>
      <c r="P706" s="22" t="s">
        <v>19</v>
      </c>
      <c r="Q706" s="36">
        <f t="shared" si="46"/>
        <v>0</v>
      </c>
      <c r="R706" s="37">
        <f>IF(P706="OK",N706-Q706,IF(P706="en cours",N706-Q706,P706))</f>
        <v>5000</v>
      </c>
      <c r="S706" s="5"/>
      <c r="T706" s="5"/>
    </row>
    <row r="707" spans="1:20" ht="15.75" hidden="1" x14ac:dyDescent="0.25">
      <c r="B707" s="21" t="s">
        <v>395</v>
      </c>
      <c r="C707" s="22" t="s">
        <v>2450</v>
      </c>
      <c r="D707" s="22"/>
      <c r="E707" s="21" t="s">
        <v>10</v>
      </c>
      <c r="F707" s="21"/>
      <c r="G707" s="147" t="s">
        <v>1319</v>
      </c>
      <c r="H707" s="23" t="s">
        <v>1321</v>
      </c>
      <c r="I707" s="23"/>
      <c r="J707" s="21" t="s">
        <v>1322</v>
      </c>
      <c r="K707" s="164"/>
      <c r="L707" s="21"/>
      <c r="M707" s="26" t="s">
        <v>1361</v>
      </c>
      <c r="N707" s="44">
        <f>0.5*42400</f>
        <v>21200</v>
      </c>
      <c r="O707" s="22" t="s">
        <v>276</v>
      </c>
      <c r="P707" s="22" t="s">
        <v>19</v>
      </c>
      <c r="Q707" s="24">
        <f t="shared" si="46"/>
        <v>0</v>
      </c>
      <c r="R707" s="24"/>
      <c r="S707" s="5" t="s">
        <v>2358</v>
      </c>
      <c r="T707" s="5"/>
    </row>
    <row r="708" spans="1:20" ht="15.75" hidden="1" x14ac:dyDescent="0.25">
      <c r="B708" s="21" t="s">
        <v>395</v>
      </c>
      <c r="C708" s="22" t="s">
        <v>2450</v>
      </c>
      <c r="D708" s="22"/>
      <c r="E708" s="21" t="s">
        <v>10</v>
      </c>
      <c r="F708" s="21"/>
      <c r="G708" s="147" t="s">
        <v>1319</v>
      </c>
      <c r="H708" s="23" t="s">
        <v>1321</v>
      </c>
      <c r="I708" s="23"/>
      <c r="J708" s="21" t="s">
        <v>1742</v>
      </c>
      <c r="K708" s="47"/>
      <c r="L708" s="21" t="s">
        <v>3097</v>
      </c>
      <c r="M708" s="26">
        <v>43895</v>
      </c>
      <c r="N708" s="44">
        <f>0.4*42400</f>
        <v>16960</v>
      </c>
      <c r="O708" s="22" t="s">
        <v>276</v>
      </c>
      <c r="P708" s="22" t="s">
        <v>19</v>
      </c>
      <c r="Q708" s="24">
        <f t="shared" si="46"/>
        <v>0</v>
      </c>
      <c r="R708" s="24">
        <f t="shared" ref="R708:R712" si="48">IF(P708="OK",N708-Q708,IF(P708="en cours",N708-Q708,P708))</f>
        <v>16960</v>
      </c>
      <c r="S708" s="5" t="s">
        <v>2358</v>
      </c>
      <c r="T708" s="5"/>
    </row>
    <row r="709" spans="1:20" ht="15.75" hidden="1" x14ac:dyDescent="0.25">
      <c r="B709" s="21" t="s">
        <v>395</v>
      </c>
      <c r="C709" s="22" t="s">
        <v>2450</v>
      </c>
      <c r="D709" s="22"/>
      <c r="E709" s="21" t="s">
        <v>10</v>
      </c>
      <c r="F709" s="21"/>
      <c r="G709" s="147" t="s">
        <v>1319</v>
      </c>
      <c r="H709" s="23" t="s">
        <v>1321</v>
      </c>
      <c r="I709" s="23"/>
      <c r="J709" s="21" t="s">
        <v>1323</v>
      </c>
      <c r="K709" s="47"/>
      <c r="L709" s="21" t="s">
        <v>3097</v>
      </c>
      <c r="M709" s="26">
        <v>43895</v>
      </c>
      <c r="N709" s="44">
        <f>0.1*42400</f>
        <v>4240</v>
      </c>
      <c r="O709" s="22" t="s">
        <v>276</v>
      </c>
      <c r="P709" s="22" t="s">
        <v>19</v>
      </c>
      <c r="Q709" s="24">
        <f t="shared" si="46"/>
        <v>0</v>
      </c>
      <c r="R709" s="24">
        <f t="shared" si="48"/>
        <v>4240</v>
      </c>
      <c r="S709" s="5" t="s">
        <v>2358</v>
      </c>
      <c r="T709" s="5"/>
    </row>
    <row r="710" spans="1:20" ht="15.75" hidden="1" x14ac:dyDescent="0.25">
      <c r="A710" t="s">
        <v>6781</v>
      </c>
      <c r="B710" s="21" t="s">
        <v>395</v>
      </c>
      <c r="C710" s="22" t="s">
        <v>2450</v>
      </c>
      <c r="D710" s="22"/>
      <c r="E710" s="21" t="s">
        <v>0</v>
      </c>
      <c r="F710" s="21"/>
      <c r="G710" s="147" t="s">
        <v>995</v>
      </c>
      <c r="H710" s="23" t="s">
        <v>1333</v>
      </c>
      <c r="I710" s="23"/>
      <c r="J710" s="21" t="s">
        <v>1396</v>
      </c>
      <c r="K710" s="21"/>
      <c r="L710" s="21" t="s">
        <v>2627</v>
      </c>
      <c r="M710" s="26">
        <v>43524</v>
      </c>
      <c r="N710" s="44">
        <f>0.5*12500</f>
        <v>6250</v>
      </c>
      <c r="O710" s="22" t="s">
        <v>15</v>
      </c>
      <c r="P710" s="44">
        <v>6250</v>
      </c>
      <c r="Q710" s="24">
        <f t="shared" si="46"/>
        <v>0</v>
      </c>
      <c r="R710" s="24">
        <f t="shared" si="48"/>
        <v>6250</v>
      </c>
      <c r="S710" s="5"/>
      <c r="T710" s="5"/>
    </row>
    <row r="711" spans="1:20" ht="15.75" hidden="1" x14ac:dyDescent="0.25">
      <c r="A711" t="s">
        <v>6781</v>
      </c>
      <c r="B711" s="21" t="s">
        <v>395</v>
      </c>
      <c r="C711" s="22" t="s">
        <v>2450</v>
      </c>
      <c r="D711" s="22"/>
      <c r="E711" s="21" t="s">
        <v>0</v>
      </c>
      <c r="F711" s="21"/>
      <c r="G711" s="147" t="s">
        <v>995</v>
      </c>
      <c r="H711" s="23" t="s">
        <v>1333</v>
      </c>
      <c r="I711" s="23"/>
      <c r="J711" s="21" t="s">
        <v>1397</v>
      </c>
      <c r="K711" s="21"/>
      <c r="L711" s="21" t="s">
        <v>6780</v>
      </c>
      <c r="M711" s="26">
        <v>44712</v>
      </c>
      <c r="N711" s="44">
        <f>0.5*12500</f>
        <v>6250</v>
      </c>
      <c r="O711" s="22" t="s">
        <v>15</v>
      </c>
      <c r="P711" s="44">
        <v>6250</v>
      </c>
      <c r="Q711" s="24">
        <f t="shared" si="46"/>
        <v>0</v>
      </c>
      <c r="R711" s="24">
        <f t="shared" si="48"/>
        <v>6250</v>
      </c>
      <c r="S711" s="5"/>
      <c r="T711" s="5"/>
    </row>
    <row r="712" spans="1:20" ht="15.75" hidden="1" x14ac:dyDescent="0.25">
      <c r="B712" s="21" t="s">
        <v>395</v>
      </c>
      <c r="C712" s="22" t="s">
        <v>2427</v>
      </c>
      <c r="D712" s="22"/>
      <c r="E712" s="21" t="s">
        <v>10</v>
      </c>
      <c r="F712" s="21"/>
      <c r="G712" s="147" t="s">
        <v>238</v>
      </c>
      <c r="H712" s="23" t="s">
        <v>1341</v>
      </c>
      <c r="I712" s="23"/>
      <c r="J712" s="21" t="s">
        <v>2443</v>
      </c>
      <c r="K712" s="21"/>
      <c r="L712" s="21" t="s">
        <v>1900</v>
      </c>
      <c r="M712" s="26" t="s">
        <v>1899</v>
      </c>
      <c r="N712" s="44">
        <f>0.5*21042</f>
        <v>10521</v>
      </c>
      <c r="O712" s="22" t="s">
        <v>276</v>
      </c>
      <c r="P712" s="22" t="s">
        <v>19</v>
      </c>
      <c r="Q712" s="24">
        <f t="shared" si="46"/>
        <v>0</v>
      </c>
      <c r="R712" s="24">
        <f t="shared" si="48"/>
        <v>10521</v>
      </c>
      <c r="S712" s="5"/>
      <c r="T712" s="5"/>
    </row>
    <row r="713" spans="1:20" ht="15.75" hidden="1" x14ac:dyDescent="0.25">
      <c r="B713" s="21" t="s">
        <v>395</v>
      </c>
      <c r="C713" s="22" t="s">
        <v>2427</v>
      </c>
      <c r="D713" s="22"/>
      <c r="E713" s="21" t="s">
        <v>10</v>
      </c>
      <c r="F713" s="21"/>
      <c r="G713" s="147" t="s">
        <v>238</v>
      </c>
      <c r="H713" s="23" t="s">
        <v>1341</v>
      </c>
      <c r="I713" s="23"/>
      <c r="J713" s="21" t="s">
        <v>2444</v>
      </c>
      <c r="K713" s="21"/>
      <c r="L713" s="21" t="s">
        <v>1898</v>
      </c>
      <c r="M713" s="26">
        <v>43542</v>
      </c>
      <c r="N713" s="44">
        <f>0.5*21042</f>
        <v>10521</v>
      </c>
      <c r="O713" s="22" t="s">
        <v>276</v>
      </c>
      <c r="P713" s="22" t="s">
        <v>19</v>
      </c>
      <c r="Q713" s="24">
        <f t="shared" si="46"/>
        <v>0</v>
      </c>
      <c r="R713" s="24"/>
      <c r="S713" s="5" t="s">
        <v>1767</v>
      </c>
      <c r="T713" s="5"/>
    </row>
    <row r="714" spans="1:20" ht="15.75" hidden="1" x14ac:dyDescent="0.25">
      <c r="B714" s="21" t="s">
        <v>395</v>
      </c>
      <c r="C714" s="22" t="s">
        <v>2450</v>
      </c>
      <c r="D714" s="22"/>
      <c r="E714" s="21" t="s">
        <v>10</v>
      </c>
      <c r="F714" s="21"/>
      <c r="G714" s="147" t="s">
        <v>1363</v>
      </c>
      <c r="H714" s="23" t="s">
        <v>1728</v>
      </c>
      <c r="I714" s="23"/>
      <c r="J714" s="21" t="s">
        <v>1364</v>
      </c>
      <c r="K714" s="121"/>
      <c r="L714" s="21" t="s">
        <v>1962</v>
      </c>
      <c r="M714" s="26">
        <v>43528</v>
      </c>
      <c r="N714" s="44">
        <f>0.5*95600</f>
        <v>47800</v>
      </c>
      <c r="O714" s="22" t="s">
        <v>15</v>
      </c>
      <c r="P714" s="22" t="s">
        <v>19</v>
      </c>
      <c r="Q714" s="24">
        <f t="shared" si="46"/>
        <v>0</v>
      </c>
      <c r="R714" s="24">
        <f t="shared" ref="R714:R728" si="49">IF(P714="OK",N714-Q714,IF(P714="en cours",N714-Q714,P714))</f>
        <v>47800</v>
      </c>
      <c r="S714" s="5"/>
      <c r="T714" s="5"/>
    </row>
    <row r="715" spans="1:20" ht="15.75" hidden="1" x14ac:dyDescent="0.25">
      <c r="B715" s="21" t="s">
        <v>395</v>
      </c>
      <c r="C715" s="22" t="s">
        <v>2450</v>
      </c>
      <c r="D715" s="22"/>
      <c r="E715" s="21" t="s">
        <v>10</v>
      </c>
      <c r="F715" s="21"/>
      <c r="G715" s="147" t="s">
        <v>1363</v>
      </c>
      <c r="H715" s="23" t="s">
        <v>1728</v>
      </c>
      <c r="I715" s="23"/>
      <c r="J715" s="21" t="s">
        <v>1365</v>
      </c>
      <c r="K715" s="121"/>
      <c r="L715" s="21" t="s">
        <v>2467</v>
      </c>
      <c r="M715" s="26">
        <v>43783</v>
      </c>
      <c r="N715" s="44">
        <f>0.5*95600</f>
        <v>47800</v>
      </c>
      <c r="O715" s="22" t="s">
        <v>15</v>
      </c>
      <c r="P715" s="22" t="s">
        <v>19</v>
      </c>
      <c r="Q715" s="24">
        <f t="shared" si="46"/>
        <v>0</v>
      </c>
      <c r="R715" s="24">
        <f t="shared" si="49"/>
        <v>47800</v>
      </c>
      <c r="S715" s="5" t="s">
        <v>1769</v>
      </c>
      <c r="T715" s="5"/>
    </row>
    <row r="716" spans="1:20" ht="15.75" hidden="1" x14ac:dyDescent="0.25">
      <c r="B716" s="21" t="s">
        <v>395</v>
      </c>
      <c r="C716" s="22" t="s">
        <v>2450</v>
      </c>
      <c r="D716" s="22"/>
      <c r="E716" s="21" t="s">
        <v>10</v>
      </c>
      <c r="F716" s="21"/>
      <c r="G716" s="147" t="s">
        <v>1363</v>
      </c>
      <c r="H716" s="23" t="s">
        <v>2465</v>
      </c>
      <c r="I716" s="23"/>
      <c r="J716" s="21" t="s">
        <v>1364</v>
      </c>
      <c r="K716" s="121"/>
      <c r="L716" s="21" t="s">
        <v>1963</v>
      </c>
      <c r="M716" s="26">
        <v>43664</v>
      </c>
      <c r="N716" s="44">
        <f>0.5*12400</f>
        <v>6200</v>
      </c>
      <c r="O716" s="22" t="s">
        <v>15</v>
      </c>
      <c r="P716" s="22" t="s">
        <v>19</v>
      </c>
      <c r="Q716" s="24">
        <f t="shared" si="46"/>
        <v>0</v>
      </c>
      <c r="R716" s="24">
        <f t="shared" si="49"/>
        <v>6200</v>
      </c>
      <c r="S716" s="5"/>
      <c r="T716" s="5"/>
    </row>
    <row r="717" spans="1:20" ht="15.75" hidden="1" x14ac:dyDescent="0.25">
      <c r="B717" s="21" t="s">
        <v>395</v>
      </c>
      <c r="C717" s="22" t="s">
        <v>2450</v>
      </c>
      <c r="D717" s="22"/>
      <c r="E717" s="21" t="s">
        <v>10</v>
      </c>
      <c r="F717" s="21"/>
      <c r="G717" s="147" t="s">
        <v>1363</v>
      </c>
      <c r="H717" s="23" t="s">
        <v>2466</v>
      </c>
      <c r="I717" s="23"/>
      <c r="J717" s="21" t="s">
        <v>1365</v>
      </c>
      <c r="K717" s="121"/>
      <c r="L717" s="21" t="s">
        <v>2468</v>
      </c>
      <c r="M717" s="26">
        <v>43783</v>
      </c>
      <c r="N717" s="44">
        <f>0.5*12400</f>
        <v>6200</v>
      </c>
      <c r="O717" s="22" t="s">
        <v>15</v>
      </c>
      <c r="P717" s="22" t="s">
        <v>19</v>
      </c>
      <c r="Q717" s="24">
        <f t="shared" si="46"/>
        <v>0</v>
      </c>
      <c r="R717" s="24">
        <f t="shared" si="49"/>
        <v>6200</v>
      </c>
      <c r="S717" s="5"/>
      <c r="T717" s="5"/>
    </row>
    <row r="718" spans="1:20" ht="15.75" hidden="1" x14ac:dyDescent="0.25">
      <c r="B718" s="21" t="s">
        <v>395</v>
      </c>
      <c r="C718" s="22" t="s">
        <v>2450</v>
      </c>
      <c r="D718" s="22"/>
      <c r="E718" s="21" t="s">
        <v>10</v>
      </c>
      <c r="F718" s="21"/>
      <c r="G718" s="147" t="s">
        <v>1363</v>
      </c>
      <c r="H718" s="23" t="s">
        <v>1729</v>
      </c>
      <c r="I718" s="23"/>
      <c r="J718" s="21" t="s">
        <v>1364</v>
      </c>
      <c r="K718" s="121"/>
      <c r="L718" s="21" t="s">
        <v>1964</v>
      </c>
      <c r="M718" s="26">
        <v>43528</v>
      </c>
      <c r="N718" s="44">
        <f>0.5*64100</f>
        <v>32050</v>
      </c>
      <c r="O718" s="22" t="s">
        <v>15</v>
      </c>
      <c r="P718" s="22" t="s">
        <v>19</v>
      </c>
      <c r="Q718" s="24">
        <f t="shared" si="46"/>
        <v>0</v>
      </c>
      <c r="R718" s="24">
        <f t="shared" si="49"/>
        <v>32050</v>
      </c>
      <c r="S718" s="5"/>
      <c r="T718" s="5"/>
    </row>
    <row r="719" spans="1:20" ht="15.75" hidden="1" x14ac:dyDescent="0.25">
      <c r="B719" s="21" t="s">
        <v>395</v>
      </c>
      <c r="C719" s="22" t="s">
        <v>2450</v>
      </c>
      <c r="D719" s="22"/>
      <c r="E719" s="21" t="s">
        <v>10</v>
      </c>
      <c r="F719" s="21"/>
      <c r="G719" s="147" t="s">
        <v>1363</v>
      </c>
      <c r="H719" s="23" t="s">
        <v>1729</v>
      </c>
      <c r="I719" s="23"/>
      <c r="J719" s="21" t="s">
        <v>1365</v>
      </c>
      <c r="K719" s="121"/>
      <c r="L719" s="21" t="s">
        <v>1966</v>
      </c>
      <c r="M719" s="26">
        <v>43725</v>
      </c>
      <c r="N719" s="44">
        <f>0.5*64100</f>
        <v>32050</v>
      </c>
      <c r="O719" s="22" t="s">
        <v>15</v>
      </c>
      <c r="P719" s="22" t="s">
        <v>19</v>
      </c>
      <c r="Q719" s="24">
        <f t="shared" si="46"/>
        <v>0</v>
      </c>
      <c r="R719" s="24">
        <f t="shared" si="49"/>
        <v>32050</v>
      </c>
      <c r="S719" s="5" t="s">
        <v>1769</v>
      </c>
      <c r="T719" s="5"/>
    </row>
    <row r="720" spans="1:20" ht="15.75" hidden="1" x14ac:dyDescent="0.25">
      <c r="A720" t="s">
        <v>6753</v>
      </c>
      <c r="B720" s="21" t="s">
        <v>395</v>
      </c>
      <c r="C720" s="22" t="s">
        <v>2450</v>
      </c>
      <c r="D720" s="22"/>
      <c r="E720" s="21" t="s">
        <v>10</v>
      </c>
      <c r="F720" s="21"/>
      <c r="G720" s="147" t="s">
        <v>1090</v>
      </c>
      <c r="H720" s="23" t="s">
        <v>1367</v>
      </c>
      <c r="I720" s="23"/>
      <c r="J720" s="21" t="s">
        <v>1366</v>
      </c>
      <c r="K720" s="21"/>
      <c r="L720" s="21"/>
      <c r="M720" s="26" t="s">
        <v>1526</v>
      </c>
      <c r="N720" s="44">
        <v>21456.75</v>
      </c>
      <c r="O720" s="22" t="s">
        <v>15</v>
      </c>
      <c r="P720" s="22">
        <f>16753.04+156.86+193.34+4353.51</f>
        <v>21456.75</v>
      </c>
      <c r="Q720" s="24">
        <f t="shared" si="46"/>
        <v>0</v>
      </c>
      <c r="R720" s="24">
        <f t="shared" si="49"/>
        <v>21456.75</v>
      </c>
      <c r="S720" s="5"/>
      <c r="T720" s="5"/>
    </row>
    <row r="721" spans="1:20" ht="15.75" hidden="1" x14ac:dyDescent="0.25">
      <c r="A721" t="s">
        <v>6753</v>
      </c>
      <c r="B721" s="21" t="s">
        <v>395</v>
      </c>
      <c r="C721" s="22" t="s">
        <v>2450</v>
      </c>
      <c r="D721" s="22"/>
      <c r="E721" s="21" t="s">
        <v>10</v>
      </c>
      <c r="F721" s="21"/>
      <c r="G721" s="147" t="s">
        <v>1090</v>
      </c>
      <c r="H721" s="23" t="s">
        <v>1368</v>
      </c>
      <c r="I721" s="23"/>
      <c r="J721" s="21" t="s">
        <v>1369</v>
      </c>
      <c r="K721" s="21"/>
      <c r="L721" s="21"/>
      <c r="M721" s="26" t="s">
        <v>1523</v>
      </c>
      <c r="N721" s="44">
        <v>11710</v>
      </c>
      <c r="O721" s="22" t="s">
        <v>15</v>
      </c>
      <c r="P721" s="22" t="s">
        <v>19</v>
      </c>
      <c r="Q721" s="24">
        <f t="shared" si="46"/>
        <v>0</v>
      </c>
      <c r="R721" s="24">
        <f t="shared" si="49"/>
        <v>11710</v>
      </c>
      <c r="S721" s="5"/>
      <c r="T721" s="5"/>
    </row>
    <row r="722" spans="1:20" ht="15.75" hidden="1" x14ac:dyDescent="0.25">
      <c r="B722" s="21" t="s">
        <v>395</v>
      </c>
      <c r="C722" s="22" t="s">
        <v>1940</v>
      </c>
      <c r="D722" s="22"/>
      <c r="E722" s="21" t="s">
        <v>75</v>
      </c>
      <c r="F722" s="21"/>
      <c r="G722" s="147" t="s">
        <v>102</v>
      </c>
      <c r="H722" s="23" t="s">
        <v>5455</v>
      </c>
      <c r="I722" s="23"/>
      <c r="J722" s="21" t="s">
        <v>1370</v>
      </c>
      <c r="K722" s="21"/>
      <c r="L722" s="21" t="s">
        <v>3353</v>
      </c>
      <c r="M722" s="26">
        <v>43532</v>
      </c>
      <c r="N722" s="44">
        <f>0.1*44380</f>
        <v>4438</v>
      </c>
      <c r="O722" s="22" t="s">
        <v>15</v>
      </c>
      <c r="P722" s="22" t="s">
        <v>19</v>
      </c>
      <c r="Q722" s="24">
        <f t="shared" si="46"/>
        <v>0</v>
      </c>
      <c r="R722" s="24">
        <f t="shared" si="49"/>
        <v>4438</v>
      </c>
      <c r="S722" s="5"/>
      <c r="T722" s="5"/>
    </row>
    <row r="723" spans="1:20" ht="15.75" hidden="1" x14ac:dyDescent="0.25">
      <c r="B723" s="21" t="s">
        <v>395</v>
      </c>
      <c r="C723" s="22" t="s">
        <v>1940</v>
      </c>
      <c r="D723" s="22"/>
      <c r="E723" s="21" t="s">
        <v>75</v>
      </c>
      <c r="F723" s="21"/>
      <c r="G723" s="147" t="s">
        <v>102</v>
      </c>
      <c r="H723" s="23" t="s">
        <v>5455</v>
      </c>
      <c r="I723" s="23"/>
      <c r="J723" s="21" t="s">
        <v>1371</v>
      </c>
      <c r="K723" s="21"/>
      <c r="L723" s="21" t="s">
        <v>4243</v>
      </c>
      <c r="M723" s="26">
        <v>44186</v>
      </c>
      <c r="N723" s="44">
        <f>0.75*44380</f>
        <v>33285</v>
      </c>
      <c r="O723" s="22" t="s">
        <v>15</v>
      </c>
      <c r="P723" s="22" t="s">
        <v>19</v>
      </c>
      <c r="Q723" s="24">
        <f t="shared" si="46"/>
        <v>0</v>
      </c>
      <c r="R723" s="24">
        <f t="shared" si="49"/>
        <v>33285</v>
      </c>
      <c r="S723" s="5"/>
      <c r="T723" s="5"/>
    </row>
    <row r="724" spans="1:20" ht="15.75" hidden="1" x14ac:dyDescent="0.25">
      <c r="B724" s="21" t="s">
        <v>395</v>
      </c>
      <c r="C724" s="22" t="s">
        <v>1940</v>
      </c>
      <c r="D724" s="22"/>
      <c r="E724" s="21" t="s">
        <v>75</v>
      </c>
      <c r="F724" s="21"/>
      <c r="G724" s="147" t="s">
        <v>102</v>
      </c>
      <c r="H724" s="23" t="s">
        <v>5456</v>
      </c>
      <c r="I724" s="23"/>
      <c r="J724" s="21" t="s">
        <v>1372</v>
      </c>
      <c r="K724" s="21"/>
      <c r="L724" s="21" t="s">
        <v>5457</v>
      </c>
      <c r="M724" s="26">
        <v>44399</v>
      </c>
      <c r="N724" s="44">
        <f>0.15*44380</f>
        <v>6657</v>
      </c>
      <c r="O724" s="22" t="s">
        <v>15</v>
      </c>
      <c r="P724" s="22" t="s">
        <v>19</v>
      </c>
      <c r="Q724" s="24">
        <f t="shared" si="46"/>
        <v>0</v>
      </c>
      <c r="R724" s="24">
        <f t="shared" si="49"/>
        <v>6657</v>
      </c>
      <c r="S724" s="5"/>
      <c r="T724" s="5"/>
    </row>
    <row r="725" spans="1:20" ht="15.75" hidden="1" x14ac:dyDescent="0.25">
      <c r="B725" s="21" t="s">
        <v>395</v>
      </c>
      <c r="C725" s="22" t="s">
        <v>2450</v>
      </c>
      <c r="D725" s="22"/>
      <c r="E725" s="21" t="s">
        <v>10</v>
      </c>
      <c r="F725" s="21"/>
      <c r="G725" s="147" t="s">
        <v>102</v>
      </c>
      <c r="H725" s="23" t="s">
        <v>1441</v>
      </c>
      <c r="I725" s="23"/>
      <c r="J725" s="21" t="s">
        <v>1425</v>
      </c>
      <c r="K725" s="21"/>
      <c r="L725" s="21" t="s">
        <v>2004</v>
      </c>
      <c r="M725" s="26" t="s">
        <v>1376</v>
      </c>
      <c r="N725" s="44">
        <f>0.5*5000</f>
        <v>2500</v>
      </c>
      <c r="O725" s="22" t="s">
        <v>15</v>
      </c>
      <c r="P725" s="22" t="s">
        <v>19</v>
      </c>
      <c r="Q725" s="24">
        <f t="shared" si="46"/>
        <v>0</v>
      </c>
      <c r="R725" s="24">
        <f t="shared" si="49"/>
        <v>2500</v>
      </c>
      <c r="S725" s="5"/>
      <c r="T725" s="5"/>
    </row>
    <row r="726" spans="1:20" ht="15.75" hidden="1" x14ac:dyDescent="0.25">
      <c r="B726" s="21" t="s">
        <v>395</v>
      </c>
      <c r="C726" s="22" t="s">
        <v>2450</v>
      </c>
      <c r="D726" s="22"/>
      <c r="E726" s="21" t="s">
        <v>10</v>
      </c>
      <c r="F726" s="21"/>
      <c r="G726" s="147" t="s">
        <v>102</v>
      </c>
      <c r="H726" s="23" t="s">
        <v>1441</v>
      </c>
      <c r="I726" s="23"/>
      <c r="J726" s="21" t="s">
        <v>1426</v>
      </c>
      <c r="K726" s="21"/>
      <c r="L726" s="21" t="s">
        <v>2005</v>
      </c>
      <c r="M726" s="26" t="s">
        <v>1476</v>
      </c>
      <c r="N726" s="44">
        <f>0.5*5000</f>
        <v>2500</v>
      </c>
      <c r="O726" s="22" t="s">
        <v>15</v>
      </c>
      <c r="P726" s="22" t="s">
        <v>19</v>
      </c>
      <c r="Q726" s="24">
        <f t="shared" si="46"/>
        <v>0</v>
      </c>
      <c r="R726" s="24">
        <f t="shared" si="49"/>
        <v>2500</v>
      </c>
      <c r="S726" s="5"/>
      <c r="T726" s="5"/>
    </row>
    <row r="727" spans="1:20" ht="15.75" hidden="1" x14ac:dyDescent="0.25">
      <c r="B727" s="21" t="s">
        <v>395</v>
      </c>
      <c r="C727" s="22" t="s">
        <v>2450</v>
      </c>
      <c r="D727" s="22"/>
      <c r="E727" s="21" t="s">
        <v>10</v>
      </c>
      <c r="F727" s="21"/>
      <c r="G727" s="147" t="s">
        <v>102</v>
      </c>
      <c r="H727" s="23" t="s">
        <v>1423</v>
      </c>
      <c r="I727" s="23"/>
      <c r="J727" s="21" t="s">
        <v>1377</v>
      </c>
      <c r="K727" s="21"/>
      <c r="L727" s="21" t="s">
        <v>2006</v>
      </c>
      <c r="M727" s="26" t="s">
        <v>1416</v>
      </c>
      <c r="N727" s="44">
        <f>0.5*20900</f>
        <v>10450</v>
      </c>
      <c r="O727" s="22" t="s">
        <v>15</v>
      </c>
      <c r="P727" s="22" t="s">
        <v>19</v>
      </c>
      <c r="Q727" s="24">
        <f t="shared" si="46"/>
        <v>0</v>
      </c>
      <c r="R727" s="24">
        <f t="shared" si="49"/>
        <v>10450</v>
      </c>
      <c r="S727" s="5"/>
      <c r="T727" s="5"/>
    </row>
    <row r="728" spans="1:20" ht="15.75" hidden="1" x14ac:dyDescent="0.25">
      <c r="B728" s="21" t="s">
        <v>395</v>
      </c>
      <c r="C728" s="22" t="s">
        <v>2450</v>
      </c>
      <c r="D728" s="22"/>
      <c r="E728" s="21" t="s">
        <v>10</v>
      </c>
      <c r="F728" s="21"/>
      <c r="G728" s="147" t="s">
        <v>102</v>
      </c>
      <c r="H728" s="23" t="s">
        <v>1423</v>
      </c>
      <c r="I728" s="23"/>
      <c r="J728" s="21" t="s">
        <v>1377</v>
      </c>
      <c r="K728" s="21"/>
      <c r="L728" s="21" t="s">
        <v>2007</v>
      </c>
      <c r="M728" s="26" t="s">
        <v>1671</v>
      </c>
      <c r="N728" s="44">
        <f>0.5*20900</f>
        <v>10450</v>
      </c>
      <c r="O728" s="22" t="s">
        <v>15</v>
      </c>
      <c r="P728" s="22" t="s">
        <v>19</v>
      </c>
      <c r="Q728" s="24">
        <f t="shared" si="46"/>
        <v>0</v>
      </c>
      <c r="R728" s="24">
        <f t="shared" si="49"/>
        <v>10450</v>
      </c>
      <c r="S728" s="5"/>
      <c r="T728" s="5"/>
    </row>
    <row r="729" spans="1:20" ht="15.75" hidden="1" x14ac:dyDescent="0.25">
      <c r="B729" s="21" t="s">
        <v>395</v>
      </c>
      <c r="C729" s="22" t="s">
        <v>2456</v>
      </c>
      <c r="D729" s="22"/>
      <c r="E729" s="21" t="s">
        <v>75</v>
      </c>
      <c r="F729" s="21"/>
      <c r="G729" s="147" t="s">
        <v>238</v>
      </c>
      <c r="H729" s="23" t="s">
        <v>1378</v>
      </c>
      <c r="I729" s="23"/>
      <c r="J729" s="21" t="s">
        <v>1379</v>
      </c>
      <c r="K729" s="21"/>
      <c r="L729" s="21"/>
      <c r="M729" s="26" t="s">
        <v>1384</v>
      </c>
      <c r="N729" s="44">
        <f>0.5*16200</f>
        <v>8100</v>
      </c>
      <c r="O729" s="22" t="s">
        <v>15</v>
      </c>
      <c r="P729" s="22" t="s">
        <v>19</v>
      </c>
      <c r="Q729" s="24">
        <f t="shared" si="46"/>
        <v>0</v>
      </c>
      <c r="R729" s="24"/>
      <c r="S729" s="5"/>
      <c r="T729" s="5"/>
    </row>
    <row r="730" spans="1:20" ht="15.75" hidden="1" x14ac:dyDescent="0.25">
      <c r="B730" s="21" t="s">
        <v>395</v>
      </c>
      <c r="C730" s="22" t="s">
        <v>2456</v>
      </c>
      <c r="D730" s="22"/>
      <c r="E730" s="21" t="s">
        <v>75</v>
      </c>
      <c r="F730" s="21"/>
      <c r="G730" s="147" t="s">
        <v>238</v>
      </c>
      <c r="H730" s="23" t="s">
        <v>1378</v>
      </c>
      <c r="I730" s="23"/>
      <c r="J730" s="21" t="s">
        <v>1380</v>
      </c>
      <c r="K730" s="21"/>
      <c r="L730" s="21"/>
      <c r="M730" s="26" t="s">
        <v>1508</v>
      </c>
      <c r="N730" s="44">
        <f>0.5*16200</f>
        <v>8100</v>
      </c>
      <c r="O730" s="22" t="s">
        <v>15</v>
      </c>
      <c r="P730" s="22" t="s">
        <v>19</v>
      </c>
      <c r="Q730" s="24">
        <f t="shared" si="46"/>
        <v>0</v>
      </c>
      <c r="R730" s="24"/>
      <c r="S730" s="5"/>
      <c r="T730" s="5"/>
    </row>
    <row r="731" spans="1:20" ht="15.75" hidden="1" x14ac:dyDescent="0.25">
      <c r="B731" s="21" t="s">
        <v>395</v>
      </c>
      <c r="C731" s="22" t="s">
        <v>1940</v>
      </c>
      <c r="D731" s="22"/>
      <c r="E731" s="21" t="s">
        <v>75</v>
      </c>
      <c r="F731" s="21"/>
      <c r="G731" s="147" t="s">
        <v>210</v>
      </c>
      <c r="H731" s="23" t="s">
        <v>1551</v>
      </c>
      <c r="I731" s="23"/>
      <c r="J731" s="21" t="s">
        <v>6180</v>
      </c>
      <c r="K731" s="164"/>
      <c r="L731" s="21" t="s">
        <v>6184</v>
      </c>
      <c r="M731" s="26" t="s">
        <v>6185</v>
      </c>
      <c r="N731" s="44">
        <f>P731</f>
        <v>120507.5</v>
      </c>
      <c r="O731" s="22" t="s">
        <v>15</v>
      </c>
      <c r="P731" s="44">
        <f>33815+7380+1260+11570+16410+13120+12340+9900+14712.5</f>
        <v>120507.5</v>
      </c>
      <c r="Q731" s="44">
        <f t="shared" si="46"/>
        <v>0</v>
      </c>
      <c r="R731" s="24">
        <f t="shared" ref="R731:R794" si="50">IF(P731="OK",N731-Q731,IF(P731="en cours",N731-Q731,P731))</f>
        <v>120507.5</v>
      </c>
      <c r="S731" s="5"/>
      <c r="T731" s="5"/>
    </row>
    <row r="732" spans="1:20" ht="15.75" hidden="1" x14ac:dyDescent="0.25">
      <c r="B732" s="21" t="s">
        <v>395</v>
      </c>
      <c r="C732" s="22" t="s">
        <v>1940</v>
      </c>
      <c r="D732" s="22"/>
      <c r="E732" s="21" t="s">
        <v>75</v>
      </c>
      <c r="F732" s="21"/>
      <c r="G732" s="147" t="s">
        <v>210</v>
      </c>
      <c r="H732" s="23" t="s">
        <v>1551</v>
      </c>
      <c r="I732" s="23"/>
      <c r="J732" s="21" t="s">
        <v>6181</v>
      </c>
      <c r="K732" s="164"/>
      <c r="L732" s="21" t="s">
        <v>6184</v>
      </c>
      <c r="M732" s="26" t="s">
        <v>6185</v>
      </c>
      <c r="N732" s="44">
        <f>P732</f>
        <v>9006.44</v>
      </c>
      <c r="O732" s="22" t="s">
        <v>15</v>
      </c>
      <c r="P732" s="44">
        <f>3030.73+248.46+191.94+443.54+1052.29+1522.8+1082.88+447.1+986.7</f>
        <v>9006.44</v>
      </c>
      <c r="Q732" s="44">
        <f t="shared" si="46"/>
        <v>0</v>
      </c>
      <c r="R732" s="24">
        <f t="shared" si="50"/>
        <v>9006.44</v>
      </c>
      <c r="S732" s="5"/>
      <c r="T732" s="5"/>
    </row>
    <row r="733" spans="1:20" ht="15.75" hidden="1" x14ac:dyDescent="0.25">
      <c r="B733" s="21" t="s">
        <v>395</v>
      </c>
      <c r="C733" s="22" t="s">
        <v>1940</v>
      </c>
      <c r="D733" s="22"/>
      <c r="E733" s="21" t="s">
        <v>75</v>
      </c>
      <c r="F733" s="21"/>
      <c r="G733" s="147" t="s">
        <v>210</v>
      </c>
      <c r="H733" s="23" t="s">
        <v>1551</v>
      </c>
      <c r="I733" s="23"/>
      <c r="J733" s="21" t="s">
        <v>6182</v>
      </c>
      <c r="K733" s="164"/>
      <c r="L733" s="21" t="s">
        <v>6186</v>
      </c>
      <c r="M733" s="26" t="s">
        <v>6187</v>
      </c>
      <c r="N733" s="44">
        <f>P733</f>
        <v>123200</v>
      </c>
      <c r="O733" s="22" t="s">
        <v>15</v>
      </c>
      <c r="P733" s="44">
        <f>6760+14040+11732.5+11825+8270+7387.5+10212.5+11240+8872.5+11980+(12040+8840)</f>
        <v>123200</v>
      </c>
      <c r="Q733" s="44">
        <f t="shared" si="46"/>
        <v>0</v>
      </c>
      <c r="R733" s="24">
        <f t="shared" si="50"/>
        <v>123200</v>
      </c>
      <c r="S733" s="5"/>
      <c r="T733" s="5"/>
    </row>
    <row r="734" spans="1:20" ht="15.75" hidden="1" x14ac:dyDescent="0.25">
      <c r="B734" s="21" t="s">
        <v>395</v>
      </c>
      <c r="C734" s="22" t="s">
        <v>1940</v>
      </c>
      <c r="D734" s="22"/>
      <c r="E734" s="21" t="s">
        <v>75</v>
      </c>
      <c r="F734" s="21"/>
      <c r="G734" s="147" t="s">
        <v>210</v>
      </c>
      <c r="H734" s="23" t="s">
        <v>1551</v>
      </c>
      <c r="I734" s="23"/>
      <c r="J734" s="21" t="s">
        <v>6183</v>
      </c>
      <c r="K734" s="164"/>
      <c r="L734" s="21" t="s">
        <v>6186</v>
      </c>
      <c r="M734" s="26" t="s">
        <v>6187</v>
      </c>
      <c r="N734" s="44">
        <f>P734</f>
        <v>8402.24</v>
      </c>
      <c r="O734" s="22" t="s">
        <v>15</v>
      </c>
      <c r="P734" s="44">
        <f>593.99+1877.63+1210.68+653.69+181.65+553.88+419.22+559.02+308.79+760.96+(643.45+639.28)</f>
        <v>8402.24</v>
      </c>
      <c r="Q734" s="44">
        <f t="shared" si="46"/>
        <v>0</v>
      </c>
      <c r="R734" s="24">
        <f t="shared" si="50"/>
        <v>8402.24</v>
      </c>
      <c r="S734" s="5"/>
      <c r="T734" s="5"/>
    </row>
    <row r="735" spans="1:20" ht="15.75" hidden="1" x14ac:dyDescent="0.25">
      <c r="B735" s="5"/>
      <c r="C735" s="4" t="s">
        <v>1940</v>
      </c>
      <c r="D735" s="4"/>
      <c r="E735" s="5" t="s">
        <v>75</v>
      </c>
      <c r="F735" s="5"/>
      <c r="G735" s="146" t="s">
        <v>210</v>
      </c>
      <c r="H735" s="7" t="s">
        <v>1551</v>
      </c>
      <c r="I735" s="7"/>
      <c r="J735" s="5" t="s">
        <v>6188</v>
      </c>
      <c r="K735" s="121"/>
      <c r="L735" s="5" t="s">
        <v>5596</v>
      </c>
      <c r="M735" s="12" t="s">
        <v>5597</v>
      </c>
      <c r="N735" s="45">
        <f>(206992.5+13520)-(N731+N733)</f>
        <v>-23195</v>
      </c>
      <c r="O735" s="4" t="s">
        <v>15</v>
      </c>
      <c r="P735" s="45">
        <f>13130+8440+(11920+12600)+(12600+6360)+7560</f>
        <v>72610</v>
      </c>
      <c r="Q735" s="45">
        <f t="shared" si="46"/>
        <v>0</v>
      </c>
      <c r="R735" s="3">
        <f t="shared" si="50"/>
        <v>72610</v>
      </c>
      <c r="S735" s="5"/>
      <c r="T735" s="5"/>
    </row>
    <row r="736" spans="1:20" ht="15.75" hidden="1" x14ac:dyDescent="0.25">
      <c r="B736" s="5"/>
      <c r="C736" s="4" t="s">
        <v>1940</v>
      </c>
      <c r="D736" s="4"/>
      <c r="E736" s="5" t="s">
        <v>75</v>
      </c>
      <c r="F736" s="5"/>
      <c r="G736" s="146" t="s">
        <v>210</v>
      </c>
      <c r="H736" s="7" t="s">
        <v>1551</v>
      </c>
      <c r="I736" s="7"/>
      <c r="J736" s="5" t="s">
        <v>6189</v>
      </c>
      <c r="K736" s="121"/>
      <c r="L736" s="5" t="s">
        <v>5596</v>
      </c>
      <c r="M736" s="12" t="s">
        <v>5597</v>
      </c>
      <c r="N736" s="45">
        <f>35100-(N732+N734)</f>
        <v>17691.32</v>
      </c>
      <c r="O736" s="4" t="s">
        <v>15</v>
      </c>
      <c r="P736" s="45">
        <f>679.53+453.83+(1144.9+1038.39)+(1047.6+540.53)+376.87</f>
        <v>5281.65</v>
      </c>
      <c r="Q736" s="45">
        <f t="shared" si="46"/>
        <v>12409.67</v>
      </c>
      <c r="R736" s="3">
        <f t="shared" si="50"/>
        <v>5281.65</v>
      </c>
      <c r="S736" s="5"/>
      <c r="T736" s="5"/>
    </row>
    <row r="737" spans="2:20" ht="15.75" hidden="1" x14ac:dyDescent="0.25">
      <c r="B737" s="21" t="s">
        <v>395</v>
      </c>
      <c r="C737" s="22" t="s">
        <v>1940</v>
      </c>
      <c r="D737" s="22"/>
      <c r="E737" s="21" t="s">
        <v>75</v>
      </c>
      <c r="F737" s="21"/>
      <c r="G737" s="147" t="s">
        <v>210</v>
      </c>
      <c r="H737" s="23" t="s">
        <v>1385</v>
      </c>
      <c r="I737" s="23"/>
      <c r="J737" s="21" t="s">
        <v>1386</v>
      </c>
      <c r="K737" s="164"/>
      <c r="L737" s="21"/>
      <c r="M737" s="26" t="s">
        <v>1550</v>
      </c>
      <c r="N737" s="44">
        <v>0</v>
      </c>
      <c r="O737" s="22" t="s">
        <v>15</v>
      </c>
      <c r="P737" s="22" t="s">
        <v>19</v>
      </c>
      <c r="Q737" s="44">
        <f t="shared" si="46"/>
        <v>0</v>
      </c>
      <c r="R737" s="24">
        <f t="shared" si="50"/>
        <v>0</v>
      </c>
      <c r="S737" s="5"/>
      <c r="T737" s="5"/>
    </row>
    <row r="738" spans="2:20" ht="15.75" hidden="1" x14ac:dyDescent="0.25">
      <c r="B738" s="21" t="s">
        <v>395</v>
      </c>
      <c r="C738" s="22" t="s">
        <v>1940</v>
      </c>
      <c r="D738" s="22"/>
      <c r="E738" s="21" t="s">
        <v>75</v>
      </c>
      <c r="F738" s="21"/>
      <c r="G738" s="147" t="s">
        <v>210</v>
      </c>
      <c r="H738" s="23" t="s">
        <v>1385</v>
      </c>
      <c r="I738" s="23"/>
      <c r="J738" s="21" t="s">
        <v>1387</v>
      </c>
      <c r="K738" s="164"/>
      <c r="L738" s="21"/>
      <c r="M738" s="26" t="s">
        <v>1550</v>
      </c>
      <c r="N738" s="44">
        <v>0</v>
      </c>
      <c r="O738" s="22" t="s">
        <v>15</v>
      </c>
      <c r="P738" s="22" t="s">
        <v>19</v>
      </c>
      <c r="Q738" s="44">
        <f t="shared" si="46"/>
        <v>0</v>
      </c>
      <c r="R738" s="24">
        <f t="shared" si="50"/>
        <v>0</v>
      </c>
      <c r="S738" s="5"/>
      <c r="T738" s="5"/>
    </row>
    <row r="739" spans="2:20" ht="15.75" hidden="1" x14ac:dyDescent="0.25">
      <c r="B739" s="21" t="s">
        <v>395</v>
      </c>
      <c r="C739" s="22" t="s">
        <v>2450</v>
      </c>
      <c r="D739" s="22"/>
      <c r="E739" s="21" t="s">
        <v>0</v>
      </c>
      <c r="F739" s="21"/>
      <c r="G739" s="147" t="s">
        <v>995</v>
      </c>
      <c r="H739" s="107" t="s">
        <v>1411</v>
      </c>
      <c r="I739" s="107"/>
      <c r="J739" s="21" t="s">
        <v>1412</v>
      </c>
      <c r="K739" s="21"/>
      <c r="L739" s="21" t="s">
        <v>2628</v>
      </c>
      <c r="M739" s="26">
        <v>43644</v>
      </c>
      <c r="N739" s="44">
        <v>12600</v>
      </c>
      <c r="O739" s="22" t="s">
        <v>15</v>
      </c>
      <c r="P739" s="22" t="s">
        <v>19</v>
      </c>
      <c r="Q739" s="24">
        <f t="shared" si="46"/>
        <v>0</v>
      </c>
      <c r="R739" s="24">
        <f t="shared" si="50"/>
        <v>12600</v>
      </c>
      <c r="S739" s="5"/>
      <c r="T739" s="5"/>
    </row>
    <row r="740" spans="2:20" ht="15.75" hidden="1" x14ac:dyDescent="0.25">
      <c r="B740" s="21" t="s">
        <v>395</v>
      </c>
      <c r="C740" s="22" t="s">
        <v>2450</v>
      </c>
      <c r="D740" s="22"/>
      <c r="E740" s="21" t="s">
        <v>0</v>
      </c>
      <c r="F740" s="21"/>
      <c r="G740" s="147" t="s">
        <v>995</v>
      </c>
      <c r="H740" s="107" t="s">
        <v>1411</v>
      </c>
      <c r="I740" s="107"/>
      <c r="J740" s="21" t="s">
        <v>1413</v>
      </c>
      <c r="K740" s="21"/>
      <c r="L740" s="21" t="s">
        <v>2629</v>
      </c>
      <c r="M740" s="26">
        <v>43546</v>
      </c>
      <c r="N740" s="44">
        <f>0.3*153590</f>
        <v>46077</v>
      </c>
      <c r="O740" s="22" t="s">
        <v>15</v>
      </c>
      <c r="P740" s="22" t="s">
        <v>19</v>
      </c>
      <c r="Q740" s="24">
        <f t="shared" si="46"/>
        <v>0</v>
      </c>
      <c r="R740" s="24">
        <f t="shared" si="50"/>
        <v>46077</v>
      </c>
      <c r="S740" s="5"/>
      <c r="T740" s="5"/>
    </row>
    <row r="741" spans="2:20" ht="15.75" hidden="1" x14ac:dyDescent="0.25">
      <c r="B741" s="21" t="s">
        <v>395</v>
      </c>
      <c r="C741" s="22" t="s">
        <v>2450</v>
      </c>
      <c r="D741" s="22"/>
      <c r="E741" s="21" t="s">
        <v>0</v>
      </c>
      <c r="F741" s="21"/>
      <c r="G741" s="147" t="s">
        <v>995</v>
      </c>
      <c r="H741" s="107" t="s">
        <v>1411</v>
      </c>
      <c r="I741" s="107"/>
      <c r="J741" s="21" t="s">
        <v>1414</v>
      </c>
      <c r="K741" s="21"/>
      <c r="L741" s="21" t="s">
        <v>2630</v>
      </c>
      <c r="M741" s="26">
        <v>43707</v>
      </c>
      <c r="N741" s="44">
        <f>0.7*153590</f>
        <v>107513</v>
      </c>
      <c r="O741" s="22" t="s">
        <v>15</v>
      </c>
      <c r="P741" s="22" t="s">
        <v>19</v>
      </c>
      <c r="Q741" s="24">
        <f t="shared" si="46"/>
        <v>0</v>
      </c>
      <c r="R741" s="24">
        <f t="shared" si="50"/>
        <v>107513</v>
      </c>
      <c r="S741" s="5"/>
      <c r="T741" s="5"/>
    </row>
    <row r="742" spans="2:20" ht="15.75" hidden="1" x14ac:dyDescent="0.25">
      <c r="B742" s="21" t="s">
        <v>395</v>
      </c>
      <c r="C742" s="22" t="s">
        <v>2450</v>
      </c>
      <c r="D742" s="22"/>
      <c r="E742" s="21" t="s">
        <v>0</v>
      </c>
      <c r="F742" s="21"/>
      <c r="G742" s="147" t="s">
        <v>995</v>
      </c>
      <c r="H742" s="107" t="s">
        <v>1415</v>
      </c>
      <c r="I742" s="107"/>
      <c r="J742" s="21" t="s">
        <v>1836</v>
      </c>
      <c r="K742" s="21"/>
      <c r="L742" s="21" t="s">
        <v>2631</v>
      </c>
      <c r="M742" s="26">
        <v>43546</v>
      </c>
      <c r="N742" s="44">
        <f>0.3*1007680</f>
        <v>302304</v>
      </c>
      <c r="O742" s="22" t="s">
        <v>15</v>
      </c>
      <c r="P742" s="22" t="s">
        <v>19</v>
      </c>
      <c r="Q742" s="24">
        <f t="shared" si="46"/>
        <v>0</v>
      </c>
      <c r="R742" s="24">
        <f t="shared" si="50"/>
        <v>302304</v>
      </c>
      <c r="S742" s="5"/>
      <c r="T742" s="5"/>
    </row>
    <row r="743" spans="2:20" ht="15.75" hidden="1" x14ac:dyDescent="0.25">
      <c r="B743" s="21" t="s">
        <v>395</v>
      </c>
      <c r="C743" s="22" t="s">
        <v>2450</v>
      </c>
      <c r="D743" s="22"/>
      <c r="E743" s="21" t="s">
        <v>0</v>
      </c>
      <c r="F743" s="21"/>
      <c r="G743" s="147" t="s">
        <v>995</v>
      </c>
      <c r="H743" s="107" t="s">
        <v>1835</v>
      </c>
      <c r="I743" s="107"/>
      <c r="J743" s="21" t="s">
        <v>2622</v>
      </c>
      <c r="K743" s="21"/>
      <c r="L743" s="21" t="s">
        <v>2632</v>
      </c>
      <c r="M743" s="26">
        <v>43679</v>
      </c>
      <c r="N743" s="44">
        <f>0.3*566815</f>
        <v>170044.5</v>
      </c>
      <c r="O743" s="22" t="s">
        <v>15</v>
      </c>
      <c r="P743" s="22" t="s">
        <v>19</v>
      </c>
      <c r="Q743" s="24">
        <f t="shared" si="46"/>
        <v>0</v>
      </c>
      <c r="R743" s="24">
        <f t="shared" si="50"/>
        <v>170044.5</v>
      </c>
      <c r="S743" s="5"/>
      <c r="T743" s="5"/>
    </row>
    <row r="744" spans="2:20" ht="15.75" hidden="1" x14ac:dyDescent="0.25">
      <c r="B744" s="21" t="s">
        <v>395</v>
      </c>
      <c r="C744" s="22" t="s">
        <v>2450</v>
      </c>
      <c r="D744" s="22"/>
      <c r="E744" s="21" t="s">
        <v>0</v>
      </c>
      <c r="F744" s="21"/>
      <c r="G744" s="147" t="s">
        <v>995</v>
      </c>
      <c r="H744" s="107" t="s">
        <v>1835</v>
      </c>
      <c r="I744" s="107"/>
      <c r="J744" s="21" t="s">
        <v>2623</v>
      </c>
      <c r="K744" s="21"/>
      <c r="L744" s="21" t="s">
        <v>2621</v>
      </c>
      <c r="M744" s="26">
        <v>43811</v>
      </c>
      <c r="N744" s="44">
        <f>(566815*0.7)-N742</f>
        <v>94466.5</v>
      </c>
      <c r="O744" s="22" t="s">
        <v>15</v>
      </c>
      <c r="P744" s="22" t="s">
        <v>19</v>
      </c>
      <c r="Q744" s="24">
        <f t="shared" si="46"/>
        <v>0</v>
      </c>
      <c r="R744" s="24">
        <f t="shared" si="50"/>
        <v>94466.5</v>
      </c>
      <c r="S744" s="5"/>
      <c r="T744" s="5"/>
    </row>
    <row r="745" spans="2:20" ht="15.75" hidden="1" x14ac:dyDescent="0.25">
      <c r="B745" s="21" t="s">
        <v>395</v>
      </c>
      <c r="C745" s="22" t="s">
        <v>2450</v>
      </c>
      <c r="D745" s="22" t="s">
        <v>1417</v>
      </c>
      <c r="E745" s="21" t="s">
        <v>10</v>
      </c>
      <c r="F745" s="21"/>
      <c r="G745" s="147" t="s">
        <v>110</v>
      </c>
      <c r="H745" s="23" t="s">
        <v>1421</v>
      </c>
      <c r="I745" s="23"/>
      <c r="J745" s="21" t="s">
        <v>1418</v>
      </c>
      <c r="K745" s="21"/>
      <c r="L745" s="21" t="s">
        <v>2182</v>
      </c>
      <c r="M745" s="26">
        <v>43602</v>
      </c>
      <c r="N745" s="44">
        <f>0.5*111500</f>
        <v>55750</v>
      </c>
      <c r="O745" s="22" t="s">
        <v>15</v>
      </c>
      <c r="P745" s="22" t="s">
        <v>19</v>
      </c>
      <c r="Q745" s="24">
        <f t="shared" si="46"/>
        <v>0</v>
      </c>
      <c r="R745" s="24">
        <f t="shared" si="50"/>
        <v>55750</v>
      </c>
      <c r="S745" s="5"/>
      <c r="T745" s="5"/>
    </row>
    <row r="746" spans="2:20" ht="14.25" hidden="1" customHeight="1" x14ac:dyDescent="0.25">
      <c r="B746" s="21" t="s">
        <v>395</v>
      </c>
      <c r="C746" s="22" t="s">
        <v>2450</v>
      </c>
      <c r="D746" s="22" t="s">
        <v>1417</v>
      </c>
      <c r="E746" s="21" t="s">
        <v>10</v>
      </c>
      <c r="F746" s="21"/>
      <c r="G746" s="147" t="s">
        <v>110</v>
      </c>
      <c r="H746" s="23" t="s">
        <v>1421</v>
      </c>
      <c r="I746" s="23"/>
      <c r="J746" s="21" t="s">
        <v>1420</v>
      </c>
      <c r="K746" s="21"/>
      <c r="L746" s="21" t="s">
        <v>2183</v>
      </c>
      <c r="M746" s="26">
        <v>43607</v>
      </c>
      <c r="N746" s="44">
        <f>0.2*111500</f>
        <v>22300</v>
      </c>
      <c r="O746" s="22" t="s">
        <v>15</v>
      </c>
      <c r="P746" s="22" t="s">
        <v>19</v>
      </c>
      <c r="Q746" s="24">
        <f t="shared" si="46"/>
        <v>0</v>
      </c>
      <c r="R746" s="24">
        <f t="shared" si="50"/>
        <v>22300</v>
      </c>
      <c r="S746" s="5"/>
      <c r="T746" s="5"/>
    </row>
    <row r="747" spans="2:20" ht="14.25" hidden="1" customHeight="1" x14ac:dyDescent="0.25">
      <c r="B747" s="21" t="s">
        <v>395</v>
      </c>
      <c r="C747" s="22" t="s">
        <v>2450</v>
      </c>
      <c r="D747" s="22" t="s">
        <v>1417</v>
      </c>
      <c r="E747" s="21" t="s">
        <v>10</v>
      </c>
      <c r="F747" s="21"/>
      <c r="G747" s="147" t="s">
        <v>110</v>
      </c>
      <c r="H747" s="23" t="s">
        <v>1421</v>
      </c>
      <c r="I747" s="23"/>
      <c r="J747" s="21" t="s">
        <v>1419</v>
      </c>
      <c r="K747" s="21"/>
      <c r="L747" s="21" t="s">
        <v>2189</v>
      </c>
      <c r="M747" s="26">
        <v>43727</v>
      </c>
      <c r="N747" s="44">
        <f>0.3*111500</f>
        <v>33450</v>
      </c>
      <c r="O747" s="22" t="s">
        <v>15</v>
      </c>
      <c r="P747" s="22" t="s">
        <v>19</v>
      </c>
      <c r="Q747" s="24">
        <f t="shared" si="46"/>
        <v>0</v>
      </c>
      <c r="R747" s="24">
        <f t="shared" si="50"/>
        <v>33450</v>
      </c>
      <c r="S747" s="5"/>
      <c r="T747" s="5"/>
    </row>
    <row r="748" spans="2:20" ht="14.25" hidden="1" customHeight="1" x14ac:dyDescent="0.25">
      <c r="B748" s="21" t="s">
        <v>395</v>
      </c>
      <c r="C748" s="22" t="s">
        <v>2450</v>
      </c>
      <c r="D748" s="22" t="s">
        <v>1417</v>
      </c>
      <c r="E748" s="21" t="s">
        <v>10</v>
      </c>
      <c r="F748" s="21"/>
      <c r="G748" s="147" t="s">
        <v>110</v>
      </c>
      <c r="H748" s="23" t="s">
        <v>2027</v>
      </c>
      <c r="I748" s="23"/>
      <c r="J748" s="21" t="s">
        <v>1709</v>
      </c>
      <c r="K748" s="21"/>
      <c r="L748" s="47" t="s">
        <v>2298</v>
      </c>
      <c r="M748" s="26">
        <v>43678</v>
      </c>
      <c r="N748" s="44">
        <v>800</v>
      </c>
      <c r="O748" s="22" t="s">
        <v>15</v>
      </c>
      <c r="P748" s="22" t="s">
        <v>19</v>
      </c>
      <c r="Q748" s="24">
        <f t="shared" si="46"/>
        <v>0</v>
      </c>
      <c r="R748" s="24">
        <f t="shared" si="50"/>
        <v>800</v>
      </c>
      <c r="S748" s="5"/>
      <c r="T748" s="5"/>
    </row>
    <row r="749" spans="2:20" ht="14.25" hidden="1" customHeight="1" x14ac:dyDescent="0.25">
      <c r="B749" s="21" t="s">
        <v>395</v>
      </c>
      <c r="C749" s="22" t="s">
        <v>2450</v>
      </c>
      <c r="D749" s="22" t="s">
        <v>1417</v>
      </c>
      <c r="E749" s="21" t="s">
        <v>10</v>
      </c>
      <c r="F749" s="21"/>
      <c r="G749" s="147" t="s">
        <v>110</v>
      </c>
      <c r="H749" s="23" t="s">
        <v>2026</v>
      </c>
      <c r="I749" s="23"/>
      <c r="J749" s="21" t="s">
        <v>1538</v>
      </c>
      <c r="K749" s="21"/>
      <c r="L749" s="21" t="s">
        <v>2184</v>
      </c>
      <c r="M749" s="26">
        <v>43641</v>
      </c>
      <c r="N749" s="44">
        <v>5500</v>
      </c>
      <c r="O749" s="22" t="s">
        <v>15</v>
      </c>
      <c r="P749" s="22" t="s">
        <v>19</v>
      </c>
      <c r="Q749" s="24">
        <f t="shared" si="46"/>
        <v>0</v>
      </c>
      <c r="R749" s="24">
        <f t="shared" si="50"/>
        <v>5500</v>
      </c>
      <c r="S749" s="5"/>
      <c r="T749" s="5"/>
    </row>
    <row r="750" spans="2:20" ht="15.75" hidden="1" x14ac:dyDescent="0.25">
      <c r="B750" s="21" t="s">
        <v>395</v>
      </c>
      <c r="C750" s="22" t="s">
        <v>2427</v>
      </c>
      <c r="D750" s="22"/>
      <c r="E750" s="21" t="s">
        <v>0</v>
      </c>
      <c r="F750" s="21"/>
      <c r="G750" s="147" t="s">
        <v>961</v>
      </c>
      <c r="H750" s="23" t="s">
        <v>1433</v>
      </c>
      <c r="I750" s="23"/>
      <c r="J750" s="21" t="s">
        <v>2445</v>
      </c>
      <c r="K750" s="120"/>
      <c r="L750" s="21" t="s">
        <v>2637</v>
      </c>
      <c r="M750" s="26">
        <v>43679</v>
      </c>
      <c r="N750" s="44">
        <v>7300</v>
      </c>
      <c r="O750" s="22" t="s">
        <v>15</v>
      </c>
      <c r="P750" s="22">
        <v>5700</v>
      </c>
      <c r="Q750" s="24">
        <v>0</v>
      </c>
      <c r="R750" s="24">
        <f t="shared" si="50"/>
        <v>5700</v>
      </c>
      <c r="S750" s="5" t="s">
        <v>2371</v>
      </c>
      <c r="T750" s="5"/>
    </row>
    <row r="751" spans="2:20" ht="15.75" hidden="1" x14ac:dyDescent="0.25">
      <c r="B751" s="21" t="s">
        <v>395</v>
      </c>
      <c r="C751" s="22" t="s">
        <v>2427</v>
      </c>
      <c r="D751" s="22"/>
      <c r="E751" s="21" t="s">
        <v>0</v>
      </c>
      <c r="F751" s="21"/>
      <c r="G751" s="147" t="s">
        <v>1241</v>
      </c>
      <c r="H751" s="23" t="s">
        <v>1434</v>
      </c>
      <c r="I751" s="23"/>
      <c r="J751" s="21" t="s">
        <v>1432</v>
      </c>
      <c r="K751" s="21"/>
      <c r="L751" s="21" t="s">
        <v>2132</v>
      </c>
      <c r="M751" s="26" t="s">
        <v>2131</v>
      </c>
      <c r="N751" s="44">
        <v>4400</v>
      </c>
      <c r="O751" s="22" t="s">
        <v>15</v>
      </c>
      <c r="P751" s="22" t="s">
        <v>19</v>
      </c>
      <c r="Q751" s="24">
        <f t="shared" ref="Q751:Q769" si="51">IF(P751="en cours",N751,IF(P751="OK",0,IF(N751-P751&lt;0,0,N751-P751)))</f>
        <v>0</v>
      </c>
      <c r="R751" s="24">
        <f t="shared" si="50"/>
        <v>4400</v>
      </c>
      <c r="S751" s="5"/>
      <c r="T751" s="5"/>
    </row>
    <row r="752" spans="2:20" ht="15.75" hidden="1" x14ac:dyDescent="0.25">
      <c r="B752" s="32" t="s">
        <v>395</v>
      </c>
      <c r="C752" s="33" t="s">
        <v>2450</v>
      </c>
      <c r="D752" s="33" t="s">
        <v>1451</v>
      </c>
      <c r="E752" s="32" t="s">
        <v>10</v>
      </c>
      <c r="F752" s="32"/>
      <c r="G752" s="155" t="s">
        <v>665</v>
      </c>
      <c r="H752" s="205" t="s">
        <v>3356</v>
      </c>
      <c r="I752" s="205"/>
      <c r="J752" s="206" t="s">
        <v>3357</v>
      </c>
      <c r="K752" s="207"/>
      <c r="L752" s="32"/>
      <c r="M752" s="35" t="s">
        <v>1507</v>
      </c>
      <c r="N752" s="93">
        <f>0.3*928230</f>
        <v>278469</v>
      </c>
      <c r="O752" s="33" t="s">
        <v>15</v>
      </c>
      <c r="P752" s="22" t="s">
        <v>19</v>
      </c>
      <c r="Q752" s="36">
        <f t="shared" si="51"/>
        <v>0</v>
      </c>
      <c r="R752" s="36">
        <f t="shared" si="50"/>
        <v>278469</v>
      </c>
      <c r="S752" s="5" t="s">
        <v>3355</v>
      </c>
      <c r="T752" s="5"/>
    </row>
    <row r="753" spans="2:20" ht="15.75" hidden="1" x14ac:dyDescent="0.25">
      <c r="B753" s="21" t="s">
        <v>395</v>
      </c>
      <c r="C753" s="22" t="s">
        <v>2450</v>
      </c>
      <c r="D753" s="22" t="s">
        <v>1451</v>
      </c>
      <c r="E753" s="21" t="s">
        <v>10</v>
      </c>
      <c r="F753" s="21"/>
      <c r="G753" s="147" t="s">
        <v>665</v>
      </c>
      <c r="H753" s="169" t="s">
        <v>3356</v>
      </c>
      <c r="I753" s="169"/>
      <c r="J753" s="208" t="s">
        <v>3358</v>
      </c>
      <c r="K753" s="207"/>
      <c r="L753" s="203" t="s">
        <v>3354</v>
      </c>
      <c r="M753" s="204">
        <f>0.15*928230</f>
        <v>139234.5</v>
      </c>
      <c r="N753" s="44">
        <v>0</v>
      </c>
      <c r="O753" s="22" t="s">
        <v>15</v>
      </c>
      <c r="P753" s="22" t="s">
        <v>19</v>
      </c>
      <c r="Q753" s="24">
        <f t="shared" si="51"/>
        <v>0</v>
      </c>
      <c r="R753" s="24">
        <f t="shared" si="50"/>
        <v>0</v>
      </c>
      <c r="S753" s="5" t="s">
        <v>3355</v>
      </c>
      <c r="T753" s="5"/>
    </row>
    <row r="754" spans="2:20" ht="15.75" hidden="1" x14ac:dyDescent="0.25">
      <c r="B754" s="21" t="s">
        <v>395</v>
      </c>
      <c r="C754" s="22" t="s">
        <v>2450</v>
      </c>
      <c r="D754" s="22" t="s">
        <v>1451</v>
      </c>
      <c r="E754" s="21" t="s">
        <v>10</v>
      </c>
      <c r="F754" s="21"/>
      <c r="G754" s="147" t="s">
        <v>665</v>
      </c>
      <c r="H754" s="169" t="s">
        <v>3356</v>
      </c>
      <c r="I754" s="169"/>
      <c r="J754" s="208" t="s">
        <v>3359</v>
      </c>
      <c r="K754" s="207"/>
      <c r="L754" s="203" t="s">
        <v>3354</v>
      </c>
      <c r="M754" s="204">
        <f>0.15*928230</f>
        <v>139234.5</v>
      </c>
      <c r="N754" s="44">
        <v>0</v>
      </c>
      <c r="O754" s="22" t="s">
        <v>15</v>
      </c>
      <c r="P754" s="22" t="s">
        <v>19</v>
      </c>
      <c r="Q754" s="24">
        <f t="shared" si="51"/>
        <v>0</v>
      </c>
      <c r="R754" s="24">
        <f t="shared" si="50"/>
        <v>0</v>
      </c>
      <c r="S754" s="5" t="s">
        <v>3355</v>
      </c>
      <c r="T754" s="5"/>
    </row>
    <row r="755" spans="2:20" ht="15.75" hidden="1" x14ac:dyDescent="0.25">
      <c r="B755" s="21" t="s">
        <v>395</v>
      </c>
      <c r="C755" s="22" t="s">
        <v>2450</v>
      </c>
      <c r="D755" s="22" t="s">
        <v>1451</v>
      </c>
      <c r="E755" s="21" t="s">
        <v>10</v>
      </c>
      <c r="F755" s="21"/>
      <c r="G755" s="147" t="s">
        <v>665</v>
      </c>
      <c r="H755" s="169" t="s">
        <v>3356</v>
      </c>
      <c r="I755" s="169"/>
      <c r="J755" s="208" t="s">
        <v>3360</v>
      </c>
      <c r="K755" s="207"/>
      <c r="L755" s="203" t="s">
        <v>3354</v>
      </c>
      <c r="M755" s="204">
        <f>0.15*928230</f>
        <v>139234.5</v>
      </c>
      <c r="N755" s="44">
        <v>0</v>
      </c>
      <c r="O755" s="22" t="s">
        <v>15</v>
      </c>
      <c r="P755" s="22" t="s">
        <v>19</v>
      </c>
      <c r="Q755" s="24">
        <f t="shared" si="51"/>
        <v>0</v>
      </c>
      <c r="R755" s="24">
        <f t="shared" si="50"/>
        <v>0</v>
      </c>
      <c r="S755" s="5" t="s">
        <v>3355</v>
      </c>
      <c r="T755" s="5"/>
    </row>
    <row r="756" spans="2:20" ht="15.75" hidden="1" x14ac:dyDescent="0.25">
      <c r="B756" s="21" t="s">
        <v>395</v>
      </c>
      <c r="C756" s="22" t="s">
        <v>2450</v>
      </c>
      <c r="D756" s="22" t="s">
        <v>1451</v>
      </c>
      <c r="E756" s="21" t="s">
        <v>10</v>
      </c>
      <c r="F756" s="21"/>
      <c r="G756" s="147" t="s">
        <v>665</v>
      </c>
      <c r="H756" s="169" t="s">
        <v>3356</v>
      </c>
      <c r="I756" s="169"/>
      <c r="J756" s="208" t="s">
        <v>3361</v>
      </c>
      <c r="K756" s="207"/>
      <c r="L756" s="203" t="s">
        <v>3354</v>
      </c>
      <c r="M756" s="204">
        <f>0.15*928230</f>
        <v>139234.5</v>
      </c>
      <c r="N756" s="44">
        <v>0</v>
      </c>
      <c r="O756" s="22" t="s">
        <v>15</v>
      </c>
      <c r="P756" s="22" t="s">
        <v>19</v>
      </c>
      <c r="Q756" s="24">
        <f t="shared" si="51"/>
        <v>0</v>
      </c>
      <c r="R756" s="24">
        <f t="shared" si="50"/>
        <v>0</v>
      </c>
      <c r="S756" s="5" t="s">
        <v>3355</v>
      </c>
      <c r="T756" s="5"/>
    </row>
    <row r="757" spans="2:20" ht="15.75" hidden="1" x14ac:dyDescent="0.25">
      <c r="B757" s="21" t="s">
        <v>395</v>
      </c>
      <c r="C757" s="22" t="s">
        <v>2450</v>
      </c>
      <c r="D757" s="22" t="s">
        <v>1451</v>
      </c>
      <c r="E757" s="21" t="s">
        <v>10</v>
      </c>
      <c r="F757" s="21"/>
      <c r="G757" s="147" t="s">
        <v>665</v>
      </c>
      <c r="H757" s="169" t="s">
        <v>3356</v>
      </c>
      <c r="I757" s="169"/>
      <c r="J757" s="208" t="s">
        <v>3362</v>
      </c>
      <c r="K757" s="207"/>
      <c r="L757" s="203" t="s">
        <v>3354</v>
      </c>
      <c r="M757" s="204">
        <f>0.05*928230</f>
        <v>46411.5</v>
      </c>
      <c r="N757" s="44">
        <v>0</v>
      </c>
      <c r="O757" s="22" t="s">
        <v>15</v>
      </c>
      <c r="P757" s="22" t="s">
        <v>19</v>
      </c>
      <c r="Q757" s="24">
        <f t="shared" si="51"/>
        <v>0</v>
      </c>
      <c r="R757" s="24">
        <f t="shared" si="50"/>
        <v>0</v>
      </c>
      <c r="S757" s="5" t="s">
        <v>3355</v>
      </c>
      <c r="T757" s="5"/>
    </row>
    <row r="758" spans="2:20" ht="15.75" hidden="1" x14ac:dyDescent="0.25">
      <c r="B758" s="21" t="s">
        <v>395</v>
      </c>
      <c r="C758" s="22" t="s">
        <v>2450</v>
      </c>
      <c r="D758" s="22" t="s">
        <v>1451</v>
      </c>
      <c r="E758" s="21" t="s">
        <v>10</v>
      </c>
      <c r="F758" s="21"/>
      <c r="G758" s="147" t="s">
        <v>665</v>
      </c>
      <c r="H758" s="169" t="s">
        <v>3356</v>
      </c>
      <c r="I758" s="169"/>
      <c r="J758" s="208" t="s">
        <v>3363</v>
      </c>
      <c r="K758" s="207"/>
      <c r="L758" s="203" t="s">
        <v>3354</v>
      </c>
      <c r="M758" s="204">
        <f>0.05*928230</f>
        <v>46411.5</v>
      </c>
      <c r="N758" s="44">
        <v>0</v>
      </c>
      <c r="O758" s="22" t="s">
        <v>15</v>
      </c>
      <c r="P758" s="22" t="s">
        <v>19</v>
      </c>
      <c r="Q758" s="24">
        <f t="shared" si="51"/>
        <v>0</v>
      </c>
      <c r="R758" s="24">
        <f t="shared" si="50"/>
        <v>0</v>
      </c>
      <c r="S758" s="5" t="s">
        <v>3355</v>
      </c>
      <c r="T758" s="5"/>
    </row>
    <row r="759" spans="2:20" ht="15.75" hidden="1" x14ac:dyDescent="0.25">
      <c r="B759" s="21" t="s">
        <v>395</v>
      </c>
      <c r="C759" s="22" t="s">
        <v>2427</v>
      </c>
      <c r="D759" s="22"/>
      <c r="E759" s="21" t="s">
        <v>10</v>
      </c>
      <c r="F759" s="21"/>
      <c r="G759" s="147" t="s">
        <v>102</v>
      </c>
      <c r="H759" s="23" t="s">
        <v>1452</v>
      </c>
      <c r="I759" s="23"/>
      <c r="J759" s="21" t="s">
        <v>2446</v>
      </c>
      <c r="K759" s="120"/>
      <c r="L759" s="21" t="s">
        <v>2008</v>
      </c>
      <c r="M759" s="26" t="s">
        <v>1478</v>
      </c>
      <c r="N759" s="44">
        <f>0.5*12100</f>
        <v>6050</v>
      </c>
      <c r="O759" s="22" t="s">
        <v>15</v>
      </c>
      <c r="P759" s="22" t="s">
        <v>19</v>
      </c>
      <c r="Q759" s="24">
        <f t="shared" si="51"/>
        <v>0</v>
      </c>
      <c r="R759" s="24">
        <f t="shared" si="50"/>
        <v>6050</v>
      </c>
      <c r="S759" s="5"/>
      <c r="T759" s="5"/>
    </row>
    <row r="760" spans="2:20" ht="15.75" hidden="1" x14ac:dyDescent="0.25">
      <c r="B760" s="21" t="s">
        <v>395</v>
      </c>
      <c r="C760" s="22" t="s">
        <v>2427</v>
      </c>
      <c r="D760" s="22"/>
      <c r="E760" s="21" t="s">
        <v>10</v>
      </c>
      <c r="F760" s="21"/>
      <c r="G760" s="147" t="s">
        <v>102</v>
      </c>
      <c r="H760" s="23" t="s">
        <v>1452</v>
      </c>
      <c r="I760" s="23"/>
      <c r="J760" s="21" t="s">
        <v>2447</v>
      </c>
      <c r="K760" s="120"/>
      <c r="L760" s="21" t="s">
        <v>2009</v>
      </c>
      <c r="M760" s="26" t="s">
        <v>1607</v>
      </c>
      <c r="N760" s="44">
        <f>0.5*12100</f>
        <v>6050</v>
      </c>
      <c r="O760" s="22" t="s">
        <v>15</v>
      </c>
      <c r="P760" s="22" t="s">
        <v>19</v>
      </c>
      <c r="Q760" s="24">
        <f t="shared" si="51"/>
        <v>0</v>
      </c>
      <c r="R760" s="24">
        <f t="shared" si="50"/>
        <v>6050</v>
      </c>
      <c r="S760" s="5"/>
      <c r="T760" s="5"/>
    </row>
    <row r="761" spans="2:20" ht="15.75" hidden="1" x14ac:dyDescent="0.25">
      <c r="B761" s="21" t="s">
        <v>395</v>
      </c>
      <c r="C761" s="22" t="s">
        <v>2450</v>
      </c>
      <c r="D761" s="22"/>
      <c r="E761" s="21" t="s">
        <v>10</v>
      </c>
      <c r="F761" s="21"/>
      <c r="G761" s="147" t="s">
        <v>102</v>
      </c>
      <c r="H761" s="23" t="s">
        <v>1453</v>
      </c>
      <c r="I761" s="23"/>
      <c r="J761" s="21" t="s">
        <v>1454</v>
      </c>
      <c r="K761" s="120"/>
      <c r="L761" s="21" t="s">
        <v>2010</v>
      </c>
      <c r="M761" s="26" t="s">
        <v>1477</v>
      </c>
      <c r="N761" s="44">
        <v>7782</v>
      </c>
      <c r="O761" s="22" t="s">
        <v>15</v>
      </c>
      <c r="P761" s="22" t="s">
        <v>19</v>
      </c>
      <c r="Q761" s="24">
        <f t="shared" si="51"/>
        <v>0</v>
      </c>
      <c r="R761" s="24">
        <f t="shared" si="50"/>
        <v>7782</v>
      </c>
      <c r="S761" s="5"/>
      <c r="T761" s="5"/>
    </row>
    <row r="762" spans="2:20" ht="15.75" hidden="1" x14ac:dyDescent="0.25">
      <c r="B762" s="21" t="s">
        <v>395</v>
      </c>
      <c r="C762" s="22" t="s">
        <v>2456</v>
      </c>
      <c r="D762" s="22"/>
      <c r="E762" s="21" t="s">
        <v>75</v>
      </c>
      <c r="F762" s="21"/>
      <c r="G762" s="147" t="s">
        <v>239</v>
      </c>
      <c r="H762" s="23" t="s">
        <v>1485</v>
      </c>
      <c r="I762" s="23"/>
      <c r="J762" s="21" t="s">
        <v>1487</v>
      </c>
      <c r="K762" s="21"/>
      <c r="L762" s="21"/>
      <c r="M762" s="26" t="s">
        <v>1499</v>
      </c>
      <c r="N762" s="44">
        <f>0.5*61950</f>
        <v>30975</v>
      </c>
      <c r="O762" s="22" t="s">
        <v>15</v>
      </c>
      <c r="P762" s="22" t="s">
        <v>19</v>
      </c>
      <c r="Q762" s="24">
        <f t="shared" si="51"/>
        <v>0</v>
      </c>
      <c r="R762" s="24">
        <f t="shared" si="50"/>
        <v>30975</v>
      </c>
      <c r="S762" s="5"/>
      <c r="T762" s="5"/>
    </row>
    <row r="763" spans="2:20" ht="15.75" hidden="1" x14ac:dyDescent="0.25">
      <c r="B763" s="21" t="s">
        <v>395</v>
      </c>
      <c r="C763" s="22" t="s">
        <v>2456</v>
      </c>
      <c r="D763" s="22"/>
      <c r="E763" s="21" t="s">
        <v>75</v>
      </c>
      <c r="F763" s="21"/>
      <c r="G763" s="147" t="s">
        <v>239</v>
      </c>
      <c r="H763" s="23" t="s">
        <v>1486</v>
      </c>
      <c r="I763" s="23"/>
      <c r="J763" s="21" t="s">
        <v>1488</v>
      </c>
      <c r="K763" s="21"/>
      <c r="L763" s="21"/>
      <c r="M763" s="26" t="s">
        <v>1499</v>
      </c>
      <c r="N763" s="44">
        <f>0.5*61950</f>
        <v>30975</v>
      </c>
      <c r="O763" s="22" t="s">
        <v>15</v>
      </c>
      <c r="P763" s="22" t="s">
        <v>19</v>
      </c>
      <c r="Q763" s="24">
        <f t="shared" si="51"/>
        <v>0</v>
      </c>
      <c r="R763" s="24">
        <f t="shared" si="50"/>
        <v>30975</v>
      </c>
      <c r="S763" s="5"/>
      <c r="T763" s="5"/>
    </row>
    <row r="764" spans="2:20" ht="15.75" hidden="1" x14ac:dyDescent="0.25">
      <c r="B764" s="21" t="s">
        <v>395</v>
      </c>
      <c r="C764" s="22" t="s">
        <v>2456</v>
      </c>
      <c r="D764" s="22"/>
      <c r="E764" s="21" t="s">
        <v>75</v>
      </c>
      <c r="F764" s="21"/>
      <c r="G764" s="147" t="s">
        <v>238</v>
      </c>
      <c r="H764" s="23" t="s">
        <v>1489</v>
      </c>
      <c r="I764" s="23"/>
      <c r="J764" s="21" t="s">
        <v>1490</v>
      </c>
      <c r="K764" s="21"/>
      <c r="L764" s="21"/>
      <c r="M764" s="26" t="s">
        <v>1531</v>
      </c>
      <c r="N764" s="44">
        <f>0.5*11900</f>
        <v>5950</v>
      </c>
      <c r="O764" s="22" t="s">
        <v>15</v>
      </c>
      <c r="P764" s="22" t="s">
        <v>19</v>
      </c>
      <c r="Q764" s="24">
        <f t="shared" si="51"/>
        <v>0</v>
      </c>
      <c r="R764" s="24">
        <f t="shared" si="50"/>
        <v>5950</v>
      </c>
      <c r="S764" s="5"/>
      <c r="T764" s="5"/>
    </row>
    <row r="765" spans="2:20" ht="15.75" hidden="1" x14ac:dyDescent="0.25">
      <c r="B765" s="21" t="s">
        <v>395</v>
      </c>
      <c r="C765" s="22" t="s">
        <v>2456</v>
      </c>
      <c r="D765" s="22"/>
      <c r="E765" s="21" t="s">
        <v>75</v>
      </c>
      <c r="F765" s="21"/>
      <c r="G765" s="147" t="s">
        <v>238</v>
      </c>
      <c r="H765" s="23" t="s">
        <v>1489</v>
      </c>
      <c r="I765" s="23"/>
      <c r="J765" s="21" t="s">
        <v>1491</v>
      </c>
      <c r="K765" s="21"/>
      <c r="L765" s="21"/>
      <c r="M765" s="26" t="s">
        <v>1575</v>
      </c>
      <c r="N765" s="44">
        <f>0.5*11900</f>
        <v>5950</v>
      </c>
      <c r="O765" s="22" t="s">
        <v>15</v>
      </c>
      <c r="P765" s="22" t="s">
        <v>19</v>
      </c>
      <c r="Q765" s="24">
        <f t="shared" si="51"/>
        <v>0</v>
      </c>
      <c r="R765" s="24">
        <f t="shared" si="50"/>
        <v>5950</v>
      </c>
      <c r="S765" s="5"/>
      <c r="T765" s="5"/>
    </row>
    <row r="766" spans="2:20" ht="14.25" hidden="1" customHeight="1" x14ac:dyDescent="0.25">
      <c r="B766" s="21" t="s">
        <v>395</v>
      </c>
      <c r="C766" s="22" t="s">
        <v>2450</v>
      </c>
      <c r="D766" s="22" t="s">
        <v>1492</v>
      </c>
      <c r="E766" s="21" t="s">
        <v>10</v>
      </c>
      <c r="F766" s="21"/>
      <c r="G766" s="147" t="s">
        <v>110</v>
      </c>
      <c r="H766" s="23" t="s">
        <v>1757</v>
      </c>
      <c r="I766" s="23"/>
      <c r="J766" s="21" t="s">
        <v>1493</v>
      </c>
      <c r="K766" s="21"/>
      <c r="L766" s="21" t="s">
        <v>2028</v>
      </c>
      <c r="M766" s="26">
        <v>43602</v>
      </c>
      <c r="N766" s="100">
        <v>173400</v>
      </c>
      <c r="O766" s="22" t="s">
        <v>15</v>
      </c>
      <c r="P766" s="22" t="s">
        <v>19</v>
      </c>
      <c r="Q766" s="24">
        <f t="shared" si="51"/>
        <v>0</v>
      </c>
      <c r="R766" s="24">
        <f t="shared" si="50"/>
        <v>173400</v>
      </c>
      <c r="S766" s="5"/>
      <c r="T766" s="5"/>
    </row>
    <row r="767" spans="2:20" ht="14.25" hidden="1" customHeight="1" x14ac:dyDescent="0.25">
      <c r="B767" s="21" t="s">
        <v>395</v>
      </c>
      <c r="C767" s="22" t="s">
        <v>2450</v>
      </c>
      <c r="D767" s="22" t="s">
        <v>1492</v>
      </c>
      <c r="E767" s="21" t="s">
        <v>10</v>
      </c>
      <c r="F767" s="21"/>
      <c r="G767" s="147" t="s">
        <v>110</v>
      </c>
      <c r="H767" s="23" t="s">
        <v>1757</v>
      </c>
      <c r="I767" s="23"/>
      <c r="J767" s="21" t="s">
        <v>1494</v>
      </c>
      <c r="K767" s="21"/>
      <c r="L767" s="47" t="s">
        <v>2030</v>
      </c>
      <c r="M767" s="26">
        <v>43685</v>
      </c>
      <c r="N767" s="100">
        <v>80037.5</v>
      </c>
      <c r="O767" s="22" t="s">
        <v>15</v>
      </c>
      <c r="P767" s="22" t="s">
        <v>19</v>
      </c>
      <c r="Q767" s="24">
        <f t="shared" si="51"/>
        <v>0</v>
      </c>
      <c r="R767" s="24">
        <f t="shared" si="50"/>
        <v>80037.5</v>
      </c>
      <c r="S767" s="5"/>
      <c r="T767" s="5"/>
    </row>
    <row r="768" spans="2:20" ht="14.25" hidden="1" customHeight="1" x14ac:dyDescent="0.25">
      <c r="B768" s="21" t="s">
        <v>395</v>
      </c>
      <c r="C768" s="22" t="s">
        <v>2450</v>
      </c>
      <c r="D768" s="22" t="s">
        <v>1492</v>
      </c>
      <c r="E768" s="21" t="s">
        <v>10</v>
      </c>
      <c r="F768" s="21"/>
      <c r="G768" s="147" t="s">
        <v>110</v>
      </c>
      <c r="H768" s="23" t="s">
        <v>1757</v>
      </c>
      <c r="I768" s="23"/>
      <c r="J768" s="21" t="s">
        <v>1495</v>
      </c>
      <c r="K768" s="21"/>
      <c r="L768" s="47" t="s">
        <v>2293</v>
      </c>
      <c r="M768" s="26">
        <v>43745</v>
      </c>
      <c r="N768" s="100">
        <v>80037.5</v>
      </c>
      <c r="O768" s="22" t="s">
        <v>15</v>
      </c>
      <c r="P768" s="22" t="s">
        <v>19</v>
      </c>
      <c r="Q768" s="24">
        <f t="shared" si="51"/>
        <v>0</v>
      </c>
      <c r="R768" s="24">
        <f t="shared" si="50"/>
        <v>80037.5</v>
      </c>
      <c r="S768" s="5"/>
      <c r="T768" s="5"/>
    </row>
    <row r="769" spans="2:20" ht="14.25" hidden="1" customHeight="1" x14ac:dyDescent="0.25">
      <c r="B769" s="21" t="s">
        <v>395</v>
      </c>
      <c r="C769" s="22" t="s">
        <v>2450</v>
      </c>
      <c r="D769" s="22" t="s">
        <v>1492</v>
      </c>
      <c r="E769" s="21" t="s">
        <v>10</v>
      </c>
      <c r="F769" s="21"/>
      <c r="G769" s="147" t="s">
        <v>110</v>
      </c>
      <c r="H769" s="23" t="s">
        <v>1757</v>
      </c>
      <c r="I769" s="23"/>
      <c r="J769" s="21" t="s">
        <v>1496</v>
      </c>
      <c r="K769" s="21"/>
      <c r="L769" s="47" t="s">
        <v>2658</v>
      </c>
      <c r="M769" s="26">
        <v>43818</v>
      </c>
      <c r="N769" s="100">
        <v>8425</v>
      </c>
      <c r="O769" s="22" t="s">
        <v>15</v>
      </c>
      <c r="P769" s="22" t="s">
        <v>19</v>
      </c>
      <c r="Q769" s="24">
        <f t="shared" si="51"/>
        <v>0</v>
      </c>
      <c r="R769" s="24">
        <f t="shared" si="50"/>
        <v>8425</v>
      </c>
      <c r="S769" s="5"/>
      <c r="T769" s="5"/>
    </row>
    <row r="770" spans="2:20" ht="14.25" hidden="1" customHeight="1" x14ac:dyDescent="0.25">
      <c r="B770" s="21" t="s">
        <v>395</v>
      </c>
      <c r="C770" s="22" t="s">
        <v>2450</v>
      </c>
      <c r="D770" s="22" t="s">
        <v>1492</v>
      </c>
      <c r="E770" s="21" t="s">
        <v>10</v>
      </c>
      <c r="F770" s="21"/>
      <c r="G770" s="147" t="s">
        <v>110</v>
      </c>
      <c r="H770" s="23" t="s">
        <v>1757</v>
      </c>
      <c r="I770" s="23"/>
      <c r="J770" s="21" t="s">
        <v>2033</v>
      </c>
      <c r="K770" s="21"/>
      <c r="L770" s="47"/>
      <c r="M770" s="26"/>
      <c r="N770" s="100">
        <v>3200</v>
      </c>
      <c r="O770" s="22" t="s">
        <v>15</v>
      </c>
      <c r="P770" s="22" t="s">
        <v>19</v>
      </c>
      <c r="Q770" s="127">
        <v>0</v>
      </c>
      <c r="R770" s="24">
        <f t="shared" si="50"/>
        <v>3200</v>
      </c>
      <c r="S770" s="5"/>
      <c r="T770" s="5"/>
    </row>
    <row r="771" spans="2:20" ht="14.25" hidden="1" customHeight="1" x14ac:dyDescent="0.25">
      <c r="B771" s="21" t="s">
        <v>395</v>
      </c>
      <c r="C771" s="22" t="s">
        <v>2450</v>
      </c>
      <c r="D771" s="22" t="s">
        <v>1492</v>
      </c>
      <c r="E771" s="21" t="s">
        <v>10</v>
      </c>
      <c r="F771" s="21"/>
      <c r="G771" s="147" t="s">
        <v>110</v>
      </c>
      <c r="H771" s="23" t="s">
        <v>1757</v>
      </c>
      <c r="I771" s="23"/>
      <c r="J771" s="21" t="s">
        <v>2029</v>
      </c>
      <c r="K771" s="21"/>
      <c r="L771" s="47" t="s">
        <v>2659</v>
      </c>
      <c r="M771" s="26" t="s">
        <v>2660</v>
      </c>
      <c r="N771" s="100">
        <v>6200</v>
      </c>
      <c r="O771" s="22" t="s">
        <v>15</v>
      </c>
      <c r="P771" s="22">
        <f>2600+2600+1000</f>
        <v>6200</v>
      </c>
      <c r="Q771" s="24">
        <f>IF(P771="en cours",N771,IF(P771="OK",0,IF(N771-P771&lt;0,0,N771-P771)))</f>
        <v>0</v>
      </c>
      <c r="R771" s="24">
        <f t="shared" si="50"/>
        <v>6200</v>
      </c>
      <c r="S771" s="5"/>
      <c r="T771" s="5"/>
    </row>
    <row r="772" spans="2:20" ht="14.25" hidden="1" customHeight="1" x14ac:dyDescent="0.25">
      <c r="B772" s="21" t="s">
        <v>395</v>
      </c>
      <c r="C772" s="22" t="s">
        <v>2450</v>
      </c>
      <c r="D772" s="22" t="s">
        <v>1492</v>
      </c>
      <c r="E772" s="21" t="s">
        <v>10</v>
      </c>
      <c r="F772" s="21"/>
      <c r="G772" s="147" t="s">
        <v>110</v>
      </c>
      <c r="H772" s="23" t="s">
        <v>1757</v>
      </c>
      <c r="I772" s="23"/>
      <c r="J772" s="21" t="s">
        <v>2036</v>
      </c>
      <c r="K772" s="21"/>
      <c r="L772" s="47" t="s">
        <v>2658</v>
      </c>
      <c r="M772" s="26">
        <v>43818</v>
      </c>
      <c r="N772" s="100">
        <v>8400</v>
      </c>
      <c r="O772" s="22" t="s">
        <v>15</v>
      </c>
      <c r="P772" s="22" t="s">
        <v>19</v>
      </c>
      <c r="Q772" s="24">
        <f>IF(P772="en cours",N772,IF(P772="OK",0,IF(N772-P772&lt;0,0,N772-P772)))</f>
        <v>0</v>
      </c>
      <c r="R772" s="24">
        <f t="shared" si="50"/>
        <v>8400</v>
      </c>
      <c r="S772" s="5"/>
      <c r="T772" s="5"/>
    </row>
    <row r="773" spans="2:20" ht="15.75" hidden="1" x14ac:dyDescent="0.25">
      <c r="B773" s="21" t="s">
        <v>395</v>
      </c>
      <c r="C773" s="22" t="s">
        <v>2450</v>
      </c>
      <c r="D773" s="22" t="s">
        <v>1492</v>
      </c>
      <c r="E773" s="21" t="s">
        <v>10</v>
      </c>
      <c r="F773" s="21"/>
      <c r="G773" s="147" t="s">
        <v>110</v>
      </c>
      <c r="H773" s="23" t="s">
        <v>1757</v>
      </c>
      <c r="I773" s="23"/>
      <c r="J773" s="21" t="s">
        <v>2035</v>
      </c>
      <c r="K773" s="120">
        <v>43800</v>
      </c>
      <c r="L773" s="120"/>
      <c r="M773" s="120"/>
      <c r="N773" s="44">
        <v>0</v>
      </c>
      <c r="O773" s="22" t="s">
        <v>15</v>
      </c>
      <c r="P773" s="44" t="s">
        <v>19</v>
      </c>
      <c r="Q773" s="24">
        <f>IF(P773="en cours",N773,IF(P773="OK",0,IF(N773-P773&lt;0,0,N773-P773)))</f>
        <v>0</v>
      </c>
      <c r="R773" s="24">
        <f t="shared" si="50"/>
        <v>0</v>
      </c>
      <c r="S773" s="5" t="s">
        <v>4318</v>
      </c>
      <c r="T773" s="5"/>
    </row>
    <row r="774" spans="2:20" ht="15.75" hidden="1" customHeight="1" x14ac:dyDescent="0.25">
      <c r="B774" s="21" t="s">
        <v>395</v>
      </c>
      <c r="C774" s="22" t="s">
        <v>2450</v>
      </c>
      <c r="D774" s="22" t="s">
        <v>1492</v>
      </c>
      <c r="E774" s="21" t="s">
        <v>10</v>
      </c>
      <c r="F774" s="21"/>
      <c r="G774" s="147" t="s">
        <v>110</v>
      </c>
      <c r="H774" s="23" t="s">
        <v>2031</v>
      </c>
      <c r="I774" s="23"/>
      <c r="J774" s="21" t="s">
        <v>2032</v>
      </c>
      <c r="K774" s="21"/>
      <c r="L774" s="47"/>
      <c r="M774" s="26"/>
      <c r="N774" s="100">
        <v>-3200</v>
      </c>
      <c r="O774" s="22" t="s">
        <v>15</v>
      </c>
      <c r="P774" s="22" t="s">
        <v>19</v>
      </c>
      <c r="Q774" s="127">
        <v>0</v>
      </c>
      <c r="R774" s="24">
        <f t="shared" si="50"/>
        <v>-3200</v>
      </c>
      <c r="S774" s="5"/>
      <c r="T774" s="5"/>
    </row>
    <row r="775" spans="2:20" ht="15.75" hidden="1" x14ac:dyDescent="0.25">
      <c r="B775" s="21" t="s">
        <v>395</v>
      </c>
      <c r="C775" s="22" t="s">
        <v>2450</v>
      </c>
      <c r="D775" s="22" t="s">
        <v>1756</v>
      </c>
      <c r="E775" s="21" t="s">
        <v>10</v>
      </c>
      <c r="F775" s="21"/>
      <c r="G775" s="147" t="s">
        <v>110</v>
      </c>
      <c r="H775" s="23" t="s">
        <v>2608</v>
      </c>
      <c r="I775" s="23"/>
      <c r="J775" s="21" t="s">
        <v>1750</v>
      </c>
      <c r="K775" s="21"/>
      <c r="L775" s="21" t="s">
        <v>1926</v>
      </c>
      <c r="M775" s="26">
        <v>43654</v>
      </c>
      <c r="N775" s="185">
        <v>214200</v>
      </c>
      <c r="O775" s="22" t="s">
        <v>15</v>
      </c>
      <c r="P775" s="22" t="s">
        <v>19</v>
      </c>
      <c r="Q775" s="24">
        <f t="shared" ref="Q775:Q838" si="52">IF(P775="en cours",N775,IF(P775="OK",0,IF(N775-P775&lt;0,0,N775-P775)))</f>
        <v>0</v>
      </c>
      <c r="R775" s="24">
        <f t="shared" si="50"/>
        <v>214200</v>
      </c>
      <c r="S775" s="5" t="s">
        <v>1771</v>
      </c>
      <c r="T775" s="5"/>
    </row>
    <row r="776" spans="2:20" ht="15.75" hidden="1" x14ac:dyDescent="0.25">
      <c r="B776" s="21" t="s">
        <v>395</v>
      </c>
      <c r="C776" s="22" t="s">
        <v>2450</v>
      </c>
      <c r="D776" s="22" t="s">
        <v>1756</v>
      </c>
      <c r="E776" s="21" t="s">
        <v>10</v>
      </c>
      <c r="F776" s="21"/>
      <c r="G776" s="147" t="s">
        <v>110</v>
      </c>
      <c r="H776" s="23" t="s">
        <v>2608</v>
      </c>
      <c r="I776" s="23"/>
      <c r="J776" s="21" t="s">
        <v>1751</v>
      </c>
      <c r="K776" s="21"/>
      <c r="L776" s="21" t="s">
        <v>2505</v>
      </c>
      <c r="M776" s="26">
        <v>43776</v>
      </c>
      <c r="N776" s="185">
        <v>145403.75</v>
      </c>
      <c r="O776" s="22" t="s">
        <v>15</v>
      </c>
      <c r="P776" s="22" t="s">
        <v>19</v>
      </c>
      <c r="Q776" s="24">
        <f t="shared" si="52"/>
        <v>0</v>
      </c>
      <c r="R776" s="24">
        <f t="shared" si="50"/>
        <v>145403.75</v>
      </c>
      <c r="S776" s="5"/>
      <c r="T776" s="5"/>
    </row>
    <row r="777" spans="2:20" ht="15.75" hidden="1" x14ac:dyDescent="0.25">
      <c r="B777" s="21" t="s">
        <v>395</v>
      </c>
      <c r="C777" s="22" t="s">
        <v>2450</v>
      </c>
      <c r="D777" s="22" t="s">
        <v>1756</v>
      </c>
      <c r="E777" s="21" t="s">
        <v>10</v>
      </c>
      <c r="F777" s="21"/>
      <c r="G777" s="147" t="s">
        <v>110</v>
      </c>
      <c r="H777" s="23" t="s">
        <v>2608</v>
      </c>
      <c r="I777" s="23"/>
      <c r="J777" s="21" t="s">
        <v>1752</v>
      </c>
      <c r="K777" s="21"/>
      <c r="L777" s="21" t="s">
        <v>2936</v>
      </c>
      <c r="M777" s="26">
        <v>43864</v>
      </c>
      <c r="N777" s="185">
        <v>145403.75</v>
      </c>
      <c r="O777" s="22" t="s">
        <v>15</v>
      </c>
      <c r="P777" s="22" t="s">
        <v>19</v>
      </c>
      <c r="Q777" s="24">
        <f t="shared" si="52"/>
        <v>0</v>
      </c>
      <c r="R777" s="24">
        <f t="shared" si="50"/>
        <v>145403.75</v>
      </c>
      <c r="S777" s="5"/>
      <c r="T777" s="5"/>
    </row>
    <row r="778" spans="2:20" ht="15.75" hidden="1" x14ac:dyDescent="0.25">
      <c r="B778" s="21" t="s">
        <v>395</v>
      </c>
      <c r="C778" s="22" t="s">
        <v>2450</v>
      </c>
      <c r="D778" s="22" t="s">
        <v>1756</v>
      </c>
      <c r="E778" s="21" t="s">
        <v>10</v>
      </c>
      <c r="F778" s="21"/>
      <c r="G778" s="147" t="s">
        <v>110</v>
      </c>
      <c r="H778" s="23" t="s">
        <v>2608</v>
      </c>
      <c r="I778" s="23"/>
      <c r="J778" s="21" t="s">
        <v>1753</v>
      </c>
      <c r="K778" s="21"/>
      <c r="L778" s="21" t="s">
        <v>3319</v>
      </c>
      <c r="M778" s="26" t="s">
        <v>3323</v>
      </c>
      <c r="N778" s="185">
        <v>145403.75</v>
      </c>
      <c r="O778" s="22" t="s">
        <v>15</v>
      </c>
      <c r="P778" s="22" t="s">
        <v>19</v>
      </c>
      <c r="Q778" s="24">
        <f t="shared" si="52"/>
        <v>0</v>
      </c>
      <c r="R778" s="24">
        <f t="shared" si="50"/>
        <v>145403.75</v>
      </c>
      <c r="S778" s="5"/>
      <c r="T778" s="5"/>
    </row>
    <row r="779" spans="2:20" ht="15.75" hidden="1" x14ac:dyDescent="0.25">
      <c r="B779" s="21" t="s">
        <v>395</v>
      </c>
      <c r="C779" s="22" t="s">
        <v>2450</v>
      </c>
      <c r="D779" s="22" t="s">
        <v>1756</v>
      </c>
      <c r="E779" s="21" t="s">
        <v>10</v>
      </c>
      <c r="F779" s="21"/>
      <c r="G779" s="147" t="s">
        <v>110</v>
      </c>
      <c r="H779" s="23" t="s">
        <v>2608</v>
      </c>
      <c r="I779" s="23"/>
      <c r="J779" s="21" t="s">
        <v>1755</v>
      </c>
      <c r="K779" s="120"/>
      <c r="L779" s="120" t="s">
        <v>3621</v>
      </c>
      <c r="M779" s="26">
        <v>44047</v>
      </c>
      <c r="N779" s="185">
        <v>145403.75</v>
      </c>
      <c r="O779" s="22" t="s">
        <v>15</v>
      </c>
      <c r="P779" s="44" t="s">
        <v>19</v>
      </c>
      <c r="Q779" s="24">
        <f t="shared" si="52"/>
        <v>0</v>
      </c>
      <c r="R779" s="24">
        <f t="shared" si="50"/>
        <v>145403.75</v>
      </c>
      <c r="S779" s="5"/>
      <c r="T779" s="5"/>
    </row>
    <row r="780" spans="2:20" ht="15.75" hidden="1" x14ac:dyDescent="0.25">
      <c r="B780" s="21" t="s">
        <v>395</v>
      </c>
      <c r="C780" s="22" t="s">
        <v>2450</v>
      </c>
      <c r="D780" s="22" t="s">
        <v>1756</v>
      </c>
      <c r="E780" s="21" t="s">
        <v>10</v>
      </c>
      <c r="F780" s="21"/>
      <c r="G780" s="147" t="s">
        <v>110</v>
      </c>
      <c r="H780" s="23" t="s">
        <v>2608</v>
      </c>
      <c r="I780" s="23"/>
      <c r="J780" s="21" t="s">
        <v>1754</v>
      </c>
      <c r="K780" s="120"/>
      <c r="L780" s="120" t="s">
        <v>4493</v>
      </c>
      <c r="M780" s="26">
        <v>44242</v>
      </c>
      <c r="N780" s="185">
        <f>0.05*837700</f>
        <v>41885</v>
      </c>
      <c r="O780" s="22" t="s">
        <v>15</v>
      </c>
      <c r="P780" s="44" t="s">
        <v>19</v>
      </c>
      <c r="Q780" s="24">
        <f t="shared" si="52"/>
        <v>0</v>
      </c>
      <c r="R780" s="24">
        <f t="shared" si="50"/>
        <v>41885</v>
      </c>
      <c r="S780" s="5"/>
      <c r="T780" s="5"/>
    </row>
    <row r="781" spans="2:20" ht="15.75" hidden="1" x14ac:dyDescent="0.25">
      <c r="B781" s="21" t="s">
        <v>395</v>
      </c>
      <c r="C781" s="22" t="s">
        <v>2427</v>
      </c>
      <c r="D781" s="22"/>
      <c r="E781" s="21" t="s">
        <v>0</v>
      </c>
      <c r="F781" s="21"/>
      <c r="G781" s="147" t="s">
        <v>49</v>
      </c>
      <c r="H781" s="23" t="s">
        <v>1497</v>
      </c>
      <c r="I781" s="23"/>
      <c r="J781" s="21" t="s">
        <v>2448</v>
      </c>
      <c r="K781" s="21"/>
      <c r="L781" s="21" t="s">
        <v>2148</v>
      </c>
      <c r="M781" s="26">
        <v>43560</v>
      </c>
      <c r="N781" s="44">
        <f>5000*0.4</f>
        <v>2000</v>
      </c>
      <c r="O781" s="22" t="s">
        <v>15</v>
      </c>
      <c r="P781" s="22" t="s">
        <v>19</v>
      </c>
      <c r="Q781" s="24">
        <f t="shared" si="52"/>
        <v>0</v>
      </c>
      <c r="R781" s="24">
        <f t="shared" si="50"/>
        <v>2000</v>
      </c>
      <c r="S781" s="5"/>
      <c r="T781" s="5"/>
    </row>
    <row r="782" spans="2:20" ht="15.75" hidden="1" x14ac:dyDescent="0.25">
      <c r="B782" s="21" t="s">
        <v>395</v>
      </c>
      <c r="C782" s="22" t="s">
        <v>2427</v>
      </c>
      <c r="D782" s="22"/>
      <c r="E782" s="21" t="s">
        <v>0</v>
      </c>
      <c r="F782" s="21"/>
      <c r="G782" s="147" t="s">
        <v>49</v>
      </c>
      <c r="H782" s="23" t="s">
        <v>1497</v>
      </c>
      <c r="I782" s="23"/>
      <c r="J782" s="21" t="s">
        <v>2448</v>
      </c>
      <c r="K782" s="21"/>
      <c r="L782" s="21" t="s">
        <v>2147</v>
      </c>
      <c r="M782" s="26">
        <v>43747</v>
      </c>
      <c r="N782" s="44">
        <f>5000*0.6</f>
        <v>3000</v>
      </c>
      <c r="O782" s="22" t="s">
        <v>15</v>
      </c>
      <c r="P782" s="22" t="s">
        <v>19</v>
      </c>
      <c r="Q782" s="24">
        <f t="shared" si="52"/>
        <v>0</v>
      </c>
      <c r="R782" s="24">
        <f t="shared" si="50"/>
        <v>3000</v>
      </c>
      <c r="S782" s="5" t="s">
        <v>1801</v>
      </c>
      <c r="T782" s="5"/>
    </row>
    <row r="783" spans="2:20" ht="15.75" hidden="1" x14ac:dyDescent="0.25">
      <c r="B783" s="21" t="s">
        <v>395</v>
      </c>
      <c r="C783" s="22" t="s">
        <v>2427</v>
      </c>
      <c r="D783" s="22"/>
      <c r="E783" s="21" t="s">
        <v>0</v>
      </c>
      <c r="F783" s="21"/>
      <c r="G783" s="147" t="s">
        <v>1510</v>
      </c>
      <c r="H783" s="23" t="s">
        <v>1515</v>
      </c>
      <c r="I783" s="23"/>
      <c r="J783" s="21" t="s">
        <v>1511</v>
      </c>
      <c r="K783" s="21"/>
      <c r="L783" s="21" t="s">
        <v>2134</v>
      </c>
      <c r="M783" s="26" t="s">
        <v>2133</v>
      </c>
      <c r="N783" s="44">
        <v>10300</v>
      </c>
      <c r="O783" s="22" t="s">
        <v>15</v>
      </c>
      <c r="P783" s="22" t="s">
        <v>19</v>
      </c>
      <c r="Q783" s="24">
        <f t="shared" si="52"/>
        <v>0</v>
      </c>
      <c r="R783" s="24">
        <f t="shared" si="50"/>
        <v>10300</v>
      </c>
      <c r="S783" s="5"/>
      <c r="T783" s="5"/>
    </row>
    <row r="784" spans="2:20" ht="15.75" hidden="1" x14ac:dyDescent="0.25">
      <c r="B784" s="21" t="s">
        <v>395</v>
      </c>
      <c r="C784" s="22" t="s">
        <v>2456</v>
      </c>
      <c r="D784" s="22"/>
      <c r="E784" s="21" t="s">
        <v>75</v>
      </c>
      <c r="F784" s="21"/>
      <c r="G784" s="147" t="s">
        <v>1103</v>
      </c>
      <c r="H784" s="23" t="s">
        <v>1512</v>
      </c>
      <c r="I784" s="23"/>
      <c r="J784" s="21" t="s">
        <v>1513</v>
      </c>
      <c r="K784" s="120"/>
      <c r="L784" s="21" t="s">
        <v>2792</v>
      </c>
      <c r="M784" s="26">
        <v>43574</v>
      </c>
      <c r="N784" s="44">
        <f>0.2*54800</f>
        <v>10960</v>
      </c>
      <c r="O784" s="22" t="s">
        <v>276</v>
      </c>
      <c r="P784" s="22" t="s">
        <v>19</v>
      </c>
      <c r="Q784" s="24">
        <f t="shared" si="52"/>
        <v>0</v>
      </c>
      <c r="R784" s="24">
        <f t="shared" si="50"/>
        <v>10960</v>
      </c>
      <c r="S784" s="5"/>
      <c r="T784" s="5"/>
    </row>
    <row r="785" spans="2:20" ht="15.75" hidden="1" x14ac:dyDescent="0.25">
      <c r="B785" s="21" t="s">
        <v>395</v>
      </c>
      <c r="C785" s="22" t="s">
        <v>2456</v>
      </c>
      <c r="D785" s="22"/>
      <c r="E785" s="21" t="s">
        <v>75</v>
      </c>
      <c r="F785" s="21"/>
      <c r="G785" s="147" t="s">
        <v>1103</v>
      </c>
      <c r="H785" s="23" t="s">
        <v>1512</v>
      </c>
      <c r="I785" s="23"/>
      <c r="J785" s="21" t="s">
        <v>1514</v>
      </c>
      <c r="K785" s="120"/>
      <c r="L785" s="21" t="s">
        <v>2793</v>
      </c>
      <c r="M785" s="26">
        <v>43654</v>
      </c>
      <c r="N785" s="44">
        <f>0.8*54800</f>
        <v>43840</v>
      </c>
      <c r="O785" s="22" t="s">
        <v>276</v>
      </c>
      <c r="P785" s="22" t="s">
        <v>19</v>
      </c>
      <c r="Q785" s="24">
        <f t="shared" si="52"/>
        <v>0</v>
      </c>
      <c r="R785" s="24">
        <f t="shared" si="50"/>
        <v>43840</v>
      </c>
      <c r="S785" s="5" t="s">
        <v>1667</v>
      </c>
      <c r="T785" s="5"/>
    </row>
    <row r="786" spans="2:20" ht="15.75" hidden="1" x14ac:dyDescent="0.25">
      <c r="B786" s="21" t="s">
        <v>395</v>
      </c>
      <c r="C786" s="22" t="s">
        <v>2427</v>
      </c>
      <c r="D786" s="22"/>
      <c r="E786" s="21" t="s">
        <v>10</v>
      </c>
      <c r="F786" s="21"/>
      <c r="G786" s="147" t="s">
        <v>110</v>
      </c>
      <c r="H786" s="23" t="s">
        <v>2025</v>
      </c>
      <c r="I786" s="23"/>
      <c r="J786" s="21" t="s">
        <v>1516</v>
      </c>
      <c r="K786" s="120"/>
      <c r="L786" s="21" t="s">
        <v>2185</v>
      </c>
      <c r="M786" s="26">
        <v>43602</v>
      </c>
      <c r="N786" s="44">
        <v>4500</v>
      </c>
      <c r="O786" s="22" t="s">
        <v>15</v>
      </c>
      <c r="P786" s="22" t="s">
        <v>19</v>
      </c>
      <c r="Q786" s="24">
        <f t="shared" si="52"/>
        <v>0</v>
      </c>
      <c r="R786" s="24">
        <f t="shared" si="50"/>
        <v>4500</v>
      </c>
      <c r="S786" s="5"/>
      <c r="T786" s="5"/>
    </row>
    <row r="787" spans="2:20" ht="15.75" hidden="1" x14ac:dyDescent="0.25">
      <c r="B787" s="21" t="s">
        <v>395</v>
      </c>
      <c r="C787" s="22" t="s">
        <v>2450</v>
      </c>
      <c r="D787" s="22"/>
      <c r="E787" s="21" t="s">
        <v>729</v>
      </c>
      <c r="F787" s="21"/>
      <c r="G787" s="147" t="s">
        <v>1517</v>
      </c>
      <c r="H787" s="23" t="s">
        <v>1518</v>
      </c>
      <c r="I787" s="23"/>
      <c r="J787" s="21" t="s">
        <v>1519</v>
      </c>
      <c r="K787" s="13"/>
      <c r="L787" s="21" t="s">
        <v>1923</v>
      </c>
      <c r="M787" s="26">
        <v>43623</v>
      </c>
      <c r="N787" s="44">
        <v>2750</v>
      </c>
      <c r="O787" s="22" t="s">
        <v>15</v>
      </c>
      <c r="P787" s="44" t="s">
        <v>19</v>
      </c>
      <c r="Q787" s="24">
        <f t="shared" si="52"/>
        <v>0</v>
      </c>
      <c r="R787" s="24">
        <f t="shared" si="50"/>
        <v>2750</v>
      </c>
      <c r="S787" s="21"/>
      <c r="T787" s="5"/>
    </row>
    <row r="788" spans="2:20" ht="15.75" hidden="1" x14ac:dyDescent="0.25">
      <c r="B788" s="21" t="s">
        <v>395</v>
      </c>
      <c r="C788" s="22" t="s">
        <v>2450</v>
      </c>
      <c r="D788" s="22"/>
      <c r="E788" s="21" t="s">
        <v>10</v>
      </c>
      <c r="F788" s="21"/>
      <c r="G788" s="147" t="s">
        <v>102</v>
      </c>
      <c r="H788" s="23" t="s">
        <v>1520</v>
      </c>
      <c r="I788" s="23"/>
      <c r="J788" s="21" t="s">
        <v>372</v>
      </c>
      <c r="K788" s="120"/>
      <c r="L788" s="21" t="s">
        <v>2011</v>
      </c>
      <c r="M788" s="26" t="s">
        <v>1532</v>
      </c>
      <c r="N788" s="44">
        <f>0.4*14500</f>
        <v>5800</v>
      </c>
      <c r="O788" s="22" t="s">
        <v>15</v>
      </c>
      <c r="P788" s="22" t="s">
        <v>19</v>
      </c>
      <c r="Q788" s="24">
        <f t="shared" si="52"/>
        <v>0</v>
      </c>
      <c r="R788" s="24">
        <f t="shared" si="50"/>
        <v>5800</v>
      </c>
      <c r="S788" s="5"/>
      <c r="T788" s="5"/>
    </row>
    <row r="789" spans="2:20" ht="15.75" hidden="1" x14ac:dyDescent="0.25">
      <c r="B789" s="21" t="s">
        <v>395</v>
      </c>
      <c r="C789" s="22" t="s">
        <v>2450</v>
      </c>
      <c r="D789" s="22"/>
      <c r="E789" s="21" t="s">
        <v>10</v>
      </c>
      <c r="F789" s="21"/>
      <c r="G789" s="147" t="s">
        <v>102</v>
      </c>
      <c r="H789" s="23" t="s">
        <v>1520</v>
      </c>
      <c r="I789" s="23"/>
      <c r="J789" s="21" t="s">
        <v>1521</v>
      </c>
      <c r="K789" s="120"/>
      <c r="L789" s="21" t="s">
        <v>2012</v>
      </c>
      <c r="M789" s="26" t="s">
        <v>1628</v>
      </c>
      <c r="N789" s="44">
        <f>0.5*14500</f>
        <v>7250</v>
      </c>
      <c r="O789" s="22" t="s">
        <v>15</v>
      </c>
      <c r="P789" s="22" t="s">
        <v>19</v>
      </c>
      <c r="Q789" s="24">
        <f t="shared" si="52"/>
        <v>0</v>
      </c>
      <c r="R789" s="24">
        <f t="shared" si="50"/>
        <v>7250</v>
      </c>
      <c r="S789" s="5"/>
      <c r="T789" s="5"/>
    </row>
    <row r="790" spans="2:20" ht="15.75" hidden="1" x14ac:dyDescent="0.25">
      <c r="B790" s="21" t="s">
        <v>395</v>
      </c>
      <c r="C790" s="22" t="s">
        <v>2450</v>
      </c>
      <c r="D790" s="22"/>
      <c r="E790" s="21" t="s">
        <v>10</v>
      </c>
      <c r="F790" s="21"/>
      <c r="G790" s="147" t="s">
        <v>102</v>
      </c>
      <c r="H790" s="23" t="s">
        <v>1520</v>
      </c>
      <c r="I790" s="23"/>
      <c r="J790" s="21" t="s">
        <v>1522</v>
      </c>
      <c r="K790" s="120"/>
      <c r="L790" s="21" t="s">
        <v>3255</v>
      </c>
      <c r="M790" s="26">
        <v>43987</v>
      </c>
      <c r="N790" s="44">
        <f>0.1*14500</f>
        <v>1450</v>
      </c>
      <c r="O790" s="22" t="s">
        <v>15</v>
      </c>
      <c r="P790" s="22" t="s">
        <v>19</v>
      </c>
      <c r="Q790" s="24">
        <f t="shared" si="52"/>
        <v>0</v>
      </c>
      <c r="R790" s="24">
        <f t="shared" si="50"/>
        <v>1450</v>
      </c>
      <c r="S790" s="5"/>
      <c r="T790" s="5"/>
    </row>
    <row r="791" spans="2:20" ht="15.75" hidden="1" x14ac:dyDescent="0.25">
      <c r="B791" s="32" t="s">
        <v>395</v>
      </c>
      <c r="C791" s="33" t="s">
        <v>2450</v>
      </c>
      <c r="D791" s="33" t="s">
        <v>4155</v>
      </c>
      <c r="E791" s="32" t="s">
        <v>10</v>
      </c>
      <c r="F791" s="32"/>
      <c r="G791" s="155" t="s">
        <v>665</v>
      </c>
      <c r="H791" s="34" t="s">
        <v>1641</v>
      </c>
      <c r="I791" s="34"/>
      <c r="J791" s="32" t="s">
        <v>1587</v>
      </c>
      <c r="K791" s="120"/>
      <c r="L791" s="32" t="s">
        <v>2309</v>
      </c>
      <c r="M791" s="35">
        <v>43585</v>
      </c>
      <c r="N791" s="93">
        <f>0.3*756850</f>
        <v>227055</v>
      </c>
      <c r="O791" s="33" t="s">
        <v>15</v>
      </c>
      <c r="P791" s="22" t="s">
        <v>19</v>
      </c>
      <c r="Q791" s="36">
        <f t="shared" si="52"/>
        <v>0</v>
      </c>
      <c r="R791" s="36">
        <f t="shared" si="50"/>
        <v>227055</v>
      </c>
      <c r="S791" s="5"/>
      <c r="T791" s="5"/>
    </row>
    <row r="792" spans="2:20" ht="15.75" hidden="1" x14ac:dyDescent="0.25">
      <c r="B792" s="32" t="s">
        <v>395</v>
      </c>
      <c r="C792" s="33" t="s">
        <v>2450</v>
      </c>
      <c r="D792" s="33" t="s">
        <v>4155</v>
      </c>
      <c r="E792" s="32" t="s">
        <v>10</v>
      </c>
      <c r="F792" s="32"/>
      <c r="G792" s="155" t="s">
        <v>665</v>
      </c>
      <c r="H792" s="34" t="s">
        <v>1642</v>
      </c>
      <c r="I792" s="34"/>
      <c r="J792" s="32" t="s">
        <v>1588</v>
      </c>
      <c r="K792" s="120"/>
      <c r="L792" s="32" t="s">
        <v>2299</v>
      </c>
      <c r="M792" s="35">
        <v>43707</v>
      </c>
      <c r="N792" s="93">
        <f>0.15*756850</f>
        <v>113527.5</v>
      </c>
      <c r="O792" s="33" t="s">
        <v>15</v>
      </c>
      <c r="P792" s="22" t="s">
        <v>19</v>
      </c>
      <c r="Q792" s="36">
        <f t="shared" si="52"/>
        <v>0</v>
      </c>
      <c r="R792" s="36">
        <f t="shared" si="50"/>
        <v>113527.5</v>
      </c>
      <c r="S792" s="5"/>
      <c r="T792" s="5"/>
    </row>
    <row r="793" spans="2:20" ht="15.75" hidden="1" x14ac:dyDescent="0.25">
      <c r="B793" s="21" t="s">
        <v>395</v>
      </c>
      <c r="C793" s="22" t="s">
        <v>2450</v>
      </c>
      <c r="D793" s="22" t="s">
        <v>4155</v>
      </c>
      <c r="E793" s="21" t="s">
        <v>10</v>
      </c>
      <c r="F793" s="21"/>
      <c r="G793" s="147" t="s">
        <v>665</v>
      </c>
      <c r="H793" s="23" t="s">
        <v>1642</v>
      </c>
      <c r="I793" s="23"/>
      <c r="J793" s="21" t="s">
        <v>1589</v>
      </c>
      <c r="K793" s="120"/>
      <c r="L793" s="120" t="s">
        <v>2516</v>
      </c>
      <c r="M793" s="35">
        <v>43760</v>
      </c>
      <c r="N793" s="44">
        <f>0.15*756850</f>
        <v>113527.5</v>
      </c>
      <c r="O793" s="22" t="s">
        <v>15</v>
      </c>
      <c r="P793" s="44" t="s">
        <v>19</v>
      </c>
      <c r="Q793" s="24">
        <f t="shared" si="52"/>
        <v>0</v>
      </c>
      <c r="R793" s="24">
        <f t="shared" si="50"/>
        <v>113527.5</v>
      </c>
      <c r="S793" s="5"/>
      <c r="T793" s="5"/>
    </row>
    <row r="794" spans="2:20" ht="15.75" hidden="1" x14ac:dyDescent="0.25">
      <c r="B794" s="21" t="s">
        <v>395</v>
      </c>
      <c r="C794" s="22" t="s">
        <v>2450</v>
      </c>
      <c r="D794" s="22" t="s">
        <v>4155</v>
      </c>
      <c r="E794" s="21" t="s">
        <v>10</v>
      </c>
      <c r="F794" s="21"/>
      <c r="G794" s="147" t="s">
        <v>665</v>
      </c>
      <c r="H794" s="23" t="s">
        <v>1642</v>
      </c>
      <c r="I794" s="23"/>
      <c r="J794" s="21" t="s">
        <v>1590</v>
      </c>
      <c r="K794" s="120"/>
      <c r="L794" s="120" t="s">
        <v>2664</v>
      </c>
      <c r="M794" s="35">
        <v>43816</v>
      </c>
      <c r="N794" s="44">
        <f>0.15*756850</f>
        <v>113527.5</v>
      </c>
      <c r="O794" s="22" t="s">
        <v>15</v>
      </c>
      <c r="P794" s="44" t="s">
        <v>19</v>
      </c>
      <c r="Q794" s="24">
        <f t="shared" si="52"/>
        <v>0</v>
      </c>
      <c r="R794" s="24">
        <f t="shared" si="50"/>
        <v>113527.5</v>
      </c>
      <c r="S794" s="5"/>
      <c r="T794" s="5"/>
    </row>
    <row r="795" spans="2:20" ht="15.75" hidden="1" x14ac:dyDescent="0.25">
      <c r="B795" s="21" t="s">
        <v>395</v>
      </c>
      <c r="C795" s="22" t="s">
        <v>2450</v>
      </c>
      <c r="D795" s="22" t="s">
        <v>4155</v>
      </c>
      <c r="E795" s="21" t="s">
        <v>10</v>
      </c>
      <c r="F795" s="21"/>
      <c r="G795" s="147" t="s">
        <v>665</v>
      </c>
      <c r="H795" s="23" t="s">
        <v>1642</v>
      </c>
      <c r="I795" s="23"/>
      <c r="J795" s="21" t="s">
        <v>1591</v>
      </c>
      <c r="K795" s="120"/>
      <c r="L795" s="120" t="s">
        <v>3003</v>
      </c>
      <c r="M795" s="35">
        <v>43873</v>
      </c>
      <c r="N795" s="44">
        <f>0.15*756850</f>
        <v>113527.5</v>
      </c>
      <c r="O795" s="22" t="s">
        <v>15</v>
      </c>
      <c r="P795" s="44" t="s">
        <v>19</v>
      </c>
      <c r="Q795" s="24">
        <f t="shared" si="52"/>
        <v>0</v>
      </c>
      <c r="R795" s="24">
        <f t="shared" ref="R795:R855" si="53">IF(P795="OK",N795-Q795,IF(P795="en cours",N795-Q795,P795))</f>
        <v>113527.5</v>
      </c>
      <c r="S795" s="5"/>
      <c r="T795" s="5"/>
    </row>
    <row r="796" spans="2:20" ht="15.75" hidden="1" x14ac:dyDescent="0.25">
      <c r="B796" s="21" t="s">
        <v>395</v>
      </c>
      <c r="C796" s="22" t="s">
        <v>2450</v>
      </c>
      <c r="D796" s="22" t="s">
        <v>4155</v>
      </c>
      <c r="E796" s="21" t="s">
        <v>10</v>
      </c>
      <c r="F796" s="21"/>
      <c r="G796" s="147" t="s">
        <v>665</v>
      </c>
      <c r="H796" s="23" t="s">
        <v>1642</v>
      </c>
      <c r="I796" s="23"/>
      <c r="J796" s="21" t="s">
        <v>1593</v>
      </c>
      <c r="K796" s="120"/>
      <c r="L796" s="120" t="s">
        <v>4189</v>
      </c>
      <c r="M796" s="120" t="s">
        <v>4190</v>
      </c>
      <c r="N796" s="44">
        <f>0.05*756850</f>
        <v>37842.5</v>
      </c>
      <c r="O796" s="22" t="s">
        <v>15</v>
      </c>
      <c r="P796" s="44" t="s">
        <v>19</v>
      </c>
      <c r="Q796" s="24">
        <f t="shared" si="52"/>
        <v>0</v>
      </c>
      <c r="R796" s="24">
        <f t="shared" si="53"/>
        <v>37842.5</v>
      </c>
      <c r="S796" s="5"/>
      <c r="T796" s="5"/>
    </row>
    <row r="797" spans="2:20" ht="15.75" hidden="1" x14ac:dyDescent="0.25">
      <c r="B797" s="21" t="s">
        <v>395</v>
      </c>
      <c r="C797" s="22" t="s">
        <v>2450</v>
      </c>
      <c r="D797" s="22" t="s">
        <v>4155</v>
      </c>
      <c r="E797" s="21" t="s">
        <v>10</v>
      </c>
      <c r="F797" s="21"/>
      <c r="G797" s="147" t="s">
        <v>665</v>
      </c>
      <c r="H797" s="23" t="s">
        <v>1642</v>
      </c>
      <c r="I797" s="23"/>
      <c r="J797" s="21" t="s">
        <v>1592</v>
      </c>
      <c r="K797" s="120"/>
      <c r="L797" s="120" t="s">
        <v>3699</v>
      </c>
      <c r="M797" s="35">
        <v>44071</v>
      </c>
      <c r="N797" s="44">
        <f>0.05*756850</f>
        <v>37842.5</v>
      </c>
      <c r="O797" s="22" t="s">
        <v>15</v>
      </c>
      <c r="P797" s="44" t="s">
        <v>19</v>
      </c>
      <c r="Q797" s="24">
        <f t="shared" si="52"/>
        <v>0</v>
      </c>
      <c r="R797" s="24">
        <f t="shared" si="53"/>
        <v>37842.5</v>
      </c>
      <c r="S797" s="5" t="s">
        <v>3351</v>
      </c>
      <c r="T797" s="5"/>
    </row>
    <row r="798" spans="2:20" ht="15.75" hidden="1" x14ac:dyDescent="0.25">
      <c r="B798" s="32" t="s">
        <v>395</v>
      </c>
      <c r="C798" s="33" t="s">
        <v>2450</v>
      </c>
      <c r="D798" s="33" t="s">
        <v>4154</v>
      </c>
      <c r="E798" s="32" t="s">
        <v>10</v>
      </c>
      <c r="F798" s="32"/>
      <c r="G798" s="155" t="s">
        <v>665</v>
      </c>
      <c r="H798" s="34" t="s">
        <v>4203</v>
      </c>
      <c r="I798" s="34"/>
      <c r="J798" s="32" t="s">
        <v>2312</v>
      </c>
      <c r="K798" s="120"/>
      <c r="L798" s="32" t="s">
        <v>2305</v>
      </c>
      <c r="M798" s="35">
        <v>43738</v>
      </c>
      <c r="N798" s="93">
        <f>0.3*196021</f>
        <v>58806.299999999996</v>
      </c>
      <c r="O798" s="33" t="s">
        <v>15</v>
      </c>
      <c r="P798" s="22" t="s">
        <v>19</v>
      </c>
      <c r="Q798" s="36">
        <f t="shared" si="52"/>
        <v>0</v>
      </c>
      <c r="R798" s="36">
        <f t="shared" si="53"/>
        <v>58806.299999999996</v>
      </c>
      <c r="S798" s="5"/>
      <c r="T798" s="5"/>
    </row>
    <row r="799" spans="2:20" ht="15.75" hidden="1" x14ac:dyDescent="0.25">
      <c r="B799" s="32" t="s">
        <v>395</v>
      </c>
      <c r="C799" s="33" t="s">
        <v>2450</v>
      </c>
      <c r="D799" s="33" t="s">
        <v>4154</v>
      </c>
      <c r="E799" s="32" t="s">
        <v>10</v>
      </c>
      <c r="F799" s="32"/>
      <c r="G799" s="155" t="s">
        <v>665</v>
      </c>
      <c r="H799" s="34" t="s">
        <v>4203</v>
      </c>
      <c r="I799" s="34"/>
      <c r="J799" s="32" t="s">
        <v>2517</v>
      </c>
      <c r="K799" s="120"/>
      <c r="L799" s="32" t="s">
        <v>2305</v>
      </c>
      <c r="M799" s="35">
        <v>43738</v>
      </c>
      <c r="N799" s="93">
        <f>0.15*196021</f>
        <v>29403.149999999998</v>
      </c>
      <c r="O799" s="33" t="s">
        <v>15</v>
      </c>
      <c r="P799" s="22" t="s">
        <v>19</v>
      </c>
      <c r="Q799" s="36">
        <f t="shared" si="52"/>
        <v>0</v>
      </c>
      <c r="R799" s="36">
        <f t="shared" si="53"/>
        <v>29403.149999999998</v>
      </c>
      <c r="S799" s="5"/>
      <c r="T799" s="5"/>
    </row>
    <row r="800" spans="2:20" ht="15.75" hidden="1" x14ac:dyDescent="0.25">
      <c r="B800" s="32" t="s">
        <v>395</v>
      </c>
      <c r="C800" s="33" t="s">
        <v>2450</v>
      </c>
      <c r="D800" s="33" t="s">
        <v>4154</v>
      </c>
      <c r="E800" s="32" t="s">
        <v>10</v>
      </c>
      <c r="F800" s="32"/>
      <c r="G800" s="155" t="s">
        <v>665</v>
      </c>
      <c r="H800" s="34" t="s">
        <v>4203</v>
      </c>
      <c r="I800" s="34"/>
      <c r="J800" s="32" t="s">
        <v>2518</v>
      </c>
      <c r="K800" s="120"/>
      <c r="L800" s="32" t="s">
        <v>2359</v>
      </c>
      <c r="M800" s="35">
        <v>43760</v>
      </c>
      <c r="N800" s="93">
        <f>0.15*196021</f>
        <v>29403.149999999998</v>
      </c>
      <c r="O800" s="33" t="s">
        <v>15</v>
      </c>
      <c r="P800" s="22" t="s">
        <v>19</v>
      </c>
      <c r="Q800" s="36">
        <f t="shared" si="52"/>
        <v>0</v>
      </c>
      <c r="R800" s="36">
        <f t="shared" si="53"/>
        <v>29403.149999999998</v>
      </c>
      <c r="S800" s="5"/>
      <c r="T800" s="5"/>
    </row>
    <row r="801" spans="2:20" ht="15.75" hidden="1" x14ac:dyDescent="0.25">
      <c r="B801" s="32" t="s">
        <v>395</v>
      </c>
      <c r="C801" s="33" t="s">
        <v>2450</v>
      </c>
      <c r="D801" s="33" t="s">
        <v>4154</v>
      </c>
      <c r="E801" s="32" t="s">
        <v>10</v>
      </c>
      <c r="F801" s="32"/>
      <c r="G801" s="155" t="s">
        <v>665</v>
      </c>
      <c r="H801" s="34" t="s">
        <v>4203</v>
      </c>
      <c r="I801" s="34"/>
      <c r="J801" s="32" t="s">
        <v>3325</v>
      </c>
      <c r="K801" s="120"/>
      <c r="L801" s="32" t="s">
        <v>2665</v>
      </c>
      <c r="M801" s="35">
        <v>43816</v>
      </c>
      <c r="N801" s="93">
        <f>0.15*196021</f>
        <v>29403.149999999998</v>
      </c>
      <c r="O801" s="33" t="s">
        <v>15</v>
      </c>
      <c r="P801" s="22" t="s">
        <v>19</v>
      </c>
      <c r="Q801" s="36">
        <f t="shared" si="52"/>
        <v>0</v>
      </c>
      <c r="R801" s="36">
        <f t="shared" si="53"/>
        <v>29403.149999999998</v>
      </c>
      <c r="S801" s="5"/>
      <c r="T801" s="5"/>
    </row>
    <row r="802" spans="2:20" ht="15.75" hidden="1" x14ac:dyDescent="0.25">
      <c r="B802" s="32" t="s">
        <v>395</v>
      </c>
      <c r="C802" s="33" t="s">
        <v>2450</v>
      </c>
      <c r="D802" s="33" t="s">
        <v>4154</v>
      </c>
      <c r="E802" s="32" t="s">
        <v>10</v>
      </c>
      <c r="F802" s="32"/>
      <c r="G802" s="155" t="s">
        <v>665</v>
      </c>
      <c r="H802" s="34" t="s">
        <v>4203</v>
      </c>
      <c r="I802" s="34"/>
      <c r="J802" s="32" t="s">
        <v>3326</v>
      </c>
      <c r="K802" s="120"/>
      <c r="L802" s="32" t="s">
        <v>3004</v>
      </c>
      <c r="M802" s="35">
        <v>43873</v>
      </c>
      <c r="N802" s="93">
        <f>0.15*196021</f>
        <v>29403.149999999998</v>
      </c>
      <c r="O802" s="33" t="s">
        <v>15</v>
      </c>
      <c r="P802" s="22" t="s">
        <v>19</v>
      </c>
      <c r="Q802" s="36">
        <f t="shared" si="52"/>
        <v>0</v>
      </c>
      <c r="R802" s="36">
        <f t="shared" si="53"/>
        <v>29403.149999999998</v>
      </c>
      <c r="S802" s="5"/>
      <c r="T802" s="5"/>
    </row>
    <row r="803" spans="2:20" ht="15.75" hidden="1" x14ac:dyDescent="0.25">
      <c r="B803" s="21" t="s">
        <v>395</v>
      </c>
      <c r="C803" s="22" t="s">
        <v>2450</v>
      </c>
      <c r="D803" s="22" t="s">
        <v>4154</v>
      </c>
      <c r="E803" s="21" t="s">
        <v>10</v>
      </c>
      <c r="F803" s="21"/>
      <c r="G803" s="147" t="s">
        <v>665</v>
      </c>
      <c r="H803" s="34" t="s">
        <v>4203</v>
      </c>
      <c r="I803" s="34"/>
      <c r="J803" s="21" t="s">
        <v>3327</v>
      </c>
      <c r="K803" s="120"/>
      <c r="L803" s="120" t="s">
        <v>4201</v>
      </c>
      <c r="M803" s="26" t="s">
        <v>4202</v>
      </c>
      <c r="N803" s="44">
        <f>0.05*196021</f>
        <v>9801.0500000000011</v>
      </c>
      <c r="O803" s="22" t="s">
        <v>15</v>
      </c>
      <c r="P803" s="44" t="s">
        <v>19</v>
      </c>
      <c r="Q803" s="24">
        <f t="shared" si="52"/>
        <v>0</v>
      </c>
      <c r="R803" s="24">
        <f t="shared" si="53"/>
        <v>9801.0500000000011</v>
      </c>
      <c r="S803" s="5"/>
      <c r="T803" s="5"/>
    </row>
    <row r="804" spans="2:20" ht="15.75" hidden="1" x14ac:dyDescent="0.25">
      <c r="B804" s="21" t="s">
        <v>395</v>
      </c>
      <c r="C804" s="22" t="s">
        <v>2450</v>
      </c>
      <c r="D804" s="22" t="s">
        <v>4154</v>
      </c>
      <c r="E804" s="21" t="s">
        <v>10</v>
      </c>
      <c r="F804" s="21"/>
      <c r="G804" s="147" t="s">
        <v>665</v>
      </c>
      <c r="H804" s="34" t="s">
        <v>4203</v>
      </c>
      <c r="I804" s="34"/>
      <c r="J804" s="21" t="s">
        <v>3328</v>
      </c>
      <c r="K804" s="120"/>
      <c r="L804" s="120" t="s">
        <v>3700</v>
      </c>
      <c r="M804" s="26">
        <v>44071</v>
      </c>
      <c r="N804" s="44">
        <f>0.05*196021</f>
        <v>9801.0500000000011</v>
      </c>
      <c r="O804" s="22" t="s">
        <v>15</v>
      </c>
      <c r="P804" s="44" t="s">
        <v>19</v>
      </c>
      <c r="Q804" s="24">
        <f t="shared" si="52"/>
        <v>0</v>
      </c>
      <c r="R804" s="24">
        <f t="shared" si="53"/>
        <v>9801.0500000000011</v>
      </c>
      <c r="S804" s="5" t="s">
        <v>3351</v>
      </c>
      <c r="T804" s="5"/>
    </row>
    <row r="805" spans="2:20" ht="15.75" hidden="1" x14ac:dyDescent="0.25">
      <c r="B805" s="32" t="s">
        <v>395</v>
      </c>
      <c r="C805" s="33" t="s">
        <v>2450</v>
      </c>
      <c r="D805" s="33" t="s">
        <v>1451</v>
      </c>
      <c r="E805" s="32" t="s">
        <v>10</v>
      </c>
      <c r="F805" s="32"/>
      <c r="G805" s="155" t="s">
        <v>665</v>
      </c>
      <c r="H805" s="34" t="s">
        <v>2016</v>
      </c>
      <c r="I805" s="34"/>
      <c r="J805" s="32" t="s">
        <v>2375</v>
      </c>
      <c r="K805" s="120"/>
      <c r="L805" s="38" t="s">
        <v>2374</v>
      </c>
      <c r="M805" s="35">
        <v>43665</v>
      </c>
      <c r="N805" s="93">
        <v>2160</v>
      </c>
      <c r="O805" s="33" t="s">
        <v>15</v>
      </c>
      <c r="P805" s="22" t="s">
        <v>19</v>
      </c>
      <c r="Q805" s="36">
        <f t="shared" si="52"/>
        <v>0</v>
      </c>
      <c r="R805" s="36">
        <f t="shared" si="53"/>
        <v>2160</v>
      </c>
      <c r="S805" s="5"/>
      <c r="T805" s="5"/>
    </row>
    <row r="806" spans="2:20" ht="15.75" hidden="1" x14ac:dyDescent="0.25">
      <c r="B806" s="32" t="s">
        <v>395</v>
      </c>
      <c r="C806" s="33" t="s">
        <v>2450</v>
      </c>
      <c r="D806" s="33" t="s">
        <v>1451</v>
      </c>
      <c r="E806" s="32" t="s">
        <v>10</v>
      </c>
      <c r="F806" s="32"/>
      <c r="G806" s="155" t="s">
        <v>665</v>
      </c>
      <c r="H806" s="34" t="s">
        <v>2017</v>
      </c>
      <c r="I806" s="34"/>
      <c r="J806" s="32" t="s">
        <v>2376</v>
      </c>
      <c r="K806" s="120"/>
      <c r="L806" s="38" t="s">
        <v>2373</v>
      </c>
      <c r="M806" s="35">
        <v>43665</v>
      </c>
      <c r="N806" s="93">
        <v>18360</v>
      </c>
      <c r="O806" s="33" t="s">
        <v>15</v>
      </c>
      <c r="P806" s="22" t="s">
        <v>19</v>
      </c>
      <c r="Q806" s="36">
        <f t="shared" si="52"/>
        <v>0</v>
      </c>
      <c r="R806" s="36">
        <f t="shared" si="53"/>
        <v>18360</v>
      </c>
      <c r="S806" s="5"/>
      <c r="T806" s="5"/>
    </row>
    <row r="807" spans="2:20" ht="15.75" hidden="1" x14ac:dyDescent="0.25">
      <c r="B807" s="32" t="s">
        <v>395</v>
      </c>
      <c r="C807" s="33" t="s">
        <v>2450</v>
      </c>
      <c r="D807" s="33" t="s">
        <v>1451</v>
      </c>
      <c r="E807" s="32" t="s">
        <v>10</v>
      </c>
      <c r="F807" s="32"/>
      <c r="G807" s="155" t="s">
        <v>665</v>
      </c>
      <c r="H807" s="34" t="s">
        <v>1594</v>
      </c>
      <c r="I807" s="34"/>
      <c r="J807" s="32" t="s">
        <v>1595</v>
      </c>
      <c r="K807" s="120"/>
      <c r="L807" s="32"/>
      <c r="M807" s="35" t="s">
        <v>1599</v>
      </c>
      <c r="N807" s="93">
        <f>0.5*16660</f>
        <v>8330</v>
      </c>
      <c r="O807" s="33" t="s">
        <v>15</v>
      </c>
      <c r="P807" s="22" t="s">
        <v>19</v>
      </c>
      <c r="Q807" s="36">
        <f t="shared" si="52"/>
        <v>0</v>
      </c>
      <c r="R807" s="36">
        <f t="shared" si="53"/>
        <v>8330</v>
      </c>
      <c r="S807" s="5"/>
      <c r="T807" s="5"/>
    </row>
    <row r="808" spans="2:20" ht="15.75" hidden="1" x14ac:dyDescent="0.25">
      <c r="B808" s="32" t="s">
        <v>395</v>
      </c>
      <c r="C808" s="33" t="s">
        <v>2450</v>
      </c>
      <c r="D808" s="33" t="s">
        <v>1451</v>
      </c>
      <c r="E808" s="32" t="s">
        <v>10</v>
      </c>
      <c r="F808" s="32"/>
      <c r="G808" s="155" t="s">
        <v>665</v>
      </c>
      <c r="H808" s="34" t="s">
        <v>1594</v>
      </c>
      <c r="I808" s="34"/>
      <c r="J808" s="32" t="s">
        <v>1596</v>
      </c>
      <c r="K808" s="120"/>
      <c r="L808" s="32"/>
      <c r="M808" s="35" t="s">
        <v>1598</v>
      </c>
      <c r="N808" s="93">
        <f>0.45*16660</f>
        <v>7497</v>
      </c>
      <c r="O808" s="33" t="s">
        <v>15</v>
      </c>
      <c r="P808" s="22" t="s">
        <v>19</v>
      </c>
      <c r="Q808" s="36">
        <f t="shared" si="52"/>
        <v>0</v>
      </c>
      <c r="R808" s="36">
        <f t="shared" si="53"/>
        <v>7497</v>
      </c>
      <c r="S808" s="5"/>
      <c r="T808" s="5"/>
    </row>
    <row r="809" spans="2:20" ht="15.75" hidden="1" x14ac:dyDescent="0.25">
      <c r="B809" s="32" t="s">
        <v>395</v>
      </c>
      <c r="C809" s="33" t="s">
        <v>2450</v>
      </c>
      <c r="D809" s="33" t="s">
        <v>1451</v>
      </c>
      <c r="E809" s="32" t="s">
        <v>10</v>
      </c>
      <c r="F809" s="32"/>
      <c r="G809" s="155" t="s">
        <v>665</v>
      </c>
      <c r="H809" s="34" t="s">
        <v>1594</v>
      </c>
      <c r="I809" s="34"/>
      <c r="J809" s="32" t="s">
        <v>1597</v>
      </c>
      <c r="K809" s="120"/>
      <c r="L809" s="32" t="s">
        <v>1950</v>
      </c>
      <c r="M809" s="35">
        <v>43707</v>
      </c>
      <c r="N809" s="93">
        <f>0.05*16660</f>
        <v>833</v>
      </c>
      <c r="O809" s="33" t="s">
        <v>15</v>
      </c>
      <c r="P809" s="22" t="s">
        <v>19</v>
      </c>
      <c r="Q809" s="36">
        <f t="shared" si="52"/>
        <v>0</v>
      </c>
      <c r="R809" s="36">
        <f t="shared" si="53"/>
        <v>833</v>
      </c>
      <c r="S809" s="5"/>
      <c r="T809" s="5"/>
    </row>
    <row r="810" spans="2:20" ht="15.75" hidden="1" x14ac:dyDescent="0.25">
      <c r="B810" s="21" t="s">
        <v>395</v>
      </c>
      <c r="C810" s="22" t="s">
        <v>2456</v>
      </c>
      <c r="D810" s="22"/>
      <c r="E810" s="21" t="s">
        <v>75</v>
      </c>
      <c r="F810" s="21"/>
      <c r="G810" s="147" t="s">
        <v>239</v>
      </c>
      <c r="H810" s="23" t="s">
        <v>1609</v>
      </c>
      <c r="I810" s="23"/>
      <c r="J810" s="21" t="s">
        <v>1610</v>
      </c>
      <c r="K810" s="120"/>
      <c r="L810" s="21" t="s">
        <v>2814</v>
      </c>
      <c r="M810" s="26">
        <v>43864</v>
      </c>
      <c r="N810" s="44">
        <f>0.5*14800</f>
        <v>7400</v>
      </c>
      <c r="O810" s="22" t="s">
        <v>15</v>
      </c>
      <c r="P810" s="22" t="s">
        <v>19</v>
      </c>
      <c r="Q810" s="24">
        <f t="shared" si="52"/>
        <v>0</v>
      </c>
      <c r="R810" s="24">
        <f t="shared" si="53"/>
        <v>7400</v>
      </c>
      <c r="S810" s="5" t="s">
        <v>2805</v>
      </c>
      <c r="T810" s="5"/>
    </row>
    <row r="811" spans="2:20" ht="15.75" hidden="1" x14ac:dyDescent="0.25">
      <c r="B811" s="21" t="s">
        <v>395</v>
      </c>
      <c r="C811" s="22" t="s">
        <v>2456</v>
      </c>
      <c r="D811" s="22"/>
      <c r="E811" s="21" t="s">
        <v>75</v>
      </c>
      <c r="F811" s="21"/>
      <c r="G811" s="147" t="s">
        <v>239</v>
      </c>
      <c r="H811" s="23" t="s">
        <v>1609</v>
      </c>
      <c r="I811" s="23"/>
      <c r="J811" s="21" t="s">
        <v>1611</v>
      </c>
      <c r="K811" s="120"/>
      <c r="L811" s="21" t="s">
        <v>2814</v>
      </c>
      <c r="M811" s="26">
        <v>43864</v>
      </c>
      <c r="N811" s="44">
        <f>0.5*14800</f>
        <v>7400</v>
      </c>
      <c r="O811" s="22" t="s">
        <v>15</v>
      </c>
      <c r="P811" s="22" t="s">
        <v>19</v>
      </c>
      <c r="Q811" s="24">
        <f t="shared" si="52"/>
        <v>0</v>
      </c>
      <c r="R811" s="24">
        <f t="shared" si="53"/>
        <v>7400</v>
      </c>
      <c r="S811" s="5" t="str">
        <f>S810</f>
        <v>vu le 31/01/2020 donc pas de fnp 2019</v>
      </c>
      <c r="T811" s="5"/>
    </row>
    <row r="812" spans="2:20" ht="15.75" hidden="1" x14ac:dyDescent="0.25">
      <c r="B812" s="21" t="s">
        <v>395</v>
      </c>
      <c r="C812" s="22" t="s">
        <v>2450</v>
      </c>
      <c r="D812" s="22"/>
      <c r="E812" s="21" t="s">
        <v>10</v>
      </c>
      <c r="F812" s="21"/>
      <c r="G812" s="147" t="s">
        <v>102</v>
      </c>
      <c r="H812" s="23" t="s">
        <v>1614</v>
      </c>
      <c r="I812" s="23"/>
      <c r="J812" s="21" t="s">
        <v>1615</v>
      </c>
      <c r="K812" s="120"/>
      <c r="L812" s="21" t="s">
        <v>2003</v>
      </c>
      <c r="M812" s="26">
        <v>43647</v>
      </c>
      <c r="N812" s="44">
        <v>11100</v>
      </c>
      <c r="O812" s="22" t="s">
        <v>15</v>
      </c>
      <c r="P812" s="44" t="s">
        <v>19</v>
      </c>
      <c r="Q812" s="24">
        <f t="shared" si="52"/>
        <v>0</v>
      </c>
      <c r="R812" s="24">
        <f t="shared" si="53"/>
        <v>11100</v>
      </c>
      <c r="S812" s="5" t="s">
        <v>1739</v>
      </c>
      <c r="T812" s="5" t="s">
        <v>1730</v>
      </c>
    </row>
    <row r="813" spans="2:20" ht="15.75" hidden="1" x14ac:dyDescent="0.25">
      <c r="B813" s="21" t="s">
        <v>395</v>
      </c>
      <c r="C813" s="22" t="s">
        <v>1940</v>
      </c>
      <c r="D813" s="22"/>
      <c r="E813" s="21" t="s">
        <v>75</v>
      </c>
      <c r="F813" s="21"/>
      <c r="G813" s="147" t="s">
        <v>1201</v>
      </c>
      <c r="H813" s="23" t="s">
        <v>1627</v>
      </c>
      <c r="I813" s="23"/>
      <c r="J813" s="21" t="s">
        <v>1626</v>
      </c>
      <c r="K813" s="120"/>
      <c r="L813" s="21"/>
      <c r="M813" s="120" t="s">
        <v>1956</v>
      </c>
      <c r="N813" s="44">
        <v>2902</v>
      </c>
      <c r="O813" s="22" t="s">
        <v>15</v>
      </c>
      <c r="P813" s="44">
        <f>1744.48+161.28+734.72+233.5+93.4</f>
        <v>2967.38</v>
      </c>
      <c r="Q813" s="24">
        <f t="shared" si="52"/>
        <v>0</v>
      </c>
      <c r="R813" s="116">
        <f t="shared" si="53"/>
        <v>2967.38</v>
      </c>
      <c r="S813" s="5"/>
      <c r="T813" s="5"/>
    </row>
    <row r="814" spans="2:20" ht="15.75" hidden="1" x14ac:dyDescent="0.25">
      <c r="B814" s="21" t="s">
        <v>395</v>
      </c>
      <c r="C814" s="22" t="s">
        <v>2427</v>
      </c>
      <c r="D814" s="22"/>
      <c r="E814" s="21" t="s">
        <v>10</v>
      </c>
      <c r="F814" s="21"/>
      <c r="G814" s="147" t="s">
        <v>110</v>
      </c>
      <c r="H814" s="23" t="s">
        <v>2473</v>
      </c>
      <c r="I814" s="23"/>
      <c r="J814" s="21" t="s">
        <v>1638</v>
      </c>
      <c r="K814" s="120"/>
      <c r="L814" s="21" t="s">
        <v>2186</v>
      </c>
      <c r="M814" s="26">
        <v>43614</v>
      </c>
      <c r="N814" s="44">
        <v>21200</v>
      </c>
      <c r="O814" s="22" t="s">
        <v>15</v>
      </c>
      <c r="P814" s="22" t="s">
        <v>19</v>
      </c>
      <c r="Q814" s="24">
        <f t="shared" si="52"/>
        <v>0</v>
      </c>
      <c r="R814" s="24">
        <f t="shared" si="53"/>
        <v>21200</v>
      </c>
      <c r="S814" s="5"/>
      <c r="T814" s="5"/>
    </row>
    <row r="815" spans="2:20" ht="15.75" hidden="1" x14ac:dyDescent="0.25">
      <c r="B815" s="21" t="s">
        <v>395</v>
      </c>
      <c r="C815" s="22" t="s">
        <v>2450</v>
      </c>
      <c r="D815" s="22"/>
      <c r="E815" s="21" t="s">
        <v>10</v>
      </c>
      <c r="F815" s="21"/>
      <c r="G815" s="147" t="s">
        <v>102</v>
      </c>
      <c r="H815" s="23" t="s">
        <v>1643</v>
      </c>
      <c r="I815" s="23"/>
      <c r="J815" s="21" t="s">
        <v>1644</v>
      </c>
      <c r="K815" s="120"/>
      <c r="L815" s="21" t="s">
        <v>2013</v>
      </c>
      <c r="M815" s="26" t="s">
        <v>1758</v>
      </c>
      <c r="N815" s="44">
        <f>0.5*9000</f>
        <v>4500</v>
      </c>
      <c r="O815" s="22" t="s">
        <v>15</v>
      </c>
      <c r="P815" s="22" t="s">
        <v>19</v>
      </c>
      <c r="Q815" s="24">
        <f t="shared" si="52"/>
        <v>0</v>
      </c>
      <c r="R815" s="24">
        <f t="shared" si="53"/>
        <v>4500</v>
      </c>
      <c r="S815" s="5"/>
      <c r="T815" s="5"/>
    </row>
    <row r="816" spans="2:20" ht="15.75" hidden="1" x14ac:dyDescent="0.25">
      <c r="B816" s="21" t="s">
        <v>395</v>
      </c>
      <c r="C816" s="22" t="s">
        <v>2450</v>
      </c>
      <c r="D816" s="22"/>
      <c r="E816" s="21" t="s">
        <v>10</v>
      </c>
      <c r="F816" s="21"/>
      <c r="G816" s="147" t="s">
        <v>102</v>
      </c>
      <c r="H816" s="23" t="s">
        <v>1643</v>
      </c>
      <c r="I816" s="23"/>
      <c r="J816" s="21" t="s">
        <v>1645</v>
      </c>
      <c r="K816" s="120"/>
      <c r="L816" s="21" t="s">
        <v>3184</v>
      </c>
      <c r="M816" s="26">
        <v>43971</v>
      </c>
      <c r="N816" s="44">
        <f>0.5*9000</f>
        <v>4500</v>
      </c>
      <c r="O816" s="22" t="s">
        <v>15</v>
      </c>
      <c r="P816" s="22" t="s">
        <v>19</v>
      </c>
      <c r="Q816" s="24">
        <f t="shared" si="52"/>
        <v>0</v>
      </c>
      <c r="R816" s="24">
        <f t="shared" si="53"/>
        <v>4500</v>
      </c>
      <c r="S816" s="5"/>
      <c r="T816" s="5"/>
    </row>
    <row r="817" spans="1:20" ht="15.75" hidden="1" x14ac:dyDescent="0.25">
      <c r="A817" t="s">
        <v>6753</v>
      </c>
      <c r="B817" s="21" t="s">
        <v>395</v>
      </c>
      <c r="C817" s="22" t="s">
        <v>2459</v>
      </c>
      <c r="D817" s="22"/>
      <c r="E817" s="21" t="s">
        <v>75</v>
      </c>
      <c r="F817" s="21"/>
      <c r="G817" s="147" t="s">
        <v>98</v>
      </c>
      <c r="H817" s="23" t="s">
        <v>1648</v>
      </c>
      <c r="I817" s="23"/>
      <c r="J817" s="21" t="s">
        <v>1647</v>
      </c>
      <c r="K817" s="13"/>
      <c r="L817" s="47"/>
      <c r="M817" s="26" t="s">
        <v>1854</v>
      </c>
      <c r="N817" s="44">
        <v>205.99</v>
      </c>
      <c r="O817" s="22" t="s">
        <v>15</v>
      </c>
      <c r="P817" s="22">
        <v>201.36</v>
      </c>
      <c r="Q817" s="24">
        <f t="shared" si="52"/>
        <v>4.6299999999999955</v>
      </c>
      <c r="R817" s="24">
        <f t="shared" si="53"/>
        <v>201.36</v>
      </c>
      <c r="S817" s="5"/>
      <c r="T817" s="5"/>
    </row>
    <row r="818" spans="1:20" ht="15.75" hidden="1" x14ac:dyDescent="0.25">
      <c r="B818" s="21" t="s">
        <v>395</v>
      </c>
      <c r="C818" s="22" t="s">
        <v>2427</v>
      </c>
      <c r="D818" s="22"/>
      <c r="E818" s="21" t="s">
        <v>10</v>
      </c>
      <c r="F818" s="21"/>
      <c r="G818" s="147" t="s">
        <v>102</v>
      </c>
      <c r="H818" s="23" t="s">
        <v>1649</v>
      </c>
      <c r="I818" s="23"/>
      <c r="J818" s="21" t="s">
        <v>1650</v>
      </c>
      <c r="K818" s="120"/>
      <c r="L818" s="21" t="s">
        <v>2002</v>
      </c>
      <c r="M818" s="26">
        <v>43630</v>
      </c>
      <c r="N818" s="44">
        <v>4900</v>
      </c>
      <c r="O818" s="22" t="s">
        <v>15</v>
      </c>
      <c r="P818" s="22" t="s">
        <v>19</v>
      </c>
      <c r="Q818" s="24">
        <f t="shared" si="52"/>
        <v>0</v>
      </c>
      <c r="R818" s="24">
        <f t="shared" si="53"/>
        <v>4900</v>
      </c>
      <c r="S818" s="5"/>
      <c r="T818" s="5"/>
    </row>
    <row r="819" spans="1:20" ht="15.75" hidden="1" x14ac:dyDescent="0.25">
      <c r="B819" s="5"/>
      <c r="C819" s="4" t="s">
        <v>2421</v>
      </c>
      <c r="D819" s="4"/>
      <c r="E819" s="5" t="s">
        <v>75</v>
      </c>
      <c r="F819" s="5"/>
      <c r="G819" s="146" t="s">
        <v>1651</v>
      </c>
      <c r="H819" s="7" t="s">
        <v>1653</v>
      </c>
      <c r="I819" s="7"/>
      <c r="J819" s="5" t="s">
        <v>1652</v>
      </c>
      <c r="K819" s="13">
        <v>43617</v>
      </c>
      <c r="L819" s="5"/>
      <c r="M819" s="12"/>
      <c r="N819" s="163">
        <v>120338</v>
      </c>
      <c r="O819" s="4" t="s">
        <v>276</v>
      </c>
      <c r="P819" s="45"/>
      <c r="Q819" s="3">
        <f t="shared" si="52"/>
        <v>120338</v>
      </c>
      <c r="R819" s="3">
        <f t="shared" si="53"/>
        <v>0</v>
      </c>
      <c r="S819" s="5" t="s">
        <v>2607</v>
      </c>
      <c r="T819" s="5"/>
    </row>
    <row r="820" spans="1:20" ht="15.75" hidden="1" x14ac:dyDescent="0.25">
      <c r="B820" s="5"/>
      <c r="C820" s="4" t="s">
        <v>2421</v>
      </c>
      <c r="D820" s="4"/>
      <c r="E820" s="5" t="s">
        <v>75</v>
      </c>
      <c r="F820" s="5"/>
      <c r="G820" s="146" t="s">
        <v>1651</v>
      </c>
      <c r="H820" s="7" t="s">
        <v>1653</v>
      </c>
      <c r="I820" s="7"/>
      <c r="J820" s="5" t="s">
        <v>1652</v>
      </c>
      <c r="K820" s="13">
        <v>44196</v>
      </c>
      <c r="L820" s="5"/>
      <c r="M820" s="12"/>
      <c r="N820" s="163">
        <v>26741.16</v>
      </c>
      <c r="O820" s="4" t="s">
        <v>276</v>
      </c>
      <c r="P820" s="45"/>
      <c r="Q820" s="3">
        <f t="shared" si="52"/>
        <v>26741.16</v>
      </c>
      <c r="R820" s="3">
        <f t="shared" si="53"/>
        <v>0</v>
      </c>
      <c r="S820" s="5" t="s">
        <v>2607</v>
      </c>
      <c r="T820" s="5"/>
    </row>
    <row r="821" spans="1:20" ht="15.75" hidden="1" x14ac:dyDescent="0.25">
      <c r="B821" s="5"/>
      <c r="C821" s="4" t="s">
        <v>2421</v>
      </c>
      <c r="D821" s="4"/>
      <c r="E821" s="5" t="s">
        <v>75</v>
      </c>
      <c r="F821" s="5"/>
      <c r="G821" s="146" t="s">
        <v>1651</v>
      </c>
      <c r="H821" s="7" t="s">
        <v>1653</v>
      </c>
      <c r="I821" s="7"/>
      <c r="J821" s="5" t="s">
        <v>1652</v>
      </c>
      <c r="K821" s="13">
        <v>44196</v>
      </c>
      <c r="L821" s="5" t="s">
        <v>1945</v>
      </c>
      <c r="M821" s="12">
        <v>43709</v>
      </c>
      <c r="N821" s="45">
        <f>40112.5/3</f>
        <v>13370.833333333334</v>
      </c>
      <c r="O821" s="4" t="s">
        <v>276</v>
      </c>
      <c r="P821" s="45">
        <v>800</v>
      </c>
      <c r="Q821" s="3">
        <f t="shared" si="52"/>
        <v>12570.833333333334</v>
      </c>
      <c r="R821" s="3">
        <f t="shared" si="53"/>
        <v>800</v>
      </c>
      <c r="S821" s="5" t="s">
        <v>2607</v>
      </c>
      <c r="T821" s="5"/>
    </row>
    <row r="822" spans="1:20" ht="15.75" hidden="1" x14ac:dyDescent="0.25">
      <c r="B822" s="21" t="s">
        <v>395</v>
      </c>
      <c r="C822" s="22" t="s">
        <v>2421</v>
      </c>
      <c r="D822" s="22"/>
      <c r="E822" s="21" t="s">
        <v>75</v>
      </c>
      <c r="F822" s="21"/>
      <c r="G822" s="147" t="s">
        <v>1651</v>
      </c>
      <c r="H822" s="23" t="s">
        <v>1653</v>
      </c>
      <c r="I822" s="23"/>
      <c r="J822" s="21" t="s">
        <v>1652</v>
      </c>
      <c r="K822" s="120"/>
      <c r="L822" s="21" t="s">
        <v>2141</v>
      </c>
      <c r="M822" s="26">
        <v>43739</v>
      </c>
      <c r="N822" s="44">
        <f>40112.5/3</f>
        <v>13370.833333333334</v>
      </c>
      <c r="O822" s="22" t="s">
        <v>276</v>
      </c>
      <c r="P822" s="44" t="s">
        <v>19</v>
      </c>
      <c r="Q822" s="24">
        <f t="shared" si="52"/>
        <v>0</v>
      </c>
      <c r="R822" s="24">
        <f t="shared" si="53"/>
        <v>13370.833333333334</v>
      </c>
      <c r="S822" s="5" t="s">
        <v>2607</v>
      </c>
      <c r="T822" s="5"/>
    </row>
    <row r="823" spans="1:20" ht="15.75" hidden="1" x14ac:dyDescent="0.25">
      <c r="B823" s="21" t="s">
        <v>395</v>
      </c>
      <c r="C823" s="22" t="s">
        <v>2421</v>
      </c>
      <c r="D823" s="22"/>
      <c r="E823" s="21" t="s">
        <v>75</v>
      </c>
      <c r="F823" s="21"/>
      <c r="G823" s="147" t="s">
        <v>1651</v>
      </c>
      <c r="H823" s="23" t="s">
        <v>1653</v>
      </c>
      <c r="I823" s="23"/>
      <c r="J823" s="21" t="s">
        <v>1652</v>
      </c>
      <c r="K823" s="120"/>
      <c r="L823" s="21" t="s">
        <v>2141</v>
      </c>
      <c r="M823" s="26">
        <v>43739</v>
      </c>
      <c r="N823" s="44">
        <v>10429.17</v>
      </c>
      <c r="O823" s="22" t="s">
        <v>276</v>
      </c>
      <c r="P823" s="44">
        <f>23800-13370.83</f>
        <v>10429.17</v>
      </c>
      <c r="Q823" s="24">
        <f t="shared" si="52"/>
        <v>0</v>
      </c>
      <c r="R823" s="24">
        <f t="shared" si="53"/>
        <v>10429.17</v>
      </c>
      <c r="S823" s="5" t="s">
        <v>2607</v>
      </c>
      <c r="T823" s="5"/>
    </row>
    <row r="824" spans="1:20" ht="15.75" hidden="1" x14ac:dyDescent="0.25">
      <c r="B824" s="21" t="s">
        <v>395</v>
      </c>
      <c r="C824" s="22" t="s">
        <v>2421</v>
      </c>
      <c r="D824" s="22"/>
      <c r="E824" s="21" t="s">
        <v>75</v>
      </c>
      <c r="F824" s="21"/>
      <c r="G824" s="147" t="s">
        <v>1651</v>
      </c>
      <c r="H824" s="23" t="s">
        <v>1653</v>
      </c>
      <c r="I824" s="23"/>
      <c r="J824" s="21" t="s">
        <v>1652</v>
      </c>
      <c r="K824" s="120"/>
      <c r="L824" s="21" t="s">
        <v>2420</v>
      </c>
      <c r="M824" s="26">
        <v>43770</v>
      </c>
      <c r="N824" s="44">
        <v>800</v>
      </c>
      <c r="O824" s="22" t="s">
        <v>276</v>
      </c>
      <c r="P824" s="44">
        <v>800</v>
      </c>
      <c r="Q824" s="24">
        <f t="shared" si="52"/>
        <v>0</v>
      </c>
      <c r="R824" s="24">
        <f t="shared" si="53"/>
        <v>800</v>
      </c>
      <c r="S824" s="5" t="s">
        <v>2607</v>
      </c>
      <c r="T824" s="5"/>
    </row>
    <row r="825" spans="1:20" ht="15.75" hidden="1" x14ac:dyDescent="0.25">
      <c r="B825" s="21" t="s">
        <v>395</v>
      </c>
      <c r="C825" s="22" t="s">
        <v>2421</v>
      </c>
      <c r="D825" s="22"/>
      <c r="E825" s="21" t="s">
        <v>75</v>
      </c>
      <c r="F825" s="21"/>
      <c r="G825" s="147" t="s">
        <v>1651</v>
      </c>
      <c r="H825" s="23" t="s">
        <v>1653</v>
      </c>
      <c r="I825" s="23"/>
      <c r="J825" s="21" t="s">
        <v>1652</v>
      </c>
      <c r="K825" s="120"/>
      <c r="L825" s="21" t="s">
        <v>2593</v>
      </c>
      <c r="M825" s="26">
        <v>43800</v>
      </c>
      <c r="N825" s="44">
        <v>800</v>
      </c>
      <c r="O825" s="22" t="s">
        <v>276</v>
      </c>
      <c r="P825" s="44">
        <v>800</v>
      </c>
      <c r="Q825" s="24">
        <f t="shared" si="52"/>
        <v>0</v>
      </c>
      <c r="R825" s="24">
        <f t="shared" si="53"/>
        <v>800</v>
      </c>
      <c r="S825" s="5" t="s">
        <v>2607</v>
      </c>
      <c r="T825" s="5"/>
    </row>
    <row r="826" spans="1:20" ht="15.75" hidden="1" x14ac:dyDescent="0.25">
      <c r="B826" s="21" t="s">
        <v>395</v>
      </c>
      <c r="C826" s="22" t="s">
        <v>2421</v>
      </c>
      <c r="D826" s="22"/>
      <c r="E826" s="21" t="s">
        <v>75</v>
      </c>
      <c r="F826" s="21"/>
      <c r="G826" s="147" t="s">
        <v>1651</v>
      </c>
      <c r="H826" s="23" t="s">
        <v>1653</v>
      </c>
      <c r="I826" s="23"/>
      <c r="J826" s="21" t="s">
        <v>1652</v>
      </c>
      <c r="K826" s="120"/>
      <c r="L826" s="21" t="s">
        <v>2697</v>
      </c>
      <c r="M826" s="26">
        <v>43831</v>
      </c>
      <c r="N826" s="44">
        <v>800</v>
      </c>
      <c r="O826" s="22" t="s">
        <v>276</v>
      </c>
      <c r="P826" s="44">
        <v>800</v>
      </c>
      <c r="Q826" s="24">
        <f t="shared" si="52"/>
        <v>0</v>
      </c>
      <c r="R826" s="24">
        <f t="shared" si="53"/>
        <v>800</v>
      </c>
      <c r="S826" s="5" t="s">
        <v>2607</v>
      </c>
      <c r="T826" s="5"/>
    </row>
    <row r="827" spans="1:20" ht="15.75" hidden="1" x14ac:dyDescent="0.25">
      <c r="B827" s="21" t="s">
        <v>395</v>
      </c>
      <c r="C827" s="22" t="s">
        <v>2421</v>
      </c>
      <c r="D827" s="22"/>
      <c r="E827" s="21" t="s">
        <v>75</v>
      </c>
      <c r="F827" s="21"/>
      <c r="G827" s="147" t="s">
        <v>1651</v>
      </c>
      <c r="H827" s="23" t="s">
        <v>1653</v>
      </c>
      <c r="I827" s="23"/>
      <c r="J827" s="21" t="s">
        <v>1652</v>
      </c>
      <c r="K827" s="120"/>
      <c r="L827" s="21" t="s">
        <v>4943</v>
      </c>
      <c r="M827" s="26">
        <v>43862</v>
      </c>
      <c r="N827" s="44">
        <v>800</v>
      </c>
      <c r="O827" s="22" t="s">
        <v>276</v>
      </c>
      <c r="P827" s="44">
        <v>800</v>
      </c>
      <c r="Q827" s="24">
        <f t="shared" si="52"/>
        <v>0</v>
      </c>
      <c r="R827" s="24">
        <f t="shared" si="53"/>
        <v>800</v>
      </c>
      <c r="S827" s="5" t="s">
        <v>2607</v>
      </c>
      <c r="T827" s="5"/>
    </row>
    <row r="828" spans="1:20" ht="15.75" hidden="1" x14ac:dyDescent="0.25">
      <c r="B828" s="21" t="s">
        <v>395</v>
      </c>
      <c r="C828" s="22" t="s">
        <v>2421</v>
      </c>
      <c r="D828" s="22"/>
      <c r="E828" s="21" t="s">
        <v>75</v>
      </c>
      <c r="F828" s="21"/>
      <c r="G828" s="147" t="s">
        <v>1651</v>
      </c>
      <c r="H828" s="23" t="s">
        <v>1653</v>
      </c>
      <c r="I828" s="23"/>
      <c r="J828" s="21" t="s">
        <v>1652</v>
      </c>
      <c r="K828" s="120"/>
      <c r="L828" s="21" t="s">
        <v>3007</v>
      </c>
      <c r="M828" s="26">
        <v>43891</v>
      </c>
      <c r="N828" s="44">
        <v>1625</v>
      </c>
      <c r="O828" s="22" t="s">
        <v>276</v>
      </c>
      <c r="P828" s="44">
        <v>1625</v>
      </c>
      <c r="Q828" s="24">
        <f t="shared" si="52"/>
        <v>0</v>
      </c>
      <c r="R828" s="24">
        <f t="shared" si="53"/>
        <v>1625</v>
      </c>
      <c r="S828" s="5" t="s">
        <v>2607</v>
      </c>
      <c r="T828" s="5"/>
    </row>
    <row r="829" spans="1:20" ht="15.75" hidden="1" x14ac:dyDescent="0.25">
      <c r="B829" s="21" t="s">
        <v>395</v>
      </c>
      <c r="C829" s="22" t="s">
        <v>2421</v>
      </c>
      <c r="D829" s="22"/>
      <c r="E829" s="21" t="s">
        <v>75</v>
      </c>
      <c r="F829" s="21"/>
      <c r="G829" s="147" t="s">
        <v>1651</v>
      </c>
      <c r="H829" s="23" t="s">
        <v>1653</v>
      </c>
      <c r="I829" s="23"/>
      <c r="J829" s="21" t="s">
        <v>1652</v>
      </c>
      <c r="K829" s="120"/>
      <c r="L829" s="21" t="s">
        <v>3081</v>
      </c>
      <c r="M829" s="26">
        <v>43922</v>
      </c>
      <c r="N829" s="44">
        <v>1300</v>
      </c>
      <c r="O829" s="22" t="s">
        <v>276</v>
      </c>
      <c r="P829" s="44">
        <v>1300</v>
      </c>
      <c r="Q829" s="24">
        <f t="shared" si="52"/>
        <v>0</v>
      </c>
      <c r="R829" s="24">
        <f t="shared" si="53"/>
        <v>1300</v>
      </c>
      <c r="S829" s="5" t="s">
        <v>2607</v>
      </c>
      <c r="T829" s="5"/>
    </row>
    <row r="830" spans="1:20" ht="15.75" hidden="1" x14ac:dyDescent="0.25">
      <c r="B830" s="21" t="s">
        <v>395</v>
      </c>
      <c r="C830" s="22" t="s">
        <v>2421</v>
      </c>
      <c r="D830" s="22"/>
      <c r="E830" s="21" t="s">
        <v>75</v>
      </c>
      <c r="F830" s="21"/>
      <c r="G830" s="147" t="s">
        <v>1651</v>
      </c>
      <c r="H830" s="23" t="s">
        <v>1653</v>
      </c>
      <c r="I830" s="23"/>
      <c r="J830" s="21" t="s">
        <v>1652</v>
      </c>
      <c r="K830" s="120"/>
      <c r="L830" s="21" t="s">
        <v>3146</v>
      </c>
      <c r="M830" s="26">
        <v>43952</v>
      </c>
      <c r="N830" s="44">
        <v>1250</v>
      </c>
      <c r="O830" s="22" t="s">
        <v>276</v>
      </c>
      <c r="P830" s="44">
        <v>1250</v>
      </c>
      <c r="Q830" s="24">
        <f t="shared" si="52"/>
        <v>0</v>
      </c>
      <c r="R830" s="24">
        <f t="shared" si="53"/>
        <v>1250</v>
      </c>
      <c r="S830" s="5" t="s">
        <v>2607</v>
      </c>
      <c r="T830" s="5"/>
    </row>
    <row r="831" spans="1:20" ht="15.75" hidden="1" x14ac:dyDescent="0.25">
      <c r="B831" s="21" t="s">
        <v>395</v>
      </c>
      <c r="C831" s="22" t="s">
        <v>2421</v>
      </c>
      <c r="D831" s="22"/>
      <c r="E831" s="21" t="s">
        <v>75</v>
      </c>
      <c r="F831" s="21"/>
      <c r="G831" s="147" t="s">
        <v>1651</v>
      </c>
      <c r="H831" s="23" t="s">
        <v>1653</v>
      </c>
      <c r="I831" s="23"/>
      <c r="J831" s="21" t="s">
        <v>1652</v>
      </c>
      <c r="K831" s="120"/>
      <c r="L831" s="21" t="s">
        <v>3260</v>
      </c>
      <c r="M831" s="26">
        <v>43983</v>
      </c>
      <c r="N831" s="44">
        <v>800</v>
      </c>
      <c r="O831" s="22" t="s">
        <v>276</v>
      </c>
      <c r="P831" s="44">
        <v>800</v>
      </c>
      <c r="Q831" s="24">
        <f t="shared" si="52"/>
        <v>0</v>
      </c>
      <c r="R831" s="24">
        <f t="shared" si="53"/>
        <v>800</v>
      </c>
      <c r="S831" s="5" t="s">
        <v>2607</v>
      </c>
      <c r="T831" s="5"/>
    </row>
    <row r="832" spans="1:20" ht="15.75" hidden="1" x14ac:dyDescent="0.25">
      <c r="B832" s="21" t="s">
        <v>395</v>
      </c>
      <c r="C832" s="22" t="s">
        <v>2421</v>
      </c>
      <c r="D832" s="22"/>
      <c r="E832" s="21" t="s">
        <v>75</v>
      </c>
      <c r="F832" s="21"/>
      <c r="G832" s="147" t="s">
        <v>1651</v>
      </c>
      <c r="H832" s="23" t="s">
        <v>1653</v>
      </c>
      <c r="I832" s="23"/>
      <c r="J832" s="21" t="s">
        <v>1652</v>
      </c>
      <c r="K832" s="120"/>
      <c r="L832" s="21" t="s">
        <v>3450</v>
      </c>
      <c r="M832" s="26">
        <v>44013</v>
      </c>
      <c r="N832" s="44">
        <v>3275</v>
      </c>
      <c r="O832" s="22" t="s">
        <v>276</v>
      </c>
      <c r="P832" s="44">
        <v>3275</v>
      </c>
      <c r="Q832" s="24">
        <f t="shared" si="52"/>
        <v>0</v>
      </c>
      <c r="R832" s="24">
        <f t="shared" si="53"/>
        <v>3275</v>
      </c>
      <c r="S832" s="5" t="s">
        <v>2607</v>
      </c>
      <c r="T832" s="5"/>
    </row>
    <row r="833" spans="2:20" ht="15.75" hidden="1" x14ac:dyDescent="0.25">
      <c r="B833" s="21" t="s">
        <v>395</v>
      </c>
      <c r="C833" s="22" t="s">
        <v>2421</v>
      </c>
      <c r="D833" s="22"/>
      <c r="E833" s="21" t="s">
        <v>75</v>
      </c>
      <c r="F833" s="21"/>
      <c r="G833" s="147" t="s">
        <v>1651</v>
      </c>
      <c r="H833" s="23" t="s">
        <v>1653</v>
      </c>
      <c r="I833" s="23"/>
      <c r="J833" s="21" t="s">
        <v>1652</v>
      </c>
      <c r="K833" s="120"/>
      <c r="L833" s="21" t="s">
        <v>3610</v>
      </c>
      <c r="M833" s="26">
        <v>44044</v>
      </c>
      <c r="N833" s="44">
        <v>800</v>
      </c>
      <c r="O833" s="22" t="s">
        <v>276</v>
      </c>
      <c r="P833" s="44">
        <v>800</v>
      </c>
      <c r="Q833" s="24">
        <f t="shared" si="52"/>
        <v>0</v>
      </c>
      <c r="R833" s="24">
        <f t="shared" si="53"/>
        <v>800</v>
      </c>
      <c r="S833" s="5" t="s">
        <v>2607</v>
      </c>
      <c r="T833" s="5"/>
    </row>
    <row r="834" spans="2:20" ht="15.75" hidden="1" x14ac:dyDescent="0.25">
      <c r="B834" s="21" t="s">
        <v>395</v>
      </c>
      <c r="C834" s="22" t="s">
        <v>2421</v>
      </c>
      <c r="D834" s="22"/>
      <c r="E834" s="21" t="s">
        <v>75</v>
      </c>
      <c r="F834" s="21"/>
      <c r="G834" s="147" t="s">
        <v>1651</v>
      </c>
      <c r="H834" s="23" t="s">
        <v>1653</v>
      </c>
      <c r="I834" s="23"/>
      <c r="J834" s="21" t="s">
        <v>1652</v>
      </c>
      <c r="K834" s="120"/>
      <c r="L834" s="21" t="s">
        <v>3672</v>
      </c>
      <c r="M834" s="26">
        <v>44075</v>
      </c>
      <c r="N834" s="44">
        <v>2175</v>
      </c>
      <c r="O834" s="22" t="s">
        <v>276</v>
      </c>
      <c r="P834" s="44">
        <v>2175</v>
      </c>
      <c r="Q834" s="24">
        <f t="shared" si="52"/>
        <v>0</v>
      </c>
      <c r="R834" s="24">
        <f t="shared" si="53"/>
        <v>2175</v>
      </c>
      <c r="S834" s="5" t="s">
        <v>2607</v>
      </c>
      <c r="T834" s="5"/>
    </row>
    <row r="835" spans="2:20" ht="15.75" hidden="1" x14ac:dyDescent="0.25">
      <c r="B835" s="21" t="s">
        <v>395</v>
      </c>
      <c r="C835" s="22" t="s">
        <v>2421</v>
      </c>
      <c r="D835" s="22"/>
      <c r="E835" s="21" t="s">
        <v>75</v>
      </c>
      <c r="F835" s="21"/>
      <c r="G835" s="147" t="s">
        <v>1651</v>
      </c>
      <c r="H835" s="23" t="s">
        <v>1653</v>
      </c>
      <c r="I835" s="23"/>
      <c r="J835" s="21" t="s">
        <v>1652</v>
      </c>
      <c r="K835" s="120"/>
      <c r="L835" s="21" t="s">
        <v>3818</v>
      </c>
      <c r="M835" s="26">
        <v>44105</v>
      </c>
      <c r="N835" s="44">
        <v>1075</v>
      </c>
      <c r="O835" s="22" t="s">
        <v>276</v>
      </c>
      <c r="P835" s="44">
        <v>1075</v>
      </c>
      <c r="Q835" s="24">
        <f t="shared" si="52"/>
        <v>0</v>
      </c>
      <c r="R835" s="24">
        <f t="shared" si="53"/>
        <v>1075</v>
      </c>
      <c r="S835" s="5" t="s">
        <v>2607</v>
      </c>
      <c r="T835" s="5"/>
    </row>
    <row r="836" spans="2:20" ht="15.75" hidden="1" x14ac:dyDescent="0.25">
      <c r="B836" s="21" t="s">
        <v>395</v>
      </c>
      <c r="C836" s="22" t="s">
        <v>2421</v>
      </c>
      <c r="D836" s="22"/>
      <c r="E836" s="21" t="s">
        <v>75</v>
      </c>
      <c r="F836" s="21"/>
      <c r="G836" s="147" t="s">
        <v>1651</v>
      </c>
      <c r="H836" s="23" t="s">
        <v>1653</v>
      </c>
      <c r="I836" s="23"/>
      <c r="J836" s="21" t="s">
        <v>1652</v>
      </c>
      <c r="K836" s="120"/>
      <c r="L836" s="21" t="s">
        <v>3951</v>
      </c>
      <c r="M836" s="26">
        <v>44136</v>
      </c>
      <c r="N836" s="44">
        <v>1300</v>
      </c>
      <c r="O836" s="22" t="s">
        <v>276</v>
      </c>
      <c r="P836" s="44">
        <v>1300</v>
      </c>
      <c r="Q836" s="24">
        <f t="shared" si="52"/>
        <v>0</v>
      </c>
      <c r="R836" s="24">
        <f t="shared" si="53"/>
        <v>1300</v>
      </c>
      <c r="S836" s="5" t="s">
        <v>2607</v>
      </c>
      <c r="T836" s="5"/>
    </row>
    <row r="837" spans="2:20" ht="15.75" hidden="1" x14ac:dyDescent="0.25">
      <c r="B837" s="21" t="s">
        <v>395</v>
      </c>
      <c r="C837" s="22" t="s">
        <v>2421</v>
      </c>
      <c r="D837" s="22"/>
      <c r="E837" s="21" t="s">
        <v>75</v>
      </c>
      <c r="F837" s="21"/>
      <c r="G837" s="147" t="s">
        <v>1651</v>
      </c>
      <c r="H837" s="23" t="s">
        <v>1653</v>
      </c>
      <c r="I837" s="23"/>
      <c r="J837" s="21" t="s">
        <v>1652</v>
      </c>
      <c r="K837" s="120"/>
      <c r="L837" s="21" t="s">
        <v>4147</v>
      </c>
      <c r="M837" s="26">
        <v>44166</v>
      </c>
      <c r="N837" s="44">
        <v>1300</v>
      </c>
      <c r="O837" s="22" t="s">
        <v>276</v>
      </c>
      <c r="P837" s="44">
        <v>1300</v>
      </c>
      <c r="Q837" s="24">
        <f t="shared" si="52"/>
        <v>0</v>
      </c>
      <c r="R837" s="24">
        <f t="shared" si="53"/>
        <v>1300</v>
      </c>
      <c r="S837" s="5" t="s">
        <v>2607</v>
      </c>
      <c r="T837" s="5"/>
    </row>
    <row r="838" spans="2:20" ht="15.75" hidden="1" x14ac:dyDescent="0.25">
      <c r="B838" s="21" t="s">
        <v>395</v>
      </c>
      <c r="C838" s="22" t="s">
        <v>2421</v>
      </c>
      <c r="D838" s="22"/>
      <c r="E838" s="21" t="s">
        <v>75</v>
      </c>
      <c r="F838" s="21"/>
      <c r="G838" s="147" t="s">
        <v>1651</v>
      </c>
      <c r="H838" s="23" t="s">
        <v>1653</v>
      </c>
      <c r="I838" s="23"/>
      <c r="J838" s="21" t="s">
        <v>1652</v>
      </c>
      <c r="K838" s="120"/>
      <c r="L838" s="21" t="s">
        <v>4306</v>
      </c>
      <c r="M838" s="26">
        <v>44197</v>
      </c>
      <c r="N838" s="44">
        <v>3275</v>
      </c>
      <c r="O838" s="22" t="s">
        <v>276</v>
      </c>
      <c r="P838" s="44">
        <v>3275</v>
      </c>
      <c r="Q838" s="24">
        <f t="shared" si="52"/>
        <v>0</v>
      </c>
      <c r="R838" s="24">
        <f t="shared" si="53"/>
        <v>3275</v>
      </c>
      <c r="S838" s="5" t="s">
        <v>2607</v>
      </c>
      <c r="T838" s="5"/>
    </row>
    <row r="839" spans="2:20" ht="15.75" hidden="1" x14ac:dyDescent="0.25">
      <c r="B839" s="21" t="s">
        <v>395</v>
      </c>
      <c r="C839" s="22" t="s">
        <v>2421</v>
      </c>
      <c r="D839" s="22"/>
      <c r="E839" s="21" t="s">
        <v>75</v>
      </c>
      <c r="F839" s="21"/>
      <c r="G839" s="147" t="s">
        <v>1651</v>
      </c>
      <c r="H839" s="23" t="s">
        <v>1653</v>
      </c>
      <c r="I839" s="23"/>
      <c r="J839" s="21" t="s">
        <v>1652</v>
      </c>
      <c r="K839" s="120"/>
      <c r="L839" s="21" t="s">
        <v>4355</v>
      </c>
      <c r="M839" s="26">
        <v>44228</v>
      </c>
      <c r="N839" s="44">
        <v>3825</v>
      </c>
      <c r="O839" s="22" t="s">
        <v>276</v>
      </c>
      <c r="P839" s="44">
        <v>3825</v>
      </c>
      <c r="Q839" s="24">
        <f t="shared" ref="Q839:Q863" si="54">IF(P839="en cours",N839,IF(P839="OK",0,IF(N839-P839&lt;0,0,N839-P839)))</f>
        <v>0</v>
      </c>
      <c r="R839" s="24">
        <f t="shared" si="53"/>
        <v>3825</v>
      </c>
      <c r="S839" s="5" t="s">
        <v>2607</v>
      </c>
      <c r="T839" s="5"/>
    </row>
    <row r="840" spans="2:20" ht="15.75" hidden="1" x14ac:dyDescent="0.25">
      <c r="B840" s="21" t="s">
        <v>395</v>
      </c>
      <c r="C840" s="22" t="s">
        <v>2421</v>
      </c>
      <c r="D840" s="22"/>
      <c r="E840" s="21" t="s">
        <v>75</v>
      </c>
      <c r="F840" s="21"/>
      <c r="G840" s="147" t="s">
        <v>1651</v>
      </c>
      <c r="H840" s="23" t="s">
        <v>1653</v>
      </c>
      <c r="I840" s="23"/>
      <c r="J840" s="21" t="s">
        <v>1652</v>
      </c>
      <c r="K840" s="120"/>
      <c r="L840" s="21" t="s">
        <v>4563</v>
      </c>
      <c r="M840" s="26">
        <v>44256</v>
      </c>
      <c r="N840" s="44">
        <f t="shared" ref="N840:N846" si="55">P840</f>
        <v>4650</v>
      </c>
      <c r="O840" s="22" t="s">
        <v>276</v>
      </c>
      <c r="P840" s="44">
        <v>4650</v>
      </c>
      <c r="Q840" s="24">
        <f t="shared" si="54"/>
        <v>0</v>
      </c>
      <c r="R840" s="24">
        <f t="shared" si="53"/>
        <v>4650</v>
      </c>
      <c r="S840" s="5"/>
      <c r="T840" s="5"/>
    </row>
    <row r="841" spans="2:20" ht="15.75" hidden="1" x14ac:dyDescent="0.25">
      <c r="B841" s="21" t="s">
        <v>395</v>
      </c>
      <c r="C841" s="22" t="s">
        <v>2421</v>
      </c>
      <c r="D841" s="22"/>
      <c r="E841" s="21" t="s">
        <v>75</v>
      </c>
      <c r="F841" s="21"/>
      <c r="G841" s="147" t="s">
        <v>1651</v>
      </c>
      <c r="H841" s="23" t="s">
        <v>1653</v>
      </c>
      <c r="I841" s="23"/>
      <c r="J841" s="21" t="s">
        <v>1652</v>
      </c>
      <c r="K841" s="120"/>
      <c r="L841" s="21" t="s">
        <v>4764</v>
      </c>
      <c r="M841" s="26">
        <v>44287</v>
      </c>
      <c r="N841" s="44">
        <f t="shared" si="55"/>
        <v>6025</v>
      </c>
      <c r="O841" s="22" t="s">
        <v>276</v>
      </c>
      <c r="P841" s="44">
        <v>6025</v>
      </c>
      <c r="Q841" s="24">
        <f t="shared" si="54"/>
        <v>0</v>
      </c>
      <c r="R841" s="24">
        <f t="shared" si="53"/>
        <v>6025</v>
      </c>
      <c r="S841" s="5"/>
      <c r="T841" s="5"/>
    </row>
    <row r="842" spans="2:20" ht="15.75" hidden="1" x14ac:dyDescent="0.25">
      <c r="B842" s="21" t="s">
        <v>395</v>
      </c>
      <c r="C842" s="22" t="s">
        <v>2421</v>
      </c>
      <c r="D842" s="22"/>
      <c r="E842" s="21" t="s">
        <v>75</v>
      </c>
      <c r="F842" s="21"/>
      <c r="G842" s="147" t="s">
        <v>1651</v>
      </c>
      <c r="H842" s="23" t="s">
        <v>1653</v>
      </c>
      <c r="I842" s="23"/>
      <c r="J842" s="21" t="s">
        <v>1652</v>
      </c>
      <c r="K842" s="120"/>
      <c r="L842" s="21" t="s">
        <v>4952</v>
      </c>
      <c r="M842" s="26">
        <v>44317</v>
      </c>
      <c r="N842" s="44">
        <f t="shared" si="55"/>
        <v>2450</v>
      </c>
      <c r="O842" s="22" t="s">
        <v>276</v>
      </c>
      <c r="P842" s="44">
        <v>2450</v>
      </c>
      <c r="Q842" s="24">
        <f t="shared" si="54"/>
        <v>0</v>
      </c>
      <c r="R842" s="24">
        <f t="shared" si="53"/>
        <v>2450</v>
      </c>
      <c r="S842" s="5"/>
      <c r="T842" s="5"/>
    </row>
    <row r="843" spans="2:20" ht="15.75" hidden="1" x14ac:dyDescent="0.25">
      <c r="B843" s="21" t="s">
        <v>395</v>
      </c>
      <c r="C843" s="22" t="s">
        <v>2421</v>
      </c>
      <c r="D843" s="22"/>
      <c r="E843" s="21" t="s">
        <v>75</v>
      </c>
      <c r="F843" s="21"/>
      <c r="G843" s="147" t="s">
        <v>1651</v>
      </c>
      <c r="H843" s="23" t="s">
        <v>1653</v>
      </c>
      <c r="I843" s="23"/>
      <c r="J843" s="21" t="s">
        <v>1652</v>
      </c>
      <c r="K843" s="120"/>
      <c r="L843" s="21" t="s">
        <v>5128</v>
      </c>
      <c r="M843" s="26">
        <v>44348</v>
      </c>
      <c r="N843" s="44">
        <f t="shared" si="55"/>
        <v>1625</v>
      </c>
      <c r="O843" s="22" t="s">
        <v>276</v>
      </c>
      <c r="P843" s="44">
        <v>1625</v>
      </c>
      <c r="Q843" s="24">
        <f t="shared" si="54"/>
        <v>0</v>
      </c>
      <c r="R843" s="24">
        <f t="shared" si="53"/>
        <v>1625</v>
      </c>
      <c r="S843" s="5"/>
      <c r="T843" s="5"/>
    </row>
    <row r="844" spans="2:20" ht="15.75" hidden="1" x14ac:dyDescent="0.25">
      <c r="B844" s="21" t="s">
        <v>395</v>
      </c>
      <c r="C844" s="22" t="s">
        <v>2421</v>
      </c>
      <c r="D844" s="22"/>
      <c r="E844" s="21" t="s">
        <v>75</v>
      </c>
      <c r="F844" s="21"/>
      <c r="G844" s="147" t="s">
        <v>1651</v>
      </c>
      <c r="H844" s="23" t="s">
        <v>1653</v>
      </c>
      <c r="I844" s="23"/>
      <c r="J844" s="21" t="s">
        <v>1652</v>
      </c>
      <c r="K844" s="120"/>
      <c r="L844" s="21" t="s">
        <v>5353</v>
      </c>
      <c r="M844" s="26">
        <v>44378</v>
      </c>
      <c r="N844" s="44">
        <f t="shared" si="55"/>
        <v>3825</v>
      </c>
      <c r="O844" s="22" t="s">
        <v>276</v>
      </c>
      <c r="P844" s="44">
        <v>3825</v>
      </c>
      <c r="Q844" s="24">
        <f t="shared" si="54"/>
        <v>0</v>
      </c>
      <c r="R844" s="24">
        <f t="shared" si="53"/>
        <v>3825</v>
      </c>
      <c r="S844" s="5"/>
      <c r="T844" s="5"/>
    </row>
    <row r="845" spans="2:20" ht="15.75" hidden="1" x14ac:dyDescent="0.25">
      <c r="B845" s="21" t="s">
        <v>395</v>
      </c>
      <c r="C845" s="22" t="s">
        <v>2421</v>
      </c>
      <c r="D845" s="22"/>
      <c r="E845" s="21" t="s">
        <v>75</v>
      </c>
      <c r="F845" s="21"/>
      <c r="G845" s="147" t="s">
        <v>1651</v>
      </c>
      <c r="H845" s="23" t="s">
        <v>1653</v>
      </c>
      <c r="I845" s="23"/>
      <c r="J845" s="21" t="s">
        <v>1652</v>
      </c>
      <c r="K845" s="120"/>
      <c r="L845" s="21" t="s">
        <v>5598</v>
      </c>
      <c r="M845" s="26">
        <v>44409</v>
      </c>
      <c r="N845" s="44">
        <f t="shared" si="55"/>
        <v>1075</v>
      </c>
      <c r="O845" s="22" t="s">
        <v>276</v>
      </c>
      <c r="P845" s="44">
        <v>1075</v>
      </c>
      <c r="Q845" s="24">
        <f t="shared" si="54"/>
        <v>0</v>
      </c>
      <c r="R845" s="24">
        <f t="shared" si="53"/>
        <v>1075</v>
      </c>
      <c r="S845" s="5"/>
      <c r="T845" s="5"/>
    </row>
    <row r="846" spans="2:20" ht="15.75" hidden="1" x14ac:dyDescent="0.25">
      <c r="B846" s="21" t="s">
        <v>395</v>
      </c>
      <c r="C846" s="22" t="s">
        <v>2421</v>
      </c>
      <c r="D846" s="22"/>
      <c r="E846" s="21" t="s">
        <v>75</v>
      </c>
      <c r="F846" s="21"/>
      <c r="G846" s="147" t="s">
        <v>1651</v>
      </c>
      <c r="H846" s="23" t="s">
        <v>1653</v>
      </c>
      <c r="I846" s="23"/>
      <c r="J846" s="21" t="s">
        <v>1652</v>
      </c>
      <c r="K846" s="120"/>
      <c r="L846" s="21" t="s">
        <v>5701</v>
      </c>
      <c r="M846" s="26">
        <v>44440</v>
      </c>
      <c r="N846" s="44">
        <f t="shared" si="55"/>
        <v>3000</v>
      </c>
      <c r="O846" s="22" t="s">
        <v>276</v>
      </c>
      <c r="P846" s="44">
        <v>3000</v>
      </c>
      <c r="Q846" s="44">
        <f t="shared" si="54"/>
        <v>0</v>
      </c>
      <c r="R846" s="24">
        <f t="shared" si="53"/>
        <v>3000</v>
      </c>
      <c r="S846" s="5"/>
      <c r="T846" s="5"/>
    </row>
    <row r="847" spans="2:20" ht="15.75" hidden="1" x14ac:dyDescent="0.25">
      <c r="B847" s="21" t="s">
        <v>395</v>
      </c>
      <c r="C847" s="22" t="s">
        <v>2421</v>
      </c>
      <c r="D847" s="22"/>
      <c r="E847" s="21" t="s">
        <v>75</v>
      </c>
      <c r="F847" s="21"/>
      <c r="G847" s="147" t="s">
        <v>1651</v>
      </c>
      <c r="H847" s="23" t="s">
        <v>1653</v>
      </c>
      <c r="I847" s="23"/>
      <c r="J847" s="21" t="s">
        <v>1652</v>
      </c>
      <c r="K847" s="120"/>
      <c r="L847" s="21" t="s">
        <v>5910</v>
      </c>
      <c r="M847" s="26">
        <v>44470</v>
      </c>
      <c r="N847" s="44">
        <v>800</v>
      </c>
      <c r="O847" s="22" t="s">
        <v>276</v>
      </c>
      <c r="P847" s="44">
        <v>800</v>
      </c>
      <c r="Q847" s="44">
        <f t="shared" si="54"/>
        <v>0</v>
      </c>
      <c r="R847" s="24">
        <f t="shared" si="53"/>
        <v>800</v>
      </c>
      <c r="S847" s="5"/>
      <c r="T847" s="5"/>
    </row>
    <row r="848" spans="2:20" ht="15.75" hidden="1" x14ac:dyDescent="0.25">
      <c r="B848" s="21" t="s">
        <v>395</v>
      </c>
      <c r="C848" s="22" t="s">
        <v>2421</v>
      </c>
      <c r="D848" s="22"/>
      <c r="E848" s="21" t="s">
        <v>75</v>
      </c>
      <c r="F848" s="21"/>
      <c r="G848" s="147" t="s">
        <v>1651</v>
      </c>
      <c r="H848" s="23" t="s">
        <v>1653</v>
      </c>
      <c r="I848" s="23"/>
      <c r="J848" s="21" t="s">
        <v>1652</v>
      </c>
      <c r="K848" s="120"/>
      <c r="L848" s="21" t="s">
        <v>6044</v>
      </c>
      <c r="M848" s="26">
        <v>44501</v>
      </c>
      <c r="N848" s="44">
        <v>1350</v>
      </c>
      <c r="O848" s="22" t="s">
        <v>276</v>
      </c>
      <c r="P848" s="44">
        <v>1350</v>
      </c>
      <c r="Q848" s="44">
        <f t="shared" si="54"/>
        <v>0</v>
      </c>
      <c r="R848" s="24">
        <f t="shared" si="53"/>
        <v>1350</v>
      </c>
      <c r="S848" s="5"/>
      <c r="T848" s="5"/>
    </row>
    <row r="849" spans="1:20" ht="15.75" hidden="1" x14ac:dyDescent="0.25">
      <c r="B849" s="5"/>
      <c r="C849" s="4" t="s">
        <v>2421</v>
      </c>
      <c r="D849" s="4"/>
      <c r="E849" s="5" t="s">
        <v>75</v>
      </c>
      <c r="F849" s="5"/>
      <c r="G849" s="146" t="s">
        <v>1651</v>
      </c>
      <c r="H849" s="7" t="s">
        <v>1653</v>
      </c>
      <c r="I849" s="7"/>
      <c r="J849" s="5" t="s">
        <v>1652</v>
      </c>
      <c r="K849" s="13"/>
      <c r="L849" s="5" t="s">
        <v>7066</v>
      </c>
      <c r="M849" s="12" t="s">
        <v>7067</v>
      </c>
      <c r="N849" s="45">
        <v>19167.5</v>
      </c>
      <c r="O849" s="4" t="s">
        <v>276</v>
      </c>
      <c r="P849" s="45">
        <f>800+800+800+800+800+800+800+800+800</f>
        <v>7200</v>
      </c>
      <c r="Q849" s="45">
        <f t="shared" si="54"/>
        <v>11967.5</v>
      </c>
      <c r="R849" s="3">
        <f t="shared" si="53"/>
        <v>7200</v>
      </c>
      <c r="S849" s="5"/>
      <c r="T849" s="5"/>
    </row>
    <row r="850" spans="1:20" ht="15.75" hidden="1" x14ac:dyDescent="0.25">
      <c r="B850" s="5"/>
      <c r="C850" s="4" t="s">
        <v>2421</v>
      </c>
      <c r="D850" s="4"/>
      <c r="E850" s="5" t="s">
        <v>75</v>
      </c>
      <c r="F850" s="5"/>
      <c r="G850" s="146" t="s">
        <v>1651</v>
      </c>
      <c r="H850" s="7" t="s">
        <v>1653</v>
      </c>
      <c r="I850" s="7"/>
      <c r="J850" s="170" t="s">
        <v>6045</v>
      </c>
      <c r="K850" s="13"/>
      <c r="L850" s="5"/>
      <c r="M850" s="12"/>
      <c r="N850" s="134">
        <v>147827.5</v>
      </c>
      <c r="O850" s="4" t="s">
        <v>276</v>
      </c>
      <c r="P850" s="45"/>
      <c r="Q850" s="134">
        <f t="shared" si="54"/>
        <v>147827.5</v>
      </c>
      <c r="R850" s="324">
        <f t="shared" si="53"/>
        <v>0</v>
      </c>
      <c r="S850" s="5"/>
      <c r="T850" s="5"/>
    </row>
    <row r="851" spans="1:20" ht="15.75" hidden="1" x14ac:dyDescent="0.25">
      <c r="B851" s="5"/>
      <c r="C851" s="4" t="s">
        <v>2421</v>
      </c>
      <c r="D851" s="4"/>
      <c r="E851" s="5" t="s">
        <v>75</v>
      </c>
      <c r="F851" s="5"/>
      <c r="G851" s="146" t="s">
        <v>1651</v>
      </c>
      <c r="H851" s="7" t="s">
        <v>6404</v>
      </c>
      <c r="I851" s="7"/>
      <c r="J851" s="5" t="s">
        <v>6405</v>
      </c>
      <c r="K851" s="13"/>
      <c r="L851" s="5"/>
      <c r="M851" s="12"/>
      <c r="N851" s="45">
        <v>4800</v>
      </c>
      <c r="O851" s="4" t="s">
        <v>276</v>
      </c>
      <c r="P851" s="45"/>
      <c r="Q851" s="45">
        <f t="shared" si="54"/>
        <v>4800</v>
      </c>
      <c r="R851" s="3">
        <f t="shared" si="53"/>
        <v>0</v>
      </c>
      <c r="S851" s="5"/>
      <c r="T851" s="5"/>
    </row>
    <row r="852" spans="1:20" ht="15.75" hidden="1" x14ac:dyDescent="0.25">
      <c r="B852" s="21" t="s">
        <v>395</v>
      </c>
      <c r="C852" s="22" t="s">
        <v>2421</v>
      </c>
      <c r="D852" s="22"/>
      <c r="E852" s="21" t="s">
        <v>75</v>
      </c>
      <c r="F852" s="21"/>
      <c r="G852" s="147" t="s">
        <v>1651</v>
      </c>
      <c r="H852" s="23" t="s">
        <v>2684</v>
      </c>
      <c r="I852" s="23"/>
      <c r="J852" s="21" t="s">
        <v>3043</v>
      </c>
      <c r="K852" s="120"/>
      <c r="L852" s="21" t="s">
        <v>3046</v>
      </c>
      <c r="M852" s="47">
        <v>43916</v>
      </c>
      <c r="N852" s="44">
        <f>0.5*484830</f>
        <v>242415</v>
      </c>
      <c r="O852" s="22" t="s">
        <v>276</v>
      </c>
      <c r="P852" s="22" t="s">
        <v>19</v>
      </c>
      <c r="Q852" s="24">
        <f t="shared" si="54"/>
        <v>0</v>
      </c>
      <c r="R852" s="24">
        <f t="shared" si="53"/>
        <v>242415</v>
      </c>
      <c r="S852" s="5" t="s">
        <v>3063</v>
      </c>
      <c r="T852" s="5"/>
    </row>
    <row r="853" spans="1:20" ht="15.75" hidden="1" x14ac:dyDescent="0.25">
      <c r="B853" s="5"/>
      <c r="C853" s="61" t="s">
        <v>2421</v>
      </c>
      <c r="D853" s="61"/>
      <c r="E853" s="62" t="s">
        <v>75</v>
      </c>
      <c r="F853" s="62"/>
      <c r="G853" s="159" t="s">
        <v>1651</v>
      </c>
      <c r="H853" s="63" t="s">
        <v>2684</v>
      </c>
      <c r="I853" s="63"/>
      <c r="J853" s="62" t="s">
        <v>3044</v>
      </c>
      <c r="K853" s="13" t="s">
        <v>3061</v>
      </c>
      <c r="L853" s="62"/>
      <c r="M853" s="115"/>
      <c r="N853" s="101">
        <f>0.3*484830</f>
        <v>145449</v>
      </c>
      <c r="O853" s="61" t="s">
        <v>276</v>
      </c>
      <c r="P853" s="61"/>
      <c r="Q853" s="186">
        <f t="shared" si="54"/>
        <v>145449</v>
      </c>
      <c r="R853" s="186">
        <f t="shared" si="53"/>
        <v>0</v>
      </c>
      <c r="S853" s="5" t="s">
        <v>3063</v>
      </c>
      <c r="T853" s="5"/>
    </row>
    <row r="854" spans="1:20" ht="15.75" hidden="1" x14ac:dyDescent="0.25">
      <c r="B854" s="5"/>
      <c r="C854" s="61" t="s">
        <v>2421</v>
      </c>
      <c r="D854" s="61"/>
      <c r="E854" s="62" t="s">
        <v>75</v>
      </c>
      <c r="F854" s="62"/>
      <c r="G854" s="159" t="s">
        <v>1651</v>
      </c>
      <c r="H854" s="63" t="s">
        <v>2684</v>
      </c>
      <c r="I854" s="63"/>
      <c r="J854" s="62" t="s">
        <v>3045</v>
      </c>
      <c r="K854" s="13" t="s">
        <v>3062</v>
      </c>
      <c r="L854" s="62"/>
      <c r="M854" s="115"/>
      <c r="N854" s="101">
        <f>0.2*484830</f>
        <v>96966</v>
      </c>
      <c r="O854" s="61" t="s">
        <v>276</v>
      </c>
      <c r="P854" s="61"/>
      <c r="Q854" s="186">
        <f t="shared" si="54"/>
        <v>96966</v>
      </c>
      <c r="R854" s="186">
        <f t="shared" si="53"/>
        <v>0</v>
      </c>
      <c r="S854" s="5" t="s">
        <v>3063</v>
      </c>
      <c r="T854" s="5"/>
    </row>
    <row r="855" spans="1:20" ht="15.75" hidden="1" x14ac:dyDescent="0.25">
      <c r="B855" s="32" t="s">
        <v>395</v>
      </c>
      <c r="C855" s="33" t="s">
        <v>2450</v>
      </c>
      <c r="D855" s="33" t="s">
        <v>1451</v>
      </c>
      <c r="E855" s="32" t="s">
        <v>10</v>
      </c>
      <c r="F855" s="32"/>
      <c r="G855" s="155" t="s">
        <v>665</v>
      </c>
      <c r="H855" s="34" t="s">
        <v>2381</v>
      </c>
      <c r="I855" s="34"/>
      <c r="J855" s="32" t="s">
        <v>2375</v>
      </c>
      <c r="K855" s="120"/>
      <c r="L855" s="32" t="s">
        <v>1952</v>
      </c>
      <c r="M855" s="26">
        <v>43707</v>
      </c>
      <c r="N855" s="93">
        <v>1100</v>
      </c>
      <c r="O855" s="33" t="s">
        <v>15</v>
      </c>
      <c r="P855" s="22" t="s">
        <v>19</v>
      </c>
      <c r="Q855" s="36">
        <f t="shared" si="54"/>
        <v>0</v>
      </c>
      <c r="R855" s="36">
        <f t="shared" si="53"/>
        <v>1100</v>
      </c>
      <c r="S855" s="5"/>
      <c r="T855" s="5"/>
    </row>
    <row r="856" spans="1:20" ht="17.25" hidden="1" customHeight="1" x14ac:dyDescent="0.25">
      <c r="B856" s="21" t="s">
        <v>395</v>
      </c>
      <c r="C856" s="22" t="s">
        <v>2450</v>
      </c>
      <c r="D856" s="22" t="s">
        <v>1868</v>
      </c>
      <c r="E856" s="21" t="s">
        <v>10</v>
      </c>
      <c r="F856" s="21"/>
      <c r="G856" s="147" t="s">
        <v>110</v>
      </c>
      <c r="H856" s="23" t="s">
        <v>3032</v>
      </c>
      <c r="I856" s="23"/>
      <c r="J856" s="21" t="s">
        <v>2296</v>
      </c>
      <c r="K856" s="120"/>
      <c r="L856" s="21" t="s">
        <v>2295</v>
      </c>
      <c r="M856" s="26">
        <v>43746</v>
      </c>
      <c r="N856" s="44">
        <f>0.67*20200</f>
        <v>13534</v>
      </c>
      <c r="O856" s="22" t="s">
        <v>15</v>
      </c>
      <c r="P856" s="44" t="s">
        <v>19</v>
      </c>
      <c r="Q856" s="24">
        <f t="shared" si="54"/>
        <v>0</v>
      </c>
      <c r="R856" s="24">
        <f>IF(P856="OK",N856-Q856,IF(P856="en cours",M856-Q856,P856))</f>
        <v>13534</v>
      </c>
      <c r="S856" s="5"/>
      <c r="T856" s="5"/>
    </row>
    <row r="857" spans="1:20" ht="17.25" hidden="1" customHeight="1" x14ac:dyDescent="0.25">
      <c r="B857" s="21" t="s">
        <v>395</v>
      </c>
      <c r="C857" s="22" t="s">
        <v>2450</v>
      </c>
      <c r="D857" s="22" t="s">
        <v>1868</v>
      </c>
      <c r="E857" s="21" t="s">
        <v>10</v>
      </c>
      <c r="F857" s="21"/>
      <c r="G857" s="147" t="s">
        <v>110</v>
      </c>
      <c r="H857" s="23" t="s">
        <v>3032</v>
      </c>
      <c r="I857" s="23"/>
      <c r="J857" s="21" t="s">
        <v>2297</v>
      </c>
      <c r="K857" s="120"/>
      <c r="L857" s="21" t="s">
        <v>2937</v>
      </c>
      <c r="M857" s="26">
        <v>43864</v>
      </c>
      <c r="N857" s="44">
        <f>0.33*20200</f>
        <v>6666</v>
      </c>
      <c r="O857" s="22" t="s">
        <v>15</v>
      </c>
      <c r="P857" s="44" t="s">
        <v>19</v>
      </c>
      <c r="Q857" s="24">
        <f t="shared" si="54"/>
        <v>0</v>
      </c>
      <c r="R857" s="24">
        <f>IF(P857="OK",N857-Q857,IF(P857="en cours",M857-Q857,P857))</f>
        <v>6666</v>
      </c>
      <c r="S857" s="5"/>
      <c r="T857" s="5"/>
    </row>
    <row r="858" spans="1:20" ht="15.75" hidden="1" x14ac:dyDescent="0.25">
      <c r="B858" s="21" t="s">
        <v>395</v>
      </c>
      <c r="C858" s="22" t="s">
        <v>2450</v>
      </c>
      <c r="D858" s="22"/>
      <c r="E858" s="21" t="s">
        <v>10</v>
      </c>
      <c r="F858" s="21"/>
      <c r="G858" s="147" t="s">
        <v>1207</v>
      </c>
      <c r="H858" s="23" t="s">
        <v>1869</v>
      </c>
      <c r="I858" s="23"/>
      <c r="J858" s="21" t="s">
        <v>1870</v>
      </c>
      <c r="K858" s="13"/>
      <c r="L858" s="21" t="s">
        <v>3482</v>
      </c>
      <c r="M858" s="26">
        <v>44014</v>
      </c>
      <c r="N858" s="44">
        <v>6430.35</v>
      </c>
      <c r="O858" s="22" t="s">
        <v>15</v>
      </c>
      <c r="P858" s="44" t="s">
        <v>19</v>
      </c>
      <c r="Q858" s="24">
        <f t="shared" si="54"/>
        <v>0</v>
      </c>
      <c r="R858" s="24">
        <f t="shared" ref="R858:R894" si="56">IF(P858="OK",N858-Q858,IF(P858="en cours",N858-Q858,P858))</f>
        <v>6430.35</v>
      </c>
      <c r="S858" s="5"/>
      <c r="T858" s="5"/>
    </row>
    <row r="859" spans="1:20" ht="15.75" hidden="1" x14ac:dyDescent="0.25">
      <c r="B859" s="21" t="s">
        <v>395</v>
      </c>
      <c r="C859" s="22" t="s">
        <v>2450</v>
      </c>
      <c r="D859" s="22"/>
      <c r="E859" s="21" t="s">
        <v>10</v>
      </c>
      <c r="F859" s="21"/>
      <c r="G859" s="147" t="s">
        <v>1207</v>
      </c>
      <c r="H859" s="23" t="s">
        <v>1869</v>
      </c>
      <c r="I859" s="23"/>
      <c r="J859" s="21" t="s">
        <v>1871</v>
      </c>
      <c r="K859" s="13"/>
      <c r="L859" s="21" t="s">
        <v>3482</v>
      </c>
      <c r="M859" s="26">
        <v>44014</v>
      </c>
      <c r="N859" s="44">
        <f>16075.88-N858</f>
        <v>9645.5299999999988</v>
      </c>
      <c r="O859" s="22" t="s">
        <v>15</v>
      </c>
      <c r="P859" s="44" t="s">
        <v>19</v>
      </c>
      <c r="Q859" s="24">
        <f t="shared" si="54"/>
        <v>0</v>
      </c>
      <c r="R859" s="24">
        <f t="shared" si="56"/>
        <v>9645.5299999999988</v>
      </c>
      <c r="S859" s="5"/>
      <c r="T859" s="5"/>
    </row>
    <row r="860" spans="1:20" ht="15.75" hidden="1" x14ac:dyDescent="0.25">
      <c r="B860" s="21" t="s">
        <v>395</v>
      </c>
      <c r="C860" s="22" t="s">
        <v>1940</v>
      </c>
      <c r="D860" s="22"/>
      <c r="E860" s="21" t="s">
        <v>75</v>
      </c>
      <c r="F860" s="21"/>
      <c r="G860" s="147" t="s">
        <v>1201</v>
      </c>
      <c r="H860" s="23" t="s">
        <v>1918</v>
      </c>
      <c r="I860" s="23"/>
      <c r="J860" s="21" t="s">
        <v>1919</v>
      </c>
      <c r="K860" s="120"/>
      <c r="L860" s="21" t="s">
        <v>5869</v>
      </c>
      <c r="M860" s="26">
        <v>44442</v>
      </c>
      <c r="N860" s="44">
        <v>3429.12</v>
      </c>
      <c r="O860" s="22" t="s">
        <v>15</v>
      </c>
      <c r="P860" s="22" t="s">
        <v>19</v>
      </c>
      <c r="Q860" s="24">
        <f t="shared" si="54"/>
        <v>0</v>
      </c>
      <c r="R860" s="116">
        <f t="shared" si="56"/>
        <v>3429.12</v>
      </c>
      <c r="S860" s="5"/>
      <c r="T860" s="5"/>
    </row>
    <row r="861" spans="1:20" ht="15.75" hidden="1" x14ac:dyDescent="0.25">
      <c r="A861" t="s">
        <v>6753</v>
      </c>
      <c r="B861" s="21" t="s">
        <v>395</v>
      </c>
      <c r="C861" s="22" t="s">
        <v>158</v>
      </c>
      <c r="D861" s="22"/>
      <c r="E861" s="21" t="s">
        <v>10</v>
      </c>
      <c r="F861" s="21"/>
      <c r="G861" s="147" t="s">
        <v>1090</v>
      </c>
      <c r="H861" s="23" t="s">
        <v>1938</v>
      </c>
      <c r="I861" s="23"/>
      <c r="J861" s="21" t="s">
        <v>1939</v>
      </c>
      <c r="K861" s="120"/>
      <c r="L861" s="21" t="s">
        <v>3221</v>
      </c>
      <c r="M861" s="26" t="s">
        <v>3222</v>
      </c>
      <c r="N861" s="44">
        <v>9498</v>
      </c>
      <c r="O861" s="22" t="s">
        <v>15</v>
      </c>
      <c r="P861" s="22">
        <f>1280+1200+7018</f>
        <v>9498</v>
      </c>
      <c r="Q861" s="24">
        <f t="shared" si="54"/>
        <v>0</v>
      </c>
      <c r="R861" s="24">
        <f t="shared" si="56"/>
        <v>9498</v>
      </c>
      <c r="S861" s="5"/>
      <c r="T861" s="5"/>
    </row>
    <row r="862" spans="1:20" ht="15.75" hidden="1" x14ac:dyDescent="0.25">
      <c r="A862" t="s">
        <v>6753</v>
      </c>
      <c r="B862" s="21" t="s">
        <v>395</v>
      </c>
      <c r="C862" s="22" t="s">
        <v>158</v>
      </c>
      <c r="D862" s="22"/>
      <c r="E862" s="21" t="s">
        <v>10</v>
      </c>
      <c r="F862" s="21"/>
      <c r="G862" s="147" t="s">
        <v>1090</v>
      </c>
      <c r="H862" s="23" t="s">
        <v>3726</v>
      </c>
      <c r="I862" s="23"/>
      <c r="J862" s="21" t="s">
        <v>3223</v>
      </c>
      <c r="K862" s="120"/>
      <c r="L862" s="21" t="s">
        <v>4206</v>
      </c>
      <c r="M862" s="26">
        <v>44187</v>
      </c>
      <c r="N862" s="44">
        <v>13380</v>
      </c>
      <c r="O862" s="22" t="s">
        <v>15</v>
      </c>
      <c r="P862" s="22">
        <f>1280+1200+10900</f>
        <v>13380</v>
      </c>
      <c r="Q862" s="24">
        <f t="shared" si="54"/>
        <v>0</v>
      </c>
      <c r="R862" s="24">
        <f t="shared" si="56"/>
        <v>13380</v>
      </c>
      <c r="S862" s="5"/>
      <c r="T862" s="5"/>
    </row>
    <row r="863" spans="1:20" ht="15.75" hidden="1" x14ac:dyDescent="0.25">
      <c r="A863" t="s">
        <v>6753</v>
      </c>
      <c r="B863" s="21" t="s">
        <v>395</v>
      </c>
      <c r="C863" s="22" t="s">
        <v>158</v>
      </c>
      <c r="D863" s="22"/>
      <c r="E863" s="21" t="s">
        <v>10</v>
      </c>
      <c r="F863" s="21"/>
      <c r="G863" s="147" t="s">
        <v>1090</v>
      </c>
      <c r="H863" s="23" t="s">
        <v>5934</v>
      </c>
      <c r="I863" s="23"/>
      <c r="J863" s="21" t="s">
        <v>3224</v>
      </c>
      <c r="K863" s="120"/>
      <c r="L863" s="21" t="s">
        <v>6254</v>
      </c>
      <c r="M863" s="26">
        <v>44544</v>
      </c>
      <c r="N863" s="44">
        <v>13380</v>
      </c>
      <c r="O863" s="22" t="s">
        <v>15</v>
      </c>
      <c r="P863" s="22">
        <f>1280+1200+10900</f>
        <v>13380</v>
      </c>
      <c r="Q863" s="24">
        <f t="shared" si="54"/>
        <v>0</v>
      </c>
      <c r="R863" s="24">
        <f t="shared" si="56"/>
        <v>13380</v>
      </c>
      <c r="S863" s="5"/>
      <c r="T863" s="5"/>
    </row>
    <row r="864" spans="1:20" ht="15.75" hidden="1" x14ac:dyDescent="0.25">
      <c r="B864" s="21" t="s">
        <v>395</v>
      </c>
      <c r="C864" s="22" t="s">
        <v>1940</v>
      </c>
      <c r="D864" s="22"/>
      <c r="E864" s="21" t="s">
        <v>729</v>
      </c>
      <c r="F864" s="21"/>
      <c r="G864" s="147" t="s">
        <v>1941</v>
      </c>
      <c r="H864" s="23" t="s">
        <v>1942</v>
      </c>
      <c r="I864" s="23"/>
      <c r="J864" s="21" t="s">
        <v>2342</v>
      </c>
      <c r="K864" s="13"/>
      <c r="L864" s="21" t="s">
        <v>3012</v>
      </c>
      <c r="M864" s="26">
        <v>43896</v>
      </c>
      <c r="N864" s="44">
        <v>8500</v>
      </c>
      <c r="O864" s="22" t="s">
        <v>341</v>
      </c>
      <c r="P864" s="22">
        <v>7258.84</v>
      </c>
      <c r="Q864" s="44">
        <v>0</v>
      </c>
      <c r="R864" s="116">
        <f t="shared" si="56"/>
        <v>7258.84</v>
      </c>
      <c r="S864" s="5"/>
      <c r="T864" s="5"/>
    </row>
    <row r="865" spans="1:20" ht="15.75" hidden="1" x14ac:dyDescent="0.25">
      <c r="B865" s="21" t="s">
        <v>395</v>
      </c>
      <c r="C865" s="22" t="s">
        <v>2450</v>
      </c>
      <c r="D865" s="22"/>
      <c r="E865" s="21" t="s">
        <v>0</v>
      </c>
      <c r="F865" s="21"/>
      <c r="G865" s="147" t="s">
        <v>132</v>
      </c>
      <c r="H865" s="23" t="s">
        <v>1946</v>
      </c>
      <c r="I865" s="23"/>
      <c r="J865" s="21" t="s">
        <v>1947</v>
      </c>
      <c r="K865" s="120"/>
      <c r="L865" s="21" t="s">
        <v>3153</v>
      </c>
      <c r="M865" s="26">
        <v>43951</v>
      </c>
      <c r="N865" s="44">
        <v>7300</v>
      </c>
      <c r="O865" s="22" t="s">
        <v>15</v>
      </c>
      <c r="P865" s="22" t="s">
        <v>19</v>
      </c>
      <c r="Q865" s="24">
        <f t="shared" ref="Q865:Q886" si="57">IF(P865="en cours",N865,IF(P865="OK",0,IF(N865-P865&lt;0,0,N865-P865)))</f>
        <v>0</v>
      </c>
      <c r="R865" s="24">
        <f t="shared" si="56"/>
        <v>7300</v>
      </c>
      <c r="S865" s="5"/>
      <c r="T865" s="5"/>
    </row>
    <row r="866" spans="1:20" ht="15.75" hidden="1" x14ac:dyDescent="0.25">
      <c r="B866" s="21" t="s">
        <v>395</v>
      </c>
      <c r="C866" s="22" t="s">
        <v>2450</v>
      </c>
      <c r="D866" s="22"/>
      <c r="E866" s="21" t="s">
        <v>10</v>
      </c>
      <c r="F866" s="21"/>
      <c r="G866" s="147" t="s">
        <v>102</v>
      </c>
      <c r="H866" s="23" t="s">
        <v>2346</v>
      </c>
      <c r="I866" s="23"/>
      <c r="J866" s="21" t="s">
        <v>2884</v>
      </c>
      <c r="K866" s="120"/>
      <c r="L866" s="47" t="s">
        <v>2391</v>
      </c>
      <c r="M866" s="26">
        <v>43773</v>
      </c>
      <c r="N866" s="44">
        <f>0.45*37365</f>
        <v>16814.25</v>
      </c>
      <c r="O866" s="22" t="s">
        <v>15</v>
      </c>
      <c r="P866" s="44" t="s">
        <v>19</v>
      </c>
      <c r="Q866" s="24">
        <f t="shared" si="57"/>
        <v>0</v>
      </c>
      <c r="R866" s="24">
        <f t="shared" si="56"/>
        <v>16814.25</v>
      </c>
      <c r="S866" s="5"/>
      <c r="T866" s="5"/>
    </row>
    <row r="867" spans="1:20" ht="15.75" hidden="1" x14ac:dyDescent="0.25">
      <c r="B867" s="21" t="s">
        <v>395</v>
      </c>
      <c r="C867" s="22" t="s">
        <v>2450</v>
      </c>
      <c r="D867" s="22"/>
      <c r="E867" s="21" t="s">
        <v>10</v>
      </c>
      <c r="F867" s="21"/>
      <c r="G867" s="147" t="s">
        <v>102</v>
      </c>
      <c r="H867" s="23" t="s">
        <v>2346</v>
      </c>
      <c r="I867" s="23"/>
      <c r="J867" s="21" t="s">
        <v>2885</v>
      </c>
      <c r="K867" s="120"/>
      <c r="L867" s="47" t="s">
        <v>3256</v>
      </c>
      <c r="M867" s="26">
        <v>43987</v>
      </c>
      <c r="N867" s="44">
        <f>0.5*37365</f>
        <v>18682.5</v>
      </c>
      <c r="O867" s="22" t="s">
        <v>15</v>
      </c>
      <c r="P867" s="44" t="s">
        <v>19</v>
      </c>
      <c r="Q867" s="24">
        <f t="shared" si="57"/>
        <v>0</v>
      </c>
      <c r="R867" s="24">
        <f t="shared" si="56"/>
        <v>18682.5</v>
      </c>
      <c r="S867" s="5"/>
      <c r="T867" s="5"/>
    </row>
    <row r="868" spans="1:20" ht="15.75" hidden="1" x14ac:dyDescent="0.25">
      <c r="B868" s="21" t="s">
        <v>395</v>
      </c>
      <c r="C868" s="22" t="s">
        <v>2450</v>
      </c>
      <c r="D868" s="22"/>
      <c r="E868" s="21" t="s">
        <v>10</v>
      </c>
      <c r="F868" s="21"/>
      <c r="G868" s="147" t="s">
        <v>102</v>
      </c>
      <c r="H868" s="23" t="s">
        <v>2346</v>
      </c>
      <c r="I868" s="23"/>
      <c r="J868" s="21" t="s">
        <v>2886</v>
      </c>
      <c r="K868" s="120"/>
      <c r="L868" s="47" t="s">
        <v>4244</v>
      </c>
      <c r="M868" s="26">
        <v>44186</v>
      </c>
      <c r="N868" s="44">
        <f>0.05*37365</f>
        <v>1868.25</v>
      </c>
      <c r="O868" s="22" t="s">
        <v>15</v>
      </c>
      <c r="P868" s="44" t="s">
        <v>19</v>
      </c>
      <c r="Q868" s="24">
        <f t="shared" si="57"/>
        <v>0</v>
      </c>
      <c r="R868" s="24">
        <f t="shared" si="56"/>
        <v>1868.25</v>
      </c>
      <c r="S868" s="5"/>
      <c r="T868" s="5"/>
    </row>
    <row r="869" spans="1:20" ht="15.75" hidden="1" x14ac:dyDescent="0.25">
      <c r="B869" s="21" t="s">
        <v>395</v>
      </c>
      <c r="C869" s="22" t="s">
        <v>2450</v>
      </c>
      <c r="D869" s="22"/>
      <c r="E869" s="21" t="s">
        <v>10</v>
      </c>
      <c r="F869" s="21"/>
      <c r="G869" s="147" t="s">
        <v>102</v>
      </c>
      <c r="H869" s="23" t="s">
        <v>3816</v>
      </c>
      <c r="I869" s="23"/>
      <c r="J869" s="21" t="s">
        <v>3817</v>
      </c>
      <c r="K869" s="120"/>
      <c r="L869" s="21" t="s">
        <v>3843</v>
      </c>
      <c r="M869" s="26">
        <v>44119</v>
      </c>
      <c r="N869" s="44">
        <v>13436</v>
      </c>
      <c r="O869" s="22" t="s">
        <v>15</v>
      </c>
      <c r="P869" s="44" t="s">
        <v>19</v>
      </c>
      <c r="Q869" s="24">
        <f t="shared" si="57"/>
        <v>0</v>
      </c>
      <c r="R869" s="24">
        <f t="shared" si="56"/>
        <v>13436</v>
      </c>
      <c r="S869" s="5"/>
      <c r="T869" s="5"/>
    </row>
    <row r="870" spans="1:20" ht="15.75" hidden="1" x14ac:dyDescent="0.25">
      <c r="B870" s="21" t="s">
        <v>395</v>
      </c>
      <c r="C870" s="22" t="s">
        <v>2450</v>
      </c>
      <c r="D870" s="22"/>
      <c r="E870" s="21" t="s">
        <v>10</v>
      </c>
      <c r="F870" s="21"/>
      <c r="G870" s="147" t="s">
        <v>102</v>
      </c>
      <c r="H870" s="23" t="s">
        <v>1995</v>
      </c>
      <c r="I870" s="23"/>
      <c r="J870" s="21" t="s">
        <v>1996</v>
      </c>
      <c r="K870" s="120"/>
      <c r="L870" s="21" t="s">
        <v>2253</v>
      </c>
      <c r="M870" s="26">
        <v>43728</v>
      </c>
      <c r="N870" s="44">
        <v>5905</v>
      </c>
      <c r="O870" s="22" t="s">
        <v>15</v>
      </c>
      <c r="P870" s="22" t="s">
        <v>19</v>
      </c>
      <c r="Q870" s="24">
        <f t="shared" si="57"/>
        <v>0</v>
      </c>
      <c r="R870" s="24">
        <f t="shared" si="56"/>
        <v>5905</v>
      </c>
      <c r="S870" s="5"/>
      <c r="T870" s="5"/>
    </row>
    <row r="871" spans="1:20" ht="15.75" hidden="1" x14ac:dyDescent="0.25">
      <c r="B871" s="21" t="s">
        <v>395</v>
      </c>
      <c r="C871" s="22" t="s">
        <v>2450</v>
      </c>
      <c r="D871" s="22"/>
      <c r="E871" s="21" t="s">
        <v>10</v>
      </c>
      <c r="F871" s="21"/>
      <c r="G871" s="147" t="s">
        <v>102</v>
      </c>
      <c r="H871" s="23" t="s">
        <v>2014</v>
      </c>
      <c r="I871" s="23"/>
      <c r="J871" s="21" t="s">
        <v>2015</v>
      </c>
      <c r="K871" s="120"/>
      <c r="L871" s="21" t="s">
        <v>2254</v>
      </c>
      <c r="M871" s="26">
        <v>43728</v>
      </c>
      <c r="N871" s="44">
        <v>1400</v>
      </c>
      <c r="O871" s="22" t="s">
        <v>15</v>
      </c>
      <c r="P871" s="22" t="s">
        <v>19</v>
      </c>
      <c r="Q871" s="24">
        <f t="shared" si="57"/>
        <v>0</v>
      </c>
      <c r="R871" s="24">
        <f t="shared" si="56"/>
        <v>1400</v>
      </c>
      <c r="S871" s="5"/>
      <c r="T871" s="5"/>
    </row>
    <row r="872" spans="1:20" ht="15.75" hidden="1" x14ac:dyDescent="0.25">
      <c r="B872" s="32" t="s">
        <v>395</v>
      </c>
      <c r="C872" s="33" t="s">
        <v>2450</v>
      </c>
      <c r="D872" s="33" t="s">
        <v>1451</v>
      </c>
      <c r="E872" s="32" t="s">
        <v>10</v>
      </c>
      <c r="F872" s="32"/>
      <c r="G872" s="155" t="s">
        <v>665</v>
      </c>
      <c r="H872" s="34" t="s">
        <v>2018</v>
      </c>
      <c r="I872" s="34"/>
      <c r="J872" s="32" t="s">
        <v>2377</v>
      </c>
      <c r="K872" s="120"/>
      <c r="L872" s="32" t="s">
        <v>2306</v>
      </c>
      <c r="M872" s="26">
        <v>43738</v>
      </c>
      <c r="N872" s="93">
        <v>1840</v>
      </c>
      <c r="O872" s="33" t="s">
        <v>15</v>
      </c>
      <c r="P872" s="22" t="s">
        <v>19</v>
      </c>
      <c r="Q872" s="36">
        <f t="shared" si="57"/>
        <v>0</v>
      </c>
      <c r="R872" s="36">
        <f t="shared" si="56"/>
        <v>1840</v>
      </c>
      <c r="S872" s="5"/>
      <c r="T872" s="5"/>
    </row>
    <row r="873" spans="1:20" ht="15.75" hidden="1" x14ac:dyDescent="0.25">
      <c r="B873" s="32" t="s">
        <v>395</v>
      </c>
      <c r="C873" s="33" t="s">
        <v>2450</v>
      </c>
      <c r="D873" s="33" t="s">
        <v>1451</v>
      </c>
      <c r="E873" s="32" t="s">
        <v>10</v>
      </c>
      <c r="F873" s="32"/>
      <c r="G873" s="155" t="s">
        <v>665</v>
      </c>
      <c r="H873" s="34" t="s">
        <v>2365</v>
      </c>
      <c r="I873" s="34"/>
      <c r="J873" s="32" t="s">
        <v>2302</v>
      </c>
      <c r="K873" s="120"/>
      <c r="L873" s="21" t="s">
        <v>2303</v>
      </c>
      <c r="M873" s="26">
        <v>43738</v>
      </c>
      <c r="N873" s="93">
        <v>5320</v>
      </c>
      <c r="O873" s="33" t="s">
        <v>15</v>
      </c>
      <c r="P873" s="22" t="s">
        <v>19</v>
      </c>
      <c r="Q873" s="36">
        <f t="shared" si="57"/>
        <v>0</v>
      </c>
      <c r="R873" s="36">
        <f t="shared" si="56"/>
        <v>5320</v>
      </c>
      <c r="S873" s="5"/>
      <c r="T873" s="5"/>
    </row>
    <row r="874" spans="1:20" ht="14.25" hidden="1" customHeight="1" x14ac:dyDescent="0.25">
      <c r="B874" s="21" t="s">
        <v>395</v>
      </c>
      <c r="C874" s="22" t="s">
        <v>2450</v>
      </c>
      <c r="D874" s="22" t="s">
        <v>1492</v>
      </c>
      <c r="E874" s="21" t="s">
        <v>10</v>
      </c>
      <c r="F874" s="21"/>
      <c r="G874" s="147" t="s">
        <v>110</v>
      </c>
      <c r="H874" s="23" t="s">
        <v>2037</v>
      </c>
      <c r="I874" s="23"/>
      <c r="J874" s="21" t="s">
        <v>2034</v>
      </c>
      <c r="K874" s="120"/>
      <c r="L874" s="47" t="s">
        <v>2294</v>
      </c>
      <c r="M874" s="26">
        <v>43745</v>
      </c>
      <c r="N874" s="100">
        <v>13900</v>
      </c>
      <c r="O874" s="22" t="s">
        <v>15</v>
      </c>
      <c r="P874" s="22" t="s">
        <v>19</v>
      </c>
      <c r="Q874" s="24">
        <f t="shared" si="57"/>
        <v>0</v>
      </c>
      <c r="R874" s="24">
        <f t="shared" si="56"/>
        <v>13900</v>
      </c>
      <c r="S874" s="5"/>
      <c r="T874" s="5"/>
    </row>
    <row r="875" spans="1:20" ht="15.75" hidden="1" x14ac:dyDescent="0.25">
      <c r="A875" t="s">
        <v>6753</v>
      </c>
      <c r="B875" s="21" t="s">
        <v>395</v>
      </c>
      <c r="C875" s="22" t="s">
        <v>158</v>
      </c>
      <c r="D875" s="22"/>
      <c r="E875" s="21" t="s">
        <v>10</v>
      </c>
      <c r="F875" s="21"/>
      <c r="G875" s="147" t="s">
        <v>916</v>
      </c>
      <c r="H875" s="23" t="s">
        <v>2064</v>
      </c>
      <c r="I875" s="23"/>
      <c r="J875" s="21" t="s">
        <v>2062</v>
      </c>
      <c r="K875" s="120"/>
      <c r="L875" s="21" t="s">
        <v>2534</v>
      </c>
      <c r="M875" s="26">
        <v>43787</v>
      </c>
      <c r="N875" s="44">
        <v>1803.8</v>
      </c>
      <c r="O875" s="22" t="s">
        <v>15</v>
      </c>
      <c r="P875" s="22" t="s">
        <v>19</v>
      </c>
      <c r="Q875" s="24">
        <f t="shared" si="57"/>
        <v>0</v>
      </c>
      <c r="R875" s="24">
        <f t="shared" si="56"/>
        <v>1803.8</v>
      </c>
      <c r="S875" s="5"/>
      <c r="T875" s="5"/>
    </row>
    <row r="876" spans="1:20" ht="15.75" hidden="1" x14ac:dyDescent="0.25">
      <c r="A876" t="s">
        <v>6753</v>
      </c>
      <c r="B876" s="21" t="s">
        <v>395</v>
      </c>
      <c r="C876" s="22" t="s">
        <v>158</v>
      </c>
      <c r="D876" s="22"/>
      <c r="E876" s="21" t="s">
        <v>10</v>
      </c>
      <c r="F876" s="21"/>
      <c r="G876" s="147" t="s">
        <v>916</v>
      </c>
      <c r="H876" s="23" t="s">
        <v>2065</v>
      </c>
      <c r="I876" s="23"/>
      <c r="J876" s="21" t="s">
        <v>2063</v>
      </c>
      <c r="K876" s="120"/>
      <c r="L876" s="21" t="s">
        <v>2938</v>
      </c>
      <c r="M876" s="26">
        <v>43797</v>
      </c>
      <c r="N876" s="44">
        <v>337</v>
      </c>
      <c r="O876" s="22" t="s">
        <v>15</v>
      </c>
      <c r="P876" s="22" t="s">
        <v>19</v>
      </c>
      <c r="Q876" s="24">
        <f t="shared" si="57"/>
        <v>0</v>
      </c>
      <c r="R876" s="24">
        <f t="shared" si="56"/>
        <v>337</v>
      </c>
      <c r="S876" s="5"/>
      <c r="T876" s="5"/>
    </row>
    <row r="877" spans="1:20" ht="15.75" hidden="1" x14ac:dyDescent="0.25">
      <c r="B877" s="21" t="s">
        <v>395</v>
      </c>
      <c r="C877" s="22" t="s">
        <v>2450</v>
      </c>
      <c r="D877" s="22"/>
      <c r="E877" s="21" t="s">
        <v>0</v>
      </c>
      <c r="F877" s="21"/>
      <c r="G877" s="147" t="s">
        <v>132</v>
      </c>
      <c r="H877" s="23" t="s">
        <v>2074</v>
      </c>
      <c r="I877" s="23"/>
      <c r="J877" s="21" t="s">
        <v>2075</v>
      </c>
      <c r="K877" s="120"/>
      <c r="L877" s="21" t="s">
        <v>2929</v>
      </c>
      <c r="M877" s="26">
        <v>43880</v>
      </c>
      <c r="N877" s="44">
        <v>19000</v>
      </c>
      <c r="O877" s="22" t="s">
        <v>15</v>
      </c>
      <c r="P877" s="22" t="s">
        <v>19</v>
      </c>
      <c r="Q877" s="44">
        <f t="shared" si="57"/>
        <v>0</v>
      </c>
      <c r="R877" s="24">
        <f t="shared" si="56"/>
        <v>19000</v>
      </c>
      <c r="S877" s="5"/>
      <c r="T877" s="5"/>
    </row>
    <row r="878" spans="1:20" ht="15.75" hidden="1" x14ac:dyDescent="0.25">
      <c r="B878" s="21" t="s">
        <v>395</v>
      </c>
      <c r="C878" s="22" t="s">
        <v>2450</v>
      </c>
      <c r="D878" s="22"/>
      <c r="E878" s="21" t="s">
        <v>0</v>
      </c>
      <c r="F878" s="21"/>
      <c r="G878" s="147" t="s">
        <v>132</v>
      </c>
      <c r="H878" s="23" t="s">
        <v>2074</v>
      </c>
      <c r="I878" s="23"/>
      <c r="J878" s="21" t="s">
        <v>2076</v>
      </c>
      <c r="K878" s="120"/>
      <c r="L878" s="21" t="s">
        <v>2929</v>
      </c>
      <c r="M878" s="26">
        <v>43880</v>
      </c>
      <c r="N878" s="44">
        <v>13900</v>
      </c>
      <c r="O878" s="22" t="s">
        <v>15</v>
      </c>
      <c r="P878" s="22" t="s">
        <v>19</v>
      </c>
      <c r="Q878" s="44">
        <f t="shared" si="57"/>
        <v>0</v>
      </c>
      <c r="R878" s="24">
        <f t="shared" si="56"/>
        <v>13900</v>
      </c>
      <c r="S878" s="5"/>
      <c r="T878" s="5"/>
    </row>
    <row r="879" spans="1:20" ht="15.75" hidden="1" x14ac:dyDescent="0.25">
      <c r="B879" s="21" t="s">
        <v>395</v>
      </c>
      <c r="C879" s="22" t="s">
        <v>2450</v>
      </c>
      <c r="D879" s="22" t="s">
        <v>6260</v>
      </c>
      <c r="E879" s="21" t="s">
        <v>0</v>
      </c>
      <c r="F879" s="21"/>
      <c r="G879" s="147" t="s">
        <v>2078</v>
      </c>
      <c r="H879" s="23" t="s">
        <v>2077</v>
      </c>
      <c r="I879" s="23"/>
      <c r="J879" s="21" t="s">
        <v>2079</v>
      </c>
      <c r="K879" s="120"/>
      <c r="L879" s="21" t="s">
        <v>2523</v>
      </c>
      <c r="M879" s="26">
        <v>43790</v>
      </c>
      <c r="N879" s="44">
        <v>4550</v>
      </c>
      <c r="O879" s="22" t="s">
        <v>15</v>
      </c>
      <c r="P879" s="22" t="s">
        <v>19</v>
      </c>
      <c r="Q879" s="44">
        <f t="shared" si="57"/>
        <v>0</v>
      </c>
      <c r="R879" s="24">
        <f t="shared" si="56"/>
        <v>4550</v>
      </c>
      <c r="S879" s="5" t="s">
        <v>2524</v>
      </c>
      <c r="T879" s="5"/>
    </row>
    <row r="880" spans="1:20" ht="15.75" hidden="1" x14ac:dyDescent="0.25">
      <c r="B880" s="21" t="s">
        <v>395</v>
      </c>
      <c r="C880" s="22" t="s">
        <v>2450</v>
      </c>
      <c r="D880" s="22" t="s">
        <v>6260</v>
      </c>
      <c r="E880" s="21" t="s">
        <v>0</v>
      </c>
      <c r="F880" s="21"/>
      <c r="G880" s="147" t="s">
        <v>2078</v>
      </c>
      <c r="H880" s="23" t="s">
        <v>2077</v>
      </c>
      <c r="I880" s="23"/>
      <c r="J880" s="21" t="s">
        <v>2080</v>
      </c>
      <c r="K880" s="120"/>
      <c r="L880" s="21" t="s">
        <v>2671</v>
      </c>
      <c r="M880" s="26">
        <v>43822</v>
      </c>
      <c r="N880" s="44">
        <v>4550</v>
      </c>
      <c r="O880" s="22" t="s">
        <v>15</v>
      </c>
      <c r="P880" s="22" t="s">
        <v>19</v>
      </c>
      <c r="Q880" s="44">
        <f t="shared" si="57"/>
        <v>0</v>
      </c>
      <c r="R880" s="24">
        <f t="shared" si="56"/>
        <v>4550</v>
      </c>
      <c r="S880" s="5"/>
      <c r="T880" s="5"/>
    </row>
    <row r="881" spans="1:20" ht="15.75" hidden="1" x14ac:dyDescent="0.25">
      <c r="B881" s="21" t="s">
        <v>395</v>
      </c>
      <c r="C881" s="22" t="s">
        <v>2450</v>
      </c>
      <c r="D881" s="22"/>
      <c r="E881" s="21" t="s">
        <v>0</v>
      </c>
      <c r="F881" s="21"/>
      <c r="G881" s="147" t="s">
        <v>132</v>
      </c>
      <c r="H881" s="23" t="s">
        <v>2081</v>
      </c>
      <c r="I881" s="23"/>
      <c r="J881" s="21" t="s">
        <v>2082</v>
      </c>
      <c r="K881" s="120"/>
      <c r="L881" s="21" t="s">
        <v>2364</v>
      </c>
      <c r="M881" s="26">
        <v>43769</v>
      </c>
      <c r="N881" s="44">
        <v>1900</v>
      </c>
      <c r="O881" s="22" t="s">
        <v>15</v>
      </c>
      <c r="P881" s="22" t="s">
        <v>19</v>
      </c>
      <c r="Q881" s="44">
        <f t="shared" si="57"/>
        <v>0</v>
      </c>
      <c r="R881" s="24">
        <f t="shared" si="56"/>
        <v>1900</v>
      </c>
      <c r="S881" s="5"/>
      <c r="T881" s="5"/>
    </row>
    <row r="882" spans="1:20" ht="15.75" hidden="1" x14ac:dyDescent="0.25">
      <c r="A882" t="s">
        <v>6753</v>
      </c>
      <c r="B882" s="21" t="s">
        <v>395</v>
      </c>
      <c r="C882" s="22" t="s">
        <v>158</v>
      </c>
      <c r="D882" s="22"/>
      <c r="E882" s="21" t="s">
        <v>10</v>
      </c>
      <c r="F882" s="21"/>
      <c r="G882" s="147" t="s">
        <v>1090</v>
      </c>
      <c r="H882" s="23" t="s">
        <v>2115</v>
      </c>
      <c r="I882" s="23"/>
      <c r="J882" s="21" t="s">
        <v>1199</v>
      </c>
      <c r="K882" s="120"/>
      <c r="L882" s="21" t="s">
        <v>2158</v>
      </c>
      <c r="M882" s="26">
        <v>43745</v>
      </c>
      <c r="N882" s="44">
        <v>1580</v>
      </c>
      <c r="O882" s="22" t="s">
        <v>15</v>
      </c>
      <c r="P882" s="22" t="s">
        <v>19</v>
      </c>
      <c r="Q882" s="24">
        <f t="shared" si="57"/>
        <v>0</v>
      </c>
      <c r="R882" s="24">
        <f t="shared" si="56"/>
        <v>1580</v>
      </c>
      <c r="S882" s="5"/>
      <c r="T882" s="5"/>
    </row>
    <row r="883" spans="1:20" ht="15.75" hidden="1" x14ac:dyDescent="0.25">
      <c r="B883" s="21" t="s">
        <v>395</v>
      </c>
      <c r="C883" s="22" t="s">
        <v>2450</v>
      </c>
      <c r="D883" s="22"/>
      <c r="E883" s="21" t="s">
        <v>159</v>
      </c>
      <c r="F883" s="21"/>
      <c r="G883" s="147" t="s">
        <v>1817</v>
      </c>
      <c r="H883" s="107" t="s">
        <v>2117</v>
      </c>
      <c r="I883" s="107"/>
      <c r="J883" s="21" t="s">
        <v>1818</v>
      </c>
      <c r="K883" s="120"/>
      <c r="L883" s="21" t="s">
        <v>2116</v>
      </c>
      <c r="M883" s="26">
        <v>43738</v>
      </c>
      <c r="N883" s="44">
        <v>24803.75</v>
      </c>
      <c r="O883" s="22" t="s">
        <v>341</v>
      </c>
      <c r="P883" s="114" t="s">
        <v>19</v>
      </c>
      <c r="Q883" s="24">
        <f t="shared" si="57"/>
        <v>0</v>
      </c>
      <c r="R883" s="24">
        <f t="shared" si="56"/>
        <v>24803.75</v>
      </c>
      <c r="S883" s="136" t="s">
        <v>2118</v>
      </c>
      <c r="T883" s="5"/>
    </row>
    <row r="884" spans="1:20" ht="15.75" hidden="1" x14ac:dyDescent="0.25">
      <c r="B884" s="21" t="s">
        <v>395</v>
      </c>
      <c r="C884" s="22" t="s">
        <v>2450</v>
      </c>
      <c r="D884" s="22"/>
      <c r="E884" s="21" t="s">
        <v>159</v>
      </c>
      <c r="F884" s="21"/>
      <c r="G884" s="147" t="s">
        <v>1817</v>
      </c>
      <c r="H884" s="107" t="s">
        <v>2117</v>
      </c>
      <c r="I884" s="107"/>
      <c r="J884" s="21" t="s">
        <v>1818</v>
      </c>
      <c r="K884" s="120"/>
      <c r="L884" s="21" t="s">
        <v>2390</v>
      </c>
      <c r="M884" s="26">
        <v>43769</v>
      </c>
      <c r="N884" s="44">
        <v>60787.5</v>
      </c>
      <c r="O884" s="22" t="s">
        <v>341</v>
      </c>
      <c r="P884" s="114">
        <v>60787.5</v>
      </c>
      <c r="Q884" s="24">
        <f t="shared" si="57"/>
        <v>0</v>
      </c>
      <c r="R884" s="24">
        <f t="shared" si="56"/>
        <v>60787.5</v>
      </c>
      <c r="S884" s="136" t="s">
        <v>2118</v>
      </c>
      <c r="T884" s="5"/>
    </row>
    <row r="885" spans="1:20" ht="15.75" hidden="1" x14ac:dyDescent="0.25">
      <c r="B885" s="21" t="s">
        <v>395</v>
      </c>
      <c r="C885" s="22" t="s">
        <v>2450</v>
      </c>
      <c r="D885" s="22"/>
      <c r="E885" s="21" t="s">
        <v>159</v>
      </c>
      <c r="F885" s="21"/>
      <c r="G885" s="147" t="s">
        <v>1817</v>
      </c>
      <c r="H885" s="107" t="s">
        <v>2117</v>
      </c>
      <c r="I885" s="107"/>
      <c r="J885" s="21" t="s">
        <v>1818</v>
      </c>
      <c r="K885" s="120"/>
      <c r="L885" s="21" t="s">
        <v>2590</v>
      </c>
      <c r="M885" s="26">
        <v>43799</v>
      </c>
      <c r="N885" s="44">
        <f>28598.12-(19787.5/2)</f>
        <v>18704.37</v>
      </c>
      <c r="O885" s="22" t="s">
        <v>341</v>
      </c>
      <c r="P885" s="114">
        <v>60935.75</v>
      </c>
      <c r="Q885" s="24">
        <f t="shared" si="57"/>
        <v>0</v>
      </c>
      <c r="R885" s="24">
        <f t="shared" si="56"/>
        <v>60935.75</v>
      </c>
      <c r="S885" s="136" t="s">
        <v>2118</v>
      </c>
      <c r="T885" s="5"/>
    </row>
    <row r="886" spans="1:20" ht="15.75" hidden="1" x14ac:dyDescent="0.25">
      <c r="B886" s="21" t="s">
        <v>395</v>
      </c>
      <c r="C886" s="22" t="s">
        <v>2450</v>
      </c>
      <c r="D886" s="22"/>
      <c r="E886" s="21" t="s">
        <v>159</v>
      </c>
      <c r="F886" s="21"/>
      <c r="G886" s="147" t="s">
        <v>1817</v>
      </c>
      <c r="H886" s="107" t="s">
        <v>2117</v>
      </c>
      <c r="I886" s="107"/>
      <c r="J886" s="21" t="s">
        <v>1818</v>
      </c>
      <c r="K886" s="120"/>
      <c r="L886" s="21" t="s">
        <v>3005</v>
      </c>
      <c r="M886" s="26" t="s">
        <v>3006</v>
      </c>
      <c r="N886" s="44">
        <f>28598.13-(19787.5/2)</f>
        <v>18704.38</v>
      </c>
      <c r="O886" s="22" t="s">
        <v>341</v>
      </c>
      <c r="P886" s="114">
        <f>41582.5+3292.5+3216.25</f>
        <v>48091.25</v>
      </c>
      <c r="Q886" s="24">
        <f t="shared" si="57"/>
        <v>0</v>
      </c>
      <c r="R886" s="24">
        <f t="shared" si="56"/>
        <v>48091.25</v>
      </c>
      <c r="S886" s="136" t="s">
        <v>2118</v>
      </c>
      <c r="T886" s="5"/>
    </row>
    <row r="887" spans="1:20" ht="15.75" hidden="1" x14ac:dyDescent="0.25">
      <c r="B887" s="21" t="s">
        <v>395</v>
      </c>
      <c r="C887" s="22" t="s">
        <v>1940</v>
      </c>
      <c r="D887" s="22"/>
      <c r="E887" s="21" t="s">
        <v>729</v>
      </c>
      <c r="F887" s="21"/>
      <c r="G887" s="147" t="s">
        <v>1941</v>
      </c>
      <c r="H887" s="23" t="s">
        <v>2142</v>
      </c>
      <c r="I887" s="23"/>
      <c r="J887" s="21" t="s">
        <v>2341</v>
      </c>
      <c r="K887" s="13"/>
      <c r="L887" s="21" t="s">
        <v>3013</v>
      </c>
      <c r="M887" s="26">
        <v>43896</v>
      </c>
      <c r="N887" s="44">
        <v>5125</v>
      </c>
      <c r="O887" s="22" t="s">
        <v>341</v>
      </c>
      <c r="P887" s="22">
        <v>3797.8</v>
      </c>
      <c r="Q887" s="44">
        <v>0</v>
      </c>
      <c r="R887" s="116">
        <f t="shared" si="56"/>
        <v>3797.8</v>
      </c>
      <c r="S887" s="5"/>
      <c r="T887" s="5"/>
    </row>
    <row r="888" spans="1:20" ht="15.75" hidden="1" x14ac:dyDescent="0.25">
      <c r="B888" s="21" t="s">
        <v>395</v>
      </c>
      <c r="C888" s="22" t="s">
        <v>2450</v>
      </c>
      <c r="D888" s="22" t="s">
        <v>1492</v>
      </c>
      <c r="E888" s="21" t="s">
        <v>10</v>
      </c>
      <c r="F888" s="21"/>
      <c r="G888" s="147" t="s">
        <v>110</v>
      </c>
      <c r="H888" s="23" t="s">
        <v>2159</v>
      </c>
      <c r="I888" s="23"/>
      <c r="J888" s="21" t="s">
        <v>2034</v>
      </c>
      <c r="K888" s="120"/>
      <c r="L888" s="21" t="s">
        <v>2513</v>
      </c>
      <c r="M888" s="26">
        <v>43774</v>
      </c>
      <c r="N888" s="100">
        <v>2850</v>
      </c>
      <c r="O888" s="22" t="s">
        <v>15</v>
      </c>
      <c r="P888" s="22" t="s">
        <v>19</v>
      </c>
      <c r="Q888" s="24">
        <f t="shared" ref="Q888:Q894" si="58">IF(P888="en cours",N888,IF(P888="OK",0,IF(N888-P888&lt;0,0,N888-P888)))</f>
        <v>0</v>
      </c>
      <c r="R888" s="24">
        <f t="shared" si="56"/>
        <v>2850</v>
      </c>
      <c r="S888" s="5"/>
      <c r="T888" s="5"/>
    </row>
    <row r="889" spans="1:20" ht="15.75" hidden="1" x14ac:dyDescent="0.25">
      <c r="B889" s="21" t="s">
        <v>395</v>
      </c>
      <c r="C889" s="22" t="s">
        <v>2450</v>
      </c>
      <c r="D889" s="22" t="s">
        <v>1451</v>
      </c>
      <c r="E889" s="21" t="s">
        <v>10</v>
      </c>
      <c r="F889" s="21"/>
      <c r="G889" s="147" t="s">
        <v>665</v>
      </c>
      <c r="H889" s="23" t="s">
        <v>2262</v>
      </c>
      <c r="I889" s="23"/>
      <c r="J889" s="21" t="s">
        <v>2263</v>
      </c>
      <c r="K889" s="120"/>
      <c r="L889" s="21" t="s">
        <v>2360</v>
      </c>
      <c r="M889" s="26">
        <v>43756</v>
      </c>
      <c r="N889" s="44">
        <f>0.5*2000</f>
        <v>1000</v>
      </c>
      <c r="O889" s="22" t="s">
        <v>15</v>
      </c>
      <c r="P889" s="22" t="s">
        <v>19</v>
      </c>
      <c r="Q889" s="36">
        <f t="shared" si="58"/>
        <v>0</v>
      </c>
      <c r="R889" s="24">
        <f t="shared" si="56"/>
        <v>1000</v>
      </c>
      <c r="S889" s="5"/>
      <c r="T889" s="5"/>
    </row>
    <row r="890" spans="1:20" ht="15.75" hidden="1" x14ac:dyDescent="0.25">
      <c r="B890" s="21" t="s">
        <v>395</v>
      </c>
      <c r="C890" s="22" t="s">
        <v>2450</v>
      </c>
      <c r="D890" s="22" t="s">
        <v>1451</v>
      </c>
      <c r="E890" s="21" t="s">
        <v>10</v>
      </c>
      <c r="F890" s="21"/>
      <c r="G890" s="147" t="s">
        <v>665</v>
      </c>
      <c r="H890" s="23" t="s">
        <v>2262</v>
      </c>
      <c r="I890" s="23"/>
      <c r="J890" s="21" t="s">
        <v>2264</v>
      </c>
      <c r="K890" s="120"/>
      <c r="L890" s="21" t="s">
        <v>2661</v>
      </c>
      <c r="M890" s="26">
        <v>43798</v>
      </c>
      <c r="N890" s="44">
        <f>0.5*2000</f>
        <v>1000</v>
      </c>
      <c r="O890" s="22" t="s">
        <v>15</v>
      </c>
      <c r="P890" s="22" t="s">
        <v>19</v>
      </c>
      <c r="Q890" s="36">
        <f t="shared" si="58"/>
        <v>0</v>
      </c>
      <c r="R890" s="24">
        <f t="shared" si="56"/>
        <v>1000</v>
      </c>
      <c r="S890" s="5"/>
      <c r="T890" s="5"/>
    </row>
    <row r="891" spans="1:20" ht="15.75" hidden="1" x14ac:dyDescent="0.25">
      <c r="B891" s="21" t="s">
        <v>395</v>
      </c>
      <c r="C891" s="22" t="s">
        <v>2450</v>
      </c>
      <c r="D891" s="22"/>
      <c r="E891" s="21" t="s">
        <v>10</v>
      </c>
      <c r="F891" s="21"/>
      <c r="G891" s="147" t="s">
        <v>110</v>
      </c>
      <c r="H891" s="23" t="s">
        <v>2310</v>
      </c>
      <c r="I891" s="23"/>
      <c r="J891" s="21" t="s">
        <v>2291</v>
      </c>
      <c r="K891" s="120"/>
      <c r="L891" s="21" t="s">
        <v>2292</v>
      </c>
      <c r="M891" s="26">
        <v>43745</v>
      </c>
      <c r="N891" s="44">
        <v>9300</v>
      </c>
      <c r="O891" s="22" t="s">
        <v>15</v>
      </c>
      <c r="P891" s="22" t="s">
        <v>19</v>
      </c>
      <c r="Q891" s="24">
        <f t="shared" si="58"/>
        <v>0</v>
      </c>
      <c r="R891" s="24">
        <f t="shared" si="56"/>
        <v>9300</v>
      </c>
      <c r="S891" s="5"/>
      <c r="T891" s="5"/>
    </row>
    <row r="892" spans="1:20" ht="15.75" hidden="1" x14ac:dyDescent="0.25">
      <c r="B892" s="32" t="s">
        <v>395</v>
      </c>
      <c r="C892" s="33" t="s">
        <v>2450</v>
      </c>
      <c r="D892" s="33" t="s">
        <v>1451</v>
      </c>
      <c r="E892" s="32" t="s">
        <v>10</v>
      </c>
      <c r="F892" s="32"/>
      <c r="G892" s="155" t="s">
        <v>665</v>
      </c>
      <c r="H892" s="34" t="s">
        <v>2347</v>
      </c>
      <c r="I892" s="34"/>
      <c r="J892" s="32" t="s">
        <v>2311</v>
      </c>
      <c r="K892" s="120"/>
      <c r="L892" s="32" t="s">
        <v>2519</v>
      </c>
      <c r="M892" s="26">
        <v>43768</v>
      </c>
      <c r="N892" s="93">
        <v>3680</v>
      </c>
      <c r="O892" s="33" t="s">
        <v>15</v>
      </c>
      <c r="P892" s="22" t="s">
        <v>19</v>
      </c>
      <c r="Q892" s="36">
        <f t="shared" si="58"/>
        <v>0</v>
      </c>
      <c r="R892" s="36">
        <f t="shared" si="56"/>
        <v>3680</v>
      </c>
      <c r="S892" s="5"/>
      <c r="T892" s="5"/>
    </row>
    <row r="893" spans="1:20" ht="15.75" hidden="1" x14ac:dyDescent="0.25">
      <c r="B893" s="32" t="s">
        <v>395</v>
      </c>
      <c r="C893" s="33" t="s">
        <v>2450</v>
      </c>
      <c r="D893" s="33" t="s">
        <v>1451</v>
      </c>
      <c r="E893" s="32" t="s">
        <v>10</v>
      </c>
      <c r="F893" s="32"/>
      <c r="G893" s="155" t="s">
        <v>665</v>
      </c>
      <c r="H893" s="34" t="s">
        <v>2348</v>
      </c>
      <c r="I893" s="34"/>
      <c r="J893" s="32" t="s">
        <v>2313</v>
      </c>
      <c r="K893" s="120"/>
      <c r="L893" s="32" t="s">
        <v>2520</v>
      </c>
      <c r="M893" s="26">
        <v>43768</v>
      </c>
      <c r="N893" s="93">
        <v>3290</v>
      </c>
      <c r="O893" s="33" t="s">
        <v>15</v>
      </c>
      <c r="P893" s="22" t="s">
        <v>19</v>
      </c>
      <c r="Q893" s="36">
        <f t="shared" si="58"/>
        <v>0</v>
      </c>
      <c r="R893" s="36">
        <f t="shared" si="56"/>
        <v>3290</v>
      </c>
      <c r="S893" s="5"/>
      <c r="T893" s="5"/>
    </row>
    <row r="894" spans="1:20" ht="15.75" hidden="1" x14ac:dyDescent="0.25">
      <c r="B894" s="5"/>
      <c r="C894" s="4" t="s">
        <v>158</v>
      </c>
      <c r="D894" s="4"/>
      <c r="E894" s="5" t="s">
        <v>729</v>
      </c>
      <c r="F894" s="5"/>
      <c r="G894" s="146" t="s">
        <v>1941</v>
      </c>
      <c r="H894" s="7" t="s">
        <v>2340</v>
      </c>
      <c r="I894" s="7"/>
      <c r="J894" s="5" t="s">
        <v>3014</v>
      </c>
      <c r="K894" s="13">
        <v>43862</v>
      </c>
      <c r="L894" s="5"/>
      <c r="M894" s="26"/>
      <c r="N894" s="45">
        <v>5125</v>
      </c>
      <c r="O894" s="4" t="s">
        <v>341</v>
      </c>
      <c r="P894" s="4"/>
      <c r="Q894" s="45">
        <f t="shared" si="58"/>
        <v>5125</v>
      </c>
      <c r="R894" s="25">
        <f t="shared" si="56"/>
        <v>0</v>
      </c>
      <c r="S894" s="5"/>
      <c r="T894" s="5"/>
    </row>
    <row r="895" spans="1:20" ht="15.75" hidden="1" x14ac:dyDescent="0.25">
      <c r="B895" s="21" t="s">
        <v>395</v>
      </c>
      <c r="C895" s="22" t="s">
        <v>1940</v>
      </c>
      <c r="D895" s="22"/>
      <c r="E895" s="21" t="s">
        <v>75</v>
      </c>
      <c r="F895" s="21"/>
      <c r="G895" s="147" t="s">
        <v>2366</v>
      </c>
      <c r="H895" s="23" t="s">
        <v>2367</v>
      </c>
      <c r="I895" s="23"/>
      <c r="J895" s="21" t="s">
        <v>2368</v>
      </c>
      <c r="K895" s="13"/>
      <c r="L895" s="21" t="s">
        <v>2522</v>
      </c>
      <c r="M895" s="26">
        <v>43777</v>
      </c>
      <c r="N895" s="44">
        <v>2709.65</v>
      </c>
      <c r="O895" s="22" t="s">
        <v>15</v>
      </c>
      <c r="P895" s="22" t="s">
        <v>19</v>
      </c>
      <c r="Q895" s="44">
        <f t="shared" ref="Q895:Q903" si="59">IF(P895="en cours",N895,IF(P895="OK",0,IF(N895-P895&lt;0,0,N895-P895)))</f>
        <v>0</v>
      </c>
      <c r="R895" s="116">
        <f t="shared" ref="R895:R903" si="60">IF(P895="OK",N895-Q895,IF(P895="en cours",N895-Q895,P895))</f>
        <v>2709.65</v>
      </c>
      <c r="S895" s="5"/>
      <c r="T895" s="5"/>
    </row>
    <row r="896" spans="1:20" ht="15.75" hidden="1" x14ac:dyDescent="0.25">
      <c r="A896" t="s">
        <v>6753</v>
      </c>
      <c r="B896" s="21" t="s">
        <v>395</v>
      </c>
      <c r="C896" s="22" t="s">
        <v>2452</v>
      </c>
      <c r="D896" s="22"/>
      <c r="E896" s="21" t="s">
        <v>75</v>
      </c>
      <c r="F896" s="21"/>
      <c r="G896" s="147" t="s">
        <v>98</v>
      </c>
      <c r="H896" s="23" t="s">
        <v>2369</v>
      </c>
      <c r="I896" s="23"/>
      <c r="J896" s="21" t="s">
        <v>2370</v>
      </c>
      <c r="K896" s="13"/>
      <c r="L896" s="21" t="s">
        <v>2695</v>
      </c>
      <c r="M896" s="26">
        <v>43830</v>
      </c>
      <c r="N896" s="44">
        <v>6045.65</v>
      </c>
      <c r="O896" s="22" t="s">
        <v>15</v>
      </c>
      <c r="P896" s="22" t="s">
        <v>19</v>
      </c>
      <c r="Q896" s="24">
        <f t="shared" si="59"/>
        <v>0</v>
      </c>
      <c r="R896" s="116">
        <f t="shared" si="60"/>
        <v>6045.65</v>
      </c>
      <c r="S896" s="5"/>
      <c r="T896" s="5"/>
    </row>
    <row r="897" spans="2:20" ht="15.75" hidden="1" x14ac:dyDescent="0.25">
      <c r="B897" s="32" t="s">
        <v>395</v>
      </c>
      <c r="C897" s="33" t="s">
        <v>2450</v>
      </c>
      <c r="D897" s="33" t="s">
        <v>1451</v>
      </c>
      <c r="E897" s="32" t="s">
        <v>10</v>
      </c>
      <c r="F897" s="32"/>
      <c r="G897" s="155" t="s">
        <v>665</v>
      </c>
      <c r="H897" s="34" t="s">
        <v>2382</v>
      </c>
      <c r="I897" s="34"/>
      <c r="J897" s="32" t="s">
        <v>2405</v>
      </c>
      <c r="K897" s="120"/>
      <c r="L897" s="32" t="s">
        <v>2521</v>
      </c>
      <c r="M897" s="26">
        <v>43768</v>
      </c>
      <c r="N897" s="93">
        <v>3290</v>
      </c>
      <c r="O897" s="33" t="s">
        <v>15</v>
      </c>
      <c r="P897" s="22" t="s">
        <v>19</v>
      </c>
      <c r="Q897" s="36">
        <f t="shared" si="59"/>
        <v>0</v>
      </c>
      <c r="R897" s="36">
        <f t="shared" si="60"/>
        <v>3290</v>
      </c>
      <c r="S897" s="5"/>
      <c r="T897" s="5"/>
    </row>
    <row r="898" spans="2:20" ht="15.75" hidden="1" x14ac:dyDescent="0.25">
      <c r="B898" s="21" t="s">
        <v>395</v>
      </c>
      <c r="C898" s="22" t="s">
        <v>2450</v>
      </c>
      <c r="D898" s="22"/>
      <c r="E898" s="21" t="s">
        <v>10</v>
      </c>
      <c r="F898" s="21"/>
      <c r="G898" s="147" t="s">
        <v>1319</v>
      </c>
      <c r="H898" s="23" t="s">
        <v>2412</v>
      </c>
      <c r="I898" s="23"/>
      <c r="J898" s="21" t="s">
        <v>2413</v>
      </c>
      <c r="K898" s="120"/>
      <c r="L898" s="21" t="s">
        <v>2543</v>
      </c>
      <c r="M898" s="26">
        <v>43787</v>
      </c>
      <c r="N898" s="44">
        <f>0.5*1400</f>
        <v>700</v>
      </c>
      <c r="O898" s="22" t="s">
        <v>276</v>
      </c>
      <c r="P898" s="22" t="s">
        <v>19</v>
      </c>
      <c r="Q898" s="24">
        <f t="shared" si="59"/>
        <v>0</v>
      </c>
      <c r="R898" s="24">
        <f t="shared" si="60"/>
        <v>700</v>
      </c>
      <c r="S898" s="5"/>
      <c r="T898" s="5"/>
    </row>
    <row r="899" spans="2:20" ht="15.75" hidden="1" x14ac:dyDescent="0.25">
      <c r="B899" s="21" t="s">
        <v>395</v>
      </c>
      <c r="C899" s="22" t="s">
        <v>2450</v>
      </c>
      <c r="D899" s="22"/>
      <c r="E899" s="21" t="s">
        <v>10</v>
      </c>
      <c r="F899" s="21"/>
      <c r="G899" s="147" t="s">
        <v>1319</v>
      </c>
      <c r="H899" s="23" t="s">
        <v>2412</v>
      </c>
      <c r="I899" s="23"/>
      <c r="J899" s="21" t="s">
        <v>2414</v>
      </c>
      <c r="K899" s="120"/>
      <c r="L899" s="21" t="s">
        <v>6313</v>
      </c>
      <c r="M899" s="26" t="s">
        <v>6314</v>
      </c>
      <c r="N899" s="44">
        <f>0.4*1400</f>
        <v>560</v>
      </c>
      <c r="O899" s="22" t="s">
        <v>276</v>
      </c>
      <c r="P899" s="44">
        <v>560</v>
      </c>
      <c r="Q899" s="24">
        <f t="shared" si="59"/>
        <v>0</v>
      </c>
      <c r="R899" s="24">
        <f t="shared" si="60"/>
        <v>560</v>
      </c>
      <c r="S899" s="5"/>
      <c r="T899" s="5"/>
    </row>
    <row r="900" spans="2:20" ht="15.75" hidden="1" x14ac:dyDescent="0.25">
      <c r="B900" s="21" t="s">
        <v>395</v>
      </c>
      <c r="C900" s="22" t="s">
        <v>2450</v>
      </c>
      <c r="D900" s="22"/>
      <c r="E900" s="21" t="s">
        <v>10</v>
      </c>
      <c r="F900" s="21"/>
      <c r="G900" s="147" t="s">
        <v>1319</v>
      </c>
      <c r="H900" s="23" t="s">
        <v>2412</v>
      </c>
      <c r="I900" s="23"/>
      <c r="J900" s="21" t="s">
        <v>2415</v>
      </c>
      <c r="K900" s="120"/>
      <c r="L900" s="21" t="s">
        <v>6313</v>
      </c>
      <c r="M900" s="26" t="s">
        <v>6314</v>
      </c>
      <c r="N900" s="44">
        <f>0.1*1400</f>
        <v>140</v>
      </c>
      <c r="O900" s="22" t="s">
        <v>276</v>
      </c>
      <c r="P900" s="44">
        <f>980-560</f>
        <v>420</v>
      </c>
      <c r="Q900" s="24">
        <f t="shared" si="59"/>
        <v>0</v>
      </c>
      <c r="R900" s="24">
        <f t="shared" si="60"/>
        <v>420</v>
      </c>
      <c r="S900" s="5"/>
      <c r="T900" s="5"/>
    </row>
    <row r="901" spans="2:20" ht="15.75" hidden="1" x14ac:dyDescent="0.25">
      <c r="B901" s="21" t="s">
        <v>395</v>
      </c>
      <c r="C901" s="22" t="s">
        <v>2450</v>
      </c>
      <c r="D901" s="22"/>
      <c r="E901" s="21" t="s">
        <v>10</v>
      </c>
      <c r="F901" s="21"/>
      <c r="G901" s="147" t="s">
        <v>2416</v>
      </c>
      <c r="H901" s="23" t="s">
        <v>2542</v>
      </c>
      <c r="I901" s="23"/>
      <c r="J901" s="21" t="s">
        <v>2418</v>
      </c>
      <c r="K901" s="120"/>
      <c r="L901" s="21" t="s">
        <v>2525</v>
      </c>
      <c r="M901" s="26">
        <v>43788</v>
      </c>
      <c r="N901" s="44">
        <f>0.3*15720</f>
        <v>4716</v>
      </c>
      <c r="O901" s="22" t="s">
        <v>15</v>
      </c>
      <c r="P901" s="22" t="s">
        <v>19</v>
      </c>
      <c r="Q901" s="24">
        <f t="shared" si="59"/>
        <v>0</v>
      </c>
      <c r="R901" s="24">
        <f t="shared" si="60"/>
        <v>4716</v>
      </c>
      <c r="S901" s="5"/>
      <c r="T901" s="5"/>
    </row>
    <row r="902" spans="2:20" ht="15.75" hidden="1" x14ac:dyDescent="0.25">
      <c r="B902" s="21" t="s">
        <v>395</v>
      </c>
      <c r="C902" s="22" t="s">
        <v>2450</v>
      </c>
      <c r="D902" s="22"/>
      <c r="E902" s="21" t="s">
        <v>10</v>
      </c>
      <c r="F902" s="21"/>
      <c r="G902" s="147" t="s">
        <v>2416</v>
      </c>
      <c r="H902" s="23" t="s">
        <v>2542</v>
      </c>
      <c r="I902" s="23"/>
      <c r="J902" s="21" t="s">
        <v>2417</v>
      </c>
      <c r="K902" s="120"/>
      <c r="L902" s="21" t="s">
        <v>2654</v>
      </c>
      <c r="M902" s="26">
        <v>43817</v>
      </c>
      <c r="N902" s="44">
        <f>0.7*15720</f>
        <v>11004</v>
      </c>
      <c r="O902" s="22" t="s">
        <v>15</v>
      </c>
      <c r="P902" s="22" t="s">
        <v>19</v>
      </c>
      <c r="Q902" s="24">
        <f t="shared" si="59"/>
        <v>0</v>
      </c>
      <c r="R902" s="24">
        <f t="shared" si="60"/>
        <v>11004</v>
      </c>
      <c r="S902" s="5"/>
      <c r="T902" s="5"/>
    </row>
    <row r="903" spans="2:20" ht="15.75" hidden="1" x14ac:dyDescent="0.25">
      <c r="B903" s="21" t="s">
        <v>395</v>
      </c>
      <c r="C903" s="22" t="s">
        <v>2450</v>
      </c>
      <c r="D903" s="22" t="s">
        <v>1492</v>
      </c>
      <c r="E903" s="21" t="s">
        <v>10</v>
      </c>
      <c r="F903" s="21"/>
      <c r="G903" s="147" t="s">
        <v>110</v>
      </c>
      <c r="H903" s="23" t="s">
        <v>2474</v>
      </c>
      <c r="I903" s="23"/>
      <c r="J903" s="21" t="s">
        <v>2475</v>
      </c>
      <c r="K903" s="120"/>
      <c r="L903" s="21" t="s">
        <v>2763</v>
      </c>
      <c r="M903" s="26">
        <v>43840</v>
      </c>
      <c r="N903" s="100">
        <v>5050</v>
      </c>
      <c r="O903" s="22" t="s">
        <v>15</v>
      </c>
      <c r="P903" s="22" t="s">
        <v>19</v>
      </c>
      <c r="Q903" s="24">
        <f t="shared" si="59"/>
        <v>0</v>
      </c>
      <c r="R903" s="24">
        <f t="shared" si="60"/>
        <v>5050</v>
      </c>
      <c r="S903" s="5"/>
      <c r="T903" s="5"/>
    </row>
    <row r="904" spans="2:20" ht="15.75" hidden="1" x14ac:dyDescent="0.25">
      <c r="B904" s="21" t="s">
        <v>395</v>
      </c>
      <c r="C904" s="22" t="s">
        <v>2450</v>
      </c>
      <c r="D904" s="22"/>
      <c r="E904" s="21" t="s">
        <v>0</v>
      </c>
      <c r="F904" s="21"/>
      <c r="G904" s="147" t="s">
        <v>132</v>
      </c>
      <c r="H904" s="23" t="s">
        <v>2527</v>
      </c>
      <c r="I904" s="23"/>
      <c r="J904" s="21" t="s">
        <v>2528</v>
      </c>
      <c r="K904" s="120"/>
      <c r="L904" s="21" t="s">
        <v>2998</v>
      </c>
      <c r="M904" s="26">
        <v>43890</v>
      </c>
      <c r="N904" s="44">
        <v>14110</v>
      </c>
      <c r="O904" s="22" t="s">
        <v>15</v>
      </c>
      <c r="P904" s="22" t="s">
        <v>19</v>
      </c>
      <c r="Q904" s="44">
        <f t="shared" ref="Q904:Q934" si="61">IF(P904="en cours",N904,IF(P904="OK",0,IF(N904-P904&lt;0,0,N904-P904)))</f>
        <v>0</v>
      </c>
      <c r="R904" s="24">
        <f t="shared" ref="R904:R934" si="62">IF(P904="OK",N904-Q904,IF(P904="en cours",N904-Q904,P904))</f>
        <v>14110</v>
      </c>
      <c r="S904" s="5"/>
      <c r="T904" s="5"/>
    </row>
    <row r="905" spans="2:20" ht="15.75" hidden="1" x14ac:dyDescent="0.25">
      <c r="B905" s="21" t="s">
        <v>395</v>
      </c>
      <c r="C905" s="22" t="s">
        <v>2450</v>
      </c>
      <c r="D905" s="22"/>
      <c r="E905" s="21" t="s">
        <v>0</v>
      </c>
      <c r="F905" s="21"/>
      <c r="G905" s="147" t="s">
        <v>132</v>
      </c>
      <c r="H905" s="23" t="s">
        <v>2527</v>
      </c>
      <c r="I905" s="23"/>
      <c r="J905" s="21" t="s">
        <v>2529</v>
      </c>
      <c r="K905" s="120"/>
      <c r="L905" s="21" t="s">
        <v>2998</v>
      </c>
      <c r="M905" s="26">
        <v>43890</v>
      </c>
      <c r="N905" s="44">
        <v>5600</v>
      </c>
      <c r="O905" s="22" t="s">
        <v>15</v>
      </c>
      <c r="P905" s="22" t="s">
        <v>19</v>
      </c>
      <c r="Q905" s="44">
        <f t="shared" si="61"/>
        <v>0</v>
      </c>
      <c r="R905" s="24">
        <f t="shared" si="62"/>
        <v>5600</v>
      </c>
      <c r="S905" s="5"/>
      <c r="T905" s="5"/>
    </row>
    <row r="906" spans="2:20" ht="15.75" hidden="1" x14ac:dyDescent="0.25">
      <c r="B906" s="21" t="s">
        <v>395</v>
      </c>
      <c r="C906" s="22" t="s">
        <v>1940</v>
      </c>
      <c r="D906" s="22"/>
      <c r="E906" s="21" t="s">
        <v>10</v>
      </c>
      <c r="F906" s="21"/>
      <c r="G906" s="147" t="s">
        <v>2530</v>
      </c>
      <c r="H906" s="23" t="s">
        <v>2532</v>
      </c>
      <c r="I906" s="23"/>
      <c r="J906" s="21" t="s">
        <v>2531</v>
      </c>
      <c r="K906" s="120"/>
      <c r="L906" s="21" t="s">
        <v>2698</v>
      </c>
      <c r="M906" s="26">
        <v>43837</v>
      </c>
      <c r="N906" s="44">
        <v>12355.2</v>
      </c>
      <c r="O906" s="22" t="s">
        <v>15</v>
      </c>
      <c r="P906" s="22" t="s">
        <v>19</v>
      </c>
      <c r="Q906" s="44">
        <f t="shared" si="61"/>
        <v>0</v>
      </c>
      <c r="R906" s="24">
        <f t="shared" si="62"/>
        <v>12355.2</v>
      </c>
      <c r="S906" s="5"/>
      <c r="T906" s="5"/>
    </row>
    <row r="907" spans="2:20" ht="15.75" hidden="1" x14ac:dyDescent="0.25">
      <c r="B907" s="21" t="s">
        <v>395</v>
      </c>
      <c r="C907" s="22" t="s">
        <v>1940</v>
      </c>
      <c r="D907" s="22"/>
      <c r="E907" s="21" t="s">
        <v>75</v>
      </c>
      <c r="F907" s="21"/>
      <c r="G907" s="147" t="s">
        <v>2551</v>
      </c>
      <c r="H907" s="23" t="s">
        <v>2553</v>
      </c>
      <c r="I907" s="23"/>
      <c r="J907" s="21" t="s">
        <v>2552</v>
      </c>
      <c r="K907" s="120"/>
      <c r="L907" s="21" t="s">
        <v>2554</v>
      </c>
      <c r="M907" s="26">
        <v>43782</v>
      </c>
      <c r="N907" s="44">
        <v>1227.05</v>
      </c>
      <c r="O907" s="22" t="s">
        <v>15</v>
      </c>
      <c r="P907" s="22" t="s">
        <v>19</v>
      </c>
      <c r="Q907" s="44">
        <f t="shared" si="61"/>
        <v>0</v>
      </c>
      <c r="R907" s="24">
        <f t="shared" si="62"/>
        <v>1227.05</v>
      </c>
      <c r="S907" s="5" t="s">
        <v>2555</v>
      </c>
      <c r="T907" s="5"/>
    </row>
    <row r="908" spans="2:20" ht="15.75" hidden="1" x14ac:dyDescent="0.25">
      <c r="B908" s="21" t="s">
        <v>395</v>
      </c>
      <c r="C908" s="22" t="s">
        <v>1940</v>
      </c>
      <c r="D908" s="22"/>
      <c r="E908" s="21" t="s">
        <v>75</v>
      </c>
      <c r="F908" s="21"/>
      <c r="G908" s="147" t="s">
        <v>2551</v>
      </c>
      <c r="H908" s="23" t="s">
        <v>2553</v>
      </c>
      <c r="I908" s="23"/>
      <c r="J908" s="21" t="s">
        <v>2552</v>
      </c>
      <c r="K908" s="120"/>
      <c r="L908" s="21" t="s">
        <v>2669</v>
      </c>
      <c r="M908" s="26" t="s">
        <v>2670</v>
      </c>
      <c r="N908" s="44">
        <v>2001.3</v>
      </c>
      <c r="O908" s="22" t="s">
        <v>15</v>
      </c>
      <c r="P908" s="22">
        <f>1345.76+1287.43</f>
        <v>2633.19</v>
      </c>
      <c r="Q908" s="44">
        <f t="shared" si="61"/>
        <v>0</v>
      </c>
      <c r="R908" s="24">
        <f t="shared" si="62"/>
        <v>2633.19</v>
      </c>
      <c r="S908" s="5" t="s">
        <v>2555</v>
      </c>
      <c r="T908" s="5"/>
    </row>
    <row r="909" spans="2:20" ht="15.75" hidden="1" x14ac:dyDescent="0.25">
      <c r="B909" s="21" t="s">
        <v>395</v>
      </c>
      <c r="C909" s="22" t="s">
        <v>1940</v>
      </c>
      <c r="D909" s="22"/>
      <c r="E909" s="21" t="s">
        <v>75</v>
      </c>
      <c r="F909" s="21"/>
      <c r="G909" s="147" t="s">
        <v>2551</v>
      </c>
      <c r="H909" s="23" t="s">
        <v>2553</v>
      </c>
      <c r="I909" s="23"/>
      <c r="J909" s="21" t="s">
        <v>2552</v>
      </c>
      <c r="K909" s="120"/>
      <c r="L909" s="21" t="s">
        <v>2941</v>
      </c>
      <c r="M909" s="26">
        <v>43885</v>
      </c>
      <c r="N909" s="44">
        <v>1000</v>
      </c>
      <c r="O909" s="22" t="s">
        <v>15</v>
      </c>
      <c r="P909" s="22">
        <v>1043.75</v>
      </c>
      <c r="Q909" s="44">
        <f t="shared" si="61"/>
        <v>0</v>
      </c>
      <c r="R909" s="24">
        <f t="shared" si="62"/>
        <v>1043.75</v>
      </c>
      <c r="S909" s="5" t="s">
        <v>2555</v>
      </c>
      <c r="T909" s="5"/>
    </row>
    <row r="910" spans="2:20" ht="15.75" hidden="1" x14ac:dyDescent="0.25">
      <c r="B910" s="21" t="s">
        <v>395</v>
      </c>
      <c r="C910" s="22" t="s">
        <v>1940</v>
      </c>
      <c r="D910" s="22"/>
      <c r="E910" s="21" t="s">
        <v>75</v>
      </c>
      <c r="F910" s="21"/>
      <c r="G910" s="147" t="s">
        <v>2551</v>
      </c>
      <c r="H910" s="23" t="s">
        <v>2553</v>
      </c>
      <c r="I910" s="23"/>
      <c r="J910" s="21" t="s">
        <v>2552</v>
      </c>
      <c r="K910" s="120"/>
      <c r="L910" s="21" t="s">
        <v>2956</v>
      </c>
      <c r="M910" s="26">
        <v>43887</v>
      </c>
      <c r="N910" s="44">
        <v>1000</v>
      </c>
      <c r="O910" s="22" t="s">
        <v>15</v>
      </c>
      <c r="P910" s="22">
        <f>628.03+372.9</f>
        <v>1000.93</v>
      </c>
      <c r="Q910" s="44">
        <f t="shared" si="61"/>
        <v>0</v>
      </c>
      <c r="R910" s="24">
        <f t="shared" si="62"/>
        <v>1000.93</v>
      </c>
      <c r="S910" s="5" t="s">
        <v>2555</v>
      </c>
      <c r="T910" s="5"/>
    </row>
    <row r="911" spans="2:20" ht="15.75" hidden="1" x14ac:dyDescent="0.25">
      <c r="B911" s="21" t="s">
        <v>395</v>
      </c>
      <c r="C911" s="22" t="s">
        <v>1940</v>
      </c>
      <c r="D911" s="22"/>
      <c r="E911" s="21" t="s">
        <v>75</v>
      </c>
      <c r="F911" s="21"/>
      <c r="G911" s="147" t="s">
        <v>2551</v>
      </c>
      <c r="H911" s="23" t="s">
        <v>2553</v>
      </c>
      <c r="I911" s="23"/>
      <c r="J911" s="21" t="s">
        <v>2552</v>
      </c>
      <c r="K911" s="120"/>
      <c r="L911" s="21" t="s">
        <v>2959</v>
      </c>
      <c r="M911" s="26" t="s">
        <v>2960</v>
      </c>
      <c r="N911" s="44">
        <v>1000</v>
      </c>
      <c r="O911" s="22" t="s">
        <v>15</v>
      </c>
      <c r="P911" s="22">
        <f>502.91+497.09</f>
        <v>1000</v>
      </c>
      <c r="Q911" s="44">
        <f t="shared" si="61"/>
        <v>0</v>
      </c>
      <c r="R911" s="24">
        <f t="shared" si="62"/>
        <v>1000</v>
      </c>
      <c r="S911" s="5" t="s">
        <v>2555</v>
      </c>
      <c r="T911" s="5"/>
    </row>
    <row r="912" spans="2:20" ht="15.75" hidden="1" x14ac:dyDescent="0.25">
      <c r="B912" s="21" t="s">
        <v>395</v>
      </c>
      <c r="C912" s="22" t="s">
        <v>1940</v>
      </c>
      <c r="D912" s="22"/>
      <c r="E912" s="21" t="s">
        <v>75</v>
      </c>
      <c r="F912" s="21"/>
      <c r="G912" s="147" t="s">
        <v>2551</v>
      </c>
      <c r="H912" s="23" t="s">
        <v>2553</v>
      </c>
      <c r="I912" s="23"/>
      <c r="J912" s="21" t="s">
        <v>2552</v>
      </c>
      <c r="K912" s="120"/>
      <c r="L912" s="21" t="s">
        <v>3053</v>
      </c>
      <c r="M912" s="26" t="s">
        <v>3054</v>
      </c>
      <c r="N912" s="44">
        <v>1000</v>
      </c>
      <c r="O912" s="22" t="s">
        <v>15</v>
      </c>
      <c r="P912" s="22">
        <f>322.6+677.4</f>
        <v>1000</v>
      </c>
      <c r="Q912" s="44">
        <f t="shared" si="61"/>
        <v>0</v>
      </c>
      <c r="R912" s="24">
        <f t="shared" si="62"/>
        <v>1000</v>
      </c>
      <c r="S912" s="5" t="s">
        <v>2555</v>
      </c>
      <c r="T912" s="5"/>
    </row>
    <row r="913" spans="1:20" ht="15.75" hidden="1" x14ac:dyDescent="0.25">
      <c r="B913" s="21" t="s">
        <v>395</v>
      </c>
      <c r="C913" s="22" t="s">
        <v>1940</v>
      </c>
      <c r="D913" s="22"/>
      <c r="E913" s="21" t="s">
        <v>75</v>
      </c>
      <c r="F913" s="21"/>
      <c r="G913" s="147" t="s">
        <v>2551</v>
      </c>
      <c r="H913" s="23" t="s">
        <v>2553</v>
      </c>
      <c r="I913" s="23"/>
      <c r="J913" s="21" t="s">
        <v>2552</v>
      </c>
      <c r="K913" s="120"/>
      <c r="L913" s="21" t="s">
        <v>3055</v>
      </c>
      <c r="M913" s="26">
        <v>43917</v>
      </c>
      <c r="N913" s="44">
        <v>7960.54</v>
      </c>
      <c r="O913" s="22" t="s">
        <v>15</v>
      </c>
      <c r="P913" s="44">
        <f>472.88+1577.54+1302.86+1022.1+867.3+1548.26+1169.6</f>
        <v>7960.5400000000009</v>
      </c>
      <c r="Q913" s="44">
        <f t="shared" si="61"/>
        <v>0</v>
      </c>
      <c r="R913" s="24">
        <f t="shared" si="62"/>
        <v>7960.5400000000009</v>
      </c>
      <c r="S913" s="5" t="s">
        <v>2555</v>
      </c>
      <c r="T913" s="5"/>
    </row>
    <row r="914" spans="1:20" ht="15.75" hidden="1" x14ac:dyDescent="0.25">
      <c r="B914" s="21" t="s">
        <v>395</v>
      </c>
      <c r="C914" s="22" t="s">
        <v>1940</v>
      </c>
      <c r="D914" s="22"/>
      <c r="E914" s="21" t="s">
        <v>75</v>
      </c>
      <c r="F914" s="21"/>
      <c r="G914" s="147" t="s">
        <v>2551</v>
      </c>
      <c r="H914" s="23" t="s">
        <v>2553</v>
      </c>
      <c r="I914" s="23"/>
      <c r="J914" s="21" t="s">
        <v>2552</v>
      </c>
      <c r="K914" s="120"/>
      <c r="L914" s="21" t="s">
        <v>3193</v>
      </c>
      <c r="M914" s="26" t="s">
        <v>3194</v>
      </c>
      <c r="N914" s="44">
        <v>13507.46</v>
      </c>
      <c r="O914" s="22" t="s">
        <v>15</v>
      </c>
      <c r="P914" s="44">
        <f>955.76+983.84+1663.99+1935.91+965.02+1031.18+(1196.76+993.84+544.02)+(1114.58+1207.34+605.58)+819.89</f>
        <v>14017.71</v>
      </c>
      <c r="Q914" s="44">
        <f t="shared" si="61"/>
        <v>0</v>
      </c>
      <c r="R914" s="24">
        <f t="shared" si="62"/>
        <v>14017.71</v>
      </c>
      <c r="S914" s="5" t="s">
        <v>2555</v>
      </c>
      <c r="T914" s="5"/>
    </row>
    <row r="915" spans="1:20" ht="15.75" hidden="1" x14ac:dyDescent="0.25">
      <c r="B915" s="21" t="s">
        <v>395</v>
      </c>
      <c r="C915" s="22" t="s">
        <v>1940</v>
      </c>
      <c r="D915" s="22"/>
      <c r="E915" s="21" t="s">
        <v>75</v>
      </c>
      <c r="F915" s="21"/>
      <c r="G915" s="147" t="s">
        <v>2551</v>
      </c>
      <c r="H915" s="23" t="s">
        <v>2553</v>
      </c>
      <c r="I915" s="23"/>
      <c r="J915" s="21" t="s">
        <v>2552</v>
      </c>
      <c r="K915" s="120"/>
      <c r="L915" s="21" t="s">
        <v>3899</v>
      </c>
      <c r="M915" s="26" t="s">
        <v>3900</v>
      </c>
      <c r="N915" s="44">
        <v>20468</v>
      </c>
      <c r="O915" s="22" t="s">
        <v>15</v>
      </c>
      <c r="P915" s="44">
        <f>2361.04+1023.23+1301.42+713.52+687.66+819.69+1299.5+1410.47+1003.72+928.11+1215.5+1103.96+1188.35+1212.15+1665.04+1184.96+995.72+1015.18</f>
        <v>21129.22</v>
      </c>
      <c r="Q915" s="44">
        <f t="shared" si="61"/>
        <v>0</v>
      </c>
      <c r="R915" s="24">
        <f t="shared" si="62"/>
        <v>21129.22</v>
      </c>
      <c r="S915" s="5" t="s">
        <v>2555</v>
      </c>
      <c r="T915" s="5"/>
    </row>
    <row r="916" spans="1:20" ht="15.75" hidden="1" x14ac:dyDescent="0.25">
      <c r="B916" s="21" t="s">
        <v>395</v>
      </c>
      <c r="C916" s="22" t="s">
        <v>1940</v>
      </c>
      <c r="D916" s="22"/>
      <c r="E916" s="21" t="s">
        <v>75</v>
      </c>
      <c r="F916" s="21"/>
      <c r="G916" s="147" t="s">
        <v>2551</v>
      </c>
      <c r="H916" s="23" t="s">
        <v>2553</v>
      </c>
      <c r="I916" s="23"/>
      <c r="J916" s="21" t="s">
        <v>2552</v>
      </c>
      <c r="K916" s="120"/>
      <c r="L916" s="21" t="s">
        <v>4301</v>
      </c>
      <c r="M916" s="26" t="s">
        <v>4302</v>
      </c>
      <c r="N916" s="44">
        <v>20468</v>
      </c>
      <c r="O916" s="22" t="s">
        <v>15</v>
      </c>
      <c r="P916" s="44">
        <f>1364.08+952.45+1024.62+278.05+1104.65+1362.5+1525.61+1940+841.17+786.32+1037.95+1531.1+1161.05+794.25+734+1174.12+874.12+1335.5+1204.95+1900.71+1133.66+1802.91+1898.71+838.17+783.32+1174.17+505.6</f>
        <v>31063.739999999991</v>
      </c>
      <c r="Q916" s="44">
        <f t="shared" si="61"/>
        <v>0</v>
      </c>
      <c r="R916" s="24">
        <f t="shared" si="62"/>
        <v>31063.739999999991</v>
      </c>
      <c r="S916" s="5" t="s">
        <v>2555</v>
      </c>
      <c r="T916" s="5"/>
    </row>
    <row r="917" spans="1:20" ht="15.75" hidden="1" x14ac:dyDescent="0.25">
      <c r="A917" t="s">
        <v>6753</v>
      </c>
      <c r="B917" s="21" t="s">
        <v>395</v>
      </c>
      <c r="C917" s="22" t="s">
        <v>1940</v>
      </c>
      <c r="D917" s="22"/>
      <c r="E917" s="21" t="s">
        <v>75</v>
      </c>
      <c r="F917" s="21"/>
      <c r="G917" s="147" t="s">
        <v>98</v>
      </c>
      <c r="H917" s="23" t="s">
        <v>2556</v>
      </c>
      <c r="I917" s="23"/>
      <c r="J917" s="21" t="s">
        <v>2557</v>
      </c>
      <c r="K917" s="120"/>
      <c r="L917" s="21" t="s">
        <v>2696</v>
      </c>
      <c r="M917" s="26">
        <v>43830</v>
      </c>
      <c r="N917" s="44">
        <v>272.98</v>
      </c>
      <c r="O917" s="22" t="s">
        <v>15</v>
      </c>
      <c r="P917" s="22" t="s">
        <v>19</v>
      </c>
      <c r="Q917" s="44">
        <f t="shared" si="61"/>
        <v>0</v>
      </c>
      <c r="R917" s="24">
        <f t="shared" si="62"/>
        <v>272.98</v>
      </c>
      <c r="S917" s="5"/>
      <c r="T917" s="5"/>
    </row>
    <row r="918" spans="1:20" ht="15.75" hidden="1" x14ac:dyDescent="0.25">
      <c r="A918" t="s">
        <v>6753</v>
      </c>
      <c r="B918" s="21" t="s">
        <v>395</v>
      </c>
      <c r="C918" s="22" t="s">
        <v>1940</v>
      </c>
      <c r="D918" s="22"/>
      <c r="E918" s="21" t="s">
        <v>75</v>
      </c>
      <c r="F918" s="21"/>
      <c r="G918" s="147" t="s">
        <v>98</v>
      </c>
      <c r="H918" s="23" t="s">
        <v>2556</v>
      </c>
      <c r="I918" s="23"/>
      <c r="J918" s="21" t="s">
        <v>2558</v>
      </c>
      <c r="K918" s="120"/>
      <c r="L918" s="21" t="s">
        <v>2696</v>
      </c>
      <c r="M918" s="26">
        <v>43830</v>
      </c>
      <c r="N918" s="44">
        <f>123.6+505.32</f>
        <v>628.91999999999996</v>
      </c>
      <c r="O918" s="22" t="s">
        <v>15</v>
      </c>
      <c r="P918" s="22" t="s">
        <v>19</v>
      </c>
      <c r="Q918" s="44">
        <f t="shared" si="61"/>
        <v>0</v>
      </c>
      <c r="R918" s="24">
        <f t="shared" si="62"/>
        <v>628.91999999999996</v>
      </c>
      <c r="S918" s="5"/>
      <c r="T918" s="5"/>
    </row>
    <row r="919" spans="1:20" ht="15.75" hidden="1" x14ac:dyDescent="0.25">
      <c r="A919" t="s">
        <v>6753</v>
      </c>
      <c r="B919" s="21" t="s">
        <v>395</v>
      </c>
      <c r="C919" s="22" t="s">
        <v>1940</v>
      </c>
      <c r="D919" s="22"/>
      <c r="E919" s="21" t="s">
        <v>75</v>
      </c>
      <c r="F919" s="21"/>
      <c r="G919" s="147" t="s">
        <v>98</v>
      </c>
      <c r="H919" s="23" t="s">
        <v>2556</v>
      </c>
      <c r="I919" s="23"/>
      <c r="J919" s="21" t="s">
        <v>2559</v>
      </c>
      <c r="K919" s="120"/>
      <c r="L919" s="21" t="s">
        <v>2696</v>
      </c>
      <c r="M919" s="26">
        <v>43830</v>
      </c>
      <c r="N919" s="44">
        <v>37.200000000000003</v>
      </c>
      <c r="O919" s="22" t="s">
        <v>15</v>
      </c>
      <c r="P919" s="22" t="s">
        <v>19</v>
      </c>
      <c r="Q919" s="44">
        <f t="shared" si="61"/>
        <v>0</v>
      </c>
      <c r="R919" s="24">
        <f t="shared" si="62"/>
        <v>37.200000000000003</v>
      </c>
      <c r="S919" s="5"/>
      <c r="T919" s="5"/>
    </row>
    <row r="920" spans="1:20" ht="15.75" hidden="1" x14ac:dyDescent="0.25">
      <c r="A920" t="s">
        <v>6753</v>
      </c>
      <c r="B920" s="21" t="s">
        <v>395</v>
      </c>
      <c r="C920" s="22" t="s">
        <v>1940</v>
      </c>
      <c r="D920" s="22"/>
      <c r="E920" s="21" t="s">
        <v>75</v>
      </c>
      <c r="F920" s="21"/>
      <c r="G920" s="147" t="s">
        <v>98</v>
      </c>
      <c r="H920" s="23" t="s">
        <v>2556</v>
      </c>
      <c r="I920" s="23"/>
      <c r="J920" s="21" t="s">
        <v>2560</v>
      </c>
      <c r="K920" s="120"/>
      <c r="L920" s="21" t="s">
        <v>2696</v>
      </c>
      <c r="M920" s="26">
        <v>43830</v>
      </c>
      <c r="N920" s="44">
        <v>68.239999999999995</v>
      </c>
      <c r="O920" s="22" t="s">
        <v>15</v>
      </c>
      <c r="P920" s="22" t="s">
        <v>19</v>
      </c>
      <c r="Q920" s="44">
        <f t="shared" si="61"/>
        <v>0</v>
      </c>
      <c r="R920" s="24">
        <f t="shared" si="62"/>
        <v>68.239999999999995</v>
      </c>
      <c r="S920" s="5"/>
      <c r="T920" s="5"/>
    </row>
    <row r="921" spans="1:20" ht="15.75" hidden="1" x14ac:dyDescent="0.25">
      <c r="A921" t="s">
        <v>6753</v>
      </c>
      <c r="B921" s="21" t="s">
        <v>395</v>
      </c>
      <c r="C921" s="22" t="s">
        <v>1940</v>
      </c>
      <c r="D921" s="22"/>
      <c r="E921" s="21" t="s">
        <v>75</v>
      </c>
      <c r="F921" s="21"/>
      <c r="G921" s="147" t="s">
        <v>98</v>
      </c>
      <c r="H921" s="23" t="s">
        <v>2556</v>
      </c>
      <c r="I921" s="23"/>
      <c r="J921" s="21" t="s">
        <v>2561</v>
      </c>
      <c r="K921" s="120"/>
      <c r="L921" s="21" t="s">
        <v>2696</v>
      </c>
      <c r="M921" s="26">
        <v>43830</v>
      </c>
      <c r="N921" s="44">
        <v>37.42</v>
      </c>
      <c r="O921" s="22" t="s">
        <v>15</v>
      </c>
      <c r="P921" s="22" t="s">
        <v>19</v>
      </c>
      <c r="Q921" s="44">
        <f t="shared" si="61"/>
        <v>0</v>
      </c>
      <c r="R921" s="24">
        <f t="shared" si="62"/>
        <v>37.42</v>
      </c>
      <c r="S921" s="5"/>
      <c r="T921" s="5"/>
    </row>
    <row r="922" spans="1:20" ht="15.75" hidden="1" x14ac:dyDescent="0.25">
      <c r="A922" t="s">
        <v>6753</v>
      </c>
      <c r="B922" s="21" t="s">
        <v>395</v>
      </c>
      <c r="C922" s="22" t="s">
        <v>1940</v>
      </c>
      <c r="D922" s="22"/>
      <c r="E922" s="21" t="s">
        <v>75</v>
      </c>
      <c r="F922" s="21"/>
      <c r="G922" s="147" t="s">
        <v>98</v>
      </c>
      <c r="H922" s="23" t="s">
        <v>2556</v>
      </c>
      <c r="I922" s="23"/>
      <c r="J922" s="21" t="s">
        <v>2562</v>
      </c>
      <c r="K922" s="120"/>
      <c r="L922" s="21" t="s">
        <v>2696</v>
      </c>
      <c r="M922" s="26">
        <v>43830</v>
      </c>
      <c r="N922" s="44">
        <f>4.25+44.67</f>
        <v>48.92</v>
      </c>
      <c r="O922" s="22" t="s">
        <v>15</v>
      </c>
      <c r="P922" s="22" t="s">
        <v>19</v>
      </c>
      <c r="Q922" s="44">
        <f t="shared" si="61"/>
        <v>0</v>
      </c>
      <c r="R922" s="24">
        <f t="shared" si="62"/>
        <v>48.92</v>
      </c>
      <c r="S922" s="5"/>
      <c r="T922" s="5"/>
    </row>
    <row r="923" spans="1:20" ht="15.75" hidden="1" x14ac:dyDescent="0.25">
      <c r="A923" t="s">
        <v>6753</v>
      </c>
      <c r="B923" s="21" t="s">
        <v>395</v>
      </c>
      <c r="C923" s="22" t="s">
        <v>1940</v>
      </c>
      <c r="D923" s="22"/>
      <c r="E923" s="21" t="s">
        <v>75</v>
      </c>
      <c r="F923" s="21"/>
      <c r="G923" s="147" t="s">
        <v>98</v>
      </c>
      <c r="H923" s="23" t="s">
        <v>2556</v>
      </c>
      <c r="I923" s="23"/>
      <c r="J923" s="21" t="s">
        <v>2563</v>
      </c>
      <c r="K923" s="120"/>
      <c r="L923" s="21"/>
      <c r="M923" s="26"/>
      <c r="N923" s="44">
        <v>0</v>
      </c>
      <c r="O923" s="22" t="s">
        <v>15</v>
      </c>
      <c r="P923" s="22"/>
      <c r="Q923" s="44">
        <f t="shared" si="61"/>
        <v>0</v>
      </c>
      <c r="R923" s="24">
        <f t="shared" si="62"/>
        <v>0</v>
      </c>
      <c r="S923" s="5"/>
      <c r="T923" s="5"/>
    </row>
    <row r="924" spans="1:20" ht="15.75" hidden="1" x14ac:dyDescent="0.25">
      <c r="B924" s="21" t="s">
        <v>395</v>
      </c>
      <c r="C924" s="22" t="s">
        <v>2568</v>
      </c>
      <c r="D924" s="22"/>
      <c r="E924" s="21" t="s">
        <v>10</v>
      </c>
      <c r="F924" s="21"/>
      <c r="G924" s="147" t="s">
        <v>2567</v>
      </c>
      <c r="H924" s="23" t="s">
        <v>2569</v>
      </c>
      <c r="I924" s="23"/>
      <c r="J924" s="21" t="s">
        <v>2570</v>
      </c>
      <c r="K924" s="120"/>
      <c r="L924" s="21" t="s">
        <v>3613</v>
      </c>
      <c r="M924" s="26">
        <v>44044</v>
      </c>
      <c r="N924" s="44">
        <v>40000</v>
      </c>
      <c r="O924" s="22" t="s">
        <v>15</v>
      </c>
      <c r="P924" s="22" t="s">
        <v>19</v>
      </c>
      <c r="Q924" s="24">
        <f t="shared" si="61"/>
        <v>0</v>
      </c>
      <c r="R924" s="24">
        <f t="shared" si="62"/>
        <v>40000</v>
      </c>
      <c r="S924" s="5"/>
      <c r="T924" s="5"/>
    </row>
    <row r="925" spans="1:20" ht="15.75" hidden="1" x14ac:dyDescent="0.25">
      <c r="B925" s="21" t="s">
        <v>395</v>
      </c>
      <c r="C925" s="22" t="s">
        <v>2568</v>
      </c>
      <c r="D925" s="22"/>
      <c r="E925" s="21" t="s">
        <v>10</v>
      </c>
      <c r="F925" s="21"/>
      <c r="G925" s="147" t="s">
        <v>2567</v>
      </c>
      <c r="H925" s="23" t="s">
        <v>2569</v>
      </c>
      <c r="I925" s="23"/>
      <c r="J925" s="21" t="s">
        <v>2571</v>
      </c>
      <c r="K925" s="120"/>
      <c r="L925" s="21" t="s">
        <v>4240</v>
      </c>
      <c r="M925" s="26">
        <v>44176</v>
      </c>
      <c r="N925" s="44">
        <v>40000</v>
      </c>
      <c r="O925" s="22" t="s">
        <v>15</v>
      </c>
      <c r="P925" s="22" t="s">
        <v>19</v>
      </c>
      <c r="Q925" s="24">
        <f t="shared" si="61"/>
        <v>0</v>
      </c>
      <c r="R925" s="24">
        <f t="shared" si="62"/>
        <v>40000</v>
      </c>
      <c r="S925" s="5"/>
      <c r="T925" s="5"/>
    </row>
    <row r="926" spans="1:20" ht="15.75" hidden="1" x14ac:dyDescent="0.25">
      <c r="B926" s="21" t="s">
        <v>395</v>
      </c>
      <c r="C926" s="22" t="s">
        <v>2568</v>
      </c>
      <c r="D926" s="22"/>
      <c r="E926" s="21" t="s">
        <v>10</v>
      </c>
      <c r="F926" s="21"/>
      <c r="G926" s="147" t="s">
        <v>2567</v>
      </c>
      <c r="H926" s="23" t="s">
        <v>2569</v>
      </c>
      <c r="I926" s="23"/>
      <c r="J926" s="21" t="s">
        <v>2572</v>
      </c>
      <c r="K926" s="120">
        <v>44531</v>
      </c>
      <c r="L926" s="21" t="s">
        <v>7445</v>
      </c>
      <c r="M926" s="26">
        <v>44533</v>
      </c>
      <c r="N926" s="44">
        <v>40000</v>
      </c>
      <c r="O926" s="22" t="s">
        <v>15</v>
      </c>
      <c r="P926" s="22" t="s">
        <v>19</v>
      </c>
      <c r="Q926" s="24">
        <f t="shared" si="61"/>
        <v>0</v>
      </c>
      <c r="R926" s="24">
        <f t="shared" si="62"/>
        <v>40000</v>
      </c>
      <c r="S926" s="5"/>
      <c r="T926" s="5"/>
    </row>
    <row r="927" spans="1:20" ht="15.75" hidden="1" x14ac:dyDescent="0.25">
      <c r="B927" s="21" t="s">
        <v>395</v>
      </c>
      <c r="C927" s="22" t="s">
        <v>2450</v>
      </c>
      <c r="D927" s="22" t="s">
        <v>1756</v>
      </c>
      <c r="E927" s="21" t="s">
        <v>10</v>
      </c>
      <c r="F927" s="21"/>
      <c r="G927" s="147" t="s">
        <v>110</v>
      </c>
      <c r="H927" s="23" t="s">
        <v>4019</v>
      </c>
      <c r="I927" s="23"/>
      <c r="J927" s="21" t="s">
        <v>2888</v>
      </c>
      <c r="K927" s="120"/>
      <c r="L927" s="21" t="s">
        <v>2765</v>
      </c>
      <c r="M927" s="26">
        <v>43840</v>
      </c>
      <c r="N927" s="185">
        <v>166700</v>
      </c>
      <c r="O927" s="22" t="s">
        <v>15</v>
      </c>
      <c r="P927" s="22" t="s">
        <v>19</v>
      </c>
      <c r="Q927" s="24">
        <f t="shared" si="61"/>
        <v>0</v>
      </c>
      <c r="R927" s="24">
        <f t="shared" si="62"/>
        <v>166700</v>
      </c>
      <c r="S927" s="5"/>
      <c r="T927" s="5"/>
    </row>
    <row r="928" spans="1:20" ht="15.75" hidden="1" x14ac:dyDescent="0.25">
      <c r="A928" t="s">
        <v>6753</v>
      </c>
      <c r="B928" s="21" t="s">
        <v>395</v>
      </c>
      <c r="C928" s="22" t="s">
        <v>2462</v>
      </c>
      <c r="D928" s="22"/>
      <c r="E928" s="21" t="s">
        <v>75</v>
      </c>
      <c r="F928" s="21"/>
      <c r="G928" s="147" t="s">
        <v>98</v>
      </c>
      <c r="H928" s="23" t="s">
        <v>2615</v>
      </c>
      <c r="I928" s="23"/>
      <c r="J928" s="21" t="s">
        <v>2616</v>
      </c>
      <c r="K928" s="13"/>
      <c r="L928" s="21" t="s">
        <v>2694</v>
      </c>
      <c r="M928" s="26">
        <v>43830</v>
      </c>
      <c r="N928" s="44">
        <v>272.98</v>
      </c>
      <c r="O928" s="22" t="s">
        <v>15</v>
      </c>
      <c r="P928" s="22" t="s">
        <v>19</v>
      </c>
      <c r="Q928" s="44">
        <f t="shared" si="61"/>
        <v>0</v>
      </c>
      <c r="R928" s="24">
        <f t="shared" si="62"/>
        <v>272.98</v>
      </c>
      <c r="S928" s="5"/>
      <c r="T928" s="5"/>
    </row>
    <row r="929" spans="1:20" ht="15.75" hidden="1" x14ac:dyDescent="0.25">
      <c r="A929" t="s">
        <v>6753</v>
      </c>
      <c r="B929" s="21" t="s">
        <v>395</v>
      </c>
      <c r="C929" s="22" t="s">
        <v>2462</v>
      </c>
      <c r="D929" s="22"/>
      <c r="E929" s="21" t="s">
        <v>75</v>
      </c>
      <c r="F929" s="21"/>
      <c r="G929" s="147" t="s">
        <v>98</v>
      </c>
      <c r="H929" s="23" t="s">
        <v>2615</v>
      </c>
      <c r="I929" s="23"/>
      <c r="J929" s="21" t="s">
        <v>2617</v>
      </c>
      <c r="K929" s="13"/>
      <c r="L929" s="21" t="s">
        <v>2694</v>
      </c>
      <c r="M929" s="26">
        <v>43830</v>
      </c>
      <c r="N929" s="44">
        <f>247.2+2237.88</f>
        <v>2485.08</v>
      </c>
      <c r="O929" s="22" t="s">
        <v>15</v>
      </c>
      <c r="P929" s="22" t="s">
        <v>19</v>
      </c>
      <c r="Q929" s="44">
        <f t="shared" si="61"/>
        <v>0</v>
      </c>
      <c r="R929" s="24">
        <f t="shared" si="62"/>
        <v>2485.08</v>
      </c>
      <c r="S929" s="5"/>
      <c r="T929" s="5"/>
    </row>
    <row r="930" spans="1:20" ht="15.75" hidden="1" x14ac:dyDescent="0.25">
      <c r="A930" t="s">
        <v>6753</v>
      </c>
      <c r="B930" s="21" t="s">
        <v>395</v>
      </c>
      <c r="C930" s="22" t="s">
        <v>2462</v>
      </c>
      <c r="D930" s="22"/>
      <c r="E930" s="21" t="s">
        <v>75</v>
      </c>
      <c r="F930" s="21"/>
      <c r="G930" s="147" t="s">
        <v>98</v>
      </c>
      <c r="H930" s="23" t="s">
        <v>2615</v>
      </c>
      <c r="I930" s="23"/>
      <c r="J930" s="21" t="s">
        <v>2618</v>
      </c>
      <c r="K930" s="13"/>
      <c r="L930" s="21" t="s">
        <v>2694</v>
      </c>
      <c r="M930" s="26">
        <v>43830</v>
      </c>
      <c r="N930" s="44">
        <v>311.82</v>
      </c>
      <c r="O930" s="22" t="s">
        <v>15</v>
      </c>
      <c r="P930" s="22">
        <v>557.52</v>
      </c>
      <c r="Q930" s="44">
        <f t="shared" si="61"/>
        <v>0</v>
      </c>
      <c r="R930" s="24">
        <f t="shared" si="62"/>
        <v>557.52</v>
      </c>
      <c r="S930" s="5"/>
      <c r="T930" s="5"/>
    </row>
    <row r="931" spans="1:20" ht="15.75" hidden="1" x14ac:dyDescent="0.25">
      <c r="A931" t="s">
        <v>6753</v>
      </c>
      <c r="B931" s="21" t="s">
        <v>395</v>
      </c>
      <c r="C931" s="22" t="s">
        <v>2462</v>
      </c>
      <c r="D931" s="22"/>
      <c r="E931" s="21" t="s">
        <v>75</v>
      </c>
      <c r="F931" s="21"/>
      <c r="G931" s="147" t="s">
        <v>98</v>
      </c>
      <c r="H931" s="23" t="s">
        <v>2615</v>
      </c>
      <c r="I931" s="23"/>
      <c r="J931" s="21" t="s">
        <v>2619</v>
      </c>
      <c r="K931" s="13"/>
      <c r="L931" s="21" t="s">
        <v>2694</v>
      </c>
      <c r="M931" s="26">
        <v>43830</v>
      </c>
      <c r="N931" s="44">
        <v>370.63</v>
      </c>
      <c r="O931" s="22" t="s">
        <v>15</v>
      </c>
      <c r="P931" s="22">
        <v>476.97</v>
      </c>
      <c r="Q931" s="44">
        <f t="shared" si="61"/>
        <v>0</v>
      </c>
      <c r="R931" s="24">
        <f t="shared" si="62"/>
        <v>476.97</v>
      </c>
      <c r="S931" s="5"/>
      <c r="T931" s="5"/>
    </row>
    <row r="932" spans="1:20" ht="15.75" hidden="1" x14ac:dyDescent="0.25">
      <c r="B932" s="21" t="s">
        <v>395</v>
      </c>
      <c r="C932" s="22" t="s">
        <v>2450</v>
      </c>
      <c r="D932" s="22"/>
      <c r="E932" s="21" t="s">
        <v>729</v>
      </c>
      <c r="F932" s="21"/>
      <c r="G932" s="147" t="s">
        <v>2416</v>
      </c>
      <c r="H932" s="23" t="s">
        <v>2641</v>
      </c>
      <c r="I932" s="23"/>
      <c r="J932" s="21" t="s">
        <v>2640</v>
      </c>
      <c r="K932" s="120"/>
      <c r="L932" s="21" t="s">
        <v>2644</v>
      </c>
      <c r="M932" s="26">
        <v>43816</v>
      </c>
      <c r="N932" s="44">
        <v>500</v>
      </c>
      <c r="O932" s="22" t="s">
        <v>15</v>
      </c>
      <c r="P932" s="22" t="s">
        <v>19</v>
      </c>
      <c r="Q932" s="24">
        <f t="shared" si="61"/>
        <v>0</v>
      </c>
      <c r="R932" s="24">
        <f t="shared" si="62"/>
        <v>500</v>
      </c>
      <c r="S932" s="5"/>
      <c r="T932" s="5"/>
    </row>
    <row r="933" spans="1:20" ht="15.75" hidden="1" x14ac:dyDescent="0.25">
      <c r="B933" s="21" t="s">
        <v>395</v>
      </c>
      <c r="C933" s="22" t="s">
        <v>2450</v>
      </c>
      <c r="D933" s="22"/>
      <c r="E933" s="21" t="s">
        <v>729</v>
      </c>
      <c r="F933" s="21"/>
      <c r="G933" s="147" t="s">
        <v>1517</v>
      </c>
      <c r="H933" s="23" t="s">
        <v>2648</v>
      </c>
      <c r="I933" s="23"/>
      <c r="J933" s="21" t="s">
        <v>2646</v>
      </c>
      <c r="K933" s="13"/>
      <c r="L933" s="21" t="s">
        <v>4353</v>
      </c>
      <c r="M933" s="26">
        <v>44218</v>
      </c>
      <c r="N933" s="44">
        <f>0.5*3000</f>
        <v>1500</v>
      </c>
      <c r="O933" s="22" t="s">
        <v>15</v>
      </c>
      <c r="P933" s="44" t="s">
        <v>19</v>
      </c>
      <c r="Q933" s="24">
        <f t="shared" si="61"/>
        <v>0</v>
      </c>
      <c r="R933" s="24">
        <f t="shared" si="62"/>
        <v>1500</v>
      </c>
      <c r="S933" s="21"/>
      <c r="T933" s="5"/>
    </row>
    <row r="934" spans="1:20" ht="15.75" hidden="1" x14ac:dyDescent="0.25">
      <c r="B934" s="21" t="s">
        <v>395</v>
      </c>
      <c r="C934" s="22" t="s">
        <v>2450</v>
      </c>
      <c r="D934" s="22"/>
      <c r="E934" s="21" t="s">
        <v>729</v>
      </c>
      <c r="F934" s="21"/>
      <c r="G934" s="147" t="s">
        <v>1517</v>
      </c>
      <c r="H934" s="23" t="s">
        <v>2649</v>
      </c>
      <c r="I934" s="23"/>
      <c r="J934" s="21" t="s">
        <v>2647</v>
      </c>
      <c r="K934" s="13"/>
      <c r="L934" s="21" t="s">
        <v>4353</v>
      </c>
      <c r="M934" s="26">
        <v>44218</v>
      </c>
      <c r="N934" s="44">
        <f>0.5*3000</f>
        <v>1500</v>
      </c>
      <c r="O934" s="22" t="s">
        <v>15</v>
      </c>
      <c r="P934" s="44" t="s">
        <v>19</v>
      </c>
      <c r="Q934" s="24">
        <f t="shared" si="61"/>
        <v>0</v>
      </c>
      <c r="R934" s="24">
        <f t="shared" si="62"/>
        <v>1500</v>
      </c>
      <c r="S934" s="21"/>
      <c r="T934" s="5"/>
    </row>
    <row r="935" spans="1:20" ht="15.75" hidden="1" x14ac:dyDescent="0.25">
      <c r="B935" s="21" t="s">
        <v>395</v>
      </c>
      <c r="C935" s="22" t="s">
        <v>2450</v>
      </c>
      <c r="D935" s="22"/>
      <c r="E935" s="21" t="s">
        <v>10</v>
      </c>
      <c r="F935" s="21"/>
      <c r="G935" s="147" t="s">
        <v>110</v>
      </c>
      <c r="H935" s="23" t="s">
        <v>4017</v>
      </c>
      <c r="I935" s="23"/>
      <c r="J935" s="21" t="s">
        <v>2657</v>
      </c>
      <c r="K935" s="120"/>
      <c r="L935" s="21" t="s">
        <v>2764</v>
      </c>
      <c r="M935" s="26">
        <v>43840</v>
      </c>
      <c r="N935" s="185">
        <v>21530</v>
      </c>
      <c r="O935" s="22" t="s">
        <v>15</v>
      </c>
      <c r="P935" s="22" t="s">
        <v>19</v>
      </c>
      <c r="Q935" s="24">
        <f>IF(P935="en cours",N935,IF(P935="OK",0,IF(N935-P935&lt;0,0,N935-P935)))</f>
        <v>0</v>
      </c>
      <c r="R935" s="24">
        <f>IF(P935="OK",N935-Q935,IF(P935="en cours",N935-Q935,P935))</f>
        <v>21530</v>
      </c>
      <c r="S935" s="5" t="s">
        <v>2693</v>
      </c>
      <c r="T935" s="5"/>
    </row>
    <row r="936" spans="1:20" ht="15.75" hidden="1" x14ac:dyDescent="0.25">
      <c r="B936" s="21" t="s">
        <v>395</v>
      </c>
      <c r="C936" s="22" t="s">
        <v>2450</v>
      </c>
      <c r="D936" s="22"/>
      <c r="E936" s="21" t="s">
        <v>10</v>
      </c>
      <c r="F936" s="21"/>
      <c r="G936" s="147" t="s">
        <v>2679</v>
      </c>
      <c r="H936" s="23" t="s">
        <v>2680</v>
      </c>
      <c r="I936" s="23"/>
      <c r="J936" s="21" t="s">
        <v>2681</v>
      </c>
      <c r="K936" s="120"/>
      <c r="L936" s="21" t="s">
        <v>2803</v>
      </c>
      <c r="M936" s="26" t="s">
        <v>2804</v>
      </c>
      <c r="N936" s="44">
        <v>7353.9</v>
      </c>
      <c r="O936" s="22" t="s">
        <v>15</v>
      </c>
      <c r="P936" s="22">
        <f>6725.7+628.2</f>
        <v>7353.9</v>
      </c>
      <c r="Q936" s="44">
        <f t="shared" ref="Q936:Q963" si="63">IF(P936="en cours",N936,IF(P936="OK",0,IF(N936-P936&lt;0,0,N936-P936)))</f>
        <v>0</v>
      </c>
      <c r="R936" s="24">
        <f>IF(P936="OK",M936-Q936,IF(P936="en cours",M936-Q936,P936))</f>
        <v>7353.9</v>
      </c>
      <c r="S936" s="5"/>
      <c r="T936" s="5"/>
    </row>
    <row r="937" spans="1:20" ht="15.75" hidden="1" x14ac:dyDescent="0.25">
      <c r="B937" s="21" t="s">
        <v>395</v>
      </c>
      <c r="C937" s="22" t="s">
        <v>2450</v>
      </c>
      <c r="D937" s="22"/>
      <c r="E937" s="21" t="s">
        <v>10</v>
      </c>
      <c r="F937" s="21"/>
      <c r="G937" s="147" t="s">
        <v>2679</v>
      </c>
      <c r="H937" s="23" t="s">
        <v>2680</v>
      </c>
      <c r="I937" s="23"/>
      <c r="J937" s="21" t="s">
        <v>2682</v>
      </c>
      <c r="K937" s="120"/>
      <c r="L937" s="21" t="s">
        <v>2738</v>
      </c>
      <c r="M937" s="26">
        <v>43843</v>
      </c>
      <c r="N937" s="44">
        <v>147</v>
      </c>
      <c r="O937" s="22" t="s">
        <v>15</v>
      </c>
      <c r="P937" s="22" t="s">
        <v>19</v>
      </c>
      <c r="Q937" s="44">
        <f t="shared" si="63"/>
        <v>0</v>
      </c>
      <c r="R937" s="24">
        <f>IF(P937="OK",M937-Q937,IF(P937="en cours",M937-Q937,P937))</f>
        <v>43843</v>
      </c>
      <c r="S937" s="5"/>
      <c r="T937" s="5"/>
    </row>
    <row r="938" spans="1:20" ht="15.75" hidden="1" x14ac:dyDescent="0.25">
      <c r="B938" s="21" t="s">
        <v>395</v>
      </c>
      <c r="C938" s="22" t="s">
        <v>1940</v>
      </c>
      <c r="D938" s="22"/>
      <c r="E938" s="21" t="s">
        <v>75</v>
      </c>
      <c r="F938" s="21"/>
      <c r="G938" s="147" t="s">
        <v>2551</v>
      </c>
      <c r="H938" s="23" t="s">
        <v>2740</v>
      </c>
      <c r="I938" s="23"/>
      <c r="J938" s="21" t="s">
        <v>2683</v>
      </c>
      <c r="K938" s="120"/>
      <c r="L938" s="21" t="s">
        <v>2953</v>
      </c>
      <c r="M938" s="26">
        <v>43851</v>
      </c>
      <c r="N938" s="44">
        <v>1469.22</v>
      </c>
      <c r="O938" s="22" t="s">
        <v>15</v>
      </c>
      <c r="P938" s="22">
        <v>1478.2</v>
      </c>
      <c r="Q938" s="44">
        <f t="shared" si="63"/>
        <v>0</v>
      </c>
      <c r="R938" s="24">
        <f>IF(P938="OK",M938-Q938,IF(P938="en cours",M938-Q938,P938))</f>
        <v>1478.2</v>
      </c>
      <c r="S938" s="5"/>
      <c r="T938" s="5"/>
    </row>
    <row r="939" spans="1:20" ht="15.75" hidden="1" x14ac:dyDescent="0.25">
      <c r="B939" s="21" t="s">
        <v>395</v>
      </c>
      <c r="C939" s="22" t="s">
        <v>2450</v>
      </c>
      <c r="D939" s="22"/>
      <c r="E939" s="21" t="s">
        <v>10</v>
      </c>
      <c r="F939" s="21"/>
      <c r="G939" s="147" t="s">
        <v>1207</v>
      </c>
      <c r="H939" s="23" t="s">
        <v>2685</v>
      </c>
      <c r="I939" s="23"/>
      <c r="J939" s="21" t="s">
        <v>2686</v>
      </c>
      <c r="K939" s="13"/>
      <c r="L939" s="21" t="s">
        <v>2768</v>
      </c>
      <c r="M939" s="26">
        <v>43857</v>
      </c>
      <c r="N939" s="44">
        <v>170</v>
      </c>
      <c r="O939" s="22" t="s">
        <v>15</v>
      </c>
      <c r="P939" s="44" t="s">
        <v>19</v>
      </c>
      <c r="Q939" s="24">
        <f t="shared" si="63"/>
        <v>0</v>
      </c>
      <c r="R939" s="24">
        <f t="shared" ref="R939:R1002" si="64">IF(P939="OK",N939-Q939,IF(P939="en cours",N939-Q939,P939))</f>
        <v>170</v>
      </c>
      <c r="S939" s="5"/>
      <c r="T939" s="5"/>
    </row>
    <row r="940" spans="1:20" ht="15.75" hidden="1" x14ac:dyDescent="0.25">
      <c r="B940" s="21" t="s">
        <v>395</v>
      </c>
      <c r="C940" s="22" t="s">
        <v>2450</v>
      </c>
      <c r="D940" s="22"/>
      <c r="E940" s="21" t="s">
        <v>10</v>
      </c>
      <c r="F940" s="21"/>
      <c r="G940" s="147" t="s">
        <v>2416</v>
      </c>
      <c r="H940" s="23" t="s">
        <v>3365</v>
      </c>
      <c r="I940" s="23"/>
      <c r="J940" s="21" t="s">
        <v>2887</v>
      </c>
      <c r="K940" s="120"/>
      <c r="L940" s="21" t="s">
        <v>2883</v>
      </c>
      <c r="M940" s="26">
        <v>43866</v>
      </c>
      <c r="N940" s="44">
        <v>70324</v>
      </c>
      <c r="O940" s="22" t="s">
        <v>15</v>
      </c>
      <c r="P940" s="22" t="s">
        <v>19</v>
      </c>
      <c r="Q940" s="24">
        <f t="shared" si="63"/>
        <v>0</v>
      </c>
      <c r="R940" s="24">
        <f t="shared" si="64"/>
        <v>70324</v>
      </c>
      <c r="S940" s="5" t="s">
        <v>2693</v>
      </c>
      <c r="T940" s="5"/>
    </row>
    <row r="941" spans="1:20" ht="15.75" hidden="1" x14ac:dyDescent="0.25">
      <c r="B941" s="21" t="s">
        <v>395</v>
      </c>
      <c r="C941" s="22" t="s">
        <v>2450</v>
      </c>
      <c r="D941" s="22"/>
      <c r="E941" s="21" t="s">
        <v>10</v>
      </c>
      <c r="F941" s="21"/>
      <c r="G941" s="147" t="s">
        <v>110</v>
      </c>
      <c r="H941" s="23" t="s">
        <v>4018</v>
      </c>
      <c r="I941" s="23"/>
      <c r="J941" s="21" t="s">
        <v>2692</v>
      </c>
      <c r="K941" s="120"/>
      <c r="L941" s="21" t="s">
        <v>2762</v>
      </c>
      <c r="M941" s="26">
        <v>43844</v>
      </c>
      <c r="N941" s="185">
        <v>7070</v>
      </c>
      <c r="O941" s="22" t="s">
        <v>15</v>
      </c>
      <c r="P941" s="22" t="s">
        <v>19</v>
      </c>
      <c r="Q941" s="24">
        <f t="shared" si="63"/>
        <v>0</v>
      </c>
      <c r="R941" s="24">
        <f t="shared" si="64"/>
        <v>7070</v>
      </c>
      <c r="S941" s="5" t="s">
        <v>2693</v>
      </c>
      <c r="T941" s="5"/>
    </row>
    <row r="942" spans="1:20" ht="15.75" hidden="1" x14ac:dyDescent="0.25">
      <c r="B942" s="21" t="s">
        <v>395</v>
      </c>
      <c r="C942" s="22" t="s">
        <v>1940</v>
      </c>
      <c r="D942" s="22"/>
      <c r="E942" s="21" t="s">
        <v>75</v>
      </c>
      <c r="F942" s="21"/>
      <c r="G942" s="147" t="s">
        <v>2551</v>
      </c>
      <c r="H942" s="23" t="s">
        <v>2957</v>
      </c>
      <c r="I942" s="23"/>
      <c r="J942" s="21" t="s">
        <v>2739</v>
      </c>
      <c r="K942" s="120"/>
      <c r="L942" s="126" t="s">
        <v>2954</v>
      </c>
      <c r="M942" s="26" t="s">
        <v>2955</v>
      </c>
      <c r="N942" s="44">
        <f t="shared" ref="N942:N949" si="65">9774.72/8</f>
        <v>1221.8399999999999</v>
      </c>
      <c r="O942" s="22" t="s">
        <v>15</v>
      </c>
      <c r="P942" s="22" t="s">
        <v>19</v>
      </c>
      <c r="Q942" s="44">
        <f t="shared" si="63"/>
        <v>0</v>
      </c>
      <c r="R942" s="24">
        <f t="shared" si="64"/>
        <v>1221.8399999999999</v>
      </c>
      <c r="S942" s="5"/>
      <c r="T942" s="5"/>
    </row>
    <row r="943" spans="1:20" ht="15.75" hidden="1" x14ac:dyDescent="0.25">
      <c r="B943" s="21" t="s">
        <v>395</v>
      </c>
      <c r="C943" s="22" t="s">
        <v>1940</v>
      </c>
      <c r="D943" s="22"/>
      <c r="E943" s="21" t="s">
        <v>75</v>
      </c>
      <c r="F943" s="21"/>
      <c r="G943" s="147" t="s">
        <v>2551</v>
      </c>
      <c r="H943" s="23" t="s">
        <v>2957</v>
      </c>
      <c r="I943" s="23"/>
      <c r="J943" s="21" t="s">
        <v>2739</v>
      </c>
      <c r="K943" s="120"/>
      <c r="L943" s="126" t="s">
        <v>2954</v>
      </c>
      <c r="M943" s="26" t="s">
        <v>2955</v>
      </c>
      <c r="N943" s="44">
        <f t="shared" si="65"/>
        <v>1221.8399999999999</v>
      </c>
      <c r="O943" s="22" t="s">
        <v>15</v>
      </c>
      <c r="P943" s="22" t="s">
        <v>19</v>
      </c>
      <c r="Q943" s="44">
        <f t="shared" si="63"/>
        <v>0</v>
      </c>
      <c r="R943" s="24">
        <f t="shared" si="64"/>
        <v>1221.8399999999999</v>
      </c>
      <c r="S943" s="5"/>
      <c r="T943" s="5"/>
    </row>
    <row r="944" spans="1:20" ht="15.75" hidden="1" x14ac:dyDescent="0.25">
      <c r="B944" s="21" t="s">
        <v>395</v>
      </c>
      <c r="C944" s="22" t="s">
        <v>1940</v>
      </c>
      <c r="D944" s="22"/>
      <c r="E944" s="21" t="s">
        <v>75</v>
      </c>
      <c r="F944" s="21"/>
      <c r="G944" s="147" t="s">
        <v>2551</v>
      </c>
      <c r="H944" s="23" t="s">
        <v>2957</v>
      </c>
      <c r="I944" s="23"/>
      <c r="J944" s="21" t="s">
        <v>2739</v>
      </c>
      <c r="K944" s="120"/>
      <c r="L944" s="126" t="s">
        <v>2954</v>
      </c>
      <c r="M944" s="26" t="s">
        <v>2955</v>
      </c>
      <c r="N944" s="44">
        <f t="shared" si="65"/>
        <v>1221.8399999999999</v>
      </c>
      <c r="O944" s="22" t="s">
        <v>15</v>
      </c>
      <c r="P944" s="22" t="s">
        <v>19</v>
      </c>
      <c r="Q944" s="44">
        <f t="shared" si="63"/>
        <v>0</v>
      </c>
      <c r="R944" s="24">
        <f t="shared" si="64"/>
        <v>1221.8399999999999</v>
      </c>
      <c r="S944" s="5"/>
      <c r="T944" s="5"/>
    </row>
    <row r="945" spans="1:20" ht="15.75" hidden="1" x14ac:dyDescent="0.25">
      <c r="B945" s="21" t="s">
        <v>395</v>
      </c>
      <c r="C945" s="22" t="s">
        <v>1940</v>
      </c>
      <c r="D945" s="22"/>
      <c r="E945" s="21" t="s">
        <v>75</v>
      </c>
      <c r="F945" s="21"/>
      <c r="G945" s="147" t="s">
        <v>2551</v>
      </c>
      <c r="H945" s="23" t="s">
        <v>2957</v>
      </c>
      <c r="I945" s="23"/>
      <c r="J945" s="21" t="s">
        <v>2739</v>
      </c>
      <c r="K945" s="120"/>
      <c r="L945" s="126" t="s">
        <v>2954</v>
      </c>
      <c r="M945" s="26" t="s">
        <v>2955</v>
      </c>
      <c r="N945" s="44">
        <f t="shared" si="65"/>
        <v>1221.8399999999999</v>
      </c>
      <c r="O945" s="22" t="s">
        <v>15</v>
      </c>
      <c r="P945" s="22" t="s">
        <v>19</v>
      </c>
      <c r="Q945" s="44">
        <f t="shared" si="63"/>
        <v>0</v>
      </c>
      <c r="R945" s="24">
        <f t="shared" si="64"/>
        <v>1221.8399999999999</v>
      </c>
      <c r="S945" s="5"/>
      <c r="T945" s="5"/>
    </row>
    <row r="946" spans="1:20" ht="15.75" hidden="1" x14ac:dyDescent="0.25">
      <c r="B946" s="21" t="s">
        <v>395</v>
      </c>
      <c r="C946" s="22" t="s">
        <v>1940</v>
      </c>
      <c r="D946" s="22"/>
      <c r="E946" s="21" t="s">
        <v>75</v>
      </c>
      <c r="F946" s="21"/>
      <c r="G946" s="147" t="s">
        <v>2551</v>
      </c>
      <c r="H946" s="23" t="s">
        <v>2957</v>
      </c>
      <c r="I946" s="23"/>
      <c r="J946" s="21" t="s">
        <v>2739</v>
      </c>
      <c r="K946" s="120"/>
      <c r="L946" s="126" t="s">
        <v>2954</v>
      </c>
      <c r="M946" s="26" t="s">
        <v>2955</v>
      </c>
      <c r="N946" s="44">
        <f t="shared" si="65"/>
        <v>1221.8399999999999</v>
      </c>
      <c r="O946" s="22" t="s">
        <v>15</v>
      </c>
      <c r="P946" s="22" t="s">
        <v>19</v>
      </c>
      <c r="Q946" s="44">
        <f t="shared" si="63"/>
        <v>0</v>
      </c>
      <c r="R946" s="24">
        <f t="shared" si="64"/>
        <v>1221.8399999999999</v>
      </c>
      <c r="S946" s="5"/>
      <c r="T946" s="5"/>
    </row>
    <row r="947" spans="1:20" ht="15.75" hidden="1" x14ac:dyDescent="0.25">
      <c r="B947" s="21" t="s">
        <v>395</v>
      </c>
      <c r="C947" s="22" t="s">
        <v>1940</v>
      </c>
      <c r="D947" s="22"/>
      <c r="E947" s="21" t="s">
        <v>75</v>
      </c>
      <c r="F947" s="21"/>
      <c r="G947" s="147" t="s">
        <v>2551</v>
      </c>
      <c r="H947" s="23" t="s">
        <v>2957</v>
      </c>
      <c r="I947" s="23"/>
      <c r="J947" s="21" t="s">
        <v>2739</v>
      </c>
      <c r="K947" s="120"/>
      <c r="L947" s="126" t="s">
        <v>2954</v>
      </c>
      <c r="M947" s="26" t="s">
        <v>2955</v>
      </c>
      <c r="N947" s="44">
        <f t="shared" si="65"/>
        <v>1221.8399999999999</v>
      </c>
      <c r="O947" s="22" t="s">
        <v>15</v>
      </c>
      <c r="P947" s="22" t="s">
        <v>19</v>
      </c>
      <c r="Q947" s="44">
        <f t="shared" si="63"/>
        <v>0</v>
      </c>
      <c r="R947" s="24">
        <f t="shared" si="64"/>
        <v>1221.8399999999999</v>
      </c>
      <c r="S947" s="5"/>
      <c r="T947" s="5"/>
    </row>
    <row r="948" spans="1:20" ht="15.75" hidden="1" x14ac:dyDescent="0.25">
      <c r="B948" s="21" t="s">
        <v>395</v>
      </c>
      <c r="C948" s="22" t="s">
        <v>1940</v>
      </c>
      <c r="D948" s="22"/>
      <c r="E948" s="21" t="s">
        <v>75</v>
      </c>
      <c r="F948" s="21"/>
      <c r="G948" s="147" t="s">
        <v>2551</v>
      </c>
      <c r="H948" s="23" t="s">
        <v>2957</v>
      </c>
      <c r="I948" s="23"/>
      <c r="J948" s="21" t="s">
        <v>2739</v>
      </c>
      <c r="K948" s="120"/>
      <c r="L948" s="126" t="s">
        <v>4350</v>
      </c>
      <c r="M948" s="26" t="s">
        <v>4351</v>
      </c>
      <c r="N948" s="44">
        <f t="shared" si="65"/>
        <v>1221.8399999999999</v>
      </c>
      <c r="O948" s="22" t="s">
        <v>15</v>
      </c>
      <c r="P948" s="22">
        <f>847.07+1086.23</f>
        <v>1933.3000000000002</v>
      </c>
      <c r="Q948" s="44">
        <f t="shared" si="63"/>
        <v>0</v>
      </c>
      <c r="R948" s="24">
        <f t="shared" si="64"/>
        <v>1933.3000000000002</v>
      </c>
      <c r="S948" s="5"/>
      <c r="T948" s="5"/>
    </row>
    <row r="949" spans="1:20" ht="15.75" hidden="1" x14ac:dyDescent="0.25">
      <c r="B949" s="21" t="s">
        <v>395</v>
      </c>
      <c r="C949" s="22" t="s">
        <v>1940</v>
      </c>
      <c r="D949" s="22"/>
      <c r="E949" s="21" t="s">
        <v>75</v>
      </c>
      <c r="F949" s="21"/>
      <c r="G949" s="147" t="s">
        <v>2551</v>
      </c>
      <c r="H949" s="23" t="s">
        <v>2957</v>
      </c>
      <c r="I949" s="23"/>
      <c r="J949" s="21" t="s">
        <v>2739</v>
      </c>
      <c r="K949" s="120"/>
      <c r="L949" s="126" t="s">
        <v>5989</v>
      </c>
      <c r="M949" s="26" t="s">
        <v>5990</v>
      </c>
      <c r="N949" s="44">
        <f t="shared" si="65"/>
        <v>1221.8399999999999</v>
      </c>
      <c r="O949" s="22" t="s">
        <v>15</v>
      </c>
      <c r="P949" s="22">
        <f>930.42+761.45</f>
        <v>1691.87</v>
      </c>
      <c r="Q949" s="44">
        <f t="shared" si="63"/>
        <v>0</v>
      </c>
      <c r="R949" s="24">
        <f t="shared" si="64"/>
        <v>1691.87</v>
      </c>
      <c r="S949" s="5"/>
      <c r="T949" s="5"/>
    </row>
    <row r="950" spans="1:20" ht="15.75" hidden="1" x14ac:dyDescent="0.25">
      <c r="B950" s="21" t="s">
        <v>395</v>
      </c>
      <c r="C950" s="22" t="s">
        <v>2450</v>
      </c>
      <c r="D950" s="22"/>
      <c r="E950" s="21" t="s">
        <v>10</v>
      </c>
      <c r="F950" s="21"/>
      <c r="G950" s="147" t="s">
        <v>2366</v>
      </c>
      <c r="H950" s="23" t="s">
        <v>2743</v>
      </c>
      <c r="I950" s="23"/>
      <c r="J950" s="21" t="s">
        <v>2741</v>
      </c>
      <c r="K950" s="13"/>
      <c r="L950" s="120" t="s">
        <v>2905</v>
      </c>
      <c r="M950" s="26">
        <v>43854</v>
      </c>
      <c r="N950" s="44">
        <f>6*195.5</f>
        <v>1173</v>
      </c>
      <c r="O950" s="22" t="s">
        <v>15</v>
      </c>
      <c r="P950" s="22" t="s">
        <v>19</v>
      </c>
      <c r="Q950" s="44">
        <f t="shared" si="63"/>
        <v>0</v>
      </c>
      <c r="R950" s="116">
        <f t="shared" si="64"/>
        <v>1173</v>
      </c>
      <c r="S950" s="5"/>
      <c r="T950" s="5"/>
    </row>
    <row r="951" spans="1:20" ht="15.75" hidden="1" x14ac:dyDescent="0.25">
      <c r="B951" s="21" t="s">
        <v>395</v>
      </c>
      <c r="C951" s="22" t="s">
        <v>1940</v>
      </c>
      <c r="D951" s="22"/>
      <c r="E951" s="21" t="s">
        <v>75</v>
      </c>
      <c r="F951" s="21"/>
      <c r="G951" s="147" t="s">
        <v>2530</v>
      </c>
      <c r="H951" s="23" t="s">
        <v>2742</v>
      </c>
      <c r="I951" s="23"/>
      <c r="J951" s="21" t="s">
        <v>2744</v>
      </c>
      <c r="K951" s="120"/>
      <c r="L951" s="47" t="s">
        <v>2801</v>
      </c>
      <c r="M951" s="26">
        <v>43858</v>
      </c>
      <c r="N951" s="44">
        <v>5896.8</v>
      </c>
      <c r="O951" s="22" t="s">
        <v>15</v>
      </c>
      <c r="P951" s="22" t="s">
        <v>19</v>
      </c>
      <c r="Q951" s="44">
        <f t="shared" si="63"/>
        <v>0</v>
      </c>
      <c r="R951" s="116">
        <f t="shared" si="64"/>
        <v>5896.8</v>
      </c>
      <c r="S951" s="5"/>
      <c r="T951" s="5"/>
    </row>
    <row r="952" spans="1:20" ht="15.75" hidden="1" x14ac:dyDescent="0.25">
      <c r="B952" s="21" t="s">
        <v>395</v>
      </c>
      <c r="C952" s="22" t="s">
        <v>1940</v>
      </c>
      <c r="D952" s="22"/>
      <c r="E952" s="21" t="s">
        <v>75</v>
      </c>
      <c r="F952" s="21"/>
      <c r="G952" s="147" t="s">
        <v>2366</v>
      </c>
      <c r="H952" s="23" t="s">
        <v>2745</v>
      </c>
      <c r="I952" s="23"/>
      <c r="J952" s="21" t="s">
        <v>2368</v>
      </c>
      <c r="K952" s="13"/>
      <c r="L952" s="120" t="s">
        <v>2935</v>
      </c>
      <c r="M952" s="26">
        <v>43859</v>
      </c>
      <c r="N952" s="44">
        <v>2904.39</v>
      </c>
      <c r="O952" s="22" t="s">
        <v>15</v>
      </c>
      <c r="P952" s="22" t="s">
        <v>19</v>
      </c>
      <c r="Q952" s="44">
        <f t="shared" si="63"/>
        <v>0</v>
      </c>
      <c r="R952" s="116">
        <f t="shared" si="64"/>
        <v>2904.39</v>
      </c>
      <c r="S952" s="5"/>
      <c r="T952" s="5"/>
    </row>
    <row r="953" spans="1:20" ht="15.75" hidden="1" x14ac:dyDescent="0.25">
      <c r="A953" t="s">
        <v>6753</v>
      </c>
      <c r="B953" s="21" t="s">
        <v>395</v>
      </c>
      <c r="C953" s="22" t="s">
        <v>2462</v>
      </c>
      <c r="D953" s="22"/>
      <c r="E953" s="21" t="s">
        <v>75</v>
      </c>
      <c r="F953" s="21"/>
      <c r="G953" s="147" t="s">
        <v>98</v>
      </c>
      <c r="H953" s="23" t="s">
        <v>2747</v>
      </c>
      <c r="I953" s="23"/>
      <c r="J953" s="21" t="s">
        <v>2746</v>
      </c>
      <c r="K953" s="13"/>
      <c r="L953" s="126"/>
      <c r="M953" s="26" t="s">
        <v>2819</v>
      </c>
      <c r="N953" s="44">
        <v>15616.62</v>
      </c>
      <c r="O953" s="22" t="s">
        <v>15</v>
      </c>
      <c r="P953" s="22">
        <v>15022.36</v>
      </c>
      <c r="Q953" s="44">
        <f t="shared" si="63"/>
        <v>594.26000000000022</v>
      </c>
      <c r="R953" s="24">
        <f t="shared" si="64"/>
        <v>15022.36</v>
      </c>
      <c r="S953" s="5"/>
      <c r="T953" s="5"/>
    </row>
    <row r="954" spans="1:20" ht="15.75" hidden="1" x14ac:dyDescent="0.25">
      <c r="A954" t="s">
        <v>6753</v>
      </c>
      <c r="B954" s="21" t="s">
        <v>395</v>
      </c>
      <c r="C954" s="22" t="s">
        <v>2456</v>
      </c>
      <c r="D954" s="22"/>
      <c r="E954" s="21" t="s">
        <v>75</v>
      </c>
      <c r="F954" s="21"/>
      <c r="G954" s="147" t="s">
        <v>98</v>
      </c>
      <c r="H954" s="23" t="s">
        <v>2754</v>
      </c>
      <c r="I954" s="23"/>
      <c r="J954" s="21" t="s">
        <v>2755</v>
      </c>
      <c r="K954" s="13"/>
      <c r="L954" s="120"/>
      <c r="M954" s="26" t="s">
        <v>2818</v>
      </c>
      <c r="N954" s="44">
        <v>68.239999999999995</v>
      </c>
      <c r="O954" s="22" t="s">
        <v>15</v>
      </c>
      <c r="P954" s="22" t="s">
        <v>19</v>
      </c>
      <c r="Q954" s="24">
        <f t="shared" si="63"/>
        <v>0</v>
      </c>
      <c r="R954" s="116">
        <f t="shared" si="64"/>
        <v>68.239999999999995</v>
      </c>
      <c r="S954" s="5"/>
      <c r="T954" s="5"/>
    </row>
    <row r="955" spans="1:20" ht="15.75" hidden="1" x14ac:dyDescent="0.25">
      <c r="A955" t="s">
        <v>6753</v>
      </c>
      <c r="B955" s="21" t="s">
        <v>395</v>
      </c>
      <c r="C955" s="22" t="s">
        <v>2456</v>
      </c>
      <c r="D955" s="22"/>
      <c r="E955" s="21" t="s">
        <v>75</v>
      </c>
      <c r="F955" s="21"/>
      <c r="G955" s="147" t="s">
        <v>98</v>
      </c>
      <c r="H955" s="23" t="s">
        <v>2754</v>
      </c>
      <c r="I955" s="23"/>
      <c r="J955" s="21" t="s">
        <v>2756</v>
      </c>
      <c r="K955" s="13"/>
      <c r="L955" s="120"/>
      <c r="M955" s="26" t="s">
        <v>2818</v>
      </c>
      <c r="N955" s="44">
        <v>1060.94</v>
      </c>
      <c r="O955" s="22" t="s">
        <v>15</v>
      </c>
      <c r="P955" s="22" t="s">
        <v>19</v>
      </c>
      <c r="Q955" s="24">
        <f t="shared" si="63"/>
        <v>0</v>
      </c>
      <c r="R955" s="116">
        <f t="shared" si="64"/>
        <v>1060.94</v>
      </c>
      <c r="S955" s="5"/>
      <c r="T955" s="5"/>
    </row>
    <row r="956" spans="1:20" ht="15.75" hidden="1" x14ac:dyDescent="0.25">
      <c r="B956" s="21" t="s">
        <v>395</v>
      </c>
      <c r="C956" s="22" t="s">
        <v>2459</v>
      </c>
      <c r="D956" s="22"/>
      <c r="E956" s="21" t="s">
        <v>75</v>
      </c>
      <c r="F956" s="21"/>
      <c r="G956" s="147" t="s">
        <v>805</v>
      </c>
      <c r="H956" s="169" t="s">
        <v>2823</v>
      </c>
      <c r="I956" s="169"/>
      <c r="J956" s="21" t="s">
        <v>2769</v>
      </c>
      <c r="K956" s="120"/>
      <c r="L956" s="47"/>
      <c r="M956" s="26"/>
      <c r="N956" s="44">
        <v>0</v>
      </c>
      <c r="O956" s="22" t="s">
        <v>15</v>
      </c>
      <c r="P956" s="22" t="s">
        <v>19</v>
      </c>
      <c r="Q956" s="24">
        <f t="shared" si="63"/>
        <v>0</v>
      </c>
      <c r="R956" s="24">
        <f t="shared" si="64"/>
        <v>0</v>
      </c>
      <c r="S956" s="5" t="s">
        <v>2825</v>
      </c>
      <c r="T956" s="5"/>
    </row>
    <row r="957" spans="1:20" ht="15.75" hidden="1" x14ac:dyDescent="0.25">
      <c r="B957" s="21" t="s">
        <v>395</v>
      </c>
      <c r="C957" s="22" t="s">
        <v>2459</v>
      </c>
      <c r="D957" s="22"/>
      <c r="E957" s="21" t="s">
        <v>75</v>
      </c>
      <c r="F957" s="21"/>
      <c r="G957" s="147" t="s">
        <v>805</v>
      </c>
      <c r="H957" s="169" t="s">
        <v>2822</v>
      </c>
      <c r="I957" s="169"/>
      <c r="J957" s="21" t="s">
        <v>2770</v>
      </c>
      <c r="K957" s="120"/>
      <c r="L957" s="47"/>
      <c r="M957" s="26"/>
      <c r="N957" s="44">
        <v>0</v>
      </c>
      <c r="O957" s="22" t="s">
        <v>15</v>
      </c>
      <c r="P957" s="22" t="s">
        <v>19</v>
      </c>
      <c r="Q957" s="24">
        <f t="shared" si="63"/>
        <v>0</v>
      </c>
      <c r="R957" s="24">
        <f t="shared" si="64"/>
        <v>0</v>
      </c>
      <c r="S957" s="5" t="s">
        <v>2825</v>
      </c>
      <c r="T957" s="5"/>
    </row>
    <row r="958" spans="1:20" ht="15.75" hidden="1" x14ac:dyDescent="0.25">
      <c r="B958" s="21" t="s">
        <v>395</v>
      </c>
      <c r="C958" s="22" t="s">
        <v>2450</v>
      </c>
      <c r="D958" s="22" t="s">
        <v>1451</v>
      </c>
      <c r="E958" s="21" t="s">
        <v>10</v>
      </c>
      <c r="F958" s="21"/>
      <c r="G958" s="147" t="s">
        <v>4447</v>
      </c>
      <c r="H958" s="23" t="s">
        <v>2771</v>
      </c>
      <c r="I958" s="23"/>
      <c r="J958" s="21" t="s">
        <v>2772</v>
      </c>
      <c r="K958" s="120"/>
      <c r="L958" s="21" t="s">
        <v>3019</v>
      </c>
      <c r="M958" s="26">
        <v>43875</v>
      </c>
      <c r="N958" s="44">
        <v>366</v>
      </c>
      <c r="O958" s="22" t="s">
        <v>15</v>
      </c>
      <c r="P958" s="22" t="s">
        <v>19</v>
      </c>
      <c r="Q958" s="24">
        <f t="shared" si="63"/>
        <v>0</v>
      </c>
      <c r="R958" s="24">
        <f t="shared" si="64"/>
        <v>366</v>
      </c>
      <c r="S958" s="5"/>
      <c r="T958" s="5"/>
    </row>
    <row r="959" spans="1:20" ht="15.75" hidden="1" x14ac:dyDescent="0.25">
      <c r="B959" s="21" t="s">
        <v>395</v>
      </c>
      <c r="C959" s="22" t="s">
        <v>2450</v>
      </c>
      <c r="D959" s="22" t="s">
        <v>1451</v>
      </c>
      <c r="E959" s="21" t="s">
        <v>10</v>
      </c>
      <c r="F959" s="21"/>
      <c r="G959" s="147" t="s">
        <v>4447</v>
      </c>
      <c r="H959" s="23" t="s">
        <v>2773</v>
      </c>
      <c r="I959" s="23"/>
      <c r="J959" s="21" t="s">
        <v>2774</v>
      </c>
      <c r="K959" s="120"/>
      <c r="L959" s="21" t="s">
        <v>3018</v>
      </c>
      <c r="M959" s="26">
        <v>43875</v>
      </c>
      <c r="N959" s="44">
        <v>178</v>
      </c>
      <c r="O959" s="22" t="s">
        <v>15</v>
      </c>
      <c r="P959" s="22" t="s">
        <v>19</v>
      </c>
      <c r="Q959" s="24">
        <f t="shared" si="63"/>
        <v>0</v>
      </c>
      <c r="R959" s="24">
        <f t="shared" si="64"/>
        <v>178</v>
      </c>
      <c r="S959" s="5"/>
      <c r="T959" s="5"/>
    </row>
    <row r="960" spans="1:20" ht="15.75" hidden="1" x14ac:dyDescent="0.25">
      <c r="B960" s="21" t="s">
        <v>395</v>
      </c>
      <c r="C960" s="22" t="s">
        <v>2450</v>
      </c>
      <c r="D960" s="22"/>
      <c r="E960" s="21" t="s">
        <v>159</v>
      </c>
      <c r="F960" s="21"/>
      <c r="G960" s="147" t="s">
        <v>982</v>
      </c>
      <c r="H960" s="23" t="s">
        <v>2829</v>
      </c>
      <c r="I960" s="23"/>
      <c r="J960" s="62" t="s">
        <v>2830</v>
      </c>
      <c r="K960" s="120"/>
      <c r="L960" s="171" t="s">
        <v>2849</v>
      </c>
      <c r="M960" s="26">
        <v>43458</v>
      </c>
      <c r="N960" s="101">
        <v>5000</v>
      </c>
      <c r="O960" s="22" t="s">
        <v>15</v>
      </c>
      <c r="P960" s="22" t="s">
        <v>19</v>
      </c>
      <c r="Q960" s="24">
        <f t="shared" si="63"/>
        <v>0</v>
      </c>
      <c r="R960" s="116">
        <f t="shared" si="64"/>
        <v>5000</v>
      </c>
      <c r="S960" s="5"/>
      <c r="T960" s="5"/>
    </row>
    <row r="961" spans="2:20" ht="15.75" hidden="1" x14ac:dyDescent="0.25">
      <c r="B961" s="21" t="s">
        <v>395</v>
      </c>
      <c r="C961" s="22" t="s">
        <v>2450</v>
      </c>
      <c r="D961" s="22"/>
      <c r="E961" s="21" t="s">
        <v>159</v>
      </c>
      <c r="F961" s="21"/>
      <c r="G961" s="147" t="s">
        <v>982</v>
      </c>
      <c r="H961" s="23" t="s">
        <v>2829</v>
      </c>
      <c r="I961" s="23"/>
      <c r="J961" s="23" t="s">
        <v>2831</v>
      </c>
      <c r="K961" s="120"/>
      <c r="L961" s="174" t="s">
        <v>2850</v>
      </c>
      <c r="M961" s="26">
        <v>43556</v>
      </c>
      <c r="N961" s="44">
        <f>0.7*1892</f>
        <v>1324.3999999999999</v>
      </c>
      <c r="O961" s="22" t="s">
        <v>15</v>
      </c>
      <c r="P961" s="22" t="s">
        <v>19</v>
      </c>
      <c r="Q961" s="24">
        <f t="shared" si="63"/>
        <v>0</v>
      </c>
      <c r="R961" s="116">
        <f t="shared" si="64"/>
        <v>1324.3999999999999</v>
      </c>
      <c r="S961" s="5"/>
      <c r="T961" s="5"/>
    </row>
    <row r="962" spans="2:20" ht="15.75" hidden="1" x14ac:dyDescent="0.25">
      <c r="B962" s="21" t="s">
        <v>395</v>
      </c>
      <c r="C962" s="22" t="s">
        <v>2450</v>
      </c>
      <c r="D962" s="22"/>
      <c r="E962" s="21" t="s">
        <v>159</v>
      </c>
      <c r="F962" s="21"/>
      <c r="G962" s="147" t="s">
        <v>982</v>
      </c>
      <c r="H962" s="23" t="s">
        <v>2829</v>
      </c>
      <c r="I962" s="23"/>
      <c r="J962" s="23" t="s">
        <v>2832</v>
      </c>
      <c r="K962" s="120"/>
      <c r="L962" s="174" t="s">
        <v>2851</v>
      </c>
      <c r="M962" s="26">
        <v>43564</v>
      </c>
      <c r="N962" s="44">
        <f>0.3*1892</f>
        <v>567.6</v>
      </c>
      <c r="O962" s="22" t="s">
        <v>15</v>
      </c>
      <c r="P962" s="22" t="s">
        <v>19</v>
      </c>
      <c r="Q962" s="24">
        <f t="shared" si="63"/>
        <v>0</v>
      </c>
      <c r="R962" s="116">
        <f t="shared" si="64"/>
        <v>567.6</v>
      </c>
      <c r="S962" s="5"/>
      <c r="T962" s="5"/>
    </row>
    <row r="963" spans="2:20" ht="15.75" hidden="1" x14ac:dyDescent="0.25">
      <c r="B963" s="21" t="s">
        <v>395</v>
      </c>
      <c r="C963" s="22" t="s">
        <v>2450</v>
      </c>
      <c r="D963" s="22"/>
      <c r="E963" s="21" t="s">
        <v>159</v>
      </c>
      <c r="F963" s="21"/>
      <c r="G963" s="147" t="s">
        <v>982</v>
      </c>
      <c r="H963" s="23" t="s">
        <v>2829</v>
      </c>
      <c r="I963" s="23"/>
      <c r="J963" s="62" t="s">
        <v>2833</v>
      </c>
      <c r="K963" s="120"/>
      <c r="L963" s="171" t="s">
        <v>2849</v>
      </c>
      <c r="M963" s="26">
        <v>43458</v>
      </c>
      <c r="N963" s="101">
        <v>3000</v>
      </c>
      <c r="O963" s="22" t="s">
        <v>15</v>
      </c>
      <c r="P963" s="22" t="s">
        <v>19</v>
      </c>
      <c r="Q963" s="24">
        <f t="shared" si="63"/>
        <v>0</v>
      </c>
      <c r="R963" s="116">
        <f t="shared" si="64"/>
        <v>3000</v>
      </c>
      <c r="S963" s="5"/>
      <c r="T963" s="5"/>
    </row>
    <row r="964" spans="2:20" ht="15.75" hidden="1" x14ac:dyDescent="0.25">
      <c r="B964" s="21" t="s">
        <v>395</v>
      </c>
      <c r="C964" s="22" t="s">
        <v>2450</v>
      </c>
      <c r="D964" s="22"/>
      <c r="E964" s="21" t="s">
        <v>159</v>
      </c>
      <c r="F964" s="21"/>
      <c r="G964" s="147" t="s">
        <v>982</v>
      </c>
      <c r="H964" s="23" t="s">
        <v>2829</v>
      </c>
      <c r="I964" s="23"/>
      <c r="J964" s="331" t="s">
        <v>2834</v>
      </c>
      <c r="K964" s="120"/>
      <c r="L964" s="332"/>
      <c r="M964" s="26"/>
      <c r="N964" s="264">
        <v>750</v>
      </c>
      <c r="O964" s="22" t="s">
        <v>15</v>
      </c>
      <c r="P964" s="22"/>
      <c r="Q964" s="24">
        <v>0</v>
      </c>
      <c r="R964" s="116">
        <f t="shared" si="64"/>
        <v>0</v>
      </c>
      <c r="S964" s="5" t="s">
        <v>6243</v>
      </c>
      <c r="T964" s="5"/>
    </row>
    <row r="965" spans="2:20" ht="15.75" hidden="1" x14ac:dyDescent="0.25">
      <c r="B965" s="21" t="s">
        <v>395</v>
      </c>
      <c r="C965" s="22" t="s">
        <v>2450</v>
      </c>
      <c r="D965" s="22"/>
      <c r="E965" s="21" t="s">
        <v>159</v>
      </c>
      <c r="F965" s="21"/>
      <c r="G965" s="147" t="s">
        <v>982</v>
      </c>
      <c r="H965" s="23" t="s">
        <v>2829</v>
      </c>
      <c r="I965" s="23"/>
      <c r="J965" s="135" t="s">
        <v>2835</v>
      </c>
      <c r="K965" s="120"/>
      <c r="L965" s="172" t="s">
        <v>2852</v>
      </c>
      <c r="M965" s="26">
        <v>43581</v>
      </c>
      <c r="N965" s="89">
        <v>350</v>
      </c>
      <c r="O965" s="22" t="s">
        <v>15</v>
      </c>
      <c r="P965" s="22" t="s">
        <v>19</v>
      </c>
      <c r="Q965" s="24">
        <f t="shared" ref="Q965:Q973" si="66">IF(P965="en cours",N965,IF(P965="OK",0,IF(N965-P965&lt;0,0,N965-P965)))</f>
        <v>0</v>
      </c>
      <c r="R965" s="116">
        <f t="shared" si="64"/>
        <v>350</v>
      </c>
      <c r="S965" s="5"/>
      <c r="T965" s="5"/>
    </row>
    <row r="966" spans="2:20" ht="15.75" hidden="1" x14ac:dyDescent="0.25">
      <c r="B966" s="21" t="s">
        <v>395</v>
      </c>
      <c r="C966" s="22" t="s">
        <v>2450</v>
      </c>
      <c r="D966" s="22"/>
      <c r="E966" s="21" t="s">
        <v>159</v>
      </c>
      <c r="F966" s="21"/>
      <c r="G966" s="147" t="s">
        <v>982</v>
      </c>
      <c r="H966" s="23" t="s">
        <v>2829</v>
      </c>
      <c r="I966" s="23"/>
      <c r="J966" s="135" t="s">
        <v>2836</v>
      </c>
      <c r="K966" s="120"/>
      <c r="L966" s="172" t="s">
        <v>2852</v>
      </c>
      <c r="M966" s="26">
        <v>43581</v>
      </c>
      <c r="N966" s="89">
        <v>350</v>
      </c>
      <c r="O966" s="22" t="s">
        <v>15</v>
      </c>
      <c r="P966" s="22" t="s">
        <v>19</v>
      </c>
      <c r="Q966" s="24">
        <f t="shared" si="66"/>
        <v>0</v>
      </c>
      <c r="R966" s="116">
        <f t="shared" si="64"/>
        <v>350</v>
      </c>
      <c r="S966" s="5"/>
      <c r="T966" s="5"/>
    </row>
    <row r="967" spans="2:20" ht="15.75" hidden="1" x14ac:dyDescent="0.25">
      <c r="B967" s="21" t="s">
        <v>395</v>
      </c>
      <c r="C967" s="22" t="s">
        <v>2450</v>
      </c>
      <c r="D967" s="22"/>
      <c r="E967" s="21" t="s">
        <v>159</v>
      </c>
      <c r="F967" s="21"/>
      <c r="G967" s="147" t="s">
        <v>982</v>
      </c>
      <c r="H967" s="23" t="s">
        <v>2829</v>
      </c>
      <c r="I967" s="23"/>
      <c r="J967" s="135" t="s">
        <v>2837</v>
      </c>
      <c r="K967" s="120"/>
      <c r="L967" s="172" t="s">
        <v>2852</v>
      </c>
      <c r="M967" s="26">
        <v>43581</v>
      </c>
      <c r="N967" s="89">
        <v>350</v>
      </c>
      <c r="O967" s="22" t="s">
        <v>15</v>
      </c>
      <c r="P967" s="22" t="s">
        <v>19</v>
      </c>
      <c r="Q967" s="24">
        <f t="shared" si="66"/>
        <v>0</v>
      </c>
      <c r="R967" s="116">
        <f t="shared" si="64"/>
        <v>350</v>
      </c>
      <c r="S967" s="5"/>
      <c r="T967" s="5"/>
    </row>
    <row r="968" spans="2:20" ht="15.75" hidden="1" x14ac:dyDescent="0.25">
      <c r="B968" s="21" t="s">
        <v>395</v>
      </c>
      <c r="C968" s="22" t="s">
        <v>2450</v>
      </c>
      <c r="D968" s="22"/>
      <c r="E968" s="21" t="s">
        <v>159</v>
      </c>
      <c r="F968" s="21"/>
      <c r="G968" s="147" t="s">
        <v>982</v>
      </c>
      <c r="H968" s="23" t="s">
        <v>2829</v>
      </c>
      <c r="I968" s="23"/>
      <c r="J968" s="135" t="s">
        <v>2838</v>
      </c>
      <c r="K968" s="120"/>
      <c r="L968" s="172" t="s">
        <v>2852</v>
      </c>
      <c r="M968" s="26">
        <v>43581</v>
      </c>
      <c r="N968" s="89">
        <v>350</v>
      </c>
      <c r="O968" s="22" t="s">
        <v>15</v>
      </c>
      <c r="P968" s="22" t="s">
        <v>19</v>
      </c>
      <c r="Q968" s="24">
        <f t="shared" si="66"/>
        <v>0</v>
      </c>
      <c r="R968" s="116">
        <f t="shared" si="64"/>
        <v>350</v>
      </c>
      <c r="S968" s="5"/>
      <c r="T968" s="5"/>
    </row>
    <row r="969" spans="2:20" ht="15.75" hidden="1" x14ac:dyDescent="0.25">
      <c r="B969" s="21" t="s">
        <v>395</v>
      </c>
      <c r="C969" s="22" t="s">
        <v>2450</v>
      </c>
      <c r="D969" s="22"/>
      <c r="E969" s="21" t="s">
        <v>159</v>
      </c>
      <c r="F969" s="21"/>
      <c r="G969" s="147" t="s">
        <v>982</v>
      </c>
      <c r="H969" s="23" t="s">
        <v>2829</v>
      </c>
      <c r="I969" s="23"/>
      <c r="J969" s="135" t="s">
        <v>2839</v>
      </c>
      <c r="K969" s="120"/>
      <c r="L969" s="172" t="s">
        <v>2852</v>
      </c>
      <c r="M969" s="26">
        <v>43581</v>
      </c>
      <c r="N969" s="89">
        <v>350</v>
      </c>
      <c r="O969" s="22" t="s">
        <v>15</v>
      </c>
      <c r="P969" s="22" t="s">
        <v>19</v>
      </c>
      <c r="Q969" s="24">
        <f t="shared" si="66"/>
        <v>0</v>
      </c>
      <c r="R969" s="116">
        <f t="shared" si="64"/>
        <v>350</v>
      </c>
      <c r="S969" s="5"/>
      <c r="T969" s="5"/>
    </row>
    <row r="970" spans="2:20" ht="15.75" hidden="1" x14ac:dyDescent="0.25">
      <c r="B970" s="21" t="s">
        <v>395</v>
      </c>
      <c r="C970" s="22" t="s">
        <v>2450</v>
      </c>
      <c r="D970" s="22"/>
      <c r="E970" s="21" t="s">
        <v>159</v>
      </c>
      <c r="F970" s="21"/>
      <c r="G970" s="147" t="s">
        <v>982</v>
      </c>
      <c r="H970" s="23" t="s">
        <v>2829</v>
      </c>
      <c r="I970" s="23"/>
      <c r="J970" s="21" t="s">
        <v>2840</v>
      </c>
      <c r="K970" s="120"/>
      <c r="L970" s="165" t="s">
        <v>2853</v>
      </c>
      <c r="M970" s="26">
        <v>43619</v>
      </c>
      <c r="N970" s="44">
        <v>350</v>
      </c>
      <c r="O970" s="22" t="s">
        <v>15</v>
      </c>
      <c r="P970" s="22" t="s">
        <v>19</v>
      </c>
      <c r="Q970" s="24">
        <f t="shared" si="66"/>
        <v>0</v>
      </c>
      <c r="R970" s="116">
        <f t="shared" si="64"/>
        <v>350</v>
      </c>
      <c r="S970" s="5"/>
      <c r="T970" s="5"/>
    </row>
    <row r="971" spans="2:20" ht="15.75" hidden="1" x14ac:dyDescent="0.25">
      <c r="B971" s="21" t="s">
        <v>395</v>
      </c>
      <c r="C971" s="22" t="s">
        <v>2450</v>
      </c>
      <c r="D971" s="22"/>
      <c r="E971" s="21" t="s">
        <v>159</v>
      </c>
      <c r="F971" s="21"/>
      <c r="G971" s="147" t="s">
        <v>982</v>
      </c>
      <c r="H971" s="23" t="s">
        <v>2829</v>
      </c>
      <c r="I971" s="23"/>
      <c r="J971" s="21" t="s">
        <v>2841</v>
      </c>
      <c r="K971" s="120"/>
      <c r="L971" s="165" t="s">
        <v>2854</v>
      </c>
      <c r="M971" s="26">
        <v>43651</v>
      </c>
      <c r="N971" s="44">
        <v>350</v>
      </c>
      <c r="O971" s="22" t="s">
        <v>15</v>
      </c>
      <c r="P971" s="22" t="s">
        <v>19</v>
      </c>
      <c r="Q971" s="24">
        <f t="shared" si="66"/>
        <v>0</v>
      </c>
      <c r="R971" s="116">
        <f t="shared" si="64"/>
        <v>350</v>
      </c>
      <c r="S971" s="5"/>
      <c r="T971" s="5"/>
    </row>
    <row r="972" spans="2:20" ht="15.75" hidden="1" x14ac:dyDescent="0.25">
      <c r="B972" s="21" t="s">
        <v>395</v>
      </c>
      <c r="C972" s="22" t="s">
        <v>2450</v>
      </c>
      <c r="D972" s="22"/>
      <c r="E972" s="21" t="s">
        <v>159</v>
      </c>
      <c r="F972" s="21"/>
      <c r="G972" s="147" t="s">
        <v>982</v>
      </c>
      <c r="H972" s="23" t="s">
        <v>2829</v>
      </c>
      <c r="I972" s="23"/>
      <c r="J972" s="65" t="s">
        <v>2842</v>
      </c>
      <c r="K972" s="120"/>
      <c r="L972" s="173" t="s">
        <v>2855</v>
      </c>
      <c r="M972" s="26">
        <v>43728</v>
      </c>
      <c r="N972" s="96">
        <v>350</v>
      </c>
      <c r="O972" s="22" t="s">
        <v>15</v>
      </c>
      <c r="P972" s="22" t="s">
        <v>19</v>
      </c>
      <c r="Q972" s="24">
        <f t="shared" si="66"/>
        <v>0</v>
      </c>
      <c r="R972" s="116">
        <f t="shared" si="64"/>
        <v>350</v>
      </c>
      <c r="S972" s="5"/>
      <c r="T972" s="5"/>
    </row>
    <row r="973" spans="2:20" ht="15.75" hidden="1" x14ac:dyDescent="0.25">
      <c r="B973" s="21" t="s">
        <v>395</v>
      </c>
      <c r="C973" s="22" t="s">
        <v>2450</v>
      </c>
      <c r="D973" s="22"/>
      <c r="E973" s="21" t="s">
        <v>159</v>
      </c>
      <c r="F973" s="21"/>
      <c r="G973" s="147" t="s">
        <v>982</v>
      </c>
      <c r="H973" s="23" t="s">
        <v>2829</v>
      </c>
      <c r="I973" s="23"/>
      <c r="J973" s="65" t="s">
        <v>2843</v>
      </c>
      <c r="K973" s="120"/>
      <c r="L973" s="173" t="s">
        <v>2855</v>
      </c>
      <c r="M973" s="26">
        <v>43728</v>
      </c>
      <c r="N973" s="96">
        <v>350</v>
      </c>
      <c r="O973" s="22" t="s">
        <v>15</v>
      </c>
      <c r="P973" s="22" t="s">
        <v>19</v>
      </c>
      <c r="Q973" s="24">
        <f t="shared" si="66"/>
        <v>0</v>
      </c>
      <c r="R973" s="116">
        <f t="shared" si="64"/>
        <v>350</v>
      </c>
      <c r="S973" s="5"/>
      <c r="T973" s="5"/>
    </row>
    <row r="974" spans="2:20" ht="15.75" hidden="1" x14ac:dyDescent="0.25">
      <c r="B974" s="21" t="s">
        <v>395</v>
      </c>
      <c r="C974" s="22" t="s">
        <v>2450</v>
      </c>
      <c r="D974" s="22"/>
      <c r="E974" s="21" t="s">
        <v>159</v>
      </c>
      <c r="F974" s="21"/>
      <c r="G974" s="147" t="s">
        <v>982</v>
      </c>
      <c r="H974" s="23" t="s">
        <v>2829</v>
      </c>
      <c r="I974" s="23"/>
      <c r="J974" s="331" t="s">
        <v>2844</v>
      </c>
      <c r="K974" s="120"/>
      <c r="L974" s="165"/>
      <c r="M974" s="26"/>
      <c r="N974" s="264">
        <v>350</v>
      </c>
      <c r="O974" s="22" t="s">
        <v>15</v>
      </c>
      <c r="P974" s="22"/>
      <c r="Q974" s="24">
        <v>0</v>
      </c>
      <c r="R974" s="116">
        <f t="shared" si="64"/>
        <v>0</v>
      </c>
      <c r="S974" s="5" t="s">
        <v>6243</v>
      </c>
      <c r="T974" s="5"/>
    </row>
    <row r="975" spans="2:20" ht="15.75" hidden="1" x14ac:dyDescent="0.25">
      <c r="B975" s="21" t="s">
        <v>395</v>
      </c>
      <c r="C975" s="22" t="s">
        <v>2450</v>
      </c>
      <c r="D975" s="22"/>
      <c r="E975" s="21" t="s">
        <v>159</v>
      </c>
      <c r="F975" s="21"/>
      <c r="G975" s="147" t="s">
        <v>982</v>
      </c>
      <c r="H975" s="23" t="s">
        <v>2829</v>
      </c>
      <c r="I975" s="23"/>
      <c r="J975" s="21" t="s">
        <v>2845</v>
      </c>
      <c r="K975" s="120"/>
      <c r="L975" s="165"/>
      <c r="M975" s="26"/>
      <c r="N975" s="44">
        <v>350</v>
      </c>
      <c r="O975" s="22" t="s">
        <v>15</v>
      </c>
      <c r="P975" s="22"/>
      <c r="Q975" s="24">
        <v>0</v>
      </c>
      <c r="R975" s="116">
        <f t="shared" si="64"/>
        <v>0</v>
      </c>
      <c r="S975" s="5" t="s">
        <v>6243</v>
      </c>
      <c r="T975" s="5"/>
    </row>
    <row r="976" spans="2:20" ht="15.75" hidden="1" x14ac:dyDescent="0.25">
      <c r="B976" s="21" t="s">
        <v>395</v>
      </c>
      <c r="C976" s="22" t="s">
        <v>2450</v>
      </c>
      <c r="D976" s="22"/>
      <c r="E976" s="21" t="s">
        <v>159</v>
      </c>
      <c r="F976" s="21"/>
      <c r="G976" s="147" t="s">
        <v>982</v>
      </c>
      <c r="H976" s="23" t="s">
        <v>2829</v>
      </c>
      <c r="I976" s="23"/>
      <c r="J976" s="21" t="s">
        <v>2846</v>
      </c>
      <c r="K976" s="120"/>
      <c r="L976" s="165" t="s">
        <v>2856</v>
      </c>
      <c r="M976" s="26">
        <v>43871</v>
      </c>
      <c r="N976" s="44">
        <v>350</v>
      </c>
      <c r="O976" s="22" t="s">
        <v>15</v>
      </c>
      <c r="P976" s="22" t="s">
        <v>19</v>
      </c>
      <c r="Q976" s="24">
        <f>IF(P976="en cours",N976,IF(P976="OK",0,IF(N976-P976&lt;0,0,N976-P976)))</f>
        <v>0</v>
      </c>
      <c r="R976" s="116">
        <f t="shared" si="64"/>
        <v>350</v>
      </c>
      <c r="S976" s="5"/>
      <c r="T976" s="5"/>
    </row>
    <row r="977" spans="2:20" ht="15.75" hidden="1" x14ac:dyDescent="0.25">
      <c r="B977" s="21" t="s">
        <v>395</v>
      </c>
      <c r="C977" s="22" t="s">
        <v>2450</v>
      </c>
      <c r="D977" s="22"/>
      <c r="E977" s="21" t="s">
        <v>159</v>
      </c>
      <c r="F977" s="21"/>
      <c r="G977" s="147" t="s">
        <v>982</v>
      </c>
      <c r="H977" s="23" t="s">
        <v>2828</v>
      </c>
      <c r="I977" s="23"/>
      <c r="J977" s="21" t="s">
        <v>2847</v>
      </c>
      <c r="K977" s="120"/>
      <c r="L977" s="165" t="s">
        <v>2857</v>
      </c>
      <c r="M977" s="26">
        <v>43728</v>
      </c>
      <c r="N977" s="44">
        <v>420</v>
      </c>
      <c r="O977" s="22" t="s">
        <v>15</v>
      </c>
      <c r="P977" s="22" t="s">
        <v>19</v>
      </c>
      <c r="Q977" s="24">
        <f>IF(P977="en cours",N977,IF(P977="OK",0,IF(N977-P977&lt;0,0,N977-P977)))</f>
        <v>0</v>
      </c>
      <c r="R977" s="116">
        <f t="shared" si="64"/>
        <v>420</v>
      </c>
      <c r="S977" s="5"/>
      <c r="T977" s="5"/>
    </row>
    <row r="978" spans="2:20" ht="15.75" hidden="1" x14ac:dyDescent="0.25">
      <c r="B978" s="21" t="s">
        <v>395</v>
      </c>
      <c r="C978" s="22" t="s">
        <v>2450</v>
      </c>
      <c r="D978" s="22"/>
      <c r="E978" s="21" t="s">
        <v>159</v>
      </c>
      <c r="F978" s="21"/>
      <c r="G978" s="147" t="s">
        <v>982</v>
      </c>
      <c r="H978" s="23" t="s">
        <v>2828</v>
      </c>
      <c r="I978" s="23"/>
      <c r="J978" s="21" t="s">
        <v>2847</v>
      </c>
      <c r="K978" s="120"/>
      <c r="L978" s="165" t="s">
        <v>4326</v>
      </c>
      <c r="M978" s="26">
        <v>44231</v>
      </c>
      <c r="N978" s="44">
        <v>1680</v>
      </c>
      <c r="O978" s="22" t="s">
        <v>15</v>
      </c>
      <c r="P978" s="22">
        <v>210</v>
      </c>
      <c r="Q978" s="24">
        <v>0</v>
      </c>
      <c r="R978" s="116">
        <f t="shared" si="64"/>
        <v>210</v>
      </c>
      <c r="S978" s="5" t="s">
        <v>6243</v>
      </c>
      <c r="T978" s="5"/>
    </row>
    <row r="979" spans="2:20" ht="15.75" hidden="1" x14ac:dyDescent="0.25">
      <c r="B979" s="21" t="s">
        <v>395</v>
      </c>
      <c r="C979" s="22" t="s">
        <v>2450</v>
      </c>
      <c r="D979" s="22"/>
      <c r="E979" s="21" t="s">
        <v>159</v>
      </c>
      <c r="F979" s="21"/>
      <c r="G979" s="147" t="s">
        <v>982</v>
      </c>
      <c r="H979" s="23" t="s">
        <v>2859</v>
      </c>
      <c r="I979" s="23"/>
      <c r="J979" s="21" t="s">
        <v>2848</v>
      </c>
      <c r="K979" s="120"/>
      <c r="L979" s="165"/>
      <c r="M979" s="26"/>
      <c r="N979" s="44">
        <v>2100</v>
      </c>
      <c r="O979" s="22" t="s">
        <v>15</v>
      </c>
      <c r="P979" s="22"/>
      <c r="Q979" s="24">
        <v>0</v>
      </c>
      <c r="R979" s="116">
        <f t="shared" si="64"/>
        <v>0</v>
      </c>
      <c r="S979" s="5" t="s">
        <v>6243</v>
      </c>
      <c r="T979" s="5"/>
    </row>
    <row r="980" spans="2:20" ht="15.75" hidden="1" x14ac:dyDescent="0.25">
      <c r="B980" s="21" t="s">
        <v>395</v>
      </c>
      <c r="C980" s="22" t="s">
        <v>2450</v>
      </c>
      <c r="D980" s="22"/>
      <c r="E980" s="21" t="s">
        <v>159</v>
      </c>
      <c r="F980" s="21"/>
      <c r="G980" s="147" t="s">
        <v>982</v>
      </c>
      <c r="H980" s="23" t="s">
        <v>2859</v>
      </c>
      <c r="I980" s="23"/>
      <c r="J980" s="21" t="s">
        <v>2858</v>
      </c>
      <c r="K980" s="120"/>
      <c r="L980" s="165"/>
      <c r="M980" s="26"/>
      <c r="N980" s="44">
        <v>0</v>
      </c>
      <c r="O980" s="175" t="s">
        <v>276</v>
      </c>
      <c r="P980" s="22" t="s">
        <v>19</v>
      </c>
      <c r="Q980" s="24">
        <f t="shared" ref="Q980:Q1043" si="67">IF(P980="en cours",N980,IF(P980="OK",0,IF(N980-P980&lt;0,0,N980-P980)))</f>
        <v>0</v>
      </c>
      <c r="R980" s="116">
        <f t="shared" si="64"/>
        <v>0</v>
      </c>
      <c r="S980" s="5"/>
      <c r="T980" s="5"/>
    </row>
    <row r="981" spans="2:20" ht="15.75" hidden="1" x14ac:dyDescent="0.25">
      <c r="B981" s="21" t="s">
        <v>395</v>
      </c>
      <c r="C981" s="22" t="s">
        <v>2450</v>
      </c>
      <c r="D981" s="22"/>
      <c r="E981" s="21" t="s">
        <v>159</v>
      </c>
      <c r="F981" s="21"/>
      <c r="G981" s="147" t="s">
        <v>982</v>
      </c>
      <c r="H981" s="23" t="s">
        <v>2859</v>
      </c>
      <c r="I981" s="23"/>
      <c r="J981" s="176" t="s">
        <v>2860</v>
      </c>
      <c r="K981" s="120"/>
      <c r="L981" s="165"/>
      <c r="M981" s="26"/>
      <c r="N981" s="44">
        <v>0</v>
      </c>
      <c r="O981" s="175" t="s">
        <v>276</v>
      </c>
      <c r="P981" s="22" t="s">
        <v>19</v>
      </c>
      <c r="Q981" s="24">
        <f t="shared" si="67"/>
        <v>0</v>
      </c>
      <c r="R981" s="116">
        <f t="shared" si="64"/>
        <v>0</v>
      </c>
      <c r="S981" s="5"/>
      <c r="T981" s="5"/>
    </row>
    <row r="982" spans="2:20" ht="15.75" hidden="1" x14ac:dyDescent="0.25">
      <c r="B982" s="21" t="s">
        <v>395</v>
      </c>
      <c r="C982" s="22" t="s">
        <v>2450</v>
      </c>
      <c r="D982" s="22"/>
      <c r="E982" s="21" t="s">
        <v>159</v>
      </c>
      <c r="F982" s="21"/>
      <c r="G982" s="147" t="s">
        <v>982</v>
      </c>
      <c r="H982" s="23" t="s">
        <v>2859</v>
      </c>
      <c r="I982" s="23"/>
      <c r="J982" s="176" t="s">
        <v>2861</v>
      </c>
      <c r="K982" s="120"/>
      <c r="L982" s="165"/>
      <c r="M982" s="26"/>
      <c r="N982" s="44">
        <v>0</v>
      </c>
      <c r="O982" s="175" t="s">
        <v>276</v>
      </c>
      <c r="P982" s="22" t="s">
        <v>19</v>
      </c>
      <c r="Q982" s="24">
        <f t="shared" si="67"/>
        <v>0</v>
      </c>
      <c r="R982" s="116">
        <f t="shared" si="64"/>
        <v>0</v>
      </c>
      <c r="S982" s="5"/>
      <c r="T982" s="5"/>
    </row>
    <row r="983" spans="2:20" ht="15.75" hidden="1" x14ac:dyDescent="0.25">
      <c r="B983" s="21" t="s">
        <v>395</v>
      </c>
      <c r="C983" s="22" t="s">
        <v>2450</v>
      </c>
      <c r="D983" s="22"/>
      <c r="E983" s="21" t="s">
        <v>159</v>
      </c>
      <c r="F983" s="21"/>
      <c r="G983" s="147" t="s">
        <v>982</v>
      </c>
      <c r="H983" s="23" t="s">
        <v>2930</v>
      </c>
      <c r="I983" s="23"/>
      <c r="J983" s="176" t="s">
        <v>2931</v>
      </c>
      <c r="K983" s="120"/>
      <c r="L983" s="165" t="s">
        <v>2958</v>
      </c>
      <c r="M983" s="26">
        <v>43886</v>
      </c>
      <c r="N983" s="44">
        <v>37350</v>
      </c>
      <c r="O983" s="175" t="s">
        <v>15</v>
      </c>
      <c r="P983" s="22" t="s">
        <v>19</v>
      </c>
      <c r="Q983" s="24">
        <f t="shared" si="67"/>
        <v>0</v>
      </c>
      <c r="R983" s="116">
        <f t="shared" si="64"/>
        <v>37350</v>
      </c>
      <c r="S983" s="5"/>
      <c r="T983" s="5"/>
    </row>
    <row r="984" spans="2:20" ht="15.75" hidden="1" x14ac:dyDescent="0.25">
      <c r="B984" s="21" t="s">
        <v>395</v>
      </c>
      <c r="C984" s="22" t="s">
        <v>2450</v>
      </c>
      <c r="D984" s="22"/>
      <c r="E984" s="21" t="s">
        <v>159</v>
      </c>
      <c r="F984" s="21"/>
      <c r="G984" s="147" t="s">
        <v>982</v>
      </c>
      <c r="H984" s="23" t="s">
        <v>2862</v>
      </c>
      <c r="I984" s="23"/>
      <c r="J984" s="21" t="s">
        <v>2863</v>
      </c>
      <c r="K984" s="120"/>
      <c r="L984" s="165" t="s">
        <v>2876</v>
      </c>
      <c r="M984" s="26">
        <v>43803</v>
      </c>
      <c r="N984" s="44">
        <v>3000</v>
      </c>
      <c r="O984" s="22" t="s">
        <v>15</v>
      </c>
      <c r="P984" s="22" t="s">
        <v>19</v>
      </c>
      <c r="Q984" s="24">
        <f t="shared" si="67"/>
        <v>0</v>
      </c>
      <c r="R984" s="116">
        <f t="shared" si="64"/>
        <v>3000</v>
      </c>
      <c r="S984" s="5"/>
      <c r="T984" s="5"/>
    </row>
    <row r="985" spans="2:20" ht="15.75" hidden="1" x14ac:dyDescent="0.25">
      <c r="B985" s="21" t="s">
        <v>395</v>
      </c>
      <c r="C985" s="22" t="s">
        <v>2450</v>
      </c>
      <c r="D985" s="22"/>
      <c r="E985" s="21" t="s">
        <v>159</v>
      </c>
      <c r="F985" s="21"/>
      <c r="G985" s="147" t="s">
        <v>982</v>
      </c>
      <c r="H985" s="23" t="s">
        <v>2862</v>
      </c>
      <c r="I985" s="23"/>
      <c r="J985" s="21" t="s">
        <v>2864</v>
      </c>
      <c r="K985" s="120"/>
      <c r="L985" s="165"/>
      <c r="M985" s="26"/>
      <c r="N985" s="44">
        <v>0</v>
      </c>
      <c r="O985" s="22" t="s">
        <v>15</v>
      </c>
      <c r="P985" s="22" t="s">
        <v>19</v>
      </c>
      <c r="Q985" s="24">
        <f t="shared" si="67"/>
        <v>0</v>
      </c>
      <c r="R985" s="116">
        <f t="shared" si="64"/>
        <v>0</v>
      </c>
      <c r="S985" s="5"/>
      <c r="T985" s="5"/>
    </row>
    <row r="986" spans="2:20" ht="15.75" hidden="1" x14ac:dyDescent="0.25">
      <c r="B986" s="21" t="s">
        <v>395</v>
      </c>
      <c r="C986" s="22" t="s">
        <v>2450</v>
      </c>
      <c r="D986" s="22"/>
      <c r="E986" s="21" t="s">
        <v>159</v>
      </c>
      <c r="F986" s="21"/>
      <c r="G986" s="147" t="s">
        <v>982</v>
      </c>
      <c r="H986" s="23" t="s">
        <v>2862</v>
      </c>
      <c r="I986" s="23"/>
      <c r="J986" s="21" t="s">
        <v>2877</v>
      </c>
      <c r="K986" s="120"/>
      <c r="L986" s="165" t="s">
        <v>2876</v>
      </c>
      <c r="M986" s="26">
        <v>43803</v>
      </c>
      <c r="N986" s="44">
        <v>350</v>
      </c>
      <c r="O986" s="22" t="s">
        <v>15</v>
      </c>
      <c r="P986" s="22" t="s">
        <v>19</v>
      </c>
      <c r="Q986" s="24">
        <f t="shared" si="67"/>
        <v>0</v>
      </c>
      <c r="R986" s="116">
        <f t="shared" si="64"/>
        <v>350</v>
      </c>
      <c r="S986" s="5"/>
      <c r="T986" s="5"/>
    </row>
    <row r="987" spans="2:20" ht="15.75" hidden="1" x14ac:dyDescent="0.25">
      <c r="B987" s="21" t="s">
        <v>395</v>
      </c>
      <c r="C987" s="22" t="s">
        <v>2450</v>
      </c>
      <c r="D987" s="22"/>
      <c r="E987" s="21" t="s">
        <v>159</v>
      </c>
      <c r="F987" s="21"/>
      <c r="G987" s="147" t="s">
        <v>982</v>
      </c>
      <c r="H987" s="23" t="s">
        <v>2862</v>
      </c>
      <c r="I987" s="23"/>
      <c r="J987" s="21" t="s">
        <v>2865</v>
      </c>
      <c r="K987" s="120"/>
      <c r="L987" s="165" t="s">
        <v>4131</v>
      </c>
      <c r="M987" s="26">
        <v>43886</v>
      </c>
      <c r="N987" s="44">
        <v>350</v>
      </c>
      <c r="O987" s="22" t="s">
        <v>15</v>
      </c>
      <c r="P987" s="22" t="s">
        <v>19</v>
      </c>
      <c r="Q987" s="24">
        <f t="shared" si="67"/>
        <v>0</v>
      </c>
      <c r="R987" s="116">
        <f t="shared" si="64"/>
        <v>350</v>
      </c>
      <c r="S987" s="5"/>
      <c r="T987" s="5"/>
    </row>
    <row r="988" spans="2:20" ht="15.75" hidden="1" x14ac:dyDescent="0.25">
      <c r="B988" s="21" t="s">
        <v>395</v>
      </c>
      <c r="C988" s="22" t="s">
        <v>2450</v>
      </c>
      <c r="D988" s="22"/>
      <c r="E988" s="21" t="s">
        <v>159</v>
      </c>
      <c r="F988" s="21"/>
      <c r="G988" s="147" t="s">
        <v>982</v>
      </c>
      <c r="H988" s="23" t="s">
        <v>2862</v>
      </c>
      <c r="I988" s="23"/>
      <c r="J988" s="21" t="s">
        <v>2866</v>
      </c>
      <c r="K988" s="120"/>
      <c r="L988" s="165" t="s">
        <v>4132</v>
      </c>
      <c r="M988" s="26">
        <v>43894</v>
      </c>
      <c r="N988" s="44">
        <v>350</v>
      </c>
      <c r="O988" s="22" t="s">
        <v>15</v>
      </c>
      <c r="P988" s="22" t="s">
        <v>19</v>
      </c>
      <c r="Q988" s="24">
        <f t="shared" si="67"/>
        <v>0</v>
      </c>
      <c r="R988" s="116">
        <f t="shared" si="64"/>
        <v>350</v>
      </c>
      <c r="S988" s="5"/>
      <c r="T988" s="5"/>
    </row>
    <row r="989" spans="2:20" ht="15.75" hidden="1" x14ac:dyDescent="0.25">
      <c r="B989" s="21" t="s">
        <v>395</v>
      </c>
      <c r="C989" s="22" t="s">
        <v>2450</v>
      </c>
      <c r="D989" s="22"/>
      <c r="E989" s="21" t="s">
        <v>159</v>
      </c>
      <c r="F989" s="21"/>
      <c r="G989" s="147" t="s">
        <v>982</v>
      </c>
      <c r="H989" s="23" t="s">
        <v>2862</v>
      </c>
      <c r="I989" s="23"/>
      <c r="J989" s="21" t="s">
        <v>2867</v>
      </c>
      <c r="K989" s="120"/>
      <c r="L989" s="165" t="s">
        <v>3082</v>
      </c>
      <c r="M989" s="26">
        <v>43927</v>
      </c>
      <c r="N989" s="44">
        <v>350</v>
      </c>
      <c r="O989" s="22" t="s">
        <v>15</v>
      </c>
      <c r="P989" s="22" t="s">
        <v>19</v>
      </c>
      <c r="Q989" s="24">
        <f t="shared" si="67"/>
        <v>0</v>
      </c>
      <c r="R989" s="116">
        <f t="shared" si="64"/>
        <v>350</v>
      </c>
      <c r="S989" s="5"/>
      <c r="T989" s="5"/>
    </row>
    <row r="990" spans="2:20" ht="15.75" hidden="1" x14ac:dyDescent="0.25">
      <c r="B990" s="21" t="s">
        <v>395</v>
      </c>
      <c r="C990" s="22" t="s">
        <v>2450</v>
      </c>
      <c r="D990" s="22"/>
      <c r="E990" s="21" t="s">
        <v>159</v>
      </c>
      <c r="F990" s="21"/>
      <c r="G990" s="147" t="s">
        <v>982</v>
      </c>
      <c r="H990" s="23" t="s">
        <v>2862</v>
      </c>
      <c r="I990" s="23"/>
      <c r="J990" s="21" t="s">
        <v>2868</v>
      </c>
      <c r="K990" s="120"/>
      <c r="L990" s="165" t="s">
        <v>4133</v>
      </c>
      <c r="M990" s="26">
        <v>43956</v>
      </c>
      <c r="N990" s="44">
        <v>350</v>
      </c>
      <c r="O990" s="22" t="s">
        <v>15</v>
      </c>
      <c r="P990" s="22" t="s">
        <v>19</v>
      </c>
      <c r="Q990" s="24">
        <f t="shared" si="67"/>
        <v>0</v>
      </c>
      <c r="R990" s="116">
        <f t="shared" si="64"/>
        <v>350</v>
      </c>
      <c r="S990" s="5"/>
      <c r="T990" s="5"/>
    </row>
    <row r="991" spans="2:20" ht="15.75" hidden="1" x14ac:dyDescent="0.25">
      <c r="B991" s="21" t="s">
        <v>395</v>
      </c>
      <c r="C991" s="22" t="s">
        <v>2450</v>
      </c>
      <c r="D991" s="22"/>
      <c r="E991" s="21" t="s">
        <v>159</v>
      </c>
      <c r="F991" s="21"/>
      <c r="G991" s="147" t="s">
        <v>982</v>
      </c>
      <c r="H991" s="23" t="s">
        <v>2862</v>
      </c>
      <c r="I991" s="23"/>
      <c r="J991" s="21" t="s">
        <v>2869</v>
      </c>
      <c r="K991" s="120"/>
      <c r="L991" s="165" t="s">
        <v>4134</v>
      </c>
      <c r="M991" s="26">
        <v>43986</v>
      </c>
      <c r="N991" s="44">
        <v>350</v>
      </c>
      <c r="O991" s="22" t="s">
        <v>15</v>
      </c>
      <c r="P991" s="22" t="s">
        <v>19</v>
      </c>
      <c r="Q991" s="24">
        <f t="shared" si="67"/>
        <v>0</v>
      </c>
      <c r="R991" s="116">
        <f t="shared" si="64"/>
        <v>350</v>
      </c>
      <c r="S991" s="5"/>
      <c r="T991" s="5"/>
    </row>
    <row r="992" spans="2:20" ht="15.75" hidden="1" x14ac:dyDescent="0.25">
      <c r="B992" s="21" t="s">
        <v>395</v>
      </c>
      <c r="C992" s="22" t="s">
        <v>2450</v>
      </c>
      <c r="D992" s="22"/>
      <c r="E992" s="21" t="s">
        <v>159</v>
      </c>
      <c r="F992" s="21"/>
      <c r="G992" s="147" t="s">
        <v>982</v>
      </c>
      <c r="H992" s="23" t="s">
        <v>2862</v>
      </c>
      <c r="I992" s="23"/>
      <c r="J992" s="21" t="s">
        <v>2870</v>
      </c>
      <c r="K992" s="120"/>
      <c r="L992" s="165" t="s">
        <v>4135</v>
      </c>
      <c r="M992" s="26">
        <v>44019</v>
      </c>
      <c r="N992" s="44">
        <v>350</v>
      </c>
      <c r="O992" s="22" t="s">
        <v>15</v>
      </c>
      <c r="P992" s="22" t="s">
        <v>19</v>
      </c>
      <c r="Q992" s="24">
        <f t="shared" si="67"/>
        <v>0</v>
      </c>
      <c r="R992" s="116">
        <f t="shared" si="64"/>
        <v>350</v>
      </c>
      <c r="S992" s="5"/>
      <c r="T992" s="5"/>
    </row>
    <row r="993" spans="1:20" ht="15.75" hidden="1" x14ac:dyDescent="0.25">
      <c r="B993" s="21" t="s">
        <v>395</v>
      </c>
      <c r="C993" s="22" t="s">
        <v>2450</v>
      </c>
      <c r="D993" s="22"/>
      <c r="E993" s="21" t="s">
        <v>159</v>
      </c>
      <c r="F993" s="21"/>
      <c r="G993" s="147" t="s">
        <v>982</v>
      </c>
      <c r="H993" s="23" t="s">
        <v>2862</v>
      </c>
      <c r="I993" s="23"/>
      <c r="J993" s="21" t="s">
        <v>2871</v>
      </c>
      <c r="K993" s="120"/>
      <c r="L993" s="165" t="s">
        <v>4136</v>
      </c>
      <c r="M993" s="26">
        <v>44047</v>
      </c>
      <c r="N993" s="44">
        <v>350</v>
      </c>
      <c r="O993" s="22" t="s">
        <v>15</v>
      </c>
      <c r="P993" s="22" t="s">
        <v>19</v>
      </c>
      <c r="Q993" s="24">
        <f t="shared" si="67"/>
        <v>0</v>
      </c>
      <c r="R993" s="116">
        <f t="shared" si="64"/>
        <v>350</v>
      </c>
      <c r="S993" s="5"/>
      <c r="T993" s="5"/>
    </row>
    <row r="994" spans="1:20" ht="15.75" hidden="1" x14ac:dyDescent="0.25">
      <c r="B994" s="21" t="s">
        <v>395</v>
      </c>
      <c r="C994" s="22" t="s">
        <v>2450</v>
      </c>
      <c r="D994" s="22"/>
      <c r="E994" s="21" t="s">
        <v>159</v>
      </c>
      <c r="F994" s="21"/>
      <c r="G994" s="147" t="s">
        <v>982</v>
      </c>
      <c r="H994" s="23" t="s">
        <v>2862</v>
      </c>
      <c r="I994" s="23"/>
      <c r="J994" s="21" t="s">
        <v>2872</v>
      </c>
      <c r="K994" s="120"/>
      <c r="L994" s="165" t="s">
        <v>4137</v>
      </c>
      <c r="M994" s="26">
        <v>44076</v>
      </c>
      <c r="N994" s="44">
        <v>350</v>
      </c>
      <c r="O994" s="22" t="s">
        <v>15</v>
      </c>
      <c r="P994" s="22" t="s">
        <v>19</v>
      </c>
      <c r="Q994" s="24">
        <f t="shared" si="67"/>
        <v>0</v>
      </c>
      <c r="R994" s="116">
        <f t="shared" si="64"/>
        <v>350</v>
      </c>
      <c r="S994" s="5"/>
      <c r="T994" s="5"/>
    </row>
    <row r="995" spans="1:20" ht="15.75" hidden="1" x14ac:dyDescent="0.25">
      <c r="B995" s="21" t="s">
        <v>395</v>
      </c>
      <c r="C995" s="22" t="s">
        <v>2450</v>
      </c>
      <c r="D995" s="22"/>
      <c r="E995" s="21" t="s">
        <v>159</v>
      </c>
      <c r="F995" s="21"/>
      <c r="G995" s="147" t="s">
        <v>982</v>
      </c>
      <c r="H995" s="23" t="s">
        <v>2862</v>
      </c>
      <c r="I995" s="23"/>
      <c r="J995" s="21" t="s">
        <v>2873</v>
      </c>
      <c r="K995" s="120"/>
      <c r="L995" s="165" t="s">
        <v>4138</v>
      </c>
      <c r="M995" s="26">
        <v>44109</v>
      </c>
      <c r="N995" s="44">
        <v>350</v>
      </c>
      <c r="O995" s="22" t="s">
        <v>15</v>
      </c>
      <c r="P995" s="22" t="s">
        <v>19</v>
      </c>
      <c r="Q995" s="24">
        <f t="shared" si="67"/>
        <v>0</v>
      </c>
      <c r="R995" s="116">
        <f t="shared" si="64"/>
        <v>350</v>
      </c>
      <c r="S995" s="5"/>
      <c r="T995" s="5"/>
    </row>
    <row r="996" spans="1:20" ht="15.75" hidden="1" x14ac:dyDescent="0.25">
      <c r="B996" s="21" t="s">
        <v>395</v>
      </c>
      <c r="C996" s="22" t="s">
        <v>2450</v>
      </c>
      <c r="D996" s="22"/>
      <c r="E996" s="21" t="s">
        <v>159</v>
      </c>
      <c r="F996" s="21"/>
      <c r="G996" s="147" t="s">
        <v>982</v>
      </c>
      <c r="H996" s="23" t="s">
        <v>2862</v>
      </c>
      <c r="I996" s="23"/>
      <c r="J996" s="21" t="s">
        <v>2874</v>
      </c>
      <c r="K996" s="120"/>
      <c r="L996" s="165" t="s">
        <v>4139</v>
      </c>
      <c r="M996" s="26">
        <v>44139</v>
      </c>
      <c r="N996" s="44">
        <v>350</v>
      </c>
      <c r="O996" s="22" t="s">
        <v>15</v>
      </c>
      <c r="P996" s="22" t="s">
        <v>19</v>
      </c>
      <c r="Q996" s="24">
        <f t="shared" si="67"/>
        <v>0</v>
      </c>
      <c r="R996" s="116">
        <f t="shared" si="64"/>
        <v>350</v>
      </c>
      <c r="S996" s="5"/>
      <c r="T996" s="5"/>
    </row>
    <row r="997" spans="1:20" ht="15.75" hidden="1" x14ac:dyDescent="0.25">
      <c r="B997" s="21" t="s">
        <v>395</v>
      </c>
      <c r="C997" s="22" t="s">
        <v>2450</v>
      </c>
      <c r="D997" s="22"/>
      <c r="E997" s="21" t="s">
        <v>159</v>
      </c>
      <c r="F997" s="21"/>
      <c r="G997" s="147" t="s">
        <v>982</v>
      </c>
      <c r="H997" s="23" t="s">
        <v>2862</v>
      </c>
      <c r="I997" s="23"/>
      <c r="J997" s="21" t="s">
        <v>2875</v>
      </c>
      <c r="K997" s="120"/>
      <c r="L997" s="165" t="s">
        <v>4140</v>
      </c>
      <c r="M997" s="26">
        <v>44169</v>
      </c>
      <c r="N997" s="44">
        <v>350</v>
      </c>
      <c r="O997" s="22" t="s">
        <v>15</v>
      </c>
      <c r="P997" s="22" t="s">
        <v>19</v>
      </c>
      <c r="Q997" s="24">
        <f t="shared" si="67"/>
        <v>0</v>
      </c>
      <c r="R997" s="116">
        <f t="shared" si="64"/>
        <v>350</v>
      </c>
      <c r="S997" s="5"/>
      <c r="T997" s="5"/>
    </row>
    <row r="998" spans="1:20" ht="15.75" hidden="1" x14ac:dyDescent="0.25">
      <c r="B998" s="21" t="s">
        <v>395</v>
      </c>
      <c r="C998" s="22" t="s">
        <v>2568</v>
      </c>
      <c r="D998" s="22"/>
      <c r="E998" s="21" t="s">
        <v>729</v>
      </c>
      <c r="F998" s="21"/>
      <c r="G998" s="147" t="s">
        <v>2895</v>
      </c>
      <c r="H998" s="23" t="s">
        <v>2896</v>
      </c>
      <c r="I998" s="23"/>
      <c r="J998" s="21" t="s">
        <v>2897</v>
      </c>
      <c r="K998" s="13"/>
      <c r="L998" s="21" t="s">
        <v>3017</v>
      </c>
      <c r="M998" s="26">
        <v>43902</v>
      </c>
      <c r="N998" s="44">
        <f>0.3*9434</f>
        <v>2830.2</v>
      </c>
      <c r="O998" s="22" t="s">
        <v>15</v>
      </c>
      <c r="P998" s="22" t="s">
        <v>19</v>
      </c>
      <c r="Q998" s="24">
        <f t="shared" si="67"/>
        <v>0</v>
      </c>
      <c r="R998" s="116">
        <f t="shared" si="64"/>
        <v>2830.2</v>
      </c>
      <c r="S998" s="5"/>
      <c r="T998" s="5"/>
    </row>
    <row r="999" spans="1:20" ht="15.75" hidden="1" x14ac:dyDescent="0.25">
      <c r="B999" s="5"/>
      <c r="C999" s="4" t="s">
        <v>2568</v>
      </c>
      <c r="D999" s="4"/>
      <c r="E999" s="5" t="s">
        <v>729</v>
      </c>
      <c r="F999" s="5"/>
      <c r="G999" s="146" t="s">
        <v>2895</v>
      </c>
      <c r="H999" s="7" t="s">
        <v>2896</v>
      </c>
      <c r="I999" s="7"/>
      <c r="J999" s="5" t="s">
        <v>2898</v>
      </c>
      <c r="K999" s="13">
        <v>43983</v>
      </c>
      <c r="L999" s="5" t="s">
        <v>4010</v>
      </c>
      <c r="M999" s="12">
        <v>44146</v>
      </c>
      <c r="N999" s="45">
        <f>0.7*9434</f>
        <v>6603.7999999999993</v>
      </c>
      <c r="O999" s="4" t="s">
        <v>15</v>
      </c>
      <c r="P999" s="4">
        <v>6482.95</v>
      </c>
      <c r="Q999" s="3">
        <f t="shared" si="67"/>
        <v>120.84999999999945</v>
      </c>
      <c r="R999" s="25">
        <f t="shared" si="64"/>
        <v>6482.95</v>
      </c>
      <c r="S999" s="5"/>
      <c r="T999" s="5"/>
    </row>
    <row r="1000" spans="1:20" ht="15.75" hidden="1" x14ac:dyDescent="0.25">
      <c r="B1000" s="5"/>
      <c r="C1000" s="4" t="s">
        <v>2568</v>
      </c>
      <c r="D1000" s="4"/>
      <c r="E1000" s="5" t="s">
        <v>729</v>
      </c>
      <c r="F1000" s="5"/>
      <c r="G1000" s="146" t="s">
        <v>2895</v>
      </c>
      <c r="H1000" s="7" t="s">
        <v>2896</v>
      </c>
      <c r="I1000" s="7"/>
      <c r="J1000" s="5" t="s">
        <v>2899</v>
      </c>
      <c r="K1000" s="13">
        <v>43891</v>
      </c>
      <c r="L1000" s="5"/>
      <c r="M1000" s="12"/>
      <c r="N1000" s="45">
        <v>1400</v>
      </c>
      <c r="O1000" s="4" t="s">
        <v>15</v>
      </c>
      <c r="P1000" s="4"/>
      <c r="Q1000" s="3">
        <f t="shared" si="67"/>
        <v>1400</v>
      </c>
      <c r="R1000" s="25">
        <f t="shared" si="64"/>
        <v>0</v>
      </c>
      <c r="S1000" s="5"/>
      <c r="T1000" s="5"/>
    </row>
    <row r="1001" spans="1:20" ht="15.75" hidden="1" x14ac:dyDescent="0.25">
      <c r="A1001" t="s">
        <v>6753</v>
      </c>
      <c r="B1001" s="21" t="s">
        <v>395</v>
      </c>
      <c r="C1001" s="22" t="s">
        <v>1940</v>
      </c>
      <c r="D1001" s="22"/>
      <c r="E1001" s="21" t="s">
        <v>75</v>
      </c>
      <c r="F1001" s="21"/>
      <c r="G1001" s="147" t="s">
        <v>98</v>
      </c>
      <c r="H1001" s="23" t="s">
        <v>2910</v>
      </c>
      <c r="I1001" s="23"/>
      <c r="J1001" s="21" t="s">
        <v>2906</v>
      </c>
      <c r="K1001" s="120"/>
      <c r="L1001" s="21" t="s">
        <v>2907</v>
      </c>
      <c r="M1001" s="26">
        <v>43861</v>
      </c>
      <c r="N1001" s="44">
        <v>71.3</v>
      </c>
      <c r="O1001" s="22" t="s">
        <v>15</v>
      </c>
      <c r="P1001" s="22" t="s">
        <v>19</v>
      </c>
      <c r="Q1001" s="44">
        <f t="shared" si="67"/>
        <v>0</v>
      </c>
      <c r="R1001" s="24">
        <f t="shared" si="64"/>
        <v>71.3</v>
      </c>
      <c r="S1001" s="5"/>
      <c r="T1001" s="5"/>
    </row>
    <row r="1002" spans="1:20" ht="15.75" hidden="1" x14ac:dyDescent="0.25">
      <c r="A1002" t="s">
        <v>6753</v>
      </c>
      <c r="B1002" s="21" t="s">
        <v>395</v>
      </c>
      <c r="C1002" s="22" t="s">
        <v>2450</v>
      </c>
      <c r="D1002" s="22"/>
      <c r="E1002" s="21" t="s">
        <v>75</v>
      </c>
      <c r="F1002" s="21"/>
      <c r="G1002" s="147" t="s">
        <v>98</v>
      </c>
      <c r="H1002" s="23" t="s">
        <v>2908</v>
      </c>
      <c r="I1002" s="23"/>
      <c r="J1002" s="21" t="s">
        <v>2906</v>
      </c>
      <c r="K1002" s="13"/>
      <c r="L1002" s="21" t="s">
        <v>2909</v>
      </c>
      <c r="M1002" s="26">
        <v>43861</v>
      </c>
      <c r="N1002" s="44">
        <v>12181.59</v>
      </c>
      <c r="O1002" s="22" t="s">
        <v>15</v>
      </c>
      <c r="P1002" s="22" t="s">
        <v>19</v>
      </c>
      <c r="Q1002" s="44">
        <f t="shared" si="67"/>
        <v>0</v>
      </c>
      <c r="R1002" s="24">
        <f t="shared" si="64"/>
        <v>12181.59</v>
      </c>
      <c r="S1002" s="5"/>
      <c r="T1002" s="5"/>
    </row>
    <row r="1003" spans="1:20" ht="15.75" hidden="1" x14ac:dyDescent="0.25">
      <c r="A1003" t="s">
        <v>6753</v>
      </c>
      <c r="B1003" s="21" t="s">
        <v>395</v>
      </c>
      <c r="C1003" s="22" t="s">
        <v>2452</v>
      </c>
      <c r="D1003" s="22"/>
      <c r="E1003" s="21" t="s">
        <v>75</v>
      </c>
      <c r="F1003" s="21"/>
      <c r="G1003" s="147" t="s">
        <v>98</v>
      </c>
      <c r="H1003" s="23" t="s">
        <v>2911</v>
      </c>
      <c r="I1003" s="23"/>
      <c r="J1003" s="21" t="s">
        <v>2906</v>
      </c>
      <c r="K1003" s="13"/>
      <c r="L1003" s="21" t="s">
        <v>2912</v>
      </c>
      <c r="M1003" s="26">
        <v>43861</v>
      </c>
      <c r="N1003" s="44">
        <v>1415.86</v>
      </c>
      <c r="O1003" s="22" t="s">
        <v>15</v>
      </c>
      <c r="P1003" s="22" t="s">
        <v>19</v>
      </c>
      <c r="Q1003" s="44">
        <f t="shared" si="67"/>
        <v>0</v>
      </c>
      <c r="R1003" s="24">
        <f t="shared" ref="R1003:R1066" si="68">IF(P1003="OK",N1003-Q1003,IF(P1003="en cours",N1003-Q1003,P1003))</f>
        <v>1415.86</v>
      </c>
      <c r="S1003" s="5"/>
      <c r="T1003" s="5"/>
    </row>
    <row r="1004" spans="1:20" ht="15.75" hidden="1" x14ac:dyDescent="0.25">
      <c r="A1004" t="s">
        <v>6753</v>
      </c>
      <c r="B1004" s="21" t="s">
        <v>395</v>
      </c>
      <c r="C1004" s="22" t="s">
        <v>2462</v>
      </c>
      <c r="D1004" s="22"/>
      <c r="E1004" s="21" t="s">
        <v>75</v>
      </c>
      <c r="F1004" s="21"/>
      <c r="G1004" s="147" t="s">
        <v>98</v>
      </c>
      <c r="H1004" s="23" t="s">
        <v>2914</v>
      </c>
      <c r="I1004" s="23"/>
      <c r="J1004" s="21" t="s">
        <v>2906</v>
      </c>
      <c r="K1004" s="13"/>
      <c r="L1004" s="21" t="s">
        <v>2913</v>
      </c>
      <c r="M1004" s="26">
        <v>43861</v>
      </c>
      <c r="N1004" s="44">
        <v>2886.04</v>
      </c>
      <c r="O1004" s="22" t="s">
        <v>15</v>
      </c>
      <c r="P1004" s="22" t="s">
        <v>19</v>
      </c>
      <c r="Q1004" s="44">
        <f t="shared" si="67"/>
        <v>0</v>
      </c>
      <c r="R1004" s="24">
        <f t="shared" si="68"/>
        <v>2886.04</v>
      </c>
      <c r="S1004" s="5"/>
      <c r="T1004" s="5"/>
    </row>
    <row r="1005" spans="1:20" ht="15.75" hidden="1" x14ac:dyDescent="0.25">
      <c r="A1005" t="s">
        <v>6753</v>
      </c>
      <c r="B1005" s="21" t="s">
        <v>395</v>
      </c>
      <c r="C1005" s="22" t="s">
        <v>2453</v>
      </c>
      <c r="D1005" s="22"/>
      <c r="E1005" s="21" t="s">
        <v>75</v>
      </c>
      <c r="F1005" s="21"/>
      <c r="G1005" s="147" t="s">
        <v>98</v>
      </c>
      <c r="H1005" s="23" t="s">
        <v>2915</v>
      </c>
      <c r="I1005" s="23"/>
      <c r="J1005" s="21" t="s">
        <v>2906</v>
      </c>
      <c r="K1005" s="13"/>
      <c r="L1005" s="21" t="s">
        <v>2916</v>
      </c>
      <c r="M1005" s="26">
        <v>43861</v>
      </c>
      <c r="N1005" s="44">
        <v>71.3</v>
      </c>
      <c r="O1005" s="22" t="s">
        <v>15</v>
      </c>
      <c r="P1005" s="22" t="s">
        <v>19</v>
      </c>
      <c r="Q1005" s="44">
        <f t="shared" si="67"/>
        <v>0</v>
      </c>
      <c r="R1005" s="24">
        <f t="shared" si="68"/>
        <v>71.3</v>
      </c>
      <c r="S1005" s="5"/>
      <c r="T1005" s="5"/>
    </row>
    <row r="1006" spans="1:20" ht="15.75" hidden="1" x14ac:dyDescent="0.25">
      <c r="A1006" t="s">
        <v>6753</v>
      </c>
      <c r="B1006" s="21" t="s">
        <v>395</v>
      </c>
      <c r="C1006" s="22" t="s">
        <v>2421</v>
      </c>
      <c r="D1006" s="22"/>
      <c r="E1006" s="21" t="s">
        <v>75</v>
      </c>
      <c r="F1006" s="21"/>
      <c r="G1006" s="147" t="s">
        <v>98</v>
      </c>
      <c r="H1006" s="23" t="s">
        <v>2918</v>
      </c>
      <c r="I1006" s="23"/>
      <c r="J1006" s="21" t="s">
        <v>2906</v>
      </c>
      <c r="K1006" s="13"/>
      <c r="L1006" s="21" t="s">
        <v>2917</v>
      </c>
      <c r="M1006" s="26">
        <v>43861</v>
      </c>
      <c r="N1006" s="44">
        <v>1286.1600000000001</v>
      </c>
      <c r="O1006" s="22" t="s">
        <v>15</v>
      </c>
      <c r="P1006" s="22" t="s">
        <v>19</v>
      </c>
      <c r="Q1006" s="44">
        <f t="shared" si="67"/>
        <v>0</v>
      </c>
      <c r="R1006" s="24">
        <f t="shared" si="68"/>
        <v>1286.1600000000001</v>
      </c>
      <c r="S1006" s="5"/>
      <c r="T1006" s="5"/>
    </row>
    <row r="1007" spans="1:20" ht="15.75" hidden="1" x14ac:dyDescent="0.25">
      <c r="A1007" t="s">
        <v>6753</v>
      </c>
      <c r="B1007" s="21" t="s">
        <v>395</v>
      </c>
      <c r="C1007" s="22" t="s">
        <v>2456</v>
      </c>
      <c r="D1007" s="22"/>
      <c r="E1007" s="21" t="s">
        <v>75</v>
      </c>
      <c r="F1007" s="21"/>
      <c r="G1007" s="147" t="s">
        <v>98</v>
      </c>
      <c r="H1007" s="23" t="s">
        <v>2920</v>
      </c>
      <c r="I1007" s="23"/>
      <c r="J1007" s="21" t="s">
        <v>2906</v>
      </c>
      <c r="K1007" s="13"/>
      <c r="L1007" s="21" t="s">
        <v>2919</v>
      </c>
      <c r="M1007" s="26">
        <v>43861</v>
      </c>
      <c r="N1007" s="44">
        <v>2676.65</v>
      </c>
      <c r="O1007" s="22" t="s">
        <v>15</v>
      </c>
      <c r="P1007" s="22" t="s">
        <v>19</v>
      </c>
      <c r="Q1007" s="44">
        <f t="shared" si="67"/>
        <v>0</v>
      </c>
      <c r="R1007" s="24">
        <f t="shared" si="68"/>
        <v>2676.65</v>
      </c>
      <c r="S1007" s="5"/>
      <c r="T1007" s="5"/>
    </row>
    <row r="1008" spans="1:20" ht="15.75" hidden="1" x14ac:dyDescent="0.25">
      <c r="B1008" s="21" t="s">
        <v>395</v>
      </c>
      <c r="C1008" s="22" t="s">
        <v>2450</v>
      </c>
      <c r="D1008" s="22"/>
      <c r="E1008" s="21" t="s">
        <v>10</v>
      </c>
      <c r="F1008" s="21"/>
      <c r="G1008" s="147" t="s">
        <v>2973</v>
      </c>
      <c r="H1008" s="23" t="s">
        <v>2974</v>
      </c>
      <c r="I1008" s="23"/>
      <c r="J1008" s="21" t="s">
        <v>2975</v>
      </c>
      <c r="K1008" s="120"/>
      <c r="L1008" s="21" t="s">
        <v>3099</v>
      </c>
      <c r="M1008" s="26">
        <v>43900</v>
      </c>
      <c r="N1008" s="44">
        <v>3000</v>
      </c>
      <c r="O1008" s="22" t="s">
        <v>15</v>
      </c>
      <c r="P1008" s="22" t="s">
        <v>19</v>
      </c>
      <c r="Q1008" s="24">
        <f t="shared" si="67"/>
        <v>0</v>
      </c>
      <c r="R1008" s="24">
        <f t="shared" si="68"/>
        <v>3000</v>
      </c>
      <c r="S1008" s="5"/>
      <c r="T1008" s="5"/>
    </row>
    <row r="1009" spans="2:20" ht="15.75" hidden="1" x14ac:dyDescent="0.25">
      <c r="B1009" s="21" t="s">
        <v>395</v>
      </c>
      <c r="C1009" s="22" t="s">
        <v>2450</v>
      </c>
      <c r="D1009" s="22" t="s">
        <v>1756</v>
      </c>
      <c r="E1009" s="21" t="s">
        <v>10</v>
      </c>
      <c r="F1009" s="21"/>
      <c r="G1009" s="147" t="s">
        <v>2973</v>
      </c>
      <c r="H1009" s="23" t="s">
        <v>3076</v>
      </c>
      <c r="I1009" s="23"/>
      <c r="J1009" s="21" t="s">
        <v>3033</v>
      </c>
      <c r="K1009" s="120"/>
      <c r="L1009" s="21" t="s">
        <v>3324</v>
      </c>
      <c r="M1009" s="47" t="s">
        <v>3322</v>
      </c>
      <c r="N1009" s="185">
        <v>17400</v>
      </c>
      <c r="O1009" s="22" t="s">
        <v>15</v>
      </c>
      <c r="P1009" s="22" t="s">
        <v>19</v>
      </c>
      <c r="Q1009" s="24">
        <f t="shared" si="67"/>
        <v>0</v>
      </c>
      <c r="R1009" s="24">
        <f t="shared" si="68"/>
        <v>17400</v>
      </c>
      <c r="S1009" s="5"/>
      <c r="T1009" s="5"/>
    </row>
    <row r="1010" spans="2:20" ht="15.75" hidden="1" x14ac:dyDescent="0.25">
      <c r="B1010" s="21" t="s">
        <v>395</v>
      </c>
      <c r="C1010" s="22" t="s">
        <v>2450</v>
      </c>
      <c r="D1010" s="22" t="s">
        <v>1756</v>
      </c>
      <c r="E1010" s="21" t="s">
        <v>10</v>
      </c>
      <c r="F1010" s="21"/>
      <c r="G1010" s="147" t="s">
        <v>2973</v>
      </c>
      <c r="H1010" s="23" t="s">
        <v>3047</v>
      </c>
      <c r="I1010" s="23"/>
      <c r="J1010" s="21" t="s">
        <v>3033</v>
      </c>
      <c r="K1010" s="120"/>
      <c r="L1010" s="21" t="s">
        <v>3321</v>
      </c>
      <c r="M1010" s="47" t="s">
        <v>3322</v>
      </c>
      <c r="N1010" s="185">
        <v>50500</v>
      </c>
      <c r="O1010" s="22" t="s">
        <v>15</v>
      </c>
      <c r="P1010" s="22" t="s">
        <v>19</v>
      </c>
      <c r="Q1010" s="24">
        <f t="shared" si="67"/>
        <v>0</v>
      </c>
      <c r="R1010" s="24">
        <f t="shared" si="68"/>
        <v>50500</v>
      </c>
      <c r="S1010" s="5"/>
      <c r="T1010" s="5"/>
    </row>
    <row r="1011" spans="2:20" ht="15.75" hidden="1" x14ac:dyDescent="0.25">
      <c r="B1011" s="21" t="s">
        <v>395</v>
      </c>
      <c r="C1011" s="22" t="s">
        <v>2427</v>
      </c>
      <c r="D1011" s="22"/>
      <c r="E1011" s="21" t="s">
        <v>0</v>
      </c>
      <c r="F1011" s="21"/>
      <c r="G1011" s="147" t="s">
        <v>1241</v>
      </c>
      <c r="H1011" s="23" t="s">
        <v>3035</v>
      </c>
      <c r="I1011" s="23"/>
      <c r="J1011" s="21" t="s">
        <v>1382</v>
      </c>
      <c r="K1011" s="21"/>
      <c r="L1011" s="21" t="s">
        <v>4692</v>
      </c>
      <c r="M1011" s="26" t="s">
        <v>4693</v>
      </c>
      <c r="N1011" s="44">
        <v>8000</v>
      </c>
      <c r="O1011" s="22" t="s">
        <v>15</v>
      </c>
      <c r="P1011" s="22">
        <f>5800+8000+8000</f>
        <v>21800</v>
      </c>
      <c r="Q1011" s="24">
        <f t="shared" si="67"/>
        <v>0</v>
      </c>
      <c r="R1011" s="24">
        <f t="shared" si="68"/>
        <v>21800</v>
      </c>
      <c r="S1011" s="5"/>
      <c r="T1011" s="5"/>
    </row>
    <row r="1012" spans="2:20" ht="15.75" hidden="1" x14ac:dyDescent="0.25">
      <c r="B1012" s="21" t="s">
        <v>395</v>
      </c>
      <c r="C1012" s="22" t="s">
        <v>2427</v>
      </c>
      <c r="D1012" s="22"/>
      <c r="E1012" s="21" t="s">
        <v>0</v>
      </c>
      <c r="F1012" s="21"/>
      <c r="G1012" s="147" t="s">
        <v>1241</v>
      </c>
      <c r="H1012" s="23" t="s">
        <v>3036</v>
      </c>
      <c r="I1012" s="23"/>
      <c r="J1012" s="21" t="s">
        <v>3034</v>
      </c>
      <c r="K1012" s="21"/>
      <c r="L1012" s="21" t="s">
        <v>3140</v>
      </c>
      <c r="M1012" s="26">
        <v>43950</v>
      </c>
      <c r="N1012" s="44">
        <v>5800</v>
      </c>
      <c r="O1012" s="22" t="s">
        <v>15</v>
      </c>
      <c r="P1012" s="22" t="s">
        <v>19</v>
      </c>
      <c r="Q1012" s="24">
        <f t="shared" si="67"/>
        <v>0</v>
      </c>
      <c r="R1012" s="24">
        <f t="shared" si="68"/>
        <v>5800</v>
      </c>
      <c r="S1012" s="5"/>
      <c r="T1012" s="5"/>
    </row>
    <row r="1013" spans="2:20" ht="15.75" hidden="1" x14ac:dyDescent="0.25">
      <c r="B1013" s="21" t="s">
        <v>395</v>
      </c>
      <c r="C1013" s="22" t="s">
        <v>2427</v>
      </c>
      <c r="D1013" s="22"/>
      <c r="E1013" s="21" t="s">
        <v>0</v>
      </c>
      <c r="F1013" s="21"/>
      <c r="G1013" s="147" t="s">
        <v>340</v>
      </c>
      <c r="H1013" s="23" t="s">
        <v>3038</v>
      </c>
      <c r="I1013" s="23"/>
      <c r="J1013" s="21" t="s">
        <v>3037</v>
      </c>
      <c r="K1013" s="120"/>
      <c r="L1013" s="21" t="s">
        <v>3143</v>
      </c>
      <c r="M1013" s="47">
        <v>43935</v>
      </c>
      <c r="N1013" s="44">
        <v>2250</v>
      </c>
      <c r="O1013" s="22" t="s">
        <v>341</v>
      </c>
      <c r="P1013" s="22" t="s">
        <v>19</v>
      </c>
      <c r="Q1013" s="24">
        <f t="shared" si="67"/>
        <v>0</v>
      </c>
      <c r="R1013" s="24">
        <f t="shared" si="68"/>
        <v>2250</v>
      </c>
      <c r="S1013" s="5"/>
      <c r="T1013" s="5"/>
    </row>
    <row r="1014" spans="2:20" ht="15.75" hidden="1" x14ac:dyDescent="0.25">
      <c r="B1014" s="21" t="s">
        <v>395</v>
      </c>
      <c r="C1014" s="22" t="s">
        <v>2427</v>
      </c>
      <c r="D1014" s="22"/>
      <c r="E1014" s="21" t="s">
        <v>0</v>
      </c>
      <c r="F1014" s="21"/>
      <c r="G1014" s="147" t="s">
        <v>3040</v>
      </c>
      <c r="H1014" s="23" t="s">
        <v>3041</v>
      </c>
      <c r="I1014" s="23"/>
      <c r="J1014" s="21" t="s">
        <v>3042</v>
      </c>
      <c r="K1014" s="13"/>
      <c r="L1014" s="21" t="s">
        <v>3682</v>
      </c>
      <c r="M1014" s="47" t="s">
        <v>3683</v>
      </c>
      <c r="N1014" s="44">
        <v>6385</v>
      </c>
      <c r="O1014" s="22" t="s">
        <v>15</v>
      </c>
      <c r="P1014" s="22" t="s">
        <v>19</v>
      </c>
      <c r="Q1014" s="44">
        <f t="shared" si="67"/>
        <v>0</v>
      </c>
      <c r="R1014" s="24">
        <f t="shared" si="68"/>
        <v>6385</v>
      </c>
      <c r="S1014" s="5"/>
      <c r="T1014" s="5"/>
    </row>
    <row r="1015" spans="2:20" ht="15.75" hidden="1" x14ac:dyDescent="0.25">
      <c r="B1015" s="21" t="s">
        <v>395</v>
      </c>
      <c r="C1015" s="22" t="s">
        <v>2450</v>
      </c>
      <c r="D1015" s="22" t="s">
        <v>1756</v>
      </c>
      <c r="E1015" s="21" t="s">
        <v>10</v>
      </c>
      <c r="F1015" s="21"/>
      <c r="G1015" s="147" t="s">
        <v>2973</v>
      </c>
      <c r="H1015" s="23" t="s">
        <v>3074</v>
      </c>
      <c r="I1015" s="23"/>
      <c r="J1015" s="21" t="s">
        <v>3075</v>
      </c>
      <c r="K1015" s="120"/>
      <c r="L1015" s="21" t="s">
        <v>3320</v>
      </c>
      <c r="M1015" s="47" t="s">
        <v>3322</v>
      </c>
      <c r="N1015" s="185">
        <v>3600</v>
      </c>
      <c r="O1015" s="22" t="s">
        <v>15</v>
      </c>
      <c r="P1015" s="22" t="s">
        <v>19</v>
      </c>
      <c r="Q1015" s="24">
        <f t="shared" si="67"/>
        <v>0</v>
      </c>
      <c r="R1015" s="24">
        <f t="shared" si="68"/>
        <v>3600</v>
      </c>
      <c r="S1015" s="5"/>
      <c r="T1015" s="5"/>
    </row>
    <row r="1016" spans="2:20" ht="15.75" hidden="1" x14ac:dyDescent="0.25">
      <c r="B1016" s="21" t="s">
        <v>395</v>
      </c>
      <c r="C1016" s="22" t="s">
        <v>2450</v>
      </c>
      <c r="D1016" s="22" t="s">
        <v>1756</v>
      </c>
      <c r="E1016" s="21" t="s">
        <v>10</v>
      </c>
      <c r="F1016" s="21"/>
      <c r="G1016" s="147" t="s">
        <v>2973</v>
      </c>
      <c r="H1016" s="23" t="s">
        <v>3189</v>
      </c>
      <c r="I1016" s="23"/>
      <c r="J1016" s="21" t="s">
        <v>3092</v>
      </c>
      <c r="K1016" s="120"/>
      <c r="L1016" s="21" t="s">
        <v>3319</v>
      </c>
      <c r="M1016" s="47" t="s">
        <v>3323</v>
      </c>
      <c r="N1016" s="185">
        <v>-19000</v>
      </c>
      <c r="O1016" s="22" t="s">
        <v>15</v>
      </c>
      <c r="P1016" s="22" t="s">
        <v>19</v>
      </c>
      <c r="Q1016" s="24">
        <f t="shared" si="67"/>
        <v>0</v>
      </c>
      <c r="R1016" s="24">
        <f t="shared" si="68"/>
        <v>-19000</v>
      </c>
      <c r="S1016" s="5"/>
      <c r="T1016" s="5"/>
    </row>
    <row r="1017" spans="2:20" ht="15.75" hidden="1" x14ac:dyDescent="0.25">
      <c r="B1017" s="21" t="s">
        <v>395</v>
      </c>
      <c r="C1017" s="22" t="s">
        <v>2450</v>
      </c>
      <c r="D1017" s="22" t="s">
        <v>1756</v>
      </c>
      <c r="E1017" s="21" t="s">
        <v>10</v>
      </c>
      <c r="F1017" s="21"/>
      <c r="G1017" s="147" t="s">
        <v>2973</v>
      </c>
      <c r="H1017" s="23" t="s">
        <v>3190</v>
      </c>
      <c r="I1017" s="23"/>
      <c r="J1017" s="21" t="s">
        <v>3191</v>
      </c>
      <c r="K1017" s="120"/>
      <c r="L1017" s="21" t="s">
        <v>3456</v>
      </c>
      <c r="M1017" s="26">
        <v>43994</v>
      </c>
      <c r="N1017" s="185">
        <v>12300</v>
      </c>
      <c r="O1017" s="22" t="s">
        <v>15</v>
      </c>
      <c r="P1017" s="22" t="s">
        <v>19</v>
      </c>
      <c r="Q1017" s="24">
        <f t="shared" si="67"/>
        <v>0</v>
      </c>
      <c r="R1017" s="24">
        <f t="shared" si="68"/>
        <v>12300</v>
      </c>
      <c r="S1017" s="5"/>
      <c r="T1017" s="5"/>
    </row>
    <row r="1018" spans="2:20" ht="15.75" hidden="1" x14ac:dyDescent="0.25">
      <c r="B1018" s="21" t="s">
        <v>395</v>
      </c>
      <c r="C1018" s="22" t="s">
        <v>2450</v>
      </c>
      <c r="D1018" s="22" t="s">
        <v>1756</v>
      </c>
      <c r="E1018" s="21" t="s">
        <v>10</v>
      </c>
      <c r="F1018" s="21"/>
      <c r="G1018" s="147" t="s">
        <v>2973</v>
      </c>
      <c r="H1018" s="23" t="s">
        <v>3366</v>
      </c>
      <c r="I1018" s="23"/>
      <c r="J1018" s="21" t="s">
        <v>3367</v>
      </c>
      <c r="K1018" s="120"/>
      <c r="L1018" s="21" t="s">
        <v>3490</v>
      </c>
      <c r="M1018" s="26">
        <v>44021</v>
      </c>
      <c r="N1018" s="185">
        <v>1500</v>
      </c>
      <c r="O1018" s="22" t="s">
        <v>15</v>
      </c>
      <c r="P1018" s="22" t="s">
        <v>19</v>
      </c>
      <c r="Q1018" s="24">
        <f t="shared" si="67"/>
        <v>0</v>
      </c>
      <c r="R1018" s="24">
        <f t="shared" si="68"/>
        <v>1500</v>
      </c>
      <c r="S1018" s="5"/>
      <c r="T1018" s="5"/>
    </row>
    <row r="1019" spans="2:20" ht="15.75" hidden="1" x14ac:dyDescent="0.25">
      <c r="B1019" s="21" t="s">
        <v>395</v>
      </c>
      <c r="C1019" s="22" t="s">
        <v>2450</v>
      </c>
      <c r="D1019" s="22" t="s">
        <v>1756</v>
      </c>
      <c r="E1019" s="21" t="s">
        <v>10</v>
      </c>
      <c r="F1019" s="21"/>
      <c r="G1019" s="147" t="s">
        <v>2973</v>
      </c>
      <c r="H1019" s="23" t="s">
        <v>3049</v>
      </c>
      <c r="I1019" s="23"/>
      <c r="J1019" s="21" t="s">
        <v>3048</v>
      </c>
      <c r="K1019" s="120"/>
      <c r="L1019" s="21" t="s">
        <v>4183</v>
      </c>
      <c r="M1019" s="26">
        <v>44005</v>
      </c>
      <c r="N1019" s="44">
        <v>4800</v>
      </c>
      <c r="O1019" s="22" t="s">
        <v>15</v>
      </c>
      <c r="P1019" s="22" t="s">
        <v>19</v>
      </c>
      <c r="Q1019" s="24">
        <f t="shared" si="67"/>
        <v>0</v>
      </c>
      <c r="R1019" s="24">
        <f t="shared" si="68"/>
        <v>4800</v>
      </c>
      <c r="S1019" s="5"/>
      <c r="T1019" s="5"/>
    </row>
    <row r="1020" spans="2:20" ht="15.75" hidden="1" x14ac:dyDescent="0.25">
      <c r="B1020" s="21" t="s">
        <v>395</v>
      </c>
      <c r="C1020" s="22" t="s">
        <v>3916</v>
      </c>
      <c r="D1020" s="22"/>
      <c r="E1020" s="21" t="s">
        <v>10</v>
      </c>
      <c r="F1020" s="21"/>
      <c r="G1020" s="147" t="s">
        <v>239</v>
      </c>
      <c r="H1020" s="23" t="s">
        <v>3093</v>
      </c>
      <c r="I1020" s="23"/>
      <c r="J1020" s="21" t="s">
        <v>3166</v>
      </c>
      <c r="K1020" s="120"/>
      <c r="L1020" s="21" t="s">
        <v>3165</v>
      </c>
      <c r="M1020" s="26">
        <v>43965</v>
      </c>
      <c r="N1020" s="44">
        <f>0.5*8800</f>
        <v>4400</v>
      </c>
      <c r="O1020" s="22" t="s">
        <v>15</v>
      </c>
      <c r="P1020" s="22" t="s">
        <v>19</v>
      </c>
      <c r="Q1020" s="24">
        <f t="shared" si="67"/>
        <v>0</v>
      </c>
      <c r="R1020" s="24">
        <f t="shared" si="68"/>
        <v>4400</v>
      </c>
      <c r="S1020" s="5"/>
      <c r="T1020" s="5"/>
    </row>
    <row r="1021" spans="2:20" ht="15.75" hidden="1" x14ac:dyDescent="0.25">
      <c r="B1021" s="21" t="s">
        <v>395</v>
      </c>
      <c r="C1021" s="22" t="s">
        <v>3916</v>
      </c>
      <c r="D1021" s="22"/>
      <c r="E1021" s="21" t="s">
        <v>10</v>
      </c>
      <c r="F1021" s="21"/>
      <c r="G1021" s="147" t="s">
        <v>239</v>
      </c>
      <c r="H1021" s="23" t="s">
        <v>3093</v>
      </c>
      <c r="I1021" s="23"/>
      <c r="J1021" s="21" t="s">
        <v>3167</v>
      </c>
      <c r="K1021" s="120"/>
      <c r="L1021" s="21" t="s">
        <v>3165</v>
      </c>
      <c r="M1021" s="26">
        <v>43965</v>
      </c>
      <c r="N1021" s="44">
        <f>0.5*8800</f>
        <v>4400</v>
      </c>
      <c r="O1021" s="22" t="s">
        <v>15</v>
      </c>
      <c r="P1021" s="22" t="s">
        <v>19</v>
      </c>
      <c r="Q1021" s="24">
        <f t="shared" si="67"/>
        <v>0</v>
      </c>
      <c r="R1021" s="24">
        <f t="shared" si="68"/>
        <v>4400</v>
      </c>
      <c r="S1021" s="5"/>
      <c r="T1021" s="5"/>
    </row>
    <row r="1022" spans="2:20" ht="15.75" hidden="1" x14ac:dyDescent="0.25">
      <c r="B1022" s="21" t="s">
        <v>395</v>
      </c>
      <c r="C1022" s="22" t="s">
        <v>3916</v>
      </c>
      <c r="D1022" s="22"/>
      <c r="E1022" s="21" t="s">
        <v>10</v>
      </c>
      <c r="F1022" s="21"/>
      <c r="G1022" s="147" t="s">
        <v>3129</v>
      </c>
      <c r="H1022" s="23" t="s">
        <v>3130</v>
      </c>
      <c r="I1022" s="23"/>
      <c r="J1022" s="21" t="s">
        <v>3131</v>
      </c>
      <c r="K1022" s="120"/>
      <c r="L1022" s="21" t="s">
        <v>3134</v>
      </c>
      <c r="M1022" s="26">
        <v>43949</v>
      </c>
      <c r="N1022" s="44">
        <v>14500</v>
      </c>
      <c r="O1022" s="22" t="s">
        <v>15</v>
      </c>
      <c r="P1022" s="22" t="s">
        <v>19</v>
      </c>
      <c r="Q1022" s="24">
        <f t="shared" si="67"/>
        <v>0</v>
      </c>
      <c r="R1022" s="24">
        <f t="shared" si="68"/>
        <v>14500</v>
      </c>
      <c r="S1022" s="5"/>
      <c r="T1022" s="5"/>
    </row>
    <row r="1023" spans="2:20" ht="15.75" hidden="1" x14ac:dyDescent="0.25">
      <c r="B1023" s="21" t="s">
        <v>395</v>
      </c>
      <c r="C1023" s="22" t="s">
        <v>3916</v>
      </c>
      <c r="D1023" s="22"/>
      <c r="E1023" s="21" t="s">
        <v>10</v>
      </c>
      <c r="F1023" s="21"/>
      <c r="G1023" s="147" t="s">
        <v>3129</v>
      </c>
      <c r="H1023" s="23" t="s">
        <v>3130</v>
      </c>
      <c r="I1023" s="23"/>
      <c r="J1023" s="21" t="s">
        <v>3132</v>
      </c>
      <c r="K1023" s="120"/>
      <c r="L1023" s="21" t="s">
        <v>3253</v>
      </c>
      <c r="M1023" s="26">
        <v>43984</v>
      </c>
      <c r="N1023" s="44">
        <v>4768</v>
      </c>
      <c r="O1023" s="22" t="s">
        <v>15</v>
      </c>
      <c r="P1023" s="22" t="s">
        <v>19</v>
      </c>
      <c r="Q1023" s="24">
        <f t="shared" si="67"/>
        <v>0</v>
      </c>
      <c r="R1023" s="24">
        <f t="shared" si="68"/>
        <v>4768</v>
      </c>
      <c r="S1023" s="5"/>
      <c r="T1023" s="5"/>
    </row>
    <row r="1024" spans="2:20" ht="15.75" hidden="1" x14ac:dyDescent="0.25">
      <c r="B1024" s="21" t="s">
        <v>395</v>
      </c>
      <c r="C1024" s="22" t="s">
        <v>3916</v>
      </c>
      <c r="D1024" s="22"/>
      <c r="E1024" s="21" t="s">
        <v>10</v>
      </c>
      <c r="F1024" s="21"/>
      <c r="G1024" s="147" t="s">
        <v>3129</v>
      </c>
      <c r="H1024" s="23" t="s">
        <v>3130</v>
      </c>
      <c r="I1024" s="23"/>
      <c r="J1024" s="21" t="s">
        <v>3133</v>
      </c>
      <c r="K1024" s="120"/>
      <c r="L1024" s="21" t="s">
        <v>3598</v>
      </c>
      <c r="M1024" s="47" t="s">
        <v>3599</v>
      </c>
      <c r="N1024" s="44">
        <f>35750-(N1022+N1023)</f>
        <v>16482</v>
      </c>
      <c r="O1024" s="22" t="s">
        <v>15</v>
      </c>
      <c r="P1024" s="24">
        <f>4252+1740+2500</f>
        <v>8492</v>
      </c>
      <c r="Q1024" s="24">
        <f t="shared" si="67"/>
        <v>7990</v>
      </c>
      <c r="R1024" s="24">
        <f t="shared" si="68"/>
        <v>8492</v>
      </c>
      <c r="S1024" s="5" t="s">
        <v>3429</v>
      </c>
      <c r="T1024" s="5"/>
    </row>
    <row r="1025" spans="2:20" ht="15.75" hidden="1" x14ac:dyDescent="0.25">
      <c r="B1025" s="21" t="s">
        <v>395</v>
      </c>
      <c r="C1025" s="22" t="s">
        <v>2450</v>
      </c>
      <c r="D1025" s="22" t="s">
        <v>4153</v>
      </c>
      <c r="E1025" s="21" t="s">
        <v>10</v>
      </c>
      <c r="F1025" s="21"/>
      <c r="G1025" s="147" t="s">
        <v>4447</v>
      </c>
      <c r="H1025" s="23" t="s">
        <v>3647</v>
      </c>
      <c r="I1025" s="23"/>
      <c r="J1025" s="21" t="s">
        <v>4107</v>
      </c>
      <c r="K1025" s="120"/>
      <c r="L1025" s="47" t="s">
        <v>3648</v>
      </c>
      <c r="M1025" s="26">
        <v>44042</v>
      </c>
      <c r="N1025" s="44">
        <v>2230</v>
      </c>
      <c r="O1025" s="22" t="s">
        <v>15</v>
      </c>
      <c r="P1025" s="22">
        <v>3030</v>
      </c>
      <c r="Q1025" s="44">
        <f t="shared" si="67"/>
        <v>0</v>
      </c>
      <c r="R1025" s="24">
        <f t="shared" si="68"/>
        <v>3030</v>
      </c>
      <c r="S1025" s="5"/>
      <c r="T1025" s="5"/>
    </row>
    <row r="1026" spans="2:20" ht="15.75" hidden="1" x14ac:dyDescent="0.25">
      <c r="B1026" s="21" t="s">
        <v>395</v>
      </c>
      <c r="C1026" s="22" t="s">
        <v>2450</v>
      </c>
      <c r="D1026" s="22"/>
      <c r="E1026" s="21" t="s">
        <v>0</v>
      </c>
      <c r="F1026" s="21"/>
      <c r="G1026" s="147" t="s">
        <v>3211</v>
      </c>
      <c r="H1026" s="23" t="s">
        <v>3298</v>
      </c>
      <c r="I1026" s="23"/>
      <c r="J1026" s="21" t="s">
        <v>3213</v>
      </c>
      <c r="K1026" s="13"/>
      <c r="L1026" s="21" t="s">
        <v>3481</v>
      </c>
      <c r="M1026" s="26">
        <v>44008</v>
      </c>
      <c r="N1026" s="44">
        <v>14850</v>
      </c>
      <c r="O1026" s="22" t="s">
        <v>276</v>
      </c>
      <c r="P1026" s="22" t="s">
        <v>19</v>
      </c>
      <c r="Q1026" s="44">
        <f t="shared" si="67"/>
        <v>0</v>
      </c>
      <c r="R1026" s="24">
        <f t="shared" si="68"/>
        <v>14850</v>
      </c>
      <c r="S1026" s="5" t="s">
        <v>3212</v>
      </c>
      <c r="T1026" s="5"/>
    </row>
    <row r="1027" spans="2:20" ht="15.75" hidden="1" x14ac:dyDescent="0.25">
      <c r="B1027" s="21" t="s">
        <v>395</v>
      </c>
      <c r="C1027" s="22" t="s">
        <v>2450</v>
      </c>
      <c r="D1027" s="22"/>
      <c r="E1027" s="21" t="s">
        <v>0</v>
      </c>
      <c r="F1027" s="21"/>
      <c r="G1027" s="147" t="s">
        <v>3211</v>
      </c>
      <c r="H1027" s="23" t="s">
        <v>3298</v>
      </c>
      <c r="I1027" s="23"/>
      <c r="J1027" s="21" t="s">
        <v>3214</v>
      </c>
      <c r="K1027" s="13"/>
      <c r="L1027" s="21" t="s">
        <v>3481</v>
      </c>
      <c r="M1027" s="26">
        <v>44008</v>
      </c>
      <c r="N1027" s="44">
        <v>1550</v>
      </c>
      <c r="O1027" s="22" t="s">
        <v>276</v>
      </c>
      <c r="P1027" s="22" t="s">
        <v>19</v>
      </c>
      <c r="Q1027" s="44">
        <f t="shared" si="67"/>
        <v>0</v>
      </c>
      <c r="R1027" s="24">
        <f t="shared" si="68"/>
        <v>1550</v>
      </c>
      <c r="S1027" s="5" t="s">
        <v>3212</v>
      </c>
      <c r="T1027" s="5"/>
    </row>
    <row r="1028" spans="2:20" ht="15.75" hidden="1" x14ac:dyDescent="0.25">
      <c r="B1028" s="21" t="s">
        <v>395</v>
      </c>
      <c r="C1028" s="22" t="s">
        <v>2450</v>
      </c>
      <c r="D1028" s="22"/>
      <c r="E1028" s="21" t="s">
        <v>0</v>
      </c>
      <c r="F1028" s="21"/>
      <c r="G1028" s="147" t="s">
        <v>3211</v>
      </c>
      <c r="H1028" s="23" t="s">
        <v>3298</v>
      </c>
      <c r="I1028" s="23"/>
      <c r="J1028" s="21" t="s">
        <v>3215</v>
      </c>
      <c r="K1028" s="13"/>
      <c r="L1028" s="21" t="s">
        <v>3481</v>
      </c>
      <c r="M1028" s="26">
        <v>44008</v>
      </c>
      <c r="N1028" s="44">
        <v>400</v>
      </c>
      <c r="O1028" s="22" t="s">
        <v>276</v>
      </c>
      <c r="P1028" s="22" t="s">
        <v>19</v>
      </c>
      <c r="Q1028" s="44">
        <f t="shared" si="67"/>
        <v>0</v>
      </c>
      <c r="R1028" s="24">
        <f t="shared" si="68"/>
        <v>400</v>
      </c>
      <c r="S1028" s="5" t="s">
        <v>3212</v>
      </c>
      <c r="T1028" s="5"/>
    </row>
    <row r="1029" spans="2:20" ht="15.75" hidden="1" x14ac:dyDescent="0.25">
      <c r="B1029" s="21" t="s">
        <v>395</v>
      </c>
      <c r="C1029" s="22" t="s">
        <v>2450</v>
      </c>
      <c r="D1029" s="22"/>
      <c r="E1029" s="21" t="s">
        <v>10</v>
      </c>
      <c r="F1029" s="21"/>
      <c r="G1029" s="147" t="s">
        <v>4447</v>
      </c>
      <c r="H1029" s="23" t="s">
        <v>4448</v>
      </c>
      <c r="I1029" s="23"/>
      <c r="J1029" s="21" t="s">
        <v>3281</v>
      </c>
      <c r="K1029" s="120"/>
      <c r="L1029" s="47" t="s">
        <v>4501</v>
      </c>
      <c r="M1029" s="26">
        <v>44237</v>
      </c>
      <c r="N1029" s="44">
        <v>21600</v>
      </c>
      <c r="O1029" s="22" t="s">
        <v>15</v>
      </c>
      <c r="P1029" s="22" t="s">
        <v>19</v>
      </c>
      <c r="Q1029" s="44">
        <f t="shared" si="67"/>
        <v>0</v>
      </c>
      <c r="R1029" s="24">
        <f t="shared" si="68"/>
        <v>21600</v>
      </c>
      <c r="S1029" s="5" t="s">
        <v>4322</v>
      </c>
      <c r="T1029" s="5"/>
    </row>
    <row r="1030" spans="2:20" ht="15.75" hidden="1" x14ac:dyDescent="0.25">
      <c r="B1030" s="21" t="s">
        <v>395</v>
      </c>
      <c r="C1030" s="22" t="s">
        <v>2450</v>
      </c>
      <c r="D1030" s="22" t="s">
        <v>6687</v>
      </c>
      <c r="E1030" s="21" t="s">
        <v>10</v>
      </c>
      <c r="F1030" s="21"/>
      <c r="G1030" s="147" t="s">
        <v>4447</v>
      </c>
      <c r="H1030" s="23" t="s">
        <v>3696</v>
      </c>
      <c r="I1030" s="23"/>
      <c r="J1030" s="21" t="s">
        <v>3283</v>
      </c>
      <c r="K1030" s="120"/>
      <c r="L1030" s="47" t="s">
        <v>6600</v>
      </c>
      <c r="M1030" s="26">
        <v>44637</v>
      </c>
      <c r="N1030" s="44">
        <v>17280</v>
      </c>
      <c r="O1030" s="22" t="s">
        <v>15</v>
      </c>
      <c r="P1030" s="22">
        <v>17280</v>
      </c>
      <c r="Q1030" s="44">
        <f t="shared" si="67"/>
        <v>0</v>
      </c>
      <c r="R1030" s="24">
        <f t="shared" si="68"/>
        <v>17280</v>
      </c>
      <c r="S1030" s="5" t="s">
        <v>5379</v>
      </c>
      <c r="T1030" s="5"/>
    </row>
    <row r="1031" spans="2:20" ht="15.75" hidden="1" x14ac:dyDescent="0.25">
      <c r="B1031" s="21" t="s">
        <v>395</v>
      </c>
      <c r="C1031" s="22" t="s">
        <v>2450</v>
      </c>
      <c r="D1031" s="22" t="s">
        <v>4153</v>
      </c>
      <c r="E1031" s="21" t="s">
        <v>10</v>
      </c>
      <c r="F1031" s="21"/>
      <c r="G1031" s="147" t="s">
        <v>4447</v>
      </c>
      <c r="H1031" s="23" t="s">
        <v>3458</v>
      </c>
      <c r="I1031" s="23"/>
      <c r="J1031" s="21" t="s">
        <v>4108</v>
      </c>
      <c r="K1031" s="120"/>
      <c r="L1031" s="47" t="s">
        <v>3646</v>
      </c>
      <c r="M1031" s="26">
        <v>44042</v>
      </c>
      <c r="N1031" s="44">
        <v>47450</v>
      </c>
      <c r="O1031" s="22" t="s">
        <v>15</v>
      </c>
      <c r="P1031" s="22" t="s">
        <v>19</v>
      </c>
      <c r="Q1031" s="44">
        <f t="shared" si="67"/>
        <v>0</v>
      </c>
      <c r="R1031" s="24">
        <f t="shared" si="68"/>
        <v>47450</v>
      </c>
      <c r="S1031" s="5"/>
      <c r="T1031" s="5"/>
    </row>
    <row r="1032" spans="2:20" ht="15.75" hidden="1" x14ac:dyDescent="0.25">
      <c r="B1032" s="221" t="s">
        <v>395</v>
      </c>
      <c r="C1032" s="222" t="s">
        <v>2450</v>
      </c>
      <c r="D1032" s="222" t="s">
        <v>4151</v>
      </c>
      <c r="E1032" s="219" t="s">
        <v>10</v>
      </c>
      <c r="F1032" s="219"/>
      <c r="G1032" s="223" t="s">
        <v>4447</v>
      </c>
      <c r="H1032" s="224" t="s">
        <v>3282</v>
      </c>
      <c r="I1032" s="224"/>
      <c r="J1032" s="219" t="s">
        <v>3286</v>
      </c>
      <c r="K1032" s="120"/>
      <c r="L1032" s="219" t="s">
        <v>3751</v>
      </c>
      <c r="M1032" s="225">
        <v>44068</v>
      </c>
      <c r="N1032" s="226">
        <f>0.3*75530</f>
        <v>22659</v>
      </c>
      <c r="O1032" s="222" t="s">
        <v>15</v>
      </c>
      <c r="P1032" s="222" t="s">
        <v>19</v>
      </c>
      <c r="Q1032" s="226">
        <f t="shared" si="67"/>
        <v>0</v>
      </c>
      <c r="R1032" s="227">
        <f t="shared" si="68"/>
        <v>22659</v>
      </c>
      <c r="S1032" s="5"/>
      <c r="T1032" s="5"/>
    </row>
    <row r="1033" spans="2:20" ht="15.75" hidden="1" x14ac:dyDescent="0.25">
      <c r="B1033" s="228" t="s">
        <v>395</v>
      </c>
      <c r="C1033" s="22" t="s">
        <v>2450</v>
      </c>
      <c r="D1033" s="22" t="s">
        <v>4151</v>
      </c>
      <c r="E1033" s="21" t="s">
        <v>10</v>
      </c>
      <c r="F1033" s="21"/>
      <c r="G1033" s="147" t="s">
        <v>4447</v>
      </c>
      <c r="H1033" s="23" t="s">
        <v>3282</v>
      </c>
      <c r="I1033" s="23"/>
      <c r="J1033" s="21" t="s">
        <v>3287</v>
      </c>
      <c r="K1033" s="120"/>
      <c r="L1033" s="21" t="s">
        <v>3751</v>
      </c>
      <c r="M1033" s="26">
        <v>44068</v>
      </c>
      <c r="N1033" s="44">
        <f>0.3*75530</f>
        <v>22659</v>
      </c>
      <c r="O1033" s="22" t="s">
        <v>15</v>
      </c>
      <c r="P1033" s="22" t="s">
        <v>19</v>
      </c>
      <c r="Q1033" s="44">
        <f t="shared" si="67"/>
        <v>0</v>
      </c>
      <c r="R1033" s="229">
        <f t="shared" si="68"/>
        <v>22659</v>
      </c>
      <c r="S1033" s="5"/>
      <c r="T1033" s="5"/>
    </row>
    <row r="1034" spans="2:20" ht="15.75" hidden="1" x14ac:dyDescent="0.25">
      <c r="B1034" s="228" t="s">
        <v>395</v>
      </c>
      <c r="C1034" s="22" t="s">
        <v>2450</v>
      </c>
      <c r="D1034" s="22" t="s">
        <v>4151</v>
      </c>
      <c r="E1034" s="21" t="s">
        <v>10</v>
      </c>
      <c r="F1034" s="21"/>
      <c r="G1034" s="147" t="s">
        <v>4447</v>
      </c>
      <c r="H1034" s="23" t="s">
        <v>3282</v>
      </c>
      <c r="I1034" s="23"/>
      <c r="J1034" s="21" t="s">
        <v>3288</v>
      </c>
      <c r="K1034" s="120"/>
      <c r="L1034" s="21" t="s">
        <v>3752</v>
      </c>
      <c r="M1034" s="26">
        <v>44089</v>
      </c>
      <c r="N1034" s="44">
        <f>0.3*75530</f>
        <v>22659</v>
      </c>
      <c r="O1034" s="22" t="s">
        <v>15</v>
      </c>
      <c r="P1034" s="22" t="s">
        <v>19</v>
      </c>
      <c r="Q1034" s="44">
        <f t="shared" si="67"/>
        <v>0</v>
      </c>
      <c r="R1034" s="229">
        <f t="shared" si="68"/>
        <v>22659</v>
      </c>
      <c r="S1034" s="5"/>
      <c r="T1034" s="5"/>
    </row>
    <row r="1035" spans="2:20" ht="15.75" hidden="1" x14ac:dyDescent="0.25">
      <c r="B1035" s="233" t="s">
        <v>395</v>
      </c>
      <c r="C1035" s="129" t="s">
        <v>2450</v>
      </c>
      <c r="D1035" s="129" t="s">
        <v>4151</v>
      </c>
      <c r="E1035" s="128" t="s">
        <v>10</v>
      </c>
      <c r="F1035" s="128"/>
      <c r="G1035" s="161" t="s">
        <v>4447</v>
      </c>
      <c r="H1035" s="130" t="s">
        <v>3282</v>
      </c>
      <c r="I1035" s="130"/>
      <c r="J1035" s="128" t="s">
        <v>3289</v>
      </c>
      <c r="K1035" s="120"/>
      <c r="L1035" s="128" t="s">
        <v>4504</v>
      </c>
      <c r="M1035" s="131" t="s">
        <v>4505</v>
      </c>
      <c r="N1035" s="132">
        <f>0.1*75530</f>
        <v>7553</v>
      </c>
      <c r="O1035" s="129" t="s">
        <v>15</v>
      </c>
      <c r="P1035" s="129" t="s">
        <v>19</v>
      </c>
      <c r="Q1035" s="132">
        <f t="shared" si="67"/>
        <v>0</v>
      </c>
      <c r="R1035" s="258">
        <f t="shared" si="68"/>
        <v>7553</v>
      </c>
      <c r="S1035" s="5" t="s">
        <v>4319</v>
      </c>
      <c r="T1035" s="5"/>
    </row>
    <row r="1036" spans="2:20" ht="15.75" hidden="1" x14ac:dyDescent="0.25">
      <c r="B1036" s="221" t="s">
        <v>395</v>
      </c>
      <c r="C1036" s="222" t="s">
        <v>2450</v>
      </c>
      <c r="D1036" s="222" t="s">
        <v>4152</v>
      </c>
      <c r="E1036" s="219" t="s">
        <v>10</v>
      </c>
      <c r="F1036" s="219"/>
      <c r="G1036" s="223" t="s">
        <v>4447</v>
      </c>
      <c r="H1036" s="224" t="s">
        <v>3284</v>
      </c>
      <c r="I1036" s="224"/>
      <c r="J1036" s="219" t="s">
        <v>3290</v>
      </c>
      <c r="K1036" s="120"/>
      <c r="L1036" s="219" t="s">
        <v>3750</v>
      </c>
      <c r="M1036" s="225">
        <v>44068</v>
      </c>
      <c r="N1036" s="226">
        <f>0.3*116300</f>
        <v>34890</v>
      </c>
      <c r="O1036" s="222" t="s">
        <v>15</v>
      </c>
      <c r="P1036" s="222" t="s">
        <v>19</v>
      </c>
      <c r="Q1036" s="226">
        <f t="shared" si="67"/>
        <v>0</v>
      </c>
      <c r="R1036" s="227">
        <f t="shared" si="68"/>
        <v>34890</v>
      </c>
      <c r="S1036" s="5"/>
      <c r="T1036" s="5"/>
    </row>
    <row r="1037" spans="2:20" ht="15.75" hidden="1" x14ac:dyDescent="0.25">
      <c r="B1037" s="228" t="s">
        <v>395</v>
      </c>
      <c r="C1037" s="22" t="s">
        <v>2450</v>
      </c>
      <c r="D1037" s="22" t="s">
        <v>4152</v>
      </c>
      <c r="E1037" s="21" t="s">
        <v>10</v>
      </c>
      <c r="F1037" s="21"/>
      <c r="G1037" s="147" t="s">
        <v>4447</v>
      </c>
      <c r="H1037" s="23" t="s">
        <v>3284</v>
      </c>
      <c r="I1037" s="23"/>
      <c r="J1037" s="21" t="s">
        <v>3291</v>
      </c>
      <c r="K1037" s="120"/>
      <c r="L1037" s="21" t="s">
        <v>4502</v>
      </c>
      <c r="M1037" s="23" t="s">
        <v>4503</v>
      </c>
      <c r="N1037" s="44">
        <f>0.3*116300</f>
        <v>34890</v>
      </c>
      <c r="O1037" s="22" t="s">
        <v>15</v>
      </c>
      <c r="P1037" s="22" t="s">
        <v>19</v>
      </c>
      <c r="Q1037" s="44">
        <f t="shared" si="67"/>
        <v>0</v>
      </c>
      <c r="R1037" s="229">
        <f t="shared" si="68"/>
        <v>34890</v>
      </c>
      <c r="S1037" s="5" t="s">
        <v>4320</v>
      </c>
      <c r="T1037" s="5"/>
    </row>
    <row r="1038" spans="2:20" ht="15.75" hidden="1" x14ac:dyDescent="0.25">
      <c r="B1038" s="228" t="s">
        <v>395</v>
      </c>
      <c r="C1038" s="22" t="s">
        <v>2450</v>
      </c>
      <c r="D1038" s="22" t="s">
        <v>4152</v>
      </c>
      <c r="E1038" s="21" t="s">
        <v>10</v>
      </c>
      <c r="F1038" s="21"/>
      <c r="G1038" s="147" t="s">
        <v>4447</v>
      </c>
      <c r="H1038" s="23" t="s">
        <v>3284</v>
      </c>
      <c r="I1038" s="23"/>
      <c r="J1038" s="21" t="s">
        <v>3292</v>
      </c>
      <c r="K1038" s="120"/>
      <c r="L1038" s="21" t="s">
        <v>4594</v>
      </c>
      <c r="M1038" s="26">
        <v>44249</v>
      </c>
      <c r="N1038" s="44">
        <f>0.3*116300</f>
        <v>34890</v>
      </c>
      <c r="O1038" s="22" t="s">
        <v>15</v>
      </c>
      <c r="P1038" s="22" t="s">
        <v>19</v>
      </c>
      <c r="Q1038" s="44">
        <f t="shared" si="67"/>
        <v>0</v>
      </c>
      <c r="R1038" s="229">
        <f t="shared" si="68"/>
        <v>34890</v>
      </c>
      <c r="S1038" s="5" t="s">
        <v>4320</v>
      </c>
      <c r="T1038" s="5"/>
    </row>
    <row r="1039" spans="2:20" ht="15.75" hidden="1" x14ac:dyDescent="0.25">
      <c r="B1039" s="233" t="s">
        <v>395</v>
      </c>
      <c r="C1039" s="129" t="s">
        <v>2450</v>
      </c>
      <c r="D1039" s="129" t="s">
        <v>4152</v>
      </c>
      <c r="E1039" s="128" t="s">
        <v>10</v>
      </c>
      <c r="F1039" s="128"/>
      <c r="G1039" s="161" t="s">
        <v>4447</v>
      </c>
      <c r="H1039" s="130" t="s">
        <v>3284</v>
      </c>
      <c r="I1039" s="130"/>
      <c r="J1039" s="128" t="s">
        <v>3296</v>
      </c>
      <c r="K1039" s="120"/>
      <c r="L1039" s="128" t="s">
        <v>5247</v>
      </c>
      <c r="M1039" s="131">
        <v>44306</v>
      </c>
      <c r="N1039" s="132">
        <f>0.1*116300</f>
        <v>11630</v>
      </c>
      <c r="O1039" s="129" t="s">
        <v>15</v>
      </c>
      <c r="P1039" s="129" t="s">
        <v>19</v>
      </c>
      <c r="Q1039" s="132">
        <f t="shared" si="67"/>
        <v>0</v>
      </c>
      <c r="R1039" s="258">
        <f t="shared" si="68"/>
        <v>11630</v>
      </c>
      <c r="S1039" s="5" t="s">
        <v>4319</v>
      </c>
      <c r="T1039" s="5"/>
    </row>
    <row r="1040" spans="2:20" ht="15.75" hidden="1" x14ac:dyDescent="0.25">
      <c r="B1040" s="221" t="s">
        <v>395</v>
      </c>
      <c r="C1040" s="222" t="s">
        <v>2450</v>
      </c>
      <c r="D1040" s="222" t="s">
        <v>4151</v>
      </c>
      <c r="E1040" s="219" t="s">
        <v>10</v>
      </c>
      <c r="F1040" s="219"/>
      <c r="G1040" s="223" t="s">
        <v>4447</v>
      </c>
      <c r="H1040" s="224" t="s">
        <v>3285</v>
      </c>
      <c r="I1040" s="224"/>
      <c r="J1040" s="219" t="s">
        <v>3293</v>
      </c>
      <c r="K1040" s="120"/>
      <c r="L1040" s="219" t="s">
        <v>3749</v>
      </c>
      <c r="M1040" s="225">
        <v>44068</v>
      </c>
      <c r="N1040" s="226">
        <f>0.3*240050</f>
        <v>72015</v>
      </c>
      <c r="O1040" s="222" t="s">
        <v>15</v>
      </c>
      <c r="P1040" s="222" t="s">
        <v>19</v>
      </c>
      <c r="Q1040" s="226">
        <f t="shared" si="67"/>
        <v>0</v>
      </c>
      <c r="R1040" s="227">
        <f t="shared" si="68"/>
        <v>72015</v>
      </c>
      <c r="S1040" s="5"/>
      <c r="T1040" s="5"/>
    </row>
    <row r="1041" spans="2:20" ht="15.75" hidden="1" x14ac:dyDescent="0.25">
      <c r="B1041" s="228" t="s">
        <v>395</v>
      </c>
      <c r="C1041" s="22" t="s">
        <v>2450</v>
      </c>
      <c r="D1041" s="22" t="s">
        <v>4151</v>
      </c>
      <c r="E1041" s="21" t="s">
        <v>10</v>
      </c>
      <c r="F1041" s="21"/>
      <c r="G1041" s="147" t="s">
        <v>4447</v>
      </c>
      <c r="H1041" s="23" t="s">
        <v>3285</v>
      </c>
      <c r="I1041" s="23"/>
      <c r="J1041" s="21" t="s">
        <v>3294</v>
      </c>
      <c r="K1041" s="120"/>
      <c r="L1041" s="21" t="s">
        <v>4595</v>
      </c>
      <c r="M1041" s="26">
        <v>44249</v>
      </c>
      <c r="N1041" s="44">
        <f>0.3*240050</f>
        <v>72015</v>
      </c>
      <c r="O1041" s="22" t="s">
        <v>15</v>
      </c>
      <c r="P1041" s="22" t="s">
        <v>19</v>
      </c>
      <c r="Q1041" s="44">
        <f t="shared" si="67"/>
        <v>0</v>
      </c>
      <c r="R1041" s="229">
        <f t="shared" si="68"/>
        <v>72015</v>
      </c>
      <c r="S1041" s="5" t="s">
        <v>4320</v>
      </c>
      <c r="T1041" s="5"/>
    </row>
    <row r="1042" spans="2:20" ht="15.75" hidden="1" x14ac:dyDescent="0.25">
      <c r="B1042" s="228" t="s">
        <v>395</v>
      </c>
      <c r="C1042" s="22" t="s">
        <v>2450</v>
      </c>
      <c r="D1042" s="22" t="s">
        <v>4151</v>
      </c>
      <c r="E1042" s="21" t="s">
        <v>10</v>
      </c>
      <c r="F1042" s="21"/>
      <c r="G1042" s="147" t="s">
        <v>4447</v>
      </c>
      <c r="H1042" s="23" t="s">
        <v>3285</v>
      </c>
      <c r="I1042" s="23"/>
      <c r="J1042" s="21" t="s">
        <v>3295</v>
      </c>
      <c r="K1042" s="120"/>
      <c r="L1042" s="21" t="s">
        <v>5219</v>
      </c>
      <c r="M1042" s="26">
        <v>44361</v>
      </c>
      <c r="N1042" s="44">
        <f>0.3*240050</f>
        <v>72015</v>
      </c>
      <c r="O1042" s="22" t="s">
        <v>15</v>
      </c>
      <c r="P1042" s="22" t="s">
        <v>19</v>
      </c>
      <c r="Q1042" s="44">
        <f t="shared" si="67"/>
        <v>0</v>
      </c>
      <c r="R1042" s="229">
        <f t="shared" si="68"/>
        <v>72015</v>
      </c>
      <c r="S1042" s="5" t="s">
        <v>4321</v>
      </c>
      <c r="T1042" s="5"/>
    </row>
    <row r="1043" spans="2:20" ht="15.75" hidden="1" x14ac:dyDescent="0.25">
      <c r="B1043" s="233" t="s">
        <v>395</v>
      </c>
      <c r="C1043" s="129" t="s">
        <v>2450</v>
      </c>
      <c r="D1043" s="129" t="s">
        <v>4151</v>
      </c>
      <c r="E1043" s="128" t="s">
        <v>10</v>
      </c>
      <c r="F1043" s="128"/>
      <c r="G1043" s="161" t="s">
        <v>4447</v>
      </c>
      <c r="H1043" s="130" t="s">
        <v>3285</v>
      </c>
      <c r="I1043" s="130"/>
      <c r="J1043" s="128" t="s">
        <v>3297</v>
      </c>
      <c r="K1043" s="120"/>
      <c r="L1043" s="128" t="s">
        <v>6686</v>
      </c>
      <c r="M1043" s="131">
        <v>44670</v>
      </c>
      <c r="N1043" s="132">
        <f>0.1*240050</f>
        <v>24005</v>
      </c>
      <c r="O1043" s="129" t="s">
        <v>15</v>
      </c>
      <c r="P1043" s="129" t="s">
        <v>19</v>
      </c>
      <c r="Q1043" s="132">
        <f t="shared" si="67"/>
        <v>0</v>
      </c>
      <c r="R1043" s="258">
        <f t="shared" si="68"/>
        <v>24005</v>
      </c>
      <c r="S1043" s="5" t="s">
        <v>5991</v>
      </c>
      <c r="T1043" s="5"/>
    </row>
    <row r="1044" spans="2:20" ht="15.75" hidden="1" x14ac:dyDescent="0.25">
      <c r="B1044" s="21" t="s">
        <v>395</v>
      </c>
      <c r="C1044" s="22" t="s">
        <v>2450</v>
      </c>
      <c r="D1044" s="22" t="s">
        <v>4153</v>
      </c>
      <c r="E1044" s="21" t="s">
        <v>10</v>
      </c>
      <c r="F1044" s="21"/>
      <c r="G1044" s="223" t="s">
        <v>4447</v>
      </c>
      <c r="H1044" s="224" t="s">
        <v>3299</v>
      </c>
      <c r="I1044" s="224"/>
      <c r="J1044" s="219" t="s">
        <v>3300</v>
      </c>
      <c r="K1044" s="120"/>
      <c r="L1044" s="21" t="s">
        <v>4045</v>
      </c>
      <c r="M1044" s="23" t="s">
        <v>4046</v>
      </c>
      <c r="N1044" s="226">
        <f>0.5*115040</f>
        <v>57520</v>
      </c>
      <c r="O1044" s="222" t="s">
        <v>15</v>
      </c>
      <c r="P1044" s="222" t="s">
        <v>19</v>
      </c>
      <c r="Q1044" s="226">
        <f t="shared" ref="Q1044:Q1066" si="69">IF(P1044="en cours",N1044,IF(P1044="OK",0,IF(N1044-P1044&lt;0,0,N1044-P1044)))</f>
        <v>0</v>
      </c>
      <c r="R1044" s="24">
        <f t="shared" si="68"/>
        <v>57520</v>
      </c>
      <c r="S1044" s="5"/>
      <c r="T1044" s="5"/>
    </row>
    <row r="1045" spans="2:20" ht="15.75" hidden="1" x14ac:dyDescent="0.25">
      <c r="B1045" s="21" t="s">
        <v>395</v>
      </c>
      <c r="C1045" s="22" t="s">
        <v>2450</v>
      </c>
      <c r="D1045" s="22" t="s">
        <v>4153</v>
      </c>
      <c r="E1045" s="21" t="s">
        <v>10</v>
      </c>
      <c r="F1045" s="21"/>
      <c r="G1045" s="147" t="s">
        <v>4447</v>
      </c>
      <c r="H1045" s="23" t="s">
        <v>3302</v>
      </c>
      <c r="I1045" s="23"/>
      <c r="J1045" s="21" t="s">
        <v>3301</v>
      </c>
      <c r="K1045" s="120"/>
      <c r="L1045" s="21" t="s">
        <v>3936</v>
      </c>
      <c r="M1045" s="26">
        <v>44125</v>
      </c>
      <c r="N1045" s="44">
        <f>0.45*115040</f>
        <v>51768</v>
      </c>
      <c r="O1045" s="22" t="s">
        <v>15</v>
      </c>
      <c r="P1045" s="22" t="s">
        <v>19</v>
      </c>
      <c r="Q1045" s="44">
        <f t="shared" si="69"/>
        <v>0</v>
      </c>
      <c r="R1045" s="24">
        <f t="shared" si="68"/>
        <v>51768</v>
      </c>
      <c r="S1045" s="5"/>
      <c r="T1045" s="5"/>
    </row>
    <row r="1046" spans="2:20" ht="15.75" hidden="1" x14ac:dyDescent="0.25">
      <c r="B1046" s="21" t="s">
        <v>395</v>
      </c>
      <c r="C1046" s="22" t="s">
        <v>2450</v>
      </c>
      <c r="D1046" s="22" t="s">
        <v>4153</v>
      </c>
      <c r="E1046" s="21" t="s">
        <v>10</v>
      </c>
      <c r="F1046" s="21"/>
      <c r="G1046" s="147" t="s">
        <v>4447</v>
      </c>
      <c r="H1046" s="23" t="s">
        <v>3302</v>
      </c>
      <c r="I1046" s="23"/>
      <c r="J1046" s="21" t="s">
        <v>3303</v>
      </c>
      <c r="K1046" s="120"/>
      <c r="L1046" s="21" t="s">
        <v>4217</v>
      </c>
      <c r="M1046" s="26">
        <v>44189</v>
      </c>
      <c r="N1046" s="44">
        <f>0.05*115040</f>
        <v>5752</v>
      </c>
      <c r="O1046" s="22" t="s">
        <v>15</v>
      </c>
      <c r="P1046" s="22" t="s">
        <v>19</v>
      </c>
      <c r="Q1046" s="44">
        <f t="shared" si="69"/>
        <v>0</v>
      </c>
      <c r="R1046" s="24">
        <f t="shared" si="68"/>
        <v>5752</v>
      </c>
      <c r="S1046" s="5"/>
      <c r="T1046" s="5"/>
    </row>
    <row r="1047" spans="2:20" ht="15.75" hidden="1" x14ac:dyDescent="0.25">
      <c r="B1047" s="21" t="s">
        <v>395</v>
      </c>
      <c r="C1047" s="22" t="s">
        <v>2450</v>
      </c>
      <c r="D1047" s="22" t="s">
        <v>4153</v>
      </c>
      <c r="E1047" s="21" t="s">
        <v>10</v>
      </c>
      <c r="F1047" s="21"/>
      <c r="G1047" s="147" t="s">
        <v>4447</v>
      </c>
      <c r="H1047" s="23" t="s">
        <v>3302</v>
      </c>
      <c r="I1047" s="23"/>
      <c r="J1047" s="21" t="s">
        <v>3937</v>
      </c>
      <c r="K1047" s="120"/>
      <c r="L1047" s="21" t="s">
        <v>4218</v>
      </c>
      <c r="M1047" s="23" t="s">
        <v>4219</v>
      </c>
      <c r="N1047" s="44">
        <v>3900</v>
      </c>
      <c r="O1047" s="22" t="s">
        <v>15</v>
      </c>
      <c r="P1047" s="22">
        <f>1755+1950+195</f>
        <v>3900</v>
      </c>
      <c r="Q1047" s="44">
        <f t="shared" si="69"/>
        <v>0</v>
      </c>
      <c r="R1047" s="24">
        <f t="shared" si="68"/>
        <v>3900</v>
      </c>
      <c r="S1047" s="5"/>
      <c r="T1047" s="5"/>
    </row>
    <row r="1048" spans="2:20" ht="15.75" hidden="1" x14ac:dyDescent="0.25">
      <c r="B1048" s="21" t="s">
        <v>395</v>
      </c>
      <c r="C1048" s="22" t="s">
        <v>2450</v>
      </c>
      <c r="D1048" s="22"/>
      <c r="E1048" s="21" t="s">
        <v>159</v>
      </c>
      <c r="F1048" s="21"/>
      <c r="G1048" s="147" t="s">
        <v>3306</v>
      </c>
      <c r="H1048" s="23" t="s">
        <v>3307</v>
      </c>
      <c r="I1048" s="23"/>
      <c r="J1048" s="21" t="s">
        <v>3308</v>
      </c>
      <c r="K1048" s="13">
        <v>43983</v>
      </c>
      <c r="L1048" s="21" t="s">
        <v>3548</v>
      </c>
      <c r="M1048" s="26">
        <v>44033</v>
      </c>
      <c r="N1048" s="44">
        <f>0.5*30825</f>
        <v>15412.5</v>
      </c>
      <c r="O1048" s="22" t="s">
        <v>276</v>
      </c>
      <c r="P1048" s="22" t="s">
        <v>19</v>
      </c>
      <c r="Q1048" s="44">
        <f t="shared" si="69"/>
        <v>0</v>
      </c>
      <c r="R1048" s="24">
        <f t="shared" si="68"/>
        <v>15412.5</v>
      </c>
      <c r="S1048" s="5"/>
      <c r="T1048" s="5"/>
    </row>
    <row r="1049" spans="2:20" ht="15.75" hidden="1" x14ac:dyDescent="0.25">
      <c r="B1049" s="21" t="s">
        <v>395</v>
      </c>
      <c r="C1049" s="22" t="s">
        <v>2450</v>
      </c>
      <c r="D1049" s="22"/>
      <c r="E1049" s="21" t="s">
        <v>159</v>
      </c>
      <c r="F1049" s="21"/>
      <c r="G1049" s="147" t="s">
        <v>3306</v>
      </c>
      <c r="H1049" s="23" t="s">
        <v>3307</v>
      </c>
      <c r="I1049" s="23"/>
      <c r="J1049" s="21" t="s">
        <v>3309</v>
      </c>
      <c r="K1049" s="13"/>
      <c r="L1049" s="21" t="s">
        <v>4141</v>
      </c>
      <c r="M1049" s="26">
        <v>44165</v>
      </c>
      <c r="N1049" s="44">
        <f>0.5*30825</f>
        <v>15412.5</v>
      </c>
      <c r="O1049" s="22" t="s">
        <v>276</v>
      </c>
      <c r="P1049" s="22" t="s">
        <v>19</v>
      </c>
      <c r="Q1049" s="44">
        <f t="shared" si="69"/>
        <v>0</v>
      </c>
      <c r="R1049" s="24">
        <f t="shared" si="68"/>
        <v>15412.5</v>
      </c>
      <c r="S1049" s="5"/>
      <c r="T1049" s="5"/>
    </row>
    <row r="1050" spans="2:20" ht="15.75" hidden="1" x14ac:dyDescent="0.25">
      <c r="B1050" s="21" t="s">
        <v>395</v>
      </c>
      <c r="C1050" s="22" t="s">
        <v>2450</v>
      </c>
      <c r="D1050" s="22" t="s">
        <v>1451</v>
      </c>
      <c r="E1050" s="21" t="s">
        <v>10</v>
      </c>
      <c r="F1050" s="21"/>
      <c r="G1050" s="147" t="s">
        <v>2973</v>
      </c>
      <c r="H1050" s="23" t="s">
        <v>3310</v>
      </c>
      <c r="I1050" s="23"/>
      <c r="J1050" s="21" t="s">
        <v>3311</v>
      </c>
      <c r="K1050" s="120"/>
      <c r="L1050" s="21" t="s">
        <v>3318</v>
      </c>
      <c r="M1050" s="26">
        <v>43987</v>
      </c>
      <c r="N1050" s="44">
        <f>(42740+46840)*0.75</f>
        <v>67185</v>
      </c>
      <c r="O1050" s="22" t="s">
        <v>15</v>
      </c>
      <c r="P1050" s="22" t="s">
        <v>19</v>
      </c>
      <c r="Q1050" s="24">
        <f t="shared" si="69"/>
        <v>0</v>
      </c>
      <c r="R1050" s="24">
        <f t="shared" si="68"/>
        <v>67185</v>
      </c>
      <c r="S1050" s="5"/>
      <c r="T1050" s="5"/>
    </row>
    <row r="1051" spans="2:20" ht="15.75" hidden="1" x14ac:dyDescent="0.25">
      <c r="B1051" s="21" t="s">
        <v>395</v>
      </c>
      <c r="C1051" s="22" t="s">
        <v>2450</v>
      </c>
      <c r="D1051" s="22" t="s">
        <v>1451</v>
      </c>
      <c r="E1051" s="21" t="s">
        <v>10</v>
      </c>
      <c r="F1051" s="21"/>
      <c r="G1051" s="147" t="s">
        <v>2973</v>
      </c>
      <c r="H1051" s="23" t="s">
        <v>3310</v>
      </c>
      <c r="I1051" s="23"/>
      <c r="J1051" s="21" t="s">
        <v>3312</v>
      </c>
      <c r="K1051" s="120"/>
      <c r="L1051" s="21" t="s">
        <v>3997</v>
      </c>
      <c r="M1051" s="26">
        <v>44148</v>
      </c>
      <c r="N1051" s="44">
        <f>(42740+46840)*0.25</f>
        <v>22395</v>
      </c>
      <c r="O1051" s="22" t="s">
        <v>15</v>
      </c>
      <c r="P1051" s="22" t="s">
        <v>19</v>
      </c>
      <c r="Q1051" s="24">
        <f t="shared" si="69"/>
        <v>0</v>
      </c>
      <c r="R1051" s="24">
        <f t="shared" si="68"/>
        <v>22395</v>
      </c>
      <c r="S1051" s="5"/>
      <c r="T1051" s="5"/>
    </row>
    <row r="1052" spans="2:20" ht="15.75" hidden="1" x14ac:dyDescent="0.25">
      <c r="B1052" s="21" t="s">
        <v>395</v>
      </c>
      <c r="C1052" s="22" t="s">
        <v>2450</v>
      </c>
      <c r="D1052" s="22" t="s">
        <v>1451</v>
      </c>
      <c r="E1052" s="21" t="s">
        <v>10</v>
      </c>
      <c r="F1052" s="21"/>
      <c r="G1052" s="147" t="s">
        <v>2973</v>
      </c>
      <c r="H1052" s="23" t="s">
        <v>3457</v>
      </c>
      <c r="I1052" s="23"/>
      <c r="J1052" s="21" t="s">
        <v>3313</v>
      </c>
      <c r="K1052" s="120"/>
      <c r="L1052" s="21" t="s">
        <v>3645</v>
      </c>
      <c r="M1052" s="26">
        <v>44048</v>
      </c>
      <c r="N1052" s="44">
        <v>7760</v>
      </c>
      <c r="O1052" s="22" t="s">
        <v>15</v>
      </c>
      <c r="P1052" s="22" t="s">
        <v>19</v>
      </c>
      <c r="Q1052" s="24">
        <f t="shared" si="69"/>
        <v>0</v>
      </c>
      <c r="R1052" s="24">
        <f t="shared" si="68"/>
        <v>7760</v>
      </c>
      <c r="S1052" s="5"/>
      <c r="T1052" s="5"/>
    </row>
    <row r="1053" spans="2:20" ht="15.75" hidden="1" x14ac:dyDescent="0.25">
      <c r="B1053" s="21" t="s">
        <v>395</v>
      </c>
      <c r="C1053" s="22" t="s">
        <v>2450</v>
      </c>
      <c r="D1053" s="22" t="s">
        <v>1451</v>
      </c>
      <c r="E1053" s="21" t="s">
        <v>10</v>
      </c>
      <c r="F1053" s="21"/>
      <c r="G1053" s="147" t="s">
        <v>2973</v>
      </c>
      <c r="H1053" s="23" t="s">
        <v>3316</v>
      </c>
      <c r="I1053" s="23"/>
      <c r="J1053" s="21" t="s">
        <v>3314</v>
      </c>
      <c r="K1053" s="120"/>
      <c r="L1053" s="21" t="s">
        <v>3488</v>
      </c>
      <c r="M1053" s="26">
        <v>44022</v>
      </c>
      <c r="N1053" s="44">
        <v>2090</v>
      </c>
      <c r="O1053" s="22" t="s">
        <v>15</v>
      </c>
      <c r="P1053" s="22" t="s">
        <v>19</v>
      </c>
      <c r="Q1053" s="24">
        <f t="shared" si="69"/>
        <v>0</v>
      </c>
      <c r="R1053" s="24">
        <f t="shared" si="68"/>
        <v>2090</v>
      </c>
      <c r="S1053" s="5"/>
      <c r="T1053" s="5"/>
    </row>
    <row r="1054" spans="2:20" ht="15.75" hidden="1" x14ac:dyDescent="0.25">
      <c r="B1054" s="21" t="s">
        <v>395</v>
      </c>
      <c r="C1054" s="22" t="s">
        <v>2450</v>
      </c>
      <c r="D1054" s="22" t="s">
        <v>1451</v>
      </c>
      <c r="E1054" s="21" t="s">
        <v>10</v>
      </c>
      <c r="F1054" s="21"/>
      <c r="G1054" s="147" t="s">
        <v>2973</v>
      </c>
      <c r="H1054" s="23" t="s">
        <v>3661</v>
      </c>
      <c r="I1054" s="23"/>
      <c r="J1054" s="21" t="s">
        <v>3662</v>
      </c>
      <c r="K1054" s="120"/>
      <c r="L1054" s="21" t="s">
        <v>3805</v>
      </c>
      <c r="M1054" s="26">
        <v>44077</v>
      </c>
      <c r="N1054" s="44">
        <v>2470</v>
      </c>
      <c r="O1054" s="22" t="s">
        <v>15</v>
      </c>
      <c r="P1054" s="22" t="s">
        <v>19</v>
      </c>
      <c r="Q1054" s="24">
        <f t="shared" si="69"/>
        <v>0</v>
      </c>
      <c r="R1054" s="24">
        <f t="shared" si="68"/>
        <v>2470</v>
      </c>
      <c r="S1054" s="5"/>
      <c r="T1054" s="5"/>
    </row>
    <row r="1055" spans="2:20" ht="15.75" hidden="1" x14ac:dyDescent="0.25">
      <c r="B1055" s="21" t="s">
        <v>395</v>
      </c>
      <c r="C1055" s="22" t="s">
        <v>2450</v>
      </c>
      <c r="D1055" s="22" t="s">
        <v>1451</v>
      </c>
      <c r="E1055" s="21" t="s">
        <v>10</v>
      </c>
      <c r="F1055" s="21"/>
      <c r="G1055" s="147" t="s">
        <v>2973</v>
      </c>
      <c r="H1055" s="23" t="s">
        <v>3317</v>
      </c>
      <c r="I1055" s="23"/>
      <c r="J1055" s="21" t="s">
        <v>3315</v>
      </c>
      <c r="K1055" s="120"/>
      <c r="L1055" s="21" t="s">
        <v>3489</v>
      </c>
      <c r="M1055" s="26">
        <v>44022</v>
      </c>
      <c r="N1055" s="44">
        <v>760</v>
      </c>
      <c r="O1055" s="22" t="s">
        <v>15</v>
      </c>
      <c r="P1055" s="22" t="s">
        <v>19</v>
      </c>
      <c r="Q1055" s="24">
        <f t="shared" si="69"/>
        <v>0</v>
      </c>
      <c r="R1055" s="24">
        <f t="shared" si="68"/>
        <v>760</v>
      </c>
      <c r="S1055" s="5"/>
      <c r="T1055" s="5"/>
    </row>
    <row r="1056" spans="2:20" ht="15.75" hidden="1" x14ac:dyDescent="0.25">
      <c r="B1056" s="21" t="s">
        <v>395</v>
      </c>
      <c r="C1056" s="22" t="s">
        <v>2450</v>
      </c>
      <c r="D1056" s="22" t="s">
        <v>1492</v>
      </c>
      <c r="E1056" s="21" t="s">
        <v>10</v>
      </c>
      <c r="F1056" s="21"/>
      <c r="G1056" s="147" t="s">
        <v>2973</v>
      </c>
      <c r="H1056" s="23" t="s">
        <v>3368</v>
      </c>
      <c r="I1056" s="23"/>
      <c r="J1056" s="21" t="s">
        <v>3369</v>
      </c>
      <c r="K1056" s="120"/>
      <c r="L1056" s="21" t="s">
        <v>3491</v>
      </c>
      <c r="M1056" s="26">
        <v>44021</v>
      </c>
      <c r="N1056" s="100">
        <v>3900</v>
      </c>
      <c r="O1056" s="22" t="s">
        <v>15</v>
      </c>
      <c r="P1056" s="22" t="s">
        <v>19</v>
      </c>
      <c r="Q1056" s="24">
        <f t="shared" si="69"/>
        <v>0</v>
      </c>
      <c r="R1056" s="24">
        <f t="shared" si="68"/>
        <v>3900</v>
      </c>
      <c r="S1056" s="5"/>
      <c r="T1056" s="5"/>
    </row>
    <row r="1057" spans="1:20" ht="15.75" hidden="1" x14ac:dyDescent="0.25">
      <c r="B1057" s="21" t="s">
        <v>395</v>
      </c>
      <c r="C1057" s="22" t="s">
        <v>2450</v>
      </c>
      <c r="D1057" s="22" t="s">
        <v>1451</v>
      </c>
      <c r="E1057" s="21" t="s">
        <v>10</v>
      </c>
      <c r="F1057" s="21"/>
      <c r="G1057" s="147" t="s">
        <v>2416</v>
      </c>
      <c r="H1057" s="23" t="s">
        <v>3825</v>
      </c>
      <c r="I1057" s="23"/>
      <c r="J1057" s="21" t="s">
        <v>3374</v>
      </c>
      <c r="K1057" s="120"/>
      <c r="L1057" s="21" t="s">
        <v>3724</v>
      </c>
      <c r="M1057" s="26">
        <v>44095</v>
      </c>
      <c r="N1057" s="44">
        <v>13308</v>
      </c>
      <c r="O1057" s="22" t="s">
        <v>15</v>
      </c>
      <c r="P1057" s="44" t="s">
        <v>19</v>
      </c>
      <c r="Q1057" s="24">
        <f t="shared" si="69"/>
        <v>0</v>
      </c>
      <c r="R1057" s="24">
        <f t="shared" si="68"/>
        <v>13308</v>
      </c>
      <c r="S1057" s="5"/>
      <c r="T1057" s="5"/>
    </row>
    <row r="1058" spans="1:20" ht="15.75" hidden="1" x14ac:dyDescent="0.25">
      <c r="B1058" s="21" t="s">
        <v>395</v>
      </c>
      <c r="C1058" s="22" t="s">
        <v>2450</v>
      </c>
      <c r="D1058" s="22" t="s">
        <v>1451</v>
      </c>
      <c r="E1058" s="21" t="s">
        <v>10</v>
      </c>
      <c r="F1058" s="21"/>
      <c r="G1058" s="147" t="s">
        <v>2416</v>
      </c>
      <c r="H1058" s="23" t="s">
        <v>3824</v>
      </c>
      <c r="I1058" s="23"/>
      <c r="J1058" s="21" t="s">
        <v>3375</v>
      </c>
      <c r="K1058" s="120"/>
      <c r="L1058" s="21" t="s">
        <v>3826</v>
      </c>
      <c r="M1058" s="26">
        <v>44112</v>
      </c>
      <c r="N1058" s="44">
        <v>10958</v>
      </c>
      <c r="O1058" s="22" t="s">
        <v>15</v>
      </c>
      <c r="P1058" s="44" t="s">
        <v>19</v>
      </c>
      <c r="Q1058" s="24">
        <f t="shared" si="69"/>
        <v>0</v>
      </c>
      <c r="R1058" s="24">
        <f t="shared" si="68"/>
        <v>10958</v>
      </c>
      <c r="S1058" s="5"/>
      <c r="T1058" s="5"/>
    </row>
    <row r="1059" spans="1:20" ht="15.75" hidden="1" x14ac:dyDescent="0.25">
      <c r="B1059" s="21" t="s">
        <v>395</v>
      </c>
      <c r="C1059" s="22" t="s">
        <v>2450</v>
      </c>
      <c r="D1059" s="22" t="s">
        <v>1756</v>
      </c>
      <c r="E1059" s="21" t="s">
        <v>10</v>
      </c>
      <c r="F1059" s="21"/>
      <c r="G1059" s="147" t="s">
        <v>2973</v>
      </c>
      <c r="H1059" s="23" t="s">
        <v>3379</v>
      </c>
      <c r="I1059" s="23"/>
      <c r="J1059" s="21" t="s">
        <v>3380</v>
      </c>
      <c r="K1059" s="120"/>
      <c r="L1059" s="21" t="s">
        <v>4786</v>
      </c>
      <c r="M1059" s="23" t="s">
        <v>4787</v>
      </c>
      <c r="N1059" s="44">
        <v>25000</v>
      </c>
      <c r="O1059" s="22" t="s">
        <v>15</v>
      </c>
      <c r="P1059" s="22" t="s">
        <v>19</v>
      </c>
      <c r="Q1059" s="24">
        <f t="shared" si="69"/>
        <v>0</v>
      </c>
      <c r="R1059" s="24">
        <f t="shared" si="68"/>
        <v>25000</v>
      </c>
      <c r="S1059" s="5"/>
      <c r="T1059" s="5"/>
    </row>
    <row r="1060" spans="1:20" ht="15.75" hidden="1" x14ac:dyDescent="0.25">
      <c r="B1060" s="21" t="s">
        <v>395</v>
      </c>
      <c r="C1060" s="22" t="s">
        <v>2450</v>
      </c>
      <c r="D1060" s="22" t="s">
        <v>1756</v>
      </c>
      <c r="E1060" s="21" t="s">
        <v>10</v>
      </c>
      <c r="F1060" s="21"/>
      <c r="G1060" s="147" t="s">
        <v>2973</v>
      </c>
      <c r="H1060" s="23" t="s">
        <v>3381</v>
      </c>
      <c r="I1060" s="23"/>
      <c r="J1060" s="21" t="s">
        <v>3380</v>
      </c>
      <c r="K1060" s="120"/>
      <c r="L1060" s="21" t="s">
        <v>3492</v>
      </c>
      <c r="M1060" s="26">
        <v>44021</v>
      </c>
      <c r="N1060" s="44">
        <v>15300</v>
      </c>
      <c r="O1060" s="22" t="s">
        <v>15</v>
      </c>
      <c r="P1060" s="22" t="s">
        <v>19</v>
      </c>
      <c r="Q1060" s="24">
        <f t="shared" si="69"/>
        <v>0</v>
      </c>
      <c r="R1060" s="24">
        <f t="shared" si="68"/>
        <v>15300</v>
      </c>
      <c r="S1060" s="5"/>
      <c r="T1060" s="5"/>
    </row>
    <row r="1061" spans="1:20" ht="15.75" hidden="1" x14ac:dyDescent="0.25">
      <c r="B1061" s="21" t="s">
        <v>395</v>
      </c>
      <c r="C1061" s="22" t="s">
        <v>2568</v>
      </c>
      <c r="D1061" s="22"/>
      <c r="E1061" s="21" t="s">
        <v>729</v>
      </c>
      <c r="F1061" s="21"/>
      <c r="G1061" s="147" t="s">
        <v>3692</v>
      </c>
      <c r="H1061" s="23" t="s">
        <v>3694</v>
      </c>
      <c r="I1061" s="23"/>
      <c r="J1061" s="21" t="s">
        <v>3693</v>
      </c>
      <c r="K1061" s="120"/>
      <c r="L1061" s="47" t="s">
        <v>5515</v>
      </c>
      <c r="M1061" s="26" t="s">
        <v>5516</v>
      </c>
      <c r="N1061" s="44">
        <v>3000</v>
      </c>
      <c r="O1061" s="22" t="s">
        <v>15</v>
      </c>
      <c r="P1061" s="22">
        <f>1500+1500</f>
        <v>3000</v>
      </c>
      <c r="Q1061" s="24">
        <f t="shared" si="69"/>
        <v>0</v>
      </c>
      <c r="R1061" s="24">
        <f t="shared" si="68"/>
        <v>3000</v>
      </c>
      <c r="S1061" s="5"/>
      <c r="T1061" s="5"/>
    </row>
    <row r="1062" spans="1:20" ht="15.75" hidden="1" x14ac:dyDescent="0.25">
      <c r="B1062" s="21" t="s">
        <v>395</v>
      </c>
      <c r="C1062" s="22" t="s">
        <v>3916</v>
      </c>
      <c r="D1062" s="22"/>
      <c r="E1062" s="21" t="s">
        <v>75</v>
      </c>
      <c r="F1062" s="21"/>
      <c r="G1062" s="147" t="s">
        <v>3715</v>
      </c>
      <c r="H1062" s="23" t="s">
        <v>3829</v>
      </c>
      <c r="I1062" s="23"/>
      <c r="J1062" s="21" t="s">
        <v>3830</v>
      </c>
      <c r="K1062" s="47"/>
      <c r="L1062" s="21" t="s">
        <v>3732</v>
      </c>
      <c r="M1062" s="26">
        <v>44102</v>
      </c>
      <c r="N1062" s="44">
        <v>31050</v>
      </c>
      <c r="O1062" s="220" t="s">
        <v>276</v>
      </c>
      <c r="P1062" s="22" t="s">
        <v>19</v>
      </c>
      <c r="Q1062" s="24">
        <f t="shared" si="69"/>
        <v>0</v>
      </c>
      <c r="R1062" s="24">
        <f t="shared" si="68"/>
        <v>31050</v>
      </c>
      <c r="S1062" s="5"/>
      <c r="T1062" s="5"/>
    </row>
    <row r="1063" spans="1:20" ht="15.75" hidden="1" x14ac:dyDescent="0.25">
      <c r="B1063" s="21" t="s">
        <v>4</v>
      </c>
      <c r="C1063" s="22" t="s">
        <v>3916</v>
      </c>
      <c r="D1063" s="22"/>
      <c r="E1063" s="21" t="s">
        <v>75</v>
      </c>
      <c r="F1063" s="21"/>
      <c r="G1063" s="147" t="s">
        <v>3715</v>
      </c>
      <c r="H1063" s="23" t="s">
        <v>3719</v>
      </c>
      <c r="I1063" s="23"/>
      <c r="J1063" s="21" t="s">
        <v>3714</v>
      </c>
      <c r="K1063" s="47"/>
      <c r="L1063" s="21" t="s">
        <v>3953</v>
      </c>
      <c r="M1063" s="26"/>
      <c r="N1063" s="44">
        <v>0</v>
      </c>
      <c r="O1063" s="220" t="s">
        <v>276</v>
      </c>
      <c r="P1063" s="22" t="s">
        <v>19</v>
      </c>
      <c r="Q1063" s="24">
        <f t="shared" si="69"/>
        <v>0</v>
      </c>
      <c r="R1063" s="24">
        <f t="shared" si="68"/>
        <v>0</v>
      </c>
      <c r="S1063" s="5"/>
      <c r="T1063" s="5"/>
    </row>
    <row r="1064" spans="1:20" ht="15.75" hidden="1" x14ac:dyDescent="0.25">
      <c r="B1064" s="5" t="s">
        <v>4</v>
      </c>
      <c r="C1064" s="4" t="s">
        <v>3916</v>
      </c>
      <c r="D1064" s="4"/>
      <c r="E1064" s="5" t="s">
        <v>75</v>
      </c>
      <c r="F1064" s="5"/>
      <c r="G1064" s="146" t="s">
        <v>3715</v>
      </c>
      <c r="H1064" s="7" t="s">
        <v>3719</v>
      </c>
      <c r="I1064" s="7"/>
      <c r="J1064" s="5" t="s">
        <v>3716</v>
      </c>
      <c r="K1064" s="115">
        <v>44113</v>
      </c>
      <c r="L1064" s="5"/>
      <c r="M1064" s="7"/>
      <c r="N1064" s="45">
        <v>31050</v>
      </c>
      <c r="O1064" s="218" t="s">
        <v>276</v>
      </c>
      <c r="P1064" s="4"/>
      <c r="Q1064" s="24">
        <f t="shared" si="69"/>
        <v>31050</v>
      </c>
      <c r="R1064" s="3">
        <f t="shared" si="68"/>
        <v>0</v>
      </c>
      <c r="S1064" s="5"/>
      <c r="T1064" s="5"/>
    </row>
    <row r="1065" spans="1:20" ht="15.75" hidden="1" x14ac:dyDescent="0.25">
      <c r="B1065" s="5" t="s">
        <v>4</v>
      </c>
      <c r="C1065" s="4" t="s">
        <v>3916</v>
      </c>
      <c r="D1065" s="4"/>
      <c r="E1065" s="5" t="s">
        <v>75</v>
      </c>
      <c r="F1065" s="5"/>
      <c r="G1065" s="146" t="s">
        <v>3715</v>
      </c>
      <c r="H1065" s="7" t="s">
        <v>3719</v>
      </c>
      <c r="I1065" s="7"/>
      <c r="J1065" s="5" t="s">
        <v>3717</v>
      </c>
      <c r="K1065" s="115">
        <v>44127</v>
      </c>
      <c r="L1065" s="5"/>
      <c r="M1065" s="7"/>
      <c r="N1065" s="45">
        <v>31050</v>
      </c>
      <c r="O1065" s="218" t="s">
        <v>276</v>
      </c>
      <c r="P1065" s="4"/>
      <c r="Q1065" s="24">
        <f t="shared" si="69"/>
        <v>31050</v>
      </c>
      <c r="R1065" s="3">
        <f t="shared" si="68"/>
        <v>0</v>
      </c>
      <c r="S1065" s="5"/>
      <c r="T1065" s="5"/>
    </row>
    <row r="1066" spans="1:20" ht="15.75" hidden="1" x14ac:dyDescent="0.25">
      <c r="B1066" s="5" t="s">
        <v>4</v>
      </c>
      <c r="C1066" s="4" t="s">
        <v>3916</v>
      </c>
      <c r="D1066" s="4"/>
      <c r="E1066" s="5" t="s">
        <v>75</v>
      </c>
      <c r="F1066" s="5"/>
      <c r="G1066" s="146" t="s">
        <v>3715</v>
      </c>
      <c r="H1066" s="7" t="s">
        <v>3719</v>
      </c>
      <c r="I1066" s="7"/>
      <c r="J1066" s="5" t="s">
        <v>3718</v>
      </c>
      <c r="K1066" s="115">
        <v>44135</v>
      </c>
      <c r="L1066" s="5"/>
      <c r="M1066" s="7"/>
      <c r="N1066" s="45">
        <v>31050</v>
      </c>
      <c r="O1066" s="218" t="s">
        <v>276</v>
      </c>
      <c r="P1066" s="4"/>
      <c r="Q1066" s="24">
        <f t="shared" si="69"/>
        <v>31050</v>
      </c>
      <c r="R1066" s="3">
        <f t="shared" si="68"/>
        <v>0</v>
      </c>
      <c r="S1066" s="5"/>
      <c r="T1066" s="5"/>
    </row>
    <row r="1067" spans="1:20" ht="15.75" hidden="1" x14ac:dyDescent="0.25">
      <c r="A1067" t="s">
        <v>6753</v>
      </c>
      <c r="B1067" s="21" t="s">
        <v>395</v>
      </c>
      <c r="C1067" s="22" t="s">
        <v>158</v>
      </c>
      <c r="D1067" s="22"/>
      <c r="E1067" s="21" t="s">
        <v>10</v>
      </c>
      <c r="F1067" s="21"/>
      <c r="G1067" s="147" t="s">
        <v>916</v>
      </c>
      <c r="H1067" s="23" t="s">
        <v>6003</v>
      </c>
      <c r="I1067" s="23"/>
      <c r="J1067" s="21" t="s">
        <v>3727</v>
      </c>
      <c r="K1067" s="120"/>
      <c r="L1067" s="21" t="s">
        <v>4047</v>
      </c>
      <c r="M1067" s="26">
        <v>44154</v>
      </c>
      <c r="N1067" s="44">
        <f>0.3*6449</f>
        <v>1934.6999999999998</v>
      </c>
      <c r="O1067" s="22" t="s">
        <v>15</v>
      </c>
      <c r="P1067" s="22">
        <v>1935</v>
      </c>
      <c r="Q1067" s="24">
        <f>IF(P1067="en cours",N1067,IF(P1067="OK",0,IF(N1067-P1067&lt;0,0,N1067-P1067)))</f>
        <v>0</v>
      </c>
      <c r="R1067" s="24">
        <f t="shared" ref="R1067:R1130" si="70">IF(P1067="OK",N1067-Q1067,IF(P1067="en cours",N1067-Q1067,P1067))</f>
        <v>1935</v>
      </c>
      <c r="S1067" s="5"/>
      <c r="T1067" s="5"/>
    </row>
    <row r="1068" spans="1:20" ht="15.75" hidden="1" x14ac:dyDescent="0.25">
      <c r="A1068" t="s">
        <v>6753</v>
      </c>
      <c r="B1068" s="21" t="s">
        <v>395</v>
      </c>
      <c r="C1068" s="22" t="s">
        <v>158</v>
      </c>
      <c r="D1068" s="22"/>
      <c r="E1068" s="21" t="s">
        <v>10</v>
      </c>
      <c r="F1068" s="21"/>
      <c r="G1068" s="147" t="s">
        <v>916</v>
      </c>
      <c r="H1068" s="23" t="s">
        <v>6003</v>
      </c>
      <c r="I1068" s="23"/>
      <c r="J1068" s="21" t="s">
        <v>3728</v>
      </c>
      <c r="K1068" s="120"/>
      <c r="L1068" s="21" t="s">
        <v>4172</v>
      </c>
      <c r="M1068" s="26" t="s">
        <v>4173</v>
      </c>
      <c r="N1068" s="44">
        <f>0.7*6449</f>
        <v>4514.2999999999993</v>
      </c>
      <c r="O1068" s="22" t="s">
        <v>15</v>
      </c>
      <c r="P1068" s="22">
        <f>2958+1556</f>
        <v>4514</v>
      </c>
      <c r="Q1068" s="24">
        <f>IF(P1068="en cours",N1068,IF(P1068="OK",0,IF(N1068-P1068&lt;0,0,N1068-P1068)))</f>
        <v>0.2999999999992724</v>
      </c>
      <c r="R1068" s="24">
        <f t="shared" si="70"/>
        <v>4514</v>
      </c>
      <c r="S1068" s="5"/>
      <c r="T1068" s="5"/>
    </row>
    <row r="1069" spans="1:20" ht="15.75" hidden="1" x14ac:dyDescent="0.25">
      <c r="B1069" s="21" t="s">
        <v>395</v>
      </c>
      <c r="C1069" s="22" t="s">
        <v>1940</v>
      </c>
      <c r="D1069" s="22"/>
      <c r="E1069" s="21" t="s">
        <v>10</v>
      </c>
      <c r="F1069" s="21"/>
      <c r="G1069" s="147" t="s">
        <v>3129</v>
      </c>
      <c r="H1069" s="23" t="s">
        <v>3761</v>
      </c>
      <c r="I1069" s="23"/>
      <c r="J1069" s="21" t="s">
        <v>4078</v>
      </c>
      <c r="K1069" s="120"/>
      <c r="L1069" s="21" t="s">
        <v>3828</v>
      </c>
      <c r="M1069" s="26">
        <v>44112</v>
      </c>
      <c r="N1069" s="44">
        <f>24725+28275</f>
        <v>53000</v>
      </c>
      <c r="O1069" s="22" t="s">
        <v>15</v>
      </c>
      <c r="P1069" s="22" t="s">
        <v>19</v>
      </c>
      <c r="Q1069" s="24">
        <f t="shared" ref="Q1069:Q1093" si="71">IF(P1069="en cours",N1069,IF(P1069="OK",0,IF(N1069-P1069&lt;0,0,N1069-P1069)))</f>
        <v>0</v>
      </c>
      <c r="R1069" s="24">
        <f t="shared" si="70"/>
        <v>53000</v>
      </c>
      <c r="S1069" s="5"/>
      <c r="T1069" s="5"/>
    </row>
    <row r="1070" spans="1:20" ht="15.75" hidden="1" x14ac:dyDescent="0.25">
      <c r="B1070" s="21" t="s">
        <v>395</v>
      </c>
      <c r="C1070" s="22" t="s">
        <v>1940</v>
      </c>
      <c r="D1070" s="22"/>
      <c r="E1070" s="21" t="s">
        <v>10</v>
      </c>
      <c r="F1070" s="21"/>
      <c r="G1070" s="147" t="s">
        <v>3129</v>
      </c>
      <c r="H1070" s="23" t="s">
        <v>3761</v>
      </c>
      <c r="I1070" s="23"/>
      <c r="J1070" s="21" t="s">
        <v>4338</v>
      </c>
      <c r="K1070" s="120"/>
      <c r="L1070" s="21" t="s">
        <v>4955</v>
      </c>
      <c r="M1070" s="23" t="s">
        <v>4956</v>
      </c>
      <c r="N1070" s="44">
        <f>(68144-28275)/3</f>
        <v>13289.666666666666</v>
      </c>
      <c r="O1070" s="22" t="s">
        <v>15</v>
      </c>
      <c r="P1070" s="22">
        <f>(1250+1500+800+1500+1500+420+400+1140)+4780</f>
        <v>13290</v>
      </c>
      <c r="Q1070" s="24">
        <f t="shared" si="71"/>
        <v>0</v>
      </c>
      <c r="R1070" s="24">
        <f t="shared" si="70"/>
        <v>13290</v>
      </c>
      <c r="S1070" s="5"/>
      <c r="T1070" s="5"/>
    </row>
    <row r="1071" spans="1:20" ht="15.75" hidden="1" x14ac:dyDescent="0.25">
      <c r="B1071" s="21" t="s">
        <v>395</v>
      </c>
      <c r="C1071" s="22" t="s">
        <v>1940</v>
      </c>
      <c r="D1071" s="22"/>
      <c r="E1071" s="21" t="s">
        <v>10</v>
      </c>
      <c r="F1071" s="21"/>
      <c r="G1071" s="147" t="s">
        <v>3129</v>
      </c>
      <c r="H1071" s="23" t="s">
        <v>3761</v>
      </c>
      <c r="I1071" s="23"/>
      <c r="J1071" s="21" t="s">
        <v>4339</v>
      </c>
      <c r="K1071" s="120"/>
      <c r="L1071" s="21" t="s">
        <v>4077</v>
      </c>
      <c r="M1071" s="26">
        <v>44165</v>
      </c>
      <c r="N1071" s="44">
        <f>(46465-24725)/3</f>
        <v>7246.666666666667</v>
      </c>
      <c r="O1071" s="22" t="s">
        <v>15</v>
      </c>
      <c r="P1071" s="44">
        <v>7246.67</v>
      </c>
      <c r="Q1071" s="24">
        <f t="shared" si="71"/>
        <v>0</v>
      </c>
      <c r="R1071" s="24">
        <f t="shared" si="70"/>
        <v>7246.67</v>
      </c>
      <c r="S1071" s="5"/>
      <c r="T1071" s="5"/>
    </row>
    <row r="1072" spans="1:20" ht="15.75" hidden="1" x14ac:dyDescent="0.25">
      <c r="B1072" s="21" t="s">
        <v>395</v>
      </c>
      <c r="C1072" s="22" t="s">
        <v>1940</v>
      </c>
      <c r="D1072" s="22"/>
      <c r="E1072" s="21" t="s">
        <v>10</v>
      </c>
      <c r="F1072" s="21"/>
      <c r="G1072" s="147" t="s">
        <v>3129</v>
      </c>
      <c r="H1072" s="23" t="s">
        <v>3761</v>
      </c>
      <c r="I1072" s="23"/>
      <c r="J1072" s="21" t="s">
        <v>4338</v>
      </c>
      <c r="K1072" s="120"/>
      <c r="L1072" s="21" t="s">
        <v>4957</v>
      </c>
      <c r="M1072" s="26">
        <v>44316</v>
      </c>
      <c r="N1072" s="44">
        <f>(68144-28275)/3</f>
        <v>13289.666666666666</v>
      </c>
      <c r="O1072" s="22" t="s">
        <v>15</v>
      </c>
      <c r="P1072" s="22">
        <v>13289.67</v>
      </c>
      <c r="Q1072" s="24">
        <f t="shared" si="71"/>
        <v>0</v>
      </c>
      <c r="R1072" s="24">
        <f t="shared" si="70"/>
        <v>13289.67</v>
      </c>
      <c r="S1072" s="5"/>
      <c r="T1072" s="5"/>
    </row>
    <row r="1073" spans="1:20" ht="15.75" hidden="1" x14ac:dyDescent="0.25">
      <c r="B1073" s="21" t="s">
        <v>395</v>
      </c>
      <c r="C1073" s="22" t="s">
        <v>1940</v>
      </c>
      <c r="D1073" s="22"/>
      <c r="E1073" s="21" t="s">
        <v>10</v>
      </c>
      <c r="F1073" s="21"/>
      <c r="G1073" s="147" t="s">
        <v>3129</v>
      </c>
      <c r="H1073" s="23" t="s">
        <v>3761</v>
      </c>
      <c r="I1073" s="23"/>
      <c r="J1073" s="21" t="s">
        <v>4340</v>
      </c>
      <c r="K1073" s="120"/>
      <c r="L1073" s="21" t="s">
        <v>4336</v>
      </c>
      <c r="M1073" s="26" t="s">
        <v>4337</v>
      </c>
      <c r="N1073" s="44">
        <f>(46465-24725)/3</f>
        <v>7246.666666666667</v>
      </c>
      <c r="O1073" s="22" t="s">
        <v>15</v>
      </c>
      <c r="P1073" s="44">
        <f>2683.33+1000+3563.34</f>
        <v>7246.67</v>
      </c>
      <c r="Q1073" s="24">
        <f t="shared" si="71"/>
        <v>0</v>
      </c>
      <c r="R1073" s="24">
        <f t="shared" si="70"/>
        <v>7246.67</v>
      </c>
      <c r="S1073" s="5"/>
      <c r="T1073" s="5"/>
    </row>
    <row r="1074" spans="1:20" ht="15.75" hidden="1" x14ac:dyDescent="0.25">
      <c r="A1074" t="s">
        <v>6753</v>
      </c>
      <c r="B1074" s="21" t="s">
        <v>395</v>
      </c>
      <c r="C1074" s="22" t="s">
        <v>2459</v>
      </c>
      <c r="D1074" s="22"/>
      <c r="E1074" s="21" t="s">
        <v>75</v>
      </c>
      <c r="F1074" s="21"/>
      <c r="G1074" s="147" t="s">
        <v>3779</v>
      </c>
      <c r="H1074" s="23" t="s">
        <v>3970</v>
      </c>
      <c r="I1074" s="23"/>
      <c r="J1074" s="21" t="s">
        <v>3778</v>
      </c>
      <c r="K1074" s="120"/>
      <c r="L1074" s="21" t="s">
        <v>5517</v>
      </c>
      <c r="M1074" s="47" t="s">
        <v>5518</v>
      </c>
      <c r="N1074" s="44">
        <f>182928</f>
        <v>182928</v>
      </c>
      <c r="O1074" s="22" t="s">
        <v>15</v>
      </c>
      <c r="P1074" s="44">
        <f>15027.6+132830+62555.34</f>
        <v>210412.94</v>
      </c>
      <c r="Q1074" s="24">
        <f t="shared" si="71"/>
        <v>0</v>
      </c>
      <c r="R1074" s="44">
        <f t="shared" si="70"/>
        <v>210412.94</v>
      </c>
      <c r="S1074" s="5"/>
      <c r="T1074" s="5"/>
    </row>
    <row r="1075" spans="1:20" ht="15.75" hidden="1" x14ac:dyDescent="0.25">
      <c r="B1075" s="21" t="s">
        <v>395</v>
      </c>
      <c r="C1075" s="22" t="s">
        <v>2450</v>
      </c>
      <c r="D1075" s="22"/>
      <c r="E1075" s="21" t="s">
        <v>0</v>
      </c>
      <c r="F1075" s="21"/>
      <c r="G1075" s="147" t="s">
        <v>3862</v>
      </c>
      <c r="H1075" s="23" t="s">
        <v>3861</v>
      </c>
      <c r="I1075" s="23"/>
      <c r="J1075" s="21" t="s">
        <v>3863</v>
      </c>
      <c r="K1075" s="120"/>
      <c r="L1075" s="21" t="s">
        <v>4524</v>
      </c>
      <c r="M1075" s="26" t="s">
        <v>4525</v>
      </c>
      <c r="N1075" s="44">
        <v>11307</v>
      </c>
      <c r="O1075" s="22" t="s">
        <v>15</v>
      </c>
      <c r="P1075" s="22">
        <f>4950+6357</f>
        <v>11307</v>
      </c>
      <c r="Q1075" s="24">
        <f t="shared" si="71"/>
        <v>0</v>
      </c>
      <c r="R1075" s="24">
        <f t="shared" si="70"/>
        <v>11307</v>
      </c>
      <c r="S1075" s="5"/>
      <c r="T1075" s="5"/>
    </row>
    <row r="1076" spans="1:20" ht="15.75" hidden="1" x14ac:dyDescent="0.25">
      <c r="B1076" s="21" t="s">
        <v>395</v>
      </c>
      <c r="C1076" s="22" t="s">
        <v>2450</v>
      </c>
      <c r="D1076" s="22"/>
      <c r="E1076" s="21" t="s">
        <v>0</v>
      </c>
      <c r="F1076" s="21"/>
      <c r="G1076" s="147" t="s">
        <v>3862</v>
      </c>
      <c r="H1076" s="23" t="s">
        <v>4239</v>
      </c>
      <c r="I1076" s="23"/>
      <c r="J1076" s="21" t="s">
        <v>4238</v>
      </c>
      <c r="K1076" s="120"/>
      <c r="L1076" s="21" t="s">
        <v>4526</v>
      </c>
      <c r="M1076" s="26">
        <v>44251</v>
      </c>
      <c r="N1076" s="44">
        <f>-750-1150+(2*1200)</f>
        <v>500</v>
      </c>
      <c r="O1076" s="22" t="s">
        <v>15</v>
      </c>
      <c r="P1076" s="22">
        <v>500</v>
      </c>
      <c r="Q1076" s="24">
        <f t="shared" si="71"/>
        <v>0</v>
      </c>
      <c r="R1076" s="24">
        <f t="shared" si="70"/>
        <v>500</v>
      </c>
      <c r="S1076" s="5"/>
      <c r="T1076" s="5"/>
    </row>
    <row r="1077" spans="1:20" ht="15.75" hidden="1" x14ac:dyDescent="0.25">
      <c r="B1077" s="21" t="s">
        <v>395</v>
      </c>
      <c r="C1077" s="22" t="s">
        <v>2459</v>
      </c>
      <c r="D1077" s="22"/>
      <c r="E1077" s="21" t="s">
        <v>75</v>
      </c>
      <c r="F1077" s="21"/>
      <c r="G1077" s="147" t="s">
        <v>805</v>
      </c>
      <c r="H1077" s="169" t="s">
        <v>4916</v>
      </c>
      <c r="I1077" s="169"/>
      <c r="J1077" s="208" t="s">
        <v>3882</v>
      </c>
      <c r="K1077" s="120"/>
      <c r="L1077" s="21" t="s">
        <v>3895</v>
      </c>
      <c r="M1077" s="26">
        <v>44130</v>
      </c>
      <c r="N1077" s="44">
        <v>0</v>
      </c>
      <c r="O1077" s="22" t="s">
        <v>15</v>
      </c>
      <c r="P1077" s="22" t="s">
        <v>19</v>
      </c>
      <c r="Q1077" s="24">
        <f t="shared" si="71"/>
        <v>0</v>
      </c>
      <c r="R1077" s="24">
        <f t="shared" si="70"/>
        <v>0</v>
      </c>
      <c r="S1077" s="5"/>
      <c r="T1077" s="5"/>
    </row>
    <row r="1078" spans="1:20" ht="15.75" hidden="1" x14ac:dyDescent="0.25">
      <c r="B1078" s="21" t="s">
        <v>395</v>
      </c>
      <c r="C1078" s="22" t="s">
        <v>2459</v>
      </c>
      <c r="D1078" s="22"/>
      <c r="E1078" s="21" t="s">
        <v>75</v>
      </c>
      <c r="F1078" s="21"/>
      <c r="G1078" s="147" t="s">
        <v>805</v>
      </c>
      <c r="H1078" s="169" t="s">
        <v>4916</v>
      </c>
      <c r="I1078" s="169"/>
      <c r="J1078" s="208" t="s">
        <v>3883</v>
      </c>
      <c r="K1078" s="120"/>
      <c r="L1078" s="21"/>
      <c r="M1078" s="23"/>
      <c r="N1078" s="44">
        <v>0</v>
      </c>
      <c r="O1078" s="22" t="s">
        <v>15</v>
      </c>
      <c r="P1078" s="22" t="s">
        <v>19</v>
      </c>
      <c r="Q1078" s="24">
        <f t="shared" si="71"/>
        <v>0</v>
      </c>
      <c r="R1078" s="24">
        <f t="shared" si="70"/>
        <v>0</v>
      </c>
      <c r="S1078" s="5"/>
      <c r="T1078" s="5"/>
    </row>
    <row r="1079" spans="1:20" ht="15.75" hidden="1" x14ac:dyDescent="0.25">
      <c r="B1079" s="21" t="s">
        <v>395</v>
      </c>
      <c r="C1079" s="22" t="s">
        <v>2459</v>
      </c>
      <c r="D1079" s="22"/>
      <c r="E1079" s="21" t="s">
        <v>75</v>
      </c>
      <c r="F1079" s="21"/>
      <c r="G1079" s="147" t="s">
        <v>805</v>
      </c>
      <c r="H1079" s="169" t="s">
        <v>4916</v>
      </c>
      <c r="I1079" s="169"/>
      <c r="J1079" s="208" t="s">
        <v>3884</v>
      </c>
      <c r="K1079" s="120"/>
      <c r="L1079" s="21"/>
      <c r="M1079" s="23"/>
      <c r="N1079" s="44">
        <v>0</v>
      </c>
      <c r="O1079" s="22" t="s">
        <v>15</v>
      </c>
      <c r="P1079" s="22" t="s">
        <v>19</v>
      </c>
      <c r="Q1079" s="24">
        <f t="shared" si="71"/>
        <v>0</v>
      </c>
      <c r="R1079" s="24">
        <f t="shared" si="70"/>
        <v>0</v>
      </c>
      <c r="S1079" s="5"/>
      <c r="T1079" s="5"/>
    </row>
    <row r="1080" spans="1:20" ht="15.75" hidden="1" x14ac:dyDescent="0.25">
      <c r="B1080" s="21" t="s">
        <v>395</v>
      </c>
      <c r="C1080" s="22" t="s">
        <v>2459</v>
      </c>
      <c r="D1080" s="22"/>
      <c r="E1080" s="21" t="s">
        <v>75</v>
      </c>
      <c r="F1080" s="21"/>
      <c r="G1080" s="147" t="s">
        <v>805</v>
      </c>
      <c r="H1080" s="169" t="s">
        <v>4916</v>
      </c>
      <c r="I1080" s="169"/>
      <c r="J1080" s="208" t="s">
        <v>3885</v>
      </c>
      <c r="K1080" s="120"/>
      <c r="L1080" s="21"/>
      <c r="M1080" s="23"/>
      <c r="N1080" s="44">
        <v>0</v>
      </c>
      <c r="O1080" s="22" t="s">
        <v>15</v>
      </c>
      <c r="P1080" s="22" t="s">
        <v>19</v>
      </c>
      <c r="Q1080" s="24">
        <f t="shared" si="71"/>
        <v>0</v>
      </c>
      <c r="R1080" s="24">
        <f t="shared" si="70"/>
        <v>0</v>
      </c>
      <c r="S1080" s="5"/>
      <c r="T1080" s="5"/>
    </row>
    <row r="1081" spans="1:20" ht="15.75" hidden="1" x14ac:dyDescent="0.25">
      <c r="B1081" s="21" t="s">
        <v>395</v>
      </c>
      <c r="C1081" s="22" t="s">
        <v>1940</v>
      </c>
      <c r="D1081" s="22"/>
      <c r="E1081" s="21" t="s">
        <v>75</v>
      </c>
      <c r="F1081" s="21"/>
      <c r="G1081" s="147" t="s">
        <v>805</v>
      </c>
      <c r="H1081" s="23" t="s">
        <v>3886</v>
      </c>
      <c r="I1081" s="23"/>
      <c r="J1081" s="21" t="s">
        <v>3887</v>
      </c>
      <c r="K1081" s="120"/>
      <c r="L1081" s="21" t="s">
        <v>4530</v>
      </c>
      <c r="M1081" s="26">
        <v>44253</v>
      </c>
      <c r="N1081" s="44">
        <v>6000</v>
      </c>
      <c r="O1081" s="22" t="s">
        <v>15</v>
      </c>
      <c r="P1081" s="22" t="s">
        <v>19</v>
      </c>
      <c r="Q1081" s="24">
        <f t="shared" si="71"/>
        <v>0</v>
      </c>
      <c r="R1081" s="24">
        <f t="shared" si="70"/>
        <v>6000</v>
      </c>
      <c r="S1081" s="5"/>
      <c r="T1081" s="5"/>
    </row>
    <row r="1082" spans="1:20" ht="15.75" hidden="1" x14ac:dyDescent="0.25">
      <c r="B1082" s="21" t="s">
        <v>395</v>
      </c>
      <c r="C1082" s="22" t="s">
        <v>1940</v>
      </c>
      <c r="D1082" s="22"/>
      <c r="E1082" s="21" t="s">
        <v>75</v>
      </c>
      <c r="F1082" s="21"/>
      <c r="G1082" s="147" t="s">
        <v>805</v>
      </c>
      <c r="H1082" s="23" t="s">
        <v>4527</v>
      </c>
      <c r="I1082" s="23"/>
      <c r="J1082" s="21" t="s">
        <v>4528</v>
      </c>
      <c r="K1082" s="120"/>
      <c r="L1082" s="21" t="s">
        <v>4530</v>
      </c>
      <c r="M1082" s="26">
        <v>44253</v>
      </c>
      <c r="N1082" s="44">
        <v>12500</v>
      </c>
      <c r="O1082" s="22" t="s">
        <v>15</v>
      </c>
      <c r="P1082" s="22" t="s">
        <v>19</v>
      </c>
      <c r="Q1082" s="24">
        <f t="shared" si="71"/>
        <v>0</v>
      </c>
      <c r="R1082" s="24">
        <f t="shared" si="70"/>
        <v>12500</v>
      </c>
      <c r="S1082" s="5"/>
      <c r="T1082" s="5"/>
    </row>
    <row r="1083" spans="1:20" ht="15.75" hidden="1" x14ac:dyDescent="0.25">
      <c r="B1083" s="21" t="s">
        <v>395</v>
      </c>
      <c r="C1083" s="22" t="s">
        <v>1940</v>
      </c>
      <c r="D1083" s="22"/>
      <c r="E1083" s="21" t="s">
        <v>75</v>
      </c>
      <c r="F1083" s="21"/>
      <c r="G1083" s="147" t="s">
        <v>805</v>
      </c>
      <c r="H1083" s="23" t="s">
        <v>3886</v>
      </c>
      <c r="I1083" s="23"/>
      <c r="J1083" s="21" t="s">
        <v>3884</v>
      </c>
      <c r="K1083" s="120"/>
      <c r="L1083" s="21" t="s">
        <v>5206</v>
      </c>
      <c r="M1083" s="26">
        <v>44361</v>
      </c>
      <c r="N1083" s="44">
        <v>44500</v>
      </c>
      <c r="O1083" s="22" t="s">
        <v>15</v>
      </c>
      <c r="P1083" s="22" t="s">
        <v>19</v>
      </c>
      <c r="Q1083" s="24">
        <f t="shared" si="71"/>
        <v>0</v>
      </c>
      <c r="R1083" s="24">
        <f t="shared" si="70"/>
        <v>44500</v>
      </c>
      <c r="S1083" s="5"/>
      <c r="T1083" s="5"/>
    </row>
    <row r="1084" spans="1:20" ht="15.75" hidden="1" x14ac:dyDescent="0.25">
      <c r="B1084" s="21" t="s">
        <v>395</v>
      </c>
      <c r="C1084" s="22" t="s">
        <v>1940</v>
      </c>
      <c r="D1084" s="22"/>
      <c r="E1084" s="21" t="s">
        <v>75</v>
      </c>
      <c r="F1084" s="21"/>
      <c r="G1084" s="147" t="s">
        <v>805</v>
      </c>
      <c r="H1084" s="23" t="s">
        <v>4527</v>
      </c>
      <c r="I1084" s="23"/>
      <c r="J1084" s="21" t="s">
        <v>4529</v>
      </c>
      <c r="K1084" s="120"/>
      <c r="L1084" s="21" t="s">
        <v>5206</v>
      </c>
      <c r="M1084" s="26">
        <v>44361</v>
      </c>
      <c r="N1084" s="44">
        <v>350</v>
      </c>
      <c r="O1084" s="22" t="s">
        <v>15</v>
      </c>
      <c r="P1084" s="22" t="s">
        <v>19</v>
      </c>
      <c r="Q1084" s="24">
        <f t="shared" si="71"/>
        <v>0</v>
      </c>
      <c r="R1084" s="24">
        <f t="shared" si="70"/>
        <v>350</v>
      </c>
      <c r="S1084" s="5"/>
      <c r="T1084" s="5"/>
    </row>
    <row r="1085" spans="1:20" ht="15.75" hidden="1" x14ac:dyDescent="0.25">
      <c r="B1085" s="21" t="s">
        <v>395</v>
      </c>
      <c r="C1085" s="22" t="s">
        <v>1940</v>
      </c>
      <c r="D1085" s="22"/>
      <c r="E1085" s="21" t="s">
        <v>75</v>
      </c>
      <c r="F1085" s="21"/>
      <c r="G1085" s="147" t="s">
        <v>805</v>
      </c>
      <c r="H1085" s="23" t="s">
        <v>3886</v>
      </c>
      <c r="I1085" s="23"/>
      <c r="J1085" s="21" t="s">
        <v>3885</v>
      </c>
      <c r="K1085" s="120"/>
      <c r="L1085" s="21" t="s">
        <v>6007</v>
      </c>
      <c r="M1085" s="26">
        <v>44504</v>
      </c>
      <c r="N1085" s="44">
        <v>6000</v>
      </c>
      <c r="O1085" s="22" t="s">
        <v>15</v>
      </c>
      <c r="P1085" s="22" t="s">
        <v>19</v>
      </c>
      <c r="Q1085" s="24">
        <f t="shared" si="71"/>
        <v>0</v>
      </c>
      <c r="R1085" s="24">
        <f t="shared" si="70"/>
        <v>6000</v>
      </c>
      <c r="S1085" s="5"/>
      <c r="T1085" s="5"/>
    </row>
    <row r="1086" spans="1:20" ht="15.75" hidden="1" x14ac:dyDescent="0.25">
      <c r="A1086" t="s">
        <v>6753</v>
      </c>
      <c r="B1086" s="21" t="s">
        <v>395</v>
      </c>
      <c r="C1086" s="22" t="s">
        <v>1940</v>
      </c>
      <c r="D1086" s="22"/>
      <c r="E1086" s="21" t="s">
        <v>75</v>
      </c>
      <c r="F1086" s="21"/>
      <c r="G1086" s="147" t="s">
        <v>805</v>
      </c>
      <c r="H1086" s="23" t="s">
        <v>5723</v>
      </c>
      <c r="I1086" s="23"/>
      <c r="J1086" s="21" t="s">
        <v>5607</v>
      </c>
      <c r="K1086" s="120"/>
      <c r="L1086" s="21" t="s">
        <v>6007</v>
      </c>
      <c r="M1086" s="26">
        <v>44504</v>
      </c>
      <c r="N1086" s="44">
        <v>2000</v>
      </c>
      <c r="O1086" s="22" t="s">
        <v>15</v>
      </c>
      <c r="P1086" s="22" t="s">
        <v>19</v>
      </c>
      <c r="Q1086" s="24">
        <f t="shared" si="71"/>
        <v>0</v>
      </c>
      <c r="R1086" s="24">
        <f t="shared" si="70"/>
        <v>2000</v>
      </c>
      <c r="S1086" s="5"/>
      <c r="T1086" s="5"/>
    </row>
    <row r="1087" spans="1:20" ht="15.75" hidden="1" x14ac:dyDescent="0.25">
      <c r="B1087" s="21" t="s">
        <v>395</v>
      </c>
      <c r="C1087" s="22" t="s">
        <v>3916</v>
      </c>
      <c r="D1087" s="22" t="s">
        <v>4613</v>
      </c>
      <c r="E1087" s="21" t="s">
        <v>10</v>
      </c>
      <c r="F1087" s="21"/>
      <c r="G1087" s="147" t="s">
        <v>3914</v>
      </c>
      <c r="H1087" s="23" t="s">
        <v>3919</v>
      </c>
      <c r="I1087" s="23"/>
      <c r="J1087" s="21" t="s">
        <v>3915</v>
      </c>
      <c r="K1087" s="120"/>
      <c r="L1087" s="120" t="s">
        <v>4354</v>
      </c>
      <c r="M1087" s="47">
        <v>44205</v>
      </c>
      <c r="N1087" s="44">
        <v>23200</v>
      </c>
      <c r="O1087" s="22" t="s">
        <v>15</v>
      </c>
      <c r="P1087" s="22" t="s">
        <v>19</v>
      </c>
      <c r="Q1087" s="24">
        <f t="shared" si="71"/>
        <v>0</v>
      </c>
      <c r="R1087" s="24">
        <f t="shared" si="70"/>
        <v>23200</v>
      </c>
      <c r="S1087" s="5" t="s">
        <v>3973</v>
      </c>
      <c r="T1087" s="5"/>
    </row>
    <row r="1088" spans="1:20" ht="15.75" hidden="1" x14ac:dyDescent="0.25">
      <c r="B1088" s="21" t="s">
        <v>395</v>
      </c>
      <c r="C1088" s="22" t="s">
        <v>3916</v>
      </c>
      <c r="D1088" s="22" t="s">
        <v>4613</v>
      </c>
      <c r="E1088" s="21" t="s">
        <v>10</v>
      </c>
      <c r="F1088" s="21"/>
      <c r="G1088" s="147" t="s">
        <v>3914</v>
      </c>
      <c r="H1088" s="23" t="s">
        <v>3919</v>
      </c>
      <c r="I1088" s="23"/>
      <c r="J1088" s="21" t="s">
        <v>3917</v>
      </c>
      <c r="K1088" s="120"/>
      <c r="L1088" s="120" t="s">
        <v>4541</v>
      </c>
      <c r="M1088" s="47">
        <v>44259</v>
      </c>
      <c r="N1088" s="44">
        <v>24000</v>
      </c>
      <c r="O1088" s="22" t="s">
        <v>15</v>
      </c>
      <c r="P1088" s="22" t="s">
        <v>19</v>
      </c>
      <c r="Q1088" s="24">
        <f t="shared" si="71"/>
        <v>0</v>
      </c>
      <c r="R1088" s="24">
        <f t="shared" si="70"/>
        <v>24000</v>
      </c>
      <c r="S1088" s="5" t="s">
        <v>3973</v>
      </c>
      <c r="T1088" s="5"/>
    </row>
    <row r="1089" spans="1:20" ht="15.75" hidden="1" x14ac:dyDescent="0.25">
      <c r="B1089" s="21" t="s">
        <v>395</v>
      </c>
      <c r="C1089" s="22" t="s">
        <v>3916</v>
      </c>
      <c r="D1089" s="22" t="s">
        <v>4613</v>
      </c>
      <c r="E1089" s="21" t="s">
        <v>10</v>
      </c>
      <c r="F1089" s="21"/>
      <c r="G1089" s="147" t="s">
        <v>3914</v>
      </c>
      <c r="H1089" s="23" t="s">
        <v>3919</v>
      </c>
      <c r="I1089" s="23"/>
      <c r="J1089" s="21" t="s">
        <v>3918</v>
      </c>
      <c r="K1089" s="120"/>
      <c r="L1089" s="21" t="s">
        <v>4808</v>
      </c>
      <c r="M1089" s="47">
        <v>44294</v>
      </c>
      <c r="N1089" s="44">
        <v>8000</v>
      </c>
      <c r="O1089" s="22" t="s">
        <v>15</v>
      </c>
      <c r="P1089" s="22" t="s">
        <v>19</v>
      </c>
      <c r="Q1089" s="24">
        <f t="shared" si="71"/>
        <v>0</v>
      </c>
      <c r="R1089" s="24">
        <f t="shared" si="70"/>
        <v>8000</v>
      </c>
      <c r="S1089" s="5" t="s">
        <v>3973</v>
      </c>
      <c r="T1089" s="5"/>
    </row>
    <row r="1090" spans="1:20" ht="15.75" hidden="1" x14ac:dyDescent="0.25">
      <c r="B1090" s="21" t="s">
        <v>395</v>
      </c>
      <c r="C1090" s="22" t="s">
        <v>3916</v>
      </c>
      <c r="D1090" s="22" t="s">
        <v>4613</v>
      </c>
      <c r="E1090" s="21" t="s">
        <v>10</v>
      </c>
      <c r="F1090" s="21"/>
      <c r="G1090" s="147" t="s">
        <v>3914</v>
      </c>
      <c r="H1090" s="23" t="s">
        <v>3919</v>
      </c>
      <c r="I1090" s="23"/>
      <c r="J1090" s="21" t="s">
        <v>4806</v>
      </c>
      <c r="K1090" s="120"/>
      <c r="L1090" s="21"/>
      <c r="M1090" s="23"/>
      <c r="N1090" s="44">
        <v>0</v>
      </c>
      <c r="O1090" s="22" t="s">
        <v>15</v>
      </c>
      <c r="P1090" s="22"/>
      <c r="Q1090" s="24">
        <f t="shared" si="71"/>
        <v>0</v>
      </c>
      <c r="R1090" s="24">
        <f t="shared" si="70"/>
        <v>0</v>
      </c>
      <c r="S1090" s="5" t="s">
        <v>4805</v>
      </c>
      <c r="T1090" s="5"/>
    </row>
    <row r="1091" spans="1:20" ht="15.75" hidden="1" x14ac:dyDescent="0.25">
      <c r="B1091" s="21" t="s">
        <v>395</v>
      </c>
      <c r="C1091" s="22" t="s">
        <v>3916</v>
      </c>
      <c r="D1091" s="22" t="s">
        <v>4613</v>
      </c>
      <c r="E1091" s="21" t="s">
        <v>10</v>
      </c>
      <c r="F1091" s="21"/>
      <c r="G1091" s="147" t="s">
        <v>3914</v>
      </c>
      <c r="H1091" s="23" t="s">
        <v>3919</v>
      </c>
      <c r="I1091" s="23"/>
      <c r="J1091" s="21" t="s">
        <v>4807</v>
      </c>
      <c r="K1091" s="120"/>
      <c r="L1091" s="21"/>
      <c r="M1091" s="23"/>
      <c r="N1091" s="44">
        <v>0</v>
      </c>
      <c r="O1091" s="22" t="s">
        <v>15</v>
      </c>
      <c r="P1091" s="22"/>
      <c r="Q1091" s="24">
        <f t="shared" si="71"/>
        <v>0</v>
      </c>
      <c r="R1091" s="24">
        <f t="shared" si="70"/>
        <v>0</v>
      </c>
      <c r="S1091" s="5" t="s">
        <v>4805</v>
      </c>
      <c r="T1091" s="5"/>
    </row>
    <row r="1092" spans="1:20" ht="15.75" hidden="1" x14ac:dyDescent="0.25">
      <c r="B1092" s="21" t="s">
        <v>395</v>
      </c>
      <c r="C1092" s="22" t="s">
        <v>2568</v>
      </c>
      <c r="D1092" s="22"/>
      <c r="E1092" s="21" t="s">
        <v>729</v>
      </c>
      <c r="F1092" s="21"/>
      <c r="G1092" s="147" t="s">
        <v>3692</v>
      </c>
      <c r="H1092" s="23" t="s">
        <v>3940</v>
      </c>
      <c r="I1092" s="23"/>
      <c r="J1092" s="21" t="s">
        <v>3939</v>
      </c>
      <c r="K1092" s="120"/>
      <c r="L1092" s="47" t="s">
        <v>6001</v>
      </c>
      <c r="M1092" s="26" t="s">
        <v>6002</v>
      </c>
      <c r="N1092" s="44">
        <v>3000</v>
      </c>
      <c r="O1092" s="22" t="s">
        <v>15</v>
      </c>
      <c r="P1092" s="22">
        <f>1500+1500</f>
        <v>3000</v>
      </c>
      <c r="Q1092" s="24">
        <f t="shared" si="71"/>
        <v>0</v>
      </c>
      <c r="R1092" s="24">
        <f t="shared" si="70"/>
        <v>3000</v>
      </c>
      <c r="S1092" s="5"/>
      <c r="T1092" s="5"/>
    </row>
    <row r="1093" spans="1:20" ht="15.75" hidden="1" x14ac:dyDescent="0.25">
      <c r="A1093" t="s">
        <v>6753</v>
      </c>
      <c r="B1093" s="21" t="s">
        <v>395</v>
      </c>
      <c r="C1093" s="22" t="s">
        <v>2459</v>
      </c>
      <c r="D1093" s="22"/>
      <c r="E1093" s="21" t="s">
        <v>75</v>
      </c>
      <c r="F1093" s="21"/>
      <c r="G1093" s="147" t="s">
        <v>3779</v>
      </c>
      <c r="H1093" s="23" t="s">
        <v>3971</v>
      </c>
      <c r="I1093" s="23"/>
      <c r="J1093" s="21" t="s">
        <v>3977</v>
      </c>
      <c r="K1093" s="120"/>
      <c r="L1093" s="21" t="s">
        <v>4869</v>
      </c>
      <c r="M1093" s="23" t="s">
        <v>4870</v>
      </c>
      <c r="N1093" s="44">
        <f>(22400*4)+3000</f>
        <v>92600</v>
      </c>
      <c r="O1093" s="22" t="s">
        <v>15</v>
      </c>
      <c r="P1093" s="22">
        <f>65670+26930</f>
        <v>92600</v>
      </c>
      <c r="Q1093" s="24">
        <f t="shared" si="71"/>
        <v>0</v>
      </c>
      <c r="R1093" s="24">
        <f t="shared" si="70"/>
        <v>92600</v>
      </c>
      <c r="S1093" s="5"/>
      <c r="T1093" s="5"/>
    </row>
    <row r="1094" spans="1:20" ht="15.75" hidden="1" x14ac:dyDescent="0.25">
      <c r="A1094" t="s">
        <v>6753</v>
      </c>
      <c r="B1094" s="21" t="s">
        <v>395</v>
      </c>
      <c r="C1094" s="22" t="s">
        <v>2459</v>
      </c>
      <c r="D1094" s="22"/>
      <c r="E1094" s="21" t="s">
        <v>75</v>
      </c>
      <c r="F1094" s="21"/>
      <c r="G1094" s="147" t="s">
        <v>3779</v>
      </c>
      <c r="H1094" s="23" t="s">
        <v>4648</v>
      </c>
      <c r="I1094" s="23"/>
      <c r="J1094" s="21" t="s">
        <v>4649</v>
      </c>
      <c r="K1094" s="120"/>
      <c r="L1094" s="21" t="s">
        <v>4871</v>
      </c>
      <c r="M1094" s="26">
        <v>44315</v>
      </c>
      <c r="N1094" s="44">
        <v>234384</v>
      </c>
      <c r="O1094" s="22" t="s">
        <v>15</v>
      </c>
      <c r="P1094" s="22">
        <v>86681.4</v>
      </c>
      <c r="Q1094" s="24">
        <v>0</v>
      </c>
      <c r="R1094" s="24">
        <f t="shared" si="70"/>
        <v>86681.4</v>
      </c>
      <c r="S1094" s="5" t="s">
        <v>6752</v>
      </c>
      <c r="T1094" s="5"/>
    </row>
    <row r="1095" spans="1:20" ht="15.75" hidden="1" x14ac:dyDescent="0.25">
      <c r="B1095" s="21" t="s">
        <v>395</v>
      </c>
      <c r="C1095" s="22" t="s">
        <v>3980</v>
      </c>
      <c r="D1095" s="22"/>
      <c r="E1095" s="21" t="s">
        <v>10</v>
      </c>
      <c r="F1095" s="21"/>
      <c r="G1095" s="147" t="s">
        <v>3981</v>
      </c>
      <c r="H1095" s="23" t="s">
        <v>3982</v>
      </c>
      <c r="I1095" s="23"/>
      <c r="J1095" s="21" t="s">
        <v>3983</v>
      </c>
      <c r="K1095" s="120"/>
      <c r="L1095" s="21" t="s">
        <v>4310</v>
      </c>
      <c r="M1095" s="26">
        <v>44197</v>
      </c>
      <c r="N1095" s="44">
        <v>8112</v>
      </c>
      <c r="O1095" s="22" t="s">
        <v>15</v>
      </c>
      <c r="P1095" s="22" t="s">
        <v>19</v>
      </c>
      <c r="Q1095" s="24">
        <f t="shared" ref="Q1095:Q1146" si="72">IF(P1095="en cours",N1095,IF(P1095="OK",0,IF(N1095-P1095&lt;0,0,N1095-P1095)))</f>
        <v>0</v>
      </c>
      <c r="R1095" s="24">
        <f t="shared" si="70"/>
        <v>8112</v>
      </c>
      <c r="S1095" s="5"/>
      <c r="T1095" s="5"/>
    </row>
    <row r="1096" spans="1:20" ht="15.75" hidden="1" x14ac:dyDescent="0.25">
      <c r="B1096" s="21" t="s">
        <v>395</v>
      </c>
      <c r="C1096" s="22" t="s">
        <v>3980</v>
      </c>
      <c r="D1096" s="22"/>
      <c r="E1096" s="21" t="s">
        <v>10</v>
      </c>
      <c r="F1096" s="21"/>
      <c r="G1096" s="147" t="s">
        <v>3981</v>
      </c>
      <c r="H1096" s="23" t="s">
        <v>3982</v>
      </c>
      <c r="I1096" s="23"/>
      <c r="J1096" s="21" t="s">
        <v>3984</v>
      </c>
      <c r="K1096" s="120"/>
      <c r="L1096" s="21" t="s">
        <v>4310</v>
      </c>
      <c r="M1096" s="26">
        <v>44197</v>
      </c>
      <c r="N1096" s="44">
        <v>1128</v>
      </c>
      <c r="O1096" s="22" t="s">
        <v>15</v>
      </c>
      <c r="P1096" s="22" t="s">
        <v>19</v>
      </c>
      <c r="Q1096" s="24">
        <f t="shared" si="72"/>
        <v>0</v>
      </c>
      <c r="R1096" s="24">
        <f t="shared" si="70"/>
        <v>1128</v>
      </c>
      <c r="S1096" s="5"/>
      <c r="T1096" s="5"/>
    </row>
    <row r="1097" spans="1:20" ht="15.75" hidden="1" x14ac:dyDescent="0.25">
      <c r="B1097" s="21" t="s">
        <v>395</v>
      </c>
      <c r="C1097" s="22" t="s">
        <v>3980</v>
      </c>
      <c r="D1097" s="22"/>
      <c r="E1097" s="21" t="s">
        <v>10</v>
      </c>
      <c r="F1097" s="21"/>
      <c r="G1097" s="147" t="s">
        <v>3981</v>
      </c>
      <c r="H1097" s="23" t="s">
        <v>3982</v>
      </c>
      <c r="I1097" s="23"/>
      <c r="J1097" s="21" t="s">
        <v>3985</v>
      </c>
      <c r="K1097" s="120"/>
      <c r="L1097" s="21" t="s">
        <v>4310</v>
      </c>
      <c r="M1097" s="26">
        <v>44197</v>
      </c>
      <c r="N1097" s="44">
        <v>130</v>
      </c>
      <c r="O1097" s="22" t="s">
        <v>15</v>
      </c>
      <c r="P1097" s="22" t="s">
        <v>19</v>
      </c>
      <c r="Q1097" s="24">
        <f t="shared" si="72"/>
        <v>0</v>
      </c>
      <c r="R1097" s="24">
        <f t="shared" si="70"/>
        <v>130</v>
      </c>
      <c r="S1097" s="5"/>
      <c r="T1097" s="5"/>
    </row>
    <row r="1098" spans="1:20" ht="15.75" hidden="1" x14ac:dyDescent="0.25">
      <c r="B1098" s="21" t="s">
        <v>395</v>
      </c>
      <c r="C1098" s="22" t="s">
        <v>3980</v>
      </c>
      <c r="D1098" s="22"/>
      <c r="E1098" s="21" t="s">
        <v>10</v>
      </c>
      <c r="F1098" s="21"/>
      <c r="G1098" s="147" t="s">
        <v>3981</v>
      </c>
      <c r="H1098" s="23" t="s">
        <v>3987</v>
      </c>
      <c r="I1098" s="23"/>
      <c r="J1098" s="21" t="s">
        <v>3986</v>
      </c>
      <c r="K1098" s="120"/>
      <c r="L1098" s="21" t="s">
        <v>4691</v>
      </c>
      <c r="M1098" s="26">
        <v>44284</v>
      </c>
      <c r="N1098" s="44">
        <v>4680</v>
      </c>
      <c r="O1098" s="22" t="s">
        <v>15</v>
      </c>
      <c r="P1098" s="22" t="s">
        <v>19</v>
      </c>
      <c r="Q1098" s="24">
        <f t="shared" si="72"/>
        <v>0</v>
      </c>
      <c r="R1098" s="24">
        <f t="shared" si="70"/>
        <v>4680</v>
      </c>
      <c r="S1098" s="5"/>
      <c r="T1098" s="5"/>
    </row>
    <row r="1099" spans="1:20" ht="15.75" hidden="1" x14ac:dyDescent="0.25">
      <c r="B1099" s="21" t="s">
        <v>395</v>
      </c>
      <c r="C1099" s="22" t="s">
        <v>3980</v>
      </c>
      <c r="D1099" s="22"/>
      <c r="E1099" s="21" t="s">
        <v>10</v>
      </c>
      <c r="F1099" s="21"/>
      <c r="G1099" s="147" t="s">
        <v>3981</v>
      </c>
      <c r="H1099" s="23" t="s">
        <v>3988</v>
      </c>
      <c r="I1099" s="23"/>
      <c r="J1099" s="21" t="s">
        <v>3989</v>
      </c>
      <c r="K1099" s="120"/>
      <c r="L1099" s="21" t="s">
        <v>5985</v>
      </c>
      <c r="M1099" s="26">
        <v>44494</v>
      </c>
      <c r="N1099" s="44">
        <v>3147</v>
      </c>
      <c r="O1099" s="22" t="s">
        <v>15</v>
      </c>
      <c r="P1099" s="22" t="s">
        <v>19</v>
      </c>
      <c r="Q1099" s="24">
        <f t="shared" si="72"/>
        <v>0</v>
      </c>
      <c r="R1099" s="24">
        <f t="shared" si="70"/>
        <v>3147</v>
      </c>
      <c r="S1099" s="5"/>
      <c r="T1099" s="5"/>
    </row>
    <row r="1100" spans="1:20" ht="15.75" hidden="1" x14ac:dyDescent="0.25">
      <c r="B1100" s="21" t="s">
        <v>395</v>
      </c>
      <c r="C1100" s="22" t="s">
        <v>3980</v>
      </c>
      <c r="D1100" s="22"/>
      <c r="E1100" s="21" t="s">
        <v>10</v>
      </c>
      <c r="F1100" s="21"/>
      <c r="G1100" s="147" t="s">
        <v>3981</v>
      </c>
      <c r="H1100" s="23" t="s">
        <v>3988</v>
      </c>
      <c r="I1100" s="23"/>
      <c r="J1100" s="21" t="s">
        <v>3990</v>
      </c>
      <c r="K1100" s="120"/>
      <c r="L1100" s="21" t="s">
        <v>5985</v>
      </c>
      <c r="M1100" s="26">
        <v>44494</v>
      </c>
      <c r="N1100" s="44">
        <v>1636</v>
      </c>
      <c r="O1100" s="22" t="s">
        <v>15</v>
      </c>
      <c r="P1100" s="22" t="s">
        <v>19</v>
      </c>
      <c r="Q1100" s="24">
        <f t="shared" si="72"/>
        <v>0</v>
      </c>
      <c r="R1100" s="24">
        <f t="shared" si="70"/>
        <v>1636</v>
      </c>
      <c r="S1100" s="5"/>
      <c r="T1100" s="5"/>
    </row>
    <row r="1101" spans="1:20" ht="15.75" hidden="1" x14ac:dyDescent="0.25">
      <c r="B1101" s="21" t="s">
        <v>395</v>
      </c>
      <c r="C1101" s="22" t="s">
        <v>3980</v>
      </c>
      <c r="D1101" s="22"/>
      <c r="E1101" s="21" t="s">
        <v>10</v>
      </c>
      <c r="F1101" s="21"/>
      <c r="G1101" s="147" t="s">
        <v>3981</v>
      </c>
      <c r="H1101" s="23" t="s">
        <v>3988</v>
      </c>
      <c r="I1101" s="23"/>
      <c r="J1101" s="21" t="s">
        <v>3991</v>
      </c>
      <c r="K1101" s="120"/>
      <c r="L1101" s="21" t="s">
        <v>5985</v>
      </c>
      <c r="M1101" s="26">
        <v>44494</v>
      </c>
      <c r="N1101" s="44">
        <v>1</v>
      </c>
      <c r="O1101" s="22" t="s">
        <v>15</v>
      </c>
      <c r="P1101" s="22" t="s">
        <v>19</v>
      </c>
      <c r="Q1101" s="24">
        <f t="shared" si="72"/>
        <v>0</v>
      </c>
      <c r="R1101" s="24">
        <f t="shared" si="70"/>
        <v>1</v>
      </c>
      <c r="S1101" s="5"/>
      <c r="T1101" s="5"/>
    </row>
    <row r="1102" spans="1:20" ht="15.75" hidden="1" x14ac:dyDescent="0.25">
      <c r="B1102" s="21" t="s">
        <v>395</v>
      </c>
      <c r="C1102" s="22" t="s">
        <v>3980</v>
      </c>
      <c r="D1102" s="22"/>
      <c r="E1102" s="21" t="s">
        <v>10</v>
      </c>
      <c r="F1102" s="21"/>
      <c r="G1102" s="147" t="s">
        <v>3981</v>
      </c>
      <c r="H1102" s="23" t="s">
        <v>3988</v>
      </c>
      <c r="I1102" s="23"/>
      <c r="J1102" s="21" t="s">
        <v>3992</v>
      </c>
      <c r="K1102" s="120"/>
      <c r="L1102" s="21" t="s">
        <v>5985</v>
      </c>
      <c r="M1102" s="26">
        <v>44494</v>
      </c>
      <c r="N1102" s="44">
        <v>4526</v>
      </c>
      <c r="O1102" s="22" t="s">
        <v>15</v>
      </c>
      <c r="P1102" s="22" t="s">
        <v>19</v>
      </c>
      <c r="Q1102" s="24">
        <f t="shared" si="72"/>
        <v>0</v>
      </c>
      <c r="R1102" s="24">
        <f t="shared" si="70"/>
        <v>4526</v>
      </c>
      <c r="S1102" s="5"/>
      <c r="T1102" s="5"/>
    </row>
    <row r="1103" spans="1:20" ht="15.75" hidden="1" x14ac:dyDescent="0.25">
      <c r="B1103" s="21" t="s">
        <v>395</v>
      </c>
      <c r="C1103" s="22" t="s">
        <v>3980</v>
      </c>
      <c r="D1103" s="22"/>
      <c r="E1103" s="21" t="s">
        <v>10</v>
      </c>
      <c r="F1103" s="21"/>
      <c r="G1103" s="147" t="s">
        <v>3981</v>
      </c>
      <c r="H1103" s="23" t="s">
        <v>3988</v>
      </c>
      <c r="I1103" s="23"/>
      <c r="J1103" s="21" t="s">
        <v>3993</v>
      </c>
      <c r="K1103" s="120"/>
      <c r="L1103" s="21" t="s">
        <v>5985</v>
      </c>
      <c r="M1103" s="26">
        <v>44494</v>
      </c>
      <c r="N1103" s="44">
        <v>168</v>
      </c>
      <c r="O1103" s="22" t="s">
        <v>15</v>
      </c>
      <c r="P1103" s="22" t="s">
        <v>19</v>
      </c>
      <c r="Q1103" s="24">
        <f t="shared" si="72"/>
        <v>0</v>
      </c>
      <c r="R1103" s="24">
        <f t="shared" si="70"/>
        <v>168</v>
      </c>
      <c r="S1103" s="5"/>
      <c r="T1103" s="5"/>
    </row>
    <row r="1104" spans="1:20" ht="15.75" hidden="1" x14ac:dyDescent="0.25">
      <c r="B1104" s="21" t="s">
        <v>395</v>
      </c>
      <c r="C1104" s="22" t="s">
        <v>2450</v>
      </c>
      <c r="D1104" s="22"/>
      <c r="E1104" s="21" t="s">
        <v>0</v>
      </c>
      <c r="F1104" s="21"/>
      <c r="G1104" s="147" t="s">
        <v>202</v>
      </c>
      <c r="H1104" s="23" t="s">
        <v>3998</v>
      </c>
      <c r="I1104" s="23"/>
      <c r="J1104" s="21" t="s">
        <v>5946</v>
      </c>
      <c r="K1104" s="120"/>
      <c r="L1104" s="21" t="s">
        <v>3999</v>
      </c>
      <c r="M1104" s="26">
        <v>44135</v>
      </c>
      <c r="N1104" s="44">
        <f>120000/5</f>
        <v>24000</v>
      </c>
      <c r="O1104" s="22" t="s">
        <v>15</v>
      </c>
      <c r="P1104" s="22" t="s">
        <v>19</v>
      </c>
      <c r="Q1104" s="24">
        <f t="shared" si="72"/>
        <v>0</v>
      </c>
      <c r="R1104" s="24">
        <f t="shared" si="70"/>
        <v>24000</v>
      </c>
      <c r="S1104" s="5"/>
      <c r="T1104" s="5"/>
    </row>
    <row r="1105" spans="2:20" ht="15.75" hidden="1" x14ac:dyDescent="0.25">
      <c r="B1105" s="21" t="s">
        <v>395</v>
      </c>
      <c r="C1105" s="22" t="s">
        <v>2450</v>
      </c>
      <c r="D1105" s="22"/>
      <c r="E1105" s="21" t="s">
        <v>0</v>
      </c>
      <c r="F1105" s="21"/>
      <c r="G1105" s="147" t="s">
        <v>202</v>
      </c>
      <c r="H1105" s="23" t="s">
        <v>3998</v>
      </c>
      <c r="I1105" s="23"/>
      <c r="J1105" s="21" t="s">
        <v>5947</v>
      </c>
      <c r="K1105" s="120"/>
      <c r="L1105" s="21" t="s">
        <v>4242</v>
      </c>
      <c r="M1105" s="26">
        <v>44196</v>
      </c>
      <c r="N1105" s="44">
        <f>120000/5</f>
        <v>24000</v>
      </c>
      <c r="O1105" s="22" t="s">
        <v>15</v>
      </c>
      <c r="P1105" s="22" t="s">
        <v>19</v>
      </c>
      <c r="Q1105" s="24">
        <f t="shared" si="72"/>
        <v>0</v>
      </c>
      <c r="R1105" s="24">
        <f t="shared" si="70"/>
        <v>24000</v>
      </c>
      <c r="S1105" s="5"/>
      <c r="T1105" s="5"/>
    </row>
    <row r="1106" spans="2:20" ht="15.75" hidden="1" x14ac:dyDescent="0.25">
      <c r="B1106" s="21" t="s">
        <v>395</v>
      </c>
      <c r="C1106" s="22" t="s">
        <v>2450</v>
      </c>
      <c r="D1106" s="22"/>
      <c r="E1106" s="21" t="s">
        <v>0</v>
      </c>
      <c r="F1106" s="21"/>
      <c r="G1106" s="147" t="s">
        <v>202</v>
      </c>
      <c r="H1106" s="23" t="s">
        <v>3998</v>
      </c>
      <c r="I1106" s="23"/>
      <c r="J1106" s="21" t="s">
        <v>5948</v>
      </c>
      <c r="K1106" s="120"/>
      <c r="L1106" s="21" t="s">
        <v>4636</v>
      </c>
      <c r="M1106" s="26">
        <v>44255</v>
      </c>
      <c r="N1106" s="44">
        <f>120000/5</f>
        <v>24000</v>
      </c>
      <c r="O1106" s="22" t="s">
        <v>15</v>
      </c>
      <c r="P1106" s="22" t="s">
        <v>19</v>
      </c>
      <c r="Q1106" s="24">
        <f t="shared" si="72"/>
        <v>0</v>
      </c>
      <c r="R1106" s="24">
        <f t="shared" si="70"/>
        <v>24000</v>
      </c>
      <c r="S1106" s="5"/>
      <c r="T1106" s="5"/>
    </row>
    <row r="1107" spans="2:20" ht="15.75" hidden="1" x14ac:dyDescent="0.25">
      <c r="B1107" s="21" t="s">
        <v>395</v>
      </c>
      <c r="C1107" s="22" t="s">
        <v>2450</v>
      </c>
      <c r="D1107" s="22"/>
      <c r="E1107" s="21" t="s">
        <v>0</v>
      </c>
      <c r="F1107" s="21"/>
      <c r="G1107" s="147" t="s">
        <v>202</v>
      </c>
      <c r="H1107" s="23" t="s">
        <v>3998</v>
      </c>
      <c r="I1107" s="23"/>
      <c r="J1107" s="21" t="s">
        <v>5949</v>
      </c>
      <c r="K1107" s="120"/>
      <c r="L1107" s="21"/>
      <c r="M1107" s="26"/>
      <c r="N1107" s="44">
        <v>13860</v>
      </c>
      <c r="O1107" s="22" t="s">
        <v>15</v>
      </c>
      <c r="P1107" s="22" t="s">
        <v>19</v>
      </c>
      <c r="Q1107" s="24">
        <f t="shared" si="72"/>
        <v>0</v>
      </c>
      <c r="R1107" s="24">
        <f t="shared" si="70"/>
        <v>13860</v>
      </c>
      <c r="S1107" s="5" t="s">
        <v>5951</v>
      </c>
      <c r="T1107" s="5"/>
    </row>
    <row r="1108" spans="2:20" ht="15.75" hidden="1" x14ac:dyDescent="0.25">
      <c r="B1108" s="21" t="s">
        <v>395</v>
      </c>
      <c r="C1108" s="22" t="s">
        <v>2450</v>
      </c>
      <c r="D1108" s="22"/>
      <c r="E1108" s="21" t="s">
        <v>0</v>
      </c>
      <c r="F1108" s="21"/>
      <c r="G1108" s="147" t="s">
        <v>202</v>
      </c>
      <c r="H1108" s="23" t="s">
        <v>5273</v>
      </c>
      <c r="I1108" s="23"/>
      <c r="J1108" s="50" t="s">
        <v>5956</v>
      </c>
      <c r="K1108" s="120"/>
      <c r="L1108" s="21"/>
      <c r="M1108" s="23"/>
      <c r="N1108" s="44">
        <v>58140</v>
      </c>
      <c r="O1108" s="22" t="s">
        <v>15</v>
      </c>
      <c r="P1108" s="24" t="s">
        <v>19</v>
      </c>
      <c r="Q1108" s="24">
        <f t="shared" si="72"/>
        <v>0</v>
      </c>
      <c r="R1108" s="24">
        <f t="shared" si="70"/>
        <v>58140</v>
      </c>
      <c r="S1108" s="5" t="s">
        <v>5950</v>
      </c>
      <c r="T1108" s="5"/>
    </row>
    <row r="1109" spans="2:20" ht="15.75" hidden="1" x14ac:dyDescent="0.25">
      <c r="B1109" s="21" t="s">
        <v>395</v>
      </c>
      <c r="C1109" s="22" t="s">
        <v>2450</v>
      </c>
      <c r="D1109" s="22"/>
      <c r="E1109" s="21" t="s">
        <v>0</v>
      </c>
      <c r="F1109" s="21"/>
      <c r="G1109" s="147" t="s">
        <v>202</v>
      </c>
      <c r="H1109" s="23" t="s">
        <v>5273</v>
      </c>
      <c r="I1109" s="23"/>
      <c r="J1109" s="21" t="s">
        <v>5952</v>
      </c>
      <c r="K1109" s="120"/>
      <c r="L1109" s="21" t="s">
        <v>5906</v>
      </c>
      <c r="M1109" s="23" t="s">
        <v>5907</v>
      </c>
      <c r="N1109" s="44">
        <f>198*220</f>
        <v>43560</v>
      </c>
      <c r="O1109" s="22" t="s">
        <v>15</v>
      </c>
      <c r="P1109" s="24">
        <f>9240+22550+15950</f>
        <v>47740</v>
      </c>
      <c r="Q1109" s="24">
        <f t="shared" si="72"/>
        <v>0</v>
      </c>
      <c r="R1109" s="24">
        <f t="shared" si="70"/>
        <v>47740</v>
      </c>
      <c r="S1109" s="5" t="s">
        <v>5955</v>
      </c>
      <c r="T1109" s="5"/>
    </row>
    <row r="1110" spans="2:20" ht="15.75" hidden="1" x14ac:dyDescent="0.25">
      <c r="B1110" s="21" t="s">
        <v>395</v>
      </c>
      <c r="C1110" s="22" t="s">
        <v>2450</v>
      </c>
      <c r="D1110" s="22"/>
      <c r="E1110" s="21" t="s">
        <v>0</v>
      </c>
      <c r="F1110" s="21"/>
      <c r="G1110" s="147" t="s">
        <v>202</v>
      </c>
      <c r="H1110" s="23" t="s">
        <v>5953</v>
      </c>
      <c r="I1110" s="23"/>
      <c r="J1110" s="21" t="s">
        <v>5954</v>
      </c>
      <c r="K1110" s="120"/>
      <c r="L1110" s="21" t="s">
        <v>6677</v>
      </c>
      <c r="M1110" s="26" t="s">
        <v>6678</v>
      </c>
      <c r="N1110" s="44">
        <f>136*220</f>
        <v>29920</v>
      </c>
      <c r="O1110" s="22" t="s">
        <v>15</v>
      </c>
      <c r="P1110" s="24">
        <f>21340+1760+14190</f>
        <v>37290</v>
      </c>
      <c r="Q1110" s="24">
        <f t="shared" si="72"/>
        <v>0</v>
      </c>
      <c r="R1110" s="24">
        <f t="shared" si="70"/>
        <v>37290</v>
      </c>
      <c r="S1110" s="5"/>
      <c r="T1110" s="5"/>
    </row>
    <row r="1111" spans="2:20" ht="15.75" hidden="1" x14ac:dyDescent="0.25">
      <c r="B1111" s="21" t="s">
        <v>395</v>
      </c>
      <c r="C1111" s="22" t="s">
        <v>2450</v>
      </c>
      <c r="D1111" s="22"/>
      <c r="E1111" s="21" t="s">
        <v>159</v>
      </c>
      <c r="F1111" s="21"/>
      <c r="G1111" s="147" t="s">
        <v>982</v>
      </c>
      <c r="H1111" s="23" t="s">
        <v>4014</v>
      </c>
      <c r="I1111" s="23"/>
      <c r="J1111" s="21" t="s">
        <v>4013</v>
      </c>
      <c r="K1111" s="120"/>
      <c r="L1111" s="165" t="s">
        <v>4130</v>
      </c>
      <c r="M1111" s="26">
        <v>44167</v>
      </c>
      <c r="N1111" s="44">
        <v>3000</v>
      </c>
      <c r="O1111" s="22" t="s">
        <v>15</v>
      </c>
      <c r="P1111" s="22" t="s">
        <v>19</v>
      </c>
      <c r="Q1111" s="24">
        <f t="shared" si="72"/>
        <v>0</v>
      </c>
      <c r="R1111" s="116">
        <f t="shared" si="70"/>
        <v>3000</v>
      </c>
      <c r="S1111" s="5"/>
      <c r="T1111" s="5"/>
    </row>
    <row r="1112" spans="2:20" ht="15.75" hidden="1" x14ac:dyDescent="0.25">
      <c r="B1112" s="21" t="s">
        <v>395</v>
      </c>
      <c r="C1112" s="22" t="s">
        <v>2450</v>
      </c>
      <c r="D1112" s="22" t="s">
        <v>1451</v>
      </c>
      <c r="E1112" s="21" t="s">
        <v>10</v>
      </c>
      <c r="F1112" s="21"/>
      <c r="G1112" s="147" t="s">
        <v>2973</v>
      </c>
      <c r="H1112" s="23" t="s">
        <v>4015</v>
      </c>
      <c r="I1112" s="23"/>
      <c r="J1112" s="21" t="s">
        <v>4016</v>
      </c>
      <c r="K1112" s="120"/>
      <c r="L1112" s="21" t="s">
        <v>4178</v>
      </c>
      <c r="M1112" s="26">
        <v>44168</v>
      </c>
      <c r="N1112" s="185">
        <v>17900</v>
      </c>
      <c r="O1112" s="22" t="s">
        <v>15</v>
      </c>
      <c r="P1112" s="22" t="s">
        <v>19</v>
      </c>
      <c r="Q1112" s="24">
        <f t="shared" si="72"/>
        <v>0</v>
      </c>
      <c r="R1112" s="24">
        <f t="shared" si="70"/>
        <v>17900</v>
      </c>
      <c r="S1112" s="5"/>
      <c r="T1112" s="5"/>
    </row>
    <row r="1113" spans="2:20" ht="15.75" hidden="1" x14ac:dyDescent="0.25">
      <c r="B1113" s="21" t="s">
        <v>395</v>
      </c>
      <c r="C1113" s="22" t="s">
        <v>1940</v>
      </c>
      <c r="D1113" s="22"/>
      <c r="E1113" s="21" t="s">
        <v>10</v>
      </c>
      <c r="F1113" s="21"/>
      <c r="G1113" s="147" t="s">
        <v>2530</v>
      </c>
      <c r="H1113" s="169" t="s">
        <v>4651</v>
      </c>
      <c r="I1113" s="169"/>
      <c r="J1113" s="208" t="s">
        <v>4182</v>
      </c>
      <c r="K1113" s="21"/>
      <c r="L1113" s="21"/>
      <c r="M1113" s="23"/>
      <c r="N1113" s="44">
        <v>0</v>
      </c>
      <c r="O1113" s="22" t="s">
        <v>15</v>
      </c>
      <c r="P1113" s="22"/>
      <c r="Q1113" s="44">
        <f t="shared" si="72"/>
        <v>0</v>
      </c>
      <c r="R1113" s="116">
        <f t="shared" si="70"/>
        <v>0</v>
      </c>
      <c r="S1113" s="5"/>
      <c r="T1113" s="5"/>
    </row>
    <row r="1114" spans="2:20" ht="15.75" hidden="1" x14ac:dyDescent="0.25">
      <c r="B1114" s="21" t="s">
        <v>395</v>
      </c>
      <c r="C1114" s="22" t="s">
        <v>1940</v>
      </c>
      <c r="D1114" s="22"/>
      <c r="E1114" s="21" t="s">
        <v>10</v>
      </c>
      <c r="F1114" s="21"/>
      <c r="G1114" s="147" t="s">
        <v>2530</v>
      </c>
      <c r="H1114" s="23" t="s">
        <v>4650</v>
      </c>
      <c r="I1114" s="23"/>
      <c r="J1114" s="21" t="s">
        <v>4182</v>
      </c>
      <c r="K1114" s="21"/>
      <c r="L1114" s="21" t="s">
        <v>6597</v>
      </c>
      <c r="M1114" s="26" t="s">
        <v>6598</v>
      </c>
      <c r="N1114" s="44">
        <v>39656.800000000003</v>
      </c>
      <c r="O1114" s="22" t="s">
        <v>15</v>
      </c>
      <c r="P1114" s="22">
        <f>37081.8+2575</f>
        <v>39656.800000000003</v>
      </c>
      <c r="Q1114" s="44">
        <f t="shared" si="72"/>
        <v>0</v>
      </c>
      <c r="R1114" s="116">
        <f t="shared" si="70"/>
        <v>39656.800000000003</v>
      </c>
      <c r="S1114" s="5" t="s">
        <v>4959</v>
      </c>
      <c r="T1114" s="5"/>
    </row>
    <row r="1115" spans="2:20" ht="15.75" hidden="1" x14ac:dyDescent="0.25">
      <c r="B1115" s="21" t="s">
        <v>395</v>
      </c>
      <c r="C1115" s="22" t="s">
        <v>2450</v>
      </c>
      <c r="D1115" s="22"/>
      <c r="E1115" s="21" t="s">
        <v>159</v>
      </c>
      <c r="F1115" s="21"/>
      <c r="G1115" s="147" t="s">
        <v>982</v>
      </c>
      <c r="H1115" s="23" t="s">
        <v>4352</v>
      </c>
      <c r="I1115" s="23"/>
      <c r="J1115" s="21" t="s">
        <v>4317</v>
      </c>
      <c r="K1115" s="120"/>
      <c r="L1115" s="165" t="s">
        <v>4326</v>
      </c>
      <c r="M1115" s="26">
        <v>44231</v>
      </c>
      <c r="N1115" s="44">
        <v>1050</v>
      </c>
      <c r="O1115" s="22" t="s">
        <v>15</v>
      </c>
      <c r="P1115" s="22" t="s">
        <v>19</v>
      </c>
      <c r="Q1115" s="24">
        <f t="shared" si="72"/>
        <v>0</v>
      </c>
      <c r="R1115" s="116">
        <f t="shared" si="70"/>
        <v>1050</v>
      </c>
      <c r="S1115" s="5"/>
      <c r="T1115" s="5"/>
    </row>
    <row r="1116" spans="2:20" ht="15.75" hidden="1" x14ac:dyDescent="0.25">
      <c r="B1116" s="21" t="s">
        <v>395</v>
      </c>
      <c r="C1116" s="22" t="s">
        <v>2450</v>
      </c>
      <c r="D1116" s="22"/>
      <c r="E1116" s="21" t="s">
        <v>159</v>
      </c>
      <c r="F1116" s="21"/>
      <c r="G1116" s="147" t="s">
        <v>982</v>
      </c>
      <c r="H1116" s="23" t="s">
        <v>4352</v>
      </c>
      <c r="I1116" s="23"/>
      <c r="J1116" s="21" t="s">
        <v>4317</v>
      </c>
      <c r="K1116" s="120"/>
      <c r="L1116" s="165" t="s">
        <v>4762</v>
      </c>
      <c r="M1116" s="26">
        <v>44257</v>
      </c>
      <c r="N1116" s="44">
        <v>1050</v>
      </c>
      <c r="O1116" s="22" t="s">
        <v>15</v>
      </c>
      <c r="P1116" s="22" t="s">
        <v>19</v>
      </c>
      <c r="Q1116" s="24">
        <f t="shared" si="72"/>
        <v>0</v>
      </c>
      <c r="R1116" s="116">
        <f t="shared" si="70"/>
        <v>1050</v>
      </c>
      <c r="S1116" s="5"/>
      <c r="T1116" s="5"/>
    </row>
    <row r="1117" spans="2:20" ht="15.75" hidden="1" x14ac:dyDescent="0.25">
      <c r="B1117" s="21" t="s">
        <v>395</v>
      </c>
      <c r="C1117" s="22" t="s">
        <v>2450</v>
      </c>
      <c r="D1117" s="22"/>
      <c r="E1117" s="21" t="s">
        <v>159</v>
      </c>
      <c r="F1117" s="21"/>
      <c r="G1117" s="147" t="s">
        <v>982</v>
      </c>
      <c r="H1117" s="23" t="s">
        <v>4352</v>
      </c>
      <c r="I1117" s="23"/>
      <c r="J1117" s="21" t="s">
        <v>4317</v>
      </c>
      <c r="K1117" s="120"/>
      <c r="L1117" s="165" t="s">
        <v>4763</v>
      </c>
      <c r="M1117" s="26">
        <v>44293</v>
      </c>
      <c r="N1117" s="44">
        <v>1050</v>
      </c>
      <c r="O1117" s="22" t="s">
        <v>15</v>
      </c>
      <c r="P1117" s="22" t="s">
        <v>19</v>
      </c>
      <c r="Q1117" s="24">
        <f t="shared" si="72"/>
        <v>0</v>
      </c>
      <c r="R1117" s="116">
        <f t="shared" si="70"/>
        <v>1050</v>
      </c>
      <c r="S1117" s="5"/>
      <c r="T1117" s="5"/>
    </row>
    <row r="1118" spans="2:20" ht="15.75" hidden="1" x14ac:dyDescent="0.25">
      <c r="B1118" s="21" t="s">
        <v>395</v>
      </c>
      <c r="C1118" s="22" t="s">
        <v>2450</v>
      </c>
      <c r="D1118" s="22"/>
      <c r="E1118" s="21" t="s">
        <v>159</v>
      </c>
      <c r="F1118" s="21"/>
      <c r="G1118" s="147" t="s">
        <v>982</v>
      </c>
      <c r="H1118" s="23" t="s">
        <v>4352</v>
      </c>
      <c r="I1118" s="23"/>
      <c r="J1118" s="21" t="s">
        <v>4317</v>
      </c>
      <c r="K1118" s="120"/>
      <c r="L1118" s="165" t="s">
        <v>4953</v>
      </c>
      <c r="M1118" s="26">
        <v>44319</v>
      </c>
      <c r="N1118" s="44">
        <v>1050</v>
      </c>
      <c r="O1118" s="22" t="s">
        <v>15</v>
      </c>
      <c r="P1118" s="22" t="s">
        <v>19</v>
      </c>
      <c r="Q1118" s="24">
        <f t="shared" si="72"/>
        <v>0</v>
      </c>
      <c r="R1118" s="116">
        <f t="shared" si="70"/>
        <v>1050</v>
      </c>
      <c r="S1118" s="5"/>
      <c r="T1118" s="5"/>
    </row>
    <row r="1119" spans="2:20" ht="15.75" hidden="1" x14ac:dyDescent="0.25">
      <c r="B1119" s="21" t="s">
        <v>395</v>
      </c>
      <c r="C1119" s="22" t="s">
        <v>2450</v>
      </c>
      <c r="D1119" s="22"/>
      <c r="E1119" s="21" t="s">
        <v>159</v>
      </c>
      <c r="F1119" s="21"/>
      <c r="G1119" s="147" t="s">
        <v>982</v>
      </c>
      <c r="H1119" s="23" t="s">
        <v>4352</v>
      </c>
      <c r="I1119" s="23"/>
      <c r="J1119" s="21" t="s">
        <v>4317</v>
      </c>
      <c r="K1119" s="120"/>
      <c r="L1119" s="21" t="s">
        <v>5171</v>
      </c>
      <c r="M1119" s="26">
        <v>44355</v>
      </c>
      <c r="N1119" s="44">
        <v>1050</v>
      </c>
      <c r="O1119" s="22" t="s">
        <v>15</v>
      </c>
      <c r="P1119" s="22" t="s">
        <v>19</v>
      </c>
      <c r="Q1119" s="44">
        <f t="shared" si="72"/>
        <v>0</v>
      </c>
      <c r="R1119" s="116">
        <f t="shared" si="70"/>
        <v>1050</v>
      </c>
      <c r="S1119" s="5"/>
      <c r="T1119" s="5"/>
    </row>
    <row r="1120" spans="2:20" ht="15.75" hidden="1" x14ac:dyDescent="0.25">
      <c r="B1120" s="21" t="s">
        <v>395</v>
      </c>
      <c r="C1120" s="22" t="s">
        <v>2450</v>
      </c>
      <c r="D1120" s="22"/>
      <c r="E1120" s="21" t="s">
        <v>159</v>
      </c>
      <c r="F1120" s="21"/>
      <c r="G1120" s="147" t="s">
        <v>982</v>
      </c>
      <c r="H1120" s="23" t="s">
        <v>4352</v>
      </c>
      <c r="I1120" s="23"/>
      <c r="J1120" s="21" t="s">
        <v>4317</v>
      </c>
      <c r="K1120" s="120"/>
      <c r="L1120" s="21" t="s">
        <v>5311</v>
      </c>
      <c r="M1120" s="26">
        <v>44379</v>
      </c>
      <c r="N1120" s="44">
        <v>1050</v>
      </c>
      <c r="O1120" s="22" t="s">
        <v>15</v>
      </c>
      <c r="P1120" s="22" t="s">
        <v>19</v>
      </c>
      <c r="Q1120" s="44">
        <f t="shared" si="72"/>
        <v>0</v>
      </c>
      <c r="R1120" s="116">
        <f t="shared" si="70"/>
        <v>1050</v>
      </c>
      <c r="S1120" s="5"/>
      <c r="T1120" s="5"/>
    </row>
    <row r="1121" spans="1:20" ht="15.75" hidden="1" x14ac:dyDescent="0.25">
      <c r="B1121" s="21" t="s">
        <v>395</v>
      </c>
      <c r="C1121" s="22" t="s">
        <v>2450</v>
      </c>
      <c r="D1121" s="22"/>
      <c r="E1121" s="21" t="s">
        <v>159</v>
      </c>
      <c r="F1121" s="21"/>
      <c r="G1121" s="147" t="s">
        <v>982</v>
      </c>
      <c r="H1121" s="23" t="s">
        <v>4352</v>
      </c>
      <c r="I1121" s="23"/>
      <c r="J1121" s="21" t="s">
        <v>4317</v>
      </c>
      <c r="K1121" s="120"/>
      <c r="L1121" s="21" t="s">
        <v>5569</v>
      </c>
      <c r="M1121" s="26">
        <v>44411</v>
      </c>
      <c r="N1121" s="44">
        <v>1050</v>
      </c>
      <c r="O1121" s="22" t="s">
        <v>15</v>
      </c>
      <c r="P1121" s="22" t="s">
        <v>19</v>
      </c>
      <c r="Q1121" s="44">
        <f t="shared" si="72"/>
        <v>0</v>
      </c>
      <c r="R1121" s="116">
        <f t="shared" si="70"/>
        <v>1050</v>
      </c>
      <c r="S1121" s="5"/>
      <c r="T1121" s="5"/>
    </row>
    <row r="1122" spans="1:20" ht="15.75" hidden="1" x14ac:dyDescent="0.25">
      <c r="B1122" s="21" t="s">
        <v>395</v>
      </c>
      <c r="C1122" s="22" t="s">
        <v>2450</v>
      </c>
      <c r="D1122" s="22"/>
      <c r="E1122" s="21" t="s">
        <v>159</v>
      </c>
      <c r="F1122" s="21"/>
      <c r="G1122" s="147" t="s">
        <v>982</v>
      </c>
      <c r="H1122" s="23" t="s">
        <v>4352</v>
      </c>
      <c r="I1122" s="23"/>
      <c r="J1122" s="21" t="s">
        <v>4317</v>
      </c>
      <c r="K1122" s="120"/>
      <c r="L1122" s="21" t="s">
        <v>5902</v>
      </c>
      <c r="M1122" s="26">
        <v>44441</v>
      </c>
      <c r="N1122" s="44">
        <v>1050</v>
      </c>
      <c r="O1122" s="22" t="s">
        <v>15</v>
      </c>
      <c r="P1122" s="22" t="s">
        <v>19</v>
      </c>
      <c r="Q1122" s="44">
        <f t="shared" si="72"/>
        <v>0</v>
      </c>
      <c r="R1122" s="116">
        <f t="shared" si="70"/>
        <v>1050</v>
      </c>
      <c r="S1122" s="5"/>
      <c r="T1122" s="5"/>
    </row>
    <row r="1123" spans="1:20" ht="15.75" hidden="1" x14ac:dyDescent="0.25">
      <c r="B1123" s="21" t="s">
        <v>395</v>
      </c>
      <c r="C1123" s="22" t="s">
        <v>2450</v>
      </c>
      <c r="D1123" s="22"/>
      <c r="E1123" s="21" t="s">
        <v>159</v>
      </c>
      <c r="F1123" s="21"/>
      <c r="G1123" s="147" t="s">
        <v>982</v>
      </c>
      <c r="H1123" s="23" t="s">
        <v>4352</v>
      </c>
      <c r="I1123" s="23"/>
      <c r="J1123" s="21" t="s">
        <v>4317</v>
      </c>
      <c r="K1123" s="120"/>
      <c r="L1123" s="21" t="s">
        <v>6077</v>
      </c>
      <c r="M1123" s="26">
        <v>44474</v>
      </c>
      <c r="N1123" s="44">
        <v>1050</v>
      </c>
      <c r="O1123" s="22" t="s">
        <v>15</v>
      </c>
      <c r="P1123" s="22" t="s">
        <v>19</v>
      </c>
      <c r="Q1123" s="44">
        <f t="shared" si="72"/>
        <v>0</v>
      </c>
      <c r="R1123" s="116">
        <f t="shared" si="70"/>
        <v>1050</v>
      </c>
      <c r="S1123" s="5"/>
      <c r="T1123" s="5"/>
    </row>
    <row r="1124" spans="1:20" ht="15.75" hidden="1" x14ac:dyDescent="0.25">
      <c r="B1124" s="21" t="s">
        <v>395</v>
      </c>
      <c r="C1124" s="22" t="s">
        <v>2450</v>
      </c>
      <c r="D1124" s="22"/>
      <c r="E1124" s="21" t="s">
        <v>159</v>
      </c>
      <c r="F1124" s="21"/>
      <c r="G1124" s="147" t="s">
        <v>982</v>
      </c>
      <c r="H1124" s="23" t="s">
        <v>4352</v>
      </c>
      <c r="I1124" s="23"/>
      <c r="J1124" s="21" t="s">
        <v>4317</v>
      </c>
      <c r="K1124" s="120"/>
      <c r="L1124" s="21" t="s">
        <v>6076</v>
      </c>
      <c r="M1124" s="26">
        <v>44509</v>
      </c>
      <c r="N1124" s="44">
        <v>1050</v>
      </c>
      <c r="O1124" s="22" t="s">
        <v>15</v>
      </c>
      <c r="P1124" s="22" t="s">
        <v>19</v>
      </c>
      <c r="Q1124" s="44">
        <f t="shared" si="72"/>
        <v>0</v>
      </c>
      <c r="R1124" s="116">
        <f t="shared" si="70"/>
        <v>1050</v>
      </c>
      <c r="S1124" s="5"/>
      <c r="T1124" s="5"/>
    </row>
    <row r="1125" spans="1:20" ht="15.75" hidden="1" x14ac:dyDescent="0.25">
      <c r="B1125" s="21" t="s">
        <v>395</v>
      </c>
      <c r="C1125" s="22" t="s">
        <v>2427</v>
      </c>
      <c r="D1125" s="22"/>
      <c r="E1125" s="21" t="s">
        <v>0</v>
      </c>
      <c r="F1125" s="21"/>
      <c r="G1125" s="147" t="s">
        <v>340</v>
      </c>
      <c r="H1125" s="23" t="s">
        <v>4418</v>
      </c>
      <c r="I1125" s="23"/>
      <c r="J1125" s="21" t="s">
        <v>3037</v>
      </c>
      <c r="K1125" s="120"/>
      <c r="L1125" s="21" t="s">
        <v>4709</v>
      </c>
      <c r="M1125" s="47">
        <v>44285</v>
      </c>
      <c r="N1125" s="44">
        <v>2360</v>
      </c>
      <c r="O1125" s="22" t="s">
        <v>341</v>
      </c>
      <c r="P1125" s="22" t="s">
        <v>19</v>
      </c>
      <c r="Q1125" s="24">
        <f t="shared" si="72"/>
        <v>0</v>
      </c>
      <c r="R1125" s="24">
        <f t="shared" si="70"/>
        <v>2360</v>
      </c>
      <c r="S1125" s="5"/>
      <c r="T1125" s="5"/>
    </row>
    <row r="1126" spans="1:20" ht="15.75" hidden="1" x14ac:dyDescent="0.25">
      <c r="A1126" t="s">
        <v>6753</v>
      </c>
      <c r="B1126" s="21" t="s">
        <v>395</v>
      </c>
      <c r="C1126" s="22" t="s">
        <v>2453</v>
      </c>
      <c r="D1126" s="22"/>
      <c r="E1126" s="21" t="s">
        <v>75</v>
      </c>
      <c r="F1126" s="21"/>
      <c r="G1126" s="147" t="s">
        <v>98</v>
      </c>
      <c r="H1126" s="23" t="s">
        <v>4420</v>
      </c>
      <c r="I1126" s="23"/>
      <c r="J1126" s="21" t="s">
        <v>4419</v>
      </c>
      <c r="K1126" s="21"/>
      <c r="L1126" s="21" t="s">
        <v>4479</v>
      </c>
      <c r="M1126" s="26">
        <v>44226</v>
      </c>
      <c r="N1126" s="44">
        <v>3633.77</v>
      </c>
      <c r="O1126" s="22" t="s">
        <v>15</v>
      </c>
      <c r="P1126" s="22" t="s">
        <v>19</v>
      </c>
      <c r="Q1126" s="44">
        <f t="shared" si="72"/>
        <v>0</v>
      </c>
      <c r="R1126" s="24">
        <f t="shared" si="70"/>
        <v>3633.77</v>
      </c>
      <c r="S1126" s="5"/>
      <c r="T1126" s="5"/>
    </row>
    <row r="1127" spans="1:20" ht="15.75" hidden="1" x14ac:dyDescent="0.25">
      <c r="A1127" t="s">
        <v>6753</v>
      </c>
      <c r="B1127" s="21" t="s">
        <v>395</v>
      </c>
      <c r="C1127" s="22" t="s">
        <v>2456</v>
      </c>
      <c r="D1127" s="22"/>
      <c r="E1127" s="21" t="s">
        <v>75</v>
      </c>
      <c r="F1127" s="21"/>
      <c r="G1127" s="147" t="s">
        <v>98</v>
      </c>
      <c r="H1127" s="23" t="s">
        <v>4421</v>
      </c>
      <c r="I1127" s="23"/>
      <c r="J1127" s="21" t="s">
        <v>4422</v>
      </c>
      <c r="K1127" s="21"/>
      <c r="L1127" s="21" t="s">
        <v>4478</v>
      </c>
      <c r="M1127" s="26">
        <v>44226</v>
      </c>
      <c r="N1127" s="44">
        <v>2533.5100000000002</v>
      </c>
      <c r="O1127" s="22" t="s">
        <v>15</v>
      </c>
      <c r="P1127" s="22" t="s">
        <v>19</v>
      </c>
      <c r="Q1127" s="44">
        <f t="shared" si="72"/>
        <v>0</v>
      </c>
      <c r="R1127" s="24">
        <f t="shared" si="70"/>
        <v>2533.5100000000002</v>
      </c>
      <c r="S1127" s="5"/>
      <c r="T1127" s="5"/>
    </row>
    <row r="1128" spans="1:20" ht="15.75" hidden="1" x14ac:dyDescent="0.25">
      <c r="A1128" t="s">
        <v>6753</v>
      </c>
      <c r="B1128" s="21" t="s">
        <v>395</v>
      </c>
      <c r="C1128" s="22" t="s">
        <v>2421</v>
      </c>
      <c r="D1128" s="22"/>
      <c r="E1128" s="21" t="s">
        <v>75</v>
      </c>
      <c r="F1128" s="21"/>
      <c r="G1128" s="147" t="s">
        <v>98</v>
      </c>
      <c r="H1128" s="23" t="s">
        <v>4423</v>
      </c>
      <c r="I1128" s="23"/>
      <c r="J1128" s="21" t="s">
        <v>4424</v>
      </c>
      <c r="K1128" s="21"/>
      <c r="L1128" s="21" t="s">
        <v>4472</v>
      </c>
      <c r="M1128" s="26">
        <v>44226</v>
      </c>
      <c r="N1128" s="44">
        <v>1324.74</v>
      </c>
      <c r="O1128" s="22" t="s">
        <v>15</v>
      </c>
      <c r="P1128" s="22" t="s">
        <v>19</v>
      </c>
      <c r="Q1128" s="44">
        <f t="shared" si="72"/>
        <v>0</v>
      </c>
      <c r="R1128" s="24">
        <f t="shared" si="70"/>
        <v>1324.74</v>
      </c>
      <c r="S1128" s="5"/>
      <c r="T1128" s="5"/>
    </row>
    <row r="1129" spans="1:20" ht="15.75" hidden="1" x14ac:dyDescent="0.25">
      <c r="A1129" t="s">
        <v>6753</v>
      </c>
      <c r="B1129" s="21" t="s">
        <v>395</v>
      </c>
      <c r="C1129" s="22" t="s">
        <v>2453</v>
      </c>
      <c r="D1129" s="22"/>
      <c r="E1129" s="21" t="s">
        <v>75</v>
      </c>
      <c r="F1129" s="21"/>
      <c r="G1129" s="147" t="s">
        <v>98</v>
      </c>
      <c r="H1129" s="23" t="s">
        <v>4425</v>
      </c>
      <c r="I1129" s="23"/>
      <c r="J1129" s="21" t="s">
        <v>4426</v>
      </c>
      <c r="K1129" s="21"/>
      <c r="L1129" s="21" t="s">
        <v>4473</v>
      </c>
      <c r="M1129" s="26">
        <v>44226</v>
      </c>
      <c r="N1129" s="44">
        <v>1531.3</v>
      </c>
      <c r="O1129" s="22" t="s">
        <v>15</v>
      </c>
      <c r="P1129" s="22" t="s">
        <v>19</v>
      </c>
      <c r="Q1129" s="44">
        <f t="shared" si="72"/>
        <v>0</v>
      </c>
      <c r="R1129" s="24">
        <f t="shared" si="70"/>
        <v>1531.3</v>
      </c>
      <c r="S1129" s="5"/>
      <c r="T1129" s="5"/>
    </row>
    <row r="1130" spans="1:20" ht="15.75" hidden="1" x14ac:dyDescent="0.25">
      <c r="A1130" t="s">
        <v>6753</v>
      </c>
      <c r="B1130" s="21" t="s">
        <v>395</v>
      </c>
      <c r="C1130" s="22" t="s">
        <v>2462</v>
      </c>
      <c r="D1130" s="22"/>
      <c r="E1130" s="21" t="s">
        <v>75</v>
      </c>
      <c r="F1130" s="21"/>
      <c r="G1130" s="147" t="s">
        <v>98</v>
      </c>
      <c r="H1130" s="23" t="s">
        <v>4427</v>
      </c>
      <c r="I1130" s="23"/>
      <c r="J1130" s="21" t="s">
        <v>4428</v>
      </c>
      <c r="K1130" s="21"/>
      <c r="L1130" s="21" t="s">
        <v>4474</v>
      </c>
      <c r="M1130" s="26">
        <v>44226</v>
      </c>
      <c r="N1130" s="44">
        <v>6615.46</v>
      </c>
      <c r="O1130" s="22" t="s">
        <v>15</v>
      </c>
      <c r="P1130" s="22" t="s">
        <v>19</v>
      </c>
      <c r="Q1130" s="44">
        <f t="shared" si="72"/>
        <v>0</v>
      </c>
      <c r="R1130" s="24">
        <f t="shared" si="70"/>
        <v>6615.46</v>
      </c>
      <c r="S1130" s="5"/>
      <c r="T1130" s="5"/>
    </row>
    <row r="1131" spans="1:20" ht="15.75" hidden="1" x14ac:dyDescent="0.25">
      <c r="A1131" t="s">
        <v>6753</v>
      </c>
      <c r="B1131" s="21" t="s">
        <v>395</v>
      </c>
      <c r="C1131" s="22" t="s">
        <v>2452</v>
      </c>
      <c r="D1131" s="22"/>
      <c r="E1131" s="21" t="s">
        <v>75</v>
      </c>
      <c r="F1131" s="21"/>
      <c r="G1131" s="147" t="s">
        <v>98</v>
      </c>
      <c r="H1131" s="23" t="s">
        <v>4429</v>
      </c>
      <c r="I1131" s="23"/>
      <c r="J1131" s="21" t="s">
        <v>4430</v>
      </c>
      <c r="K1131" s="21"/>
      <c r="L1131" s="21" t="s">
        <v>4475</v>
      </c>
      <c r="M1131" s="26">
        <v>44226</v>
      </c>
      <c r="N1131" s="44">
        <v>3953.51</v>
      </c>
      <c r="O1131" s="22" t="s">
        <v>15</v>
      </c>
      <c r="P1131" s="22" t="s">
        <v>19</v>
      </c>
      <c r="Q1131" s="44">
        <f t="shared" si="72"/>
        <v>0</v>
      </c>
      <c r="R1131" s="24">
        <f t="shared" ref="R1131:R1147" si="73">IF(P1131="OK",N1131-Q1131,IF(P1131="en cours",N1131-Q1131,P1131))</f>
        <v>3953.51</v>
      </c>
      <c r="S1131" s="5"/>
      <c r="T1131" s="5"/>
    </row>
    <row r="1132" spans="1:20" ht="15.75" hidden="1" x14ac:dyDescent="0.25">
      <c r="A1132" t="s">
        <v>6753</v>
      </c>
      <c r="B1132" s="21" t="s">
        <v>395</v>
      </c>
      <c r="C1132" s="22" t="s">
        <v>1940</v>
      </c>
      <c r="D1132" s="22"/>
      <c r="E1132" s="21" t="s">
        <v>75</v>
      </c>
      <c r="F1132" s="21"/>
      <c r="G1132" s="147" t="s">
        <v>98</v>
      </c>
      <c r="H1132" s="23" t="s">
        <v>4431</v>
      </c>
      <c r="I1132" s="23"/>
      <c r="J1132" s="21" t="s">
        <v>4432</v>
      </c>
      <c r="K1132" s="21"/>
      <c r="L1132" s="21" t="s">
        <v>4476</v>
      </c>
      <c r="M1132" s="26">
        <v>44226</v>
      </c>
      <c r="N1132" s="44">
        <v>64.569999999999993</v>
      </c>
      <c r="O1132" s="22" t="s">
        <v>15</v>
      </c>
      <c r="P1132" s="22" t="s">
        <v>19</v>
      </c>
      <c r="Q1132" s="44">
        <f t="shared" si="72"/>
        <v>0</v>
      </c>
      <c r="R1132" s="24">
        <f t="shared" si="73"/>
        <v>64.569999999999993</v>
      </c>
      <c r="S1132" s="5"/>
      <c r="T1132" s="5"/>
    </row>
    <row r="1133" spans="1:20" ht="15.75" hidden="1" x14ac:dyDescent="0.25">
      <c r="A1133" t="s">
        <v>6753</v>
      </c>
      <c r="B1133" s="21" t="s">
        <v>395</v>
      </c>
      <c r="C1133" s="22" t="s">
        <v>4433</v>
      </c>
      <c r="D1133" s="22"/>
      <c r="E1133" s="21" t="s">
        <v>75</v>
      </c>
      <c r="F1133" s="21"/>
      <c r="G1133" s="147" t="s">
        <v>98</v>
      </c>
      <c r="H1133" s="23" t="s">
        <v>4434</v>
      </c>
      <c r="I1133" s="23"/>
      <c r="J1133" s="21" t="s">
        <v>4435</v>
      </c>
      <c r="K1133" s="21"/>
      <c r="L1133" s="21" t="s">
        <v>4477</v>
      </c>
      <c r="M1133" s="26">
        <v>44226</v>
      </c>
      <c r="N1133" s="44">
        <v>3680.47</v>
      </c>
      <c r="O1133" s="22" t="s">
        <v>15</v>
      </c>
      <c r="P1133" s="22" t="s">
        <v>19</v>
      </c>
      <c r="Q1133" s="44">
        <f t="shared" si="72"/>
        <v>0</v>
      </c>
      <c r="R1133" s="24">
        <f t="shared" si="73"/>
        <v>3680.47</v>
      </c>
      <c r="S1133" s="5"/>
      <c r="T1133" s="5"/>
    </row>
    <row r="1134" spans="1:20" ht="15.75" hidden="1" x14ac:dyDescent="0.25">
      <c r="B1134" s="21" t="s">
        <v>395</v>
      </c>
      <c r="C1134" s="22" t="s">
        <v>2450</v>
      </c>
      <c r="D1134" s="22" t="s">
        <v>4637</v>
      </c>
      <c r="E1134" s="21" t="s">
        <v>10</v>
      </c>
      <c r="F1134" s="21"/>
      <c r="G1134" s="147" t="s">
        <v>961</v>
      </c>
      <c r="H1134" s="23" t="s">
        <v>4436</v>
      </c>
      <c r="I1134" s="23"/>
      <c r="J1134" s="21" t="s">
        <v>4437</v>
      </c>
      <c r="K1134" s="120"/>
      <c r="L1134" s="21" t="s">
        <v>5088</v>
      </c>
      <c r="M1134" s="26">
        <v>44347</v>
      </c>
      <c r="N1134" s="44">
        <v>600</v>
      </c>
      <c r="O1134" s="22" t="s">
        <v>15</v>
      </c>
      <c r="P1134" s="22" t="s">
        <v>19</v>
      </c>
      <c r="Q1134" s="24">
        <f t="shared" si="72"/>
        <v>0</v>
      </c>
      <c r="R1134" s="24">
        <f t="shared" si="73"/>
        <v>600</v>
      </c>
      <c r="S1134" s="5"/>
      <c r="T1134" s="5"/>
    </row>
    <row r="1135" spans="1:20" ht="15.75" hidden="1" x14ac:dyDescent="0.25">
      <c r="B1135" s="21" t="s">
        <v>395</v>
      </c>
      <c r="C1135" s="22" t="s">
        <v>2450</v>
      </c>
      <c r="D1135" s="22" t="s">
        <v>4637</v>
      </c>
      <c r="E1135" s="21" t="s">
        <v>10</v>
      </c>
      <c r="F1135" s="21"/>
      <c r="G1135" s="147" t="s">
        <v>961</v>
      </c>
      <c r="H1135" s="23" t="s">
        <v>4436</v>
      </c>
      <c r="I1135" s="23"/>
      <c r="J1135" s="21" t="s">
        <v>4438</v>
      </c>
      <c r="K1135" s="120"/>
      <c r="L1135" s="21" t="s">
        <v>5088</v>
      </c>
      <c r="M1135" s="26">
        <v>44347</v>
      </c>
      <c r="N1135" s="44">
        <v>2400</v>
      </c>
      <c r="O1135" s="22" t="s">
        <v>15</v>
      </c>
      <c r="P1135" s="22" t="s">
        <v>19</v>
      </c>
      <c r="Q1135" s="24">
        <f t="shared" si="72"/>
        <v>0</v>
      </c>
      <c r="R1135" s="24">
        <f t="shared" si="73"/>
        <v>2400</v>
      </c>
      <c r="S1135" s="5"/>
      <c r="T1135" s="5"/>
    </row>
    <row r="1136" spans="1:20" ht="15.75" hidden="1" x14ac:dyDescent="0.25">
      <c r="B1136" s="21" t="s">
        <v>395</v>
      </c>
      <c r="C1136" s="22" t="s">
        <v>2450</v>
      </c>
      <c r="D1136" s="22" t="s">
        <v>4637</v>
      </c>
      <c r="E1136" s="21" t="s">
        <v>10</v>
      </c>
      <c r="F1136" s="21"/>
      <c r="G1136" s="147" t="s">
        <v>961</v>
      </c>
      <c r="H1136" s="23" t="s">
        <v>4436</v>
      </c>
      <c r="I1136" s="23"/>
      <c r="J1136" s="21" t="s">
        <v>4439</v>
      </c>
      <c r="K1136" s="120"/>
      <c r="L1136" s="21" t="s">
        <v>5088</v>
      </c>
      <c r="M1136" s="26">
        <v>44347</v>
      </c>
      <c r="N1136" s="44">
        <v>3500</v>
      </c>
      <c r="O1136" s="22" t="s">
        <v>15</v>
      </c>
      <c r="P1136" s="22" t="s">
        <v>19</v>
      </c>
      <c r="Q1136" s="24">
        <f t="shared" si="72"/>
        <v>0</v>
      </c>
      <c r="R1136" s="24">
        <f t="shared" si="73"/>
        <v>3500</v>
      </c>
      <c r="S1136" s="5"/>
      <c r="T1136" s="5"/>
    </row>
    <row r="1137" spans="2:20" ht="15.75" hidden="1" x14ac:dyDescent="0.25">
      <c r="B1137" s="21" t="s">
        <v>395</v>
      </c>
      <c r="C1137" s="22" t="s">
        <v>2450</v>
      </c>
      <c r="D1137" s="22" t="s">
        <v>4637</v>
      </c>
      <c r="E1137" s="21" t="s">
        <v>10</v>
      </c>
      <c r="F1137" s="21"/>
      <c r="G1137" s="147" t="s">
        <v>961</v>
      </c>
      <c r="H1137" s="23" t="s">
        <v>4436</v>
      </c>
      <c r="I1137" s="23"/>
      <c r="J1137" s="21" t="s">
        <v>4441</v>
      </c>
      <c r="K1137" s="120"/>
      <c r="L1137" s="21" t="s">
        <v>5088</v>
      </c>
      <c r="M1137" s="26">
        <v>44347</v>
      </c>
      <c r="N1137" s="44">
        <v>750</v>
      </c>
      <c r="O1137" s="22" t="s">
        <v>15</v>
      </c>
      <c r="P1137" s="22">
        <f>2250+2250</f>
        <v>4500</v>
      </c>
      <c r="Q1137" s="24">
        <f t="shared" si="72"/>
        <v>0</v>
      </c>
      <c r="R1137" s="24">
        <f t="shared" si="73"/>
        <v>4500</v>
      </c>
      <c r="S1137" s="5"/>
      <c r="T1137" s="5"/>
    </row>
    <row r="1138" spans="2:20" ht="15.75" hidden="1" x14ac:dyDescent="0.25">
      <c r="B1138" s="21" t="s">
        <v>395</v>
      </c>
      <c r="C1138" s="22" t="s">
        <v>2450</v>
      </c>
      <c r="D1138" s="22" t="s">
        <v>4637</v>
      </c>
      <c r="E1138" s="21" t="s">
        <v>10</v>
      </c>
      <c r="F1138" s="21"/>
      <c r="G1138" s="147" t="s">
        <v>961</v>
      </c>
      <c r="H1138" s="23" t="s">
        <v>4436</v>
      </c>
      <c r="I1138" s="23"/>
      <c r="J1138" s="21" t="s">
        <v>4440</v>
      </c>
      <c r="K1138" s="120"/>
      <c r="L1138" s="21" t="s">
        <v>5088</v>
      </c>
      <c r="M1138" s="26">
        <v>44347</v>
      </c>
      <c r="N1138" s="44">
        <v>1000</v>
      </c>
      <c r="O1138" s="22" t="s">
        <v>15</v>
      </c>
      <c r="P1138" s="22" t="s">
        <v>19</v>
      </c>
      <c r="Q1138" s="24">
        <f t="shared" si="72"/>
        <v>0</v>
      </c>
      <c r="R1138" s="24">
        <f t="shared" si="73"/>
        <v>1000</v>
      </c>
      <c r="S1138" s="5"/>
      <c r="T1138" s="5"/>
    </row>
    <row r="1139" spans="2:20" ht="15.75" hidden="1" x14ac:dyDescent="0.25">
      <c r="B1139" s="21" t="s">
        <v>395</v>
      </c>
      <c r="C1139" s="22" t="s">
        <v>4231</v>
      </c>
      <c r="D1139" s="22"/>
      <c r="E1139" s="21" t="s">
        <v>729</v>
      </c>
      <c r="F1139" s="21"/>
      <c r="G1139" s="147" t="s">
        <v>4442</v>
      </c>
      <c r="H1139" s="23" t="s">
        <v>4443</v>
      </c>
      <c r="I1139" s="23"/>
      <c r="J1139" s="21" t="s">
        <v>4444</v>
      </c>
      <c r="K1139" s="21"/>
      <c r="L1139" s="21" t="s">
        <v>6331</v>
      </c>
      <c r="M1139" s="26">
        <v>44560</v>
      </c>
      <c r="N1139" s="44">
        <v>16000</v>
      </c>
      <c r="O1139" s="22" t="s">
        <v>15</v>
      </c>
      <c r="P1139" s="22">
        <v>16000</v>
      </c>
      <c r="Q1139" s="44">
        <f t="shared" si="72"/>
        <v>0</v>
      </c>
      <c r="R1139" s="116">
        <f t="shared" si="73"/>
        <v>16000</v>
      </c>
      <c r="S1139" s="5"/>
      <c r="T1139" s="5"/>
    </row>
    <row r="1140" spans="2:20" ht="15.75" hidden="1" x14ac:dyDescent="0.25">
      <c r="B1140" s="5"/>
      <c r="C1140" s="4" t="s">
        <v>3916</v>
      </c>
      <c r="D1140" s="4"/>
      <c r="E1140" s="5" t="s">
        <v>729</v>
      </c>
      <c r="F1140" s="5"/>
      <c r="G1140" s="146" t="s">
        <v>4451</v>
      </c>
      <c r="H1140" s="7" t="s">
        <v>4453</v>
      </c>
      <c r="I1140" s="7"/>
      <c r="J1140" s="5" t="s">
        <v>4452</v>
      </c>
      <c r="K1140" s="5"/>
      <c r="L1140" s="5"/>
      <c r="M1140" s="7"/>
      <c r="N1140" s="45">
        <v>25200</v>
      </c>
      <c r="O1140" s="4" t="s">
        <v>276</v>
      </c>
      <c r="P1140" s="4"/>
      <c r="Q1140" s="45">
        <f t="shared" si="72"/>
        <v>25200</v>
      </c>
      <c r="R1140" s="3">
        <f t="shared" si="73"/>
        <v>0</v>
      </c>
      <c r="S1140" s="5"/>
      <c r="T1140" s="5"/>
    </row>
    <row r="1141" spans="2:20" ht="15.75" hidden="1" x14ac:dyDescent="0.25">
      <c r="B1141" s="5"/>
      <c r="C1141" s="4" t="s">
        <v>3916</v>
      </c>
      <c r="D1141" s="4"/>
      <c r="E1141" s="5" t="s">
        <v>729</v>
      </c>
      <c r="F1141" s="5"/>
      <c r="G1141" s="146" t="s">
        <v>4451</v>
      </c>
      <c r="H1141" s="7" t="s">
        <v>4453</v>
      </c>
      <c r="I1141" s="7"/>
      <c r="J1141" s="5" t="s">
        <v>4454</v>
      </c>
      <c r="K1141" s="5"/>
      <c r="L1141" s="5"/>
      <c r="M1141" s="7"/>
      <c r="N1141" s="45">
        <v>15480</v>
      </c>
      <c r="O1141" s="4" t="s">
        <v>276</v>
      </c>
      <c r="P1141" s="4"/>
      <c r="Q1141" s="45">
        <f t="shared" si="72"/>
        <v>15480</v>
      </c>
      <c r="R1141" s="3">
        <f t="shared" si="73"/>
        <v>0</v>
      </c>
      <c r="S1141" s="5"/>
      <c r="T1141" s="5"/>
    </row>
    <row r="1142" spans="2:20" ht="15.75" hidden="1" x14ac:dyDescent="0.25">
      <c r="B1142" s="123"/>
      <c r="C1142" s="124" t="s">
        <v>3916</v>
      </c>
      <c r="D1142" s="124"/>
      <c r="E1142" s="123" t="s">
        <v>729</v>
      </c>
      <c r="F1142" s="123"/>
      <c r="G1142" s="162" t="s">
        <v>4000</v>
      </c>
      <c r="H1142" s="125" t="s">
        <v>4465</v>
      </c>
      <c r="I1142" s="125"/>
      <c r="J1142" s="123" t="s">
        <v>4452</v>
      </c>
      <c r="K1142" s="123"/>
      <c r="L1142" s="123" t="s">
        <v>4616</v>
      </c>
      <c r="M1142" s="249">
        <v>44270</v>
      </c>
      <c r="N1142" s="240">
        <v>18750</v>
      </c>
      <c r="O1142" s="124" t="s">
        <v>341</v>
      </c>
      <c r="P1142" s="124">
        <v>1000</v>
      </c>
      <c r="Q1142" s="240">
        <f t="shared" si="72"/>
        <v>17750</v>
      </c>
      <c r="R1142" s="241">
        <f t="shared" si="73"/>
        <v>1000</v>
      </c>
      <c r="S1142" s="5"/>
      <c r="T1142" s="5"/>
    </row>
    <row r="1143" spans="2:20" ht="15.75" hidden="1" x14ac:dyDescent="0.25">
      <c r="B1143" s="199"/>
      <c r="C1143" s="198" t="s">
        <v>3916</v>
      </c>
      <c r="D1143" s="198"/>
      <c r="E1143" s="199" t="s">
        <v>729</v>
      </c>
      <c r="F1143" s="199"/>
      <c r="G1143" s="200" t="s">
        <v>4000</v>
      </c>
      <c r="H1143" s="201" t="s">
        <v>4465</v>
      </c>
      <c r="I1143" s="201"/>
      <c r="J1143" s="199" t="s">
        <v>4454</v>
      </c>
      <c r="K1143" s="199"/>
      <c r="L1143" s="199"/>
      <c r="M1143" s="201"/>
      <c r="N1143" s="202">
        <v>11375</v>
      </c>
      <c r="O1143" s="198" t="s">
        <v>341</v>
      </c>
      <c r="P1143" s="198"/>
      <c r="Q1143" s="202">
        <f t="shared" si="72"/>
        <v>11375</v>
      </c>
      <c r="R1143" s="262">
        <f t="shared" si="73"/>
        <v>0</v>
      </c>
      <c r="S1143" s="5"/>
      <c r="T1143" s="5"/>
    </row>
    <row r="1144" spans="2:20" ht="15.75" hidden="1" x14ac:dyDescent="0.25">
      <c r="B1144" s="21" t="s">
        <v>395</v>
      </c>
      <c r="C1144" s="22" t="s">
        <v>4633</v>
      </c>
      <c r="D1144" s="22"/>
      <c r="E1144" s="21" t="s">
        <v>75</v>
      </c>
      <c r="F1144" s="21"/>
      <c r="G1144" s="147" t="s">
        <v>4646</v>
      </c>
      <c r="H1144" s="23" t="s">
        <v>4647</v>
      </c>
      <c r="I1144" s="23"/>
      <c r="J1144" s="21" t="s">
        <v>4776</v>
      </c>
      <c r="K1144" s="21"/>
      <c r="L1144" s="21" t="s">
        <v>4673</v>
      </c>
      <c r="M1144" s="26" t="s">
        <v>4674</v>
      </c>
      <c r="N1144" s="44">
        <v>0</v>
      </c>
      <c r="O1144" s="22" t="s">
        <v>15</v>
      </c>
      <c r="P1144" s="22">
        <f>39722-39722</f>
        <v>0</v>
      </c>
      <c r="Q1144" s="44">
        <f t="shared" si="72"/>
        <v>0</v>
      </c>
      <c r="R1144" s="24">
        <f t="shared" si="73"/>
        <v>0</v>
      </c>
      <c r="S1144" s="5" t="s">
        <v>4779</v>
      </c>
      <c r="T1144" s="5"/>
    </row>
    <row r="1145" spans="2:20" ht="15.75" hidden="1" x14ac:dyDescent="0.25">
      <c r="B1145" s="21" t="s">
        <v>395</v>
      </c>
      <c r="C1145" s="22" t="s">
        <v>4633</v>
      </c>
      <c r="D1145" s="22"/>
      <c r="E1145" s="21" t="s">
        <v>75</v>
      </c>
      <c r="F1145" s="21"/>
      <c r="G1145" s="147" t="s">
        <v>4646</v>
      </c>
      <c r="H1145" s="23" t="s">
        <v>4647</v>
      </c>
      <c r="I1145" s="23"/>
      <c r="J1145" s="21" t="s">
        <v>4777</v>
      </c>
      <c r="K1145" s="21"/>
      <c r="L1145" s="21"/>
      <c r="M1145" s="23"/>
      <c r="N1145" s="44">
        <v>0</v>
      </c>
      <c r="O1145" s="22" t="s">
        <v>15</v>
      </c>
      <c r="P1145" s="22">
        <v>0</v>
      </c>
      <c r="Q1145" s="44">
        <f t="shared" si="72"/>
        <v>0</v>
      </c>
      <c r="R1145" s="24">
        <f t="shared" si="73"/>
        <v>0</v>
      </c>
      <c r="S1145" s="5" t="s">
        <v>4779</v>
      </c>
      <c r="T1145" s="5"/>
    </row>
    <row r="1146" spans="2:20" ht="15.75" hidden="1" x14ac:dyDescent="0.25">
      <c r="B1146" s="21" t="s">
        <v>395</v>
      </c>
      <c r="C1146" s="22" t="s">
        <v>4633</v>
      </c>
      <c r="D1146" s="22"/>
      <c r="E1146" s="21" t="s">
        <v>75</v>
      </c>
      <c r="F1146" s="21"/>
      <c r="G1146" s="147" t="s">
        <v>4646</v>
      </c>
      <c r="H1146" s="23" t="s">
        <v>4647</v>
      </c>
      <c r="I1146" s="23"/>
      <c r="J1146" s="21" t="s">
        <v>4775</v>
      </c>
      <c r="K1146" s="21"/>
      <c r="L1146" s="21" t="s">
        <v>4778</v>
      </c>
      <c r="M1146" s="26">
        <v>44294</v>
      </c>
      <c r="N1146" s="44">
        <f>38300+11916.5</f>
        <v>50216.5</v>
      </c>
      <c r="O1146" s="22" t="s">
        <v>15</v>
      </c>
      <c r="P1146" s="22" t="s">
        <v>19</v>
      </c>
      <c r="Q1146" s="44">
        <f t="shared" si="72"/>
        <v>0</v>
      </c>
      <c r="R1146" s="24">
        <f t="shared" si="73"/>
        <v>50216.5</v>
      </c>
      <c r="S1146" s="5"/>
      <c r="T1146" s="5"/>
    </row>
    <row r="1147" spans="2:20" ht="15.75" hidden="1" x14ac:dyDescent="0.25">
      <c r="B1147" s="21" t="s">
        <v>395</v>
      </c>
      <c r="C1147" s="22" t="s">
        <v>2568</v>
      </c>
      <c r="D1147" s="22"/>
      <c r="E1147" s="21" t="s">
        <v>729</v>
      </c>
      <c r="F1147" s="21"/>
      <c r="G1147" s="147" t="s">
        <v>3692</v>
      </c>
      <c r="H1147" s="23" t="s">
        <v>4653</v>
      </c>
      <c r="I1147" s="23"/>
      <c r="J1147" s="21" t="s">
        <v>4652</v>
      </c>
      <c r="K1147" s="120"/>
      <c r="L1147" s="21" t="s">
        <v>5089</v>
      </c>
      <c r="M1147" s="26" t="s">
        <v>5090</v>
      </c>
      <c r="N1147" s="44">
        <v>3000</v>
      </c>
      <c r="O1147" s="22" t="s">
        <v>15</v>
      </c>
      <c r="P1147" s="22">
        <f>1500+1200</f>
        <v>2700</v>
      </c>
      <c r="Q1147" s="24">
        <v>0</v>
      </c>
      <c r="R1147" s="24">
        <f t="shared" si="73"/>
        <v>2700</v>
      </c>
      <c r="S1147" s="5" t="s">
        <v>5091</v>
      </c>
      <c r="T1147" s="5"/>
    </row>
    <row r="1148" spans="2:20" ht="15.75" hidden="1" x14ac:dyDescent="0.25">
      <c r="B1148" s="21" t="s">
        <v>395</v>
      </c>
      <c r="C1148" s="22" t="s">
        <v>2450</v>
      </c>
      <c r="D1148" s="22"/>
      <c r="E1148" s="21" t="s">
        <v>0</v>
      </c>
      <c r="F1148" s="21"/>
      <c r="G1148" s="147" t="s">
        <v>5780</v>
      </c>
      <c r="H1148" s="23" t="s">
        <v>4713</v>
      </c>
      <c r="I1148" s="23"/>
      <c r="J1148" s="21" t="s">
        <v>4711</v>
      </c>
      <c r="K1148" s="120"/>
      <c r="L1148" s="21" t="s">
        <v>4712</v>
      </c>
      <c r="M1148" s="26">
        <v>44286</v>
      </c>
      <c r="N1148" s="44">
        <v>3275</v>
      </c>
      <c r="O1148" s="22" t="s">
        <v>341</v>
      </c>
      <c r="P1148" s="22" t="s">
        <v>19</v>
      </c>
      <c r="Q1148" s="24">
        <f t="shared" ref="Q1148:Q1161" si="74">IF(P1148="en cours",N1148,IF(P1148="OK",0,IF(N1148-P1148&lt;0,0,N1148-P1148)))</f>
        <v>0</v>
      </c>
      <c r="R1148" s="24">
        <f>IF(P1148="OK",N1148-Q1148,IF(P1148="en cours",M1148-Q1148,P1148))</f>
        <v>3275</v>
      </c>
      <c r="S1148" s="5"/>
      <c r="T1148" s="5"/>
    </row>
    <row r="1149" spans="2:20" ht="15.75" hidden="1" x14ac:dyDescent="0.25">
      <c r="B1149" s="21" t="s">
        <v>395</v>
      </c>
      <c r="C1149" s="22" t="s">
        <v>2568</v>
      </c>
      <c r="D1149" s="22"/>
      <c r="E1149" s="21" t="s">
        <v>729</v>
      </c>
      <c r="F1149" s="21"/>
      <c r="G1149" s="147" t="s">
        <v>3692</v>
      </c>
      <c r="H1149" s="23" t="s">
        <v>4780</v>
      </c>
      <c r="I1149" s="23"/>
      <c r="J1149" s="21" t="s">
        <v>4781</v>
      </c>
      <c r="K1149" s="120"/>
      <c r="L1149" s="21" t="s">
        <v>5176</v>
      </c>
      <c r="M1149" s="26" t="s">
        <v>5177</v>
      </c>
      <c r="N1149" s="44">
        <v>3000</v>
      </c>
      <c r="O1149" s="22" t="s">
        <v>15</v>
      </c>
      <c r="P1149" s="22">
        <f>1500+1500</f>
        <v>3000</v>
      </c>
      <c r="Q1149" s="24">
        <f t="shared" si="74"/>
        <v>0</v>
      </c>
      <c r="R1149" s="24">
        <f t="shared" ref="R1149:R1212" si="75">IF(P1149="OK",N1149-Q1149,IF(P1149="en cours",N1149-Q1149,P1149))</f>
        <v>3000</v>
      </c>
      <c r="S1149" s="5"/>
      <c r="T1149" s="5"/>
    </row>
    <row r="1150" spans="2:20" ht="15.75" hidden="1" x14ac:dyDescent="0.25">
      <c r="B1150" s="21" t="s">
        <v>395</v>
      </c>
      <c r="C1150" s="22" t="s">
        <v>2450</v>
      </c>
      <c r="D1150" s="22"/>
      <c r="E1150" s="21" t="s">
        <v>0</v>
      </c>
      <c r="F1150" s="21"/>
      <c r="G1150" s="147" t="s">
        <v>995</v>
      </c>
      <c r="H1150" s="107" t="s">
        <v>4878</v>
      </c>
      <c r="I1150" s="107"/>
      <c r="J1150" s="21" t="s">
        <v>4867</v>
      </c>
      <c r="K1150" s="21"/>
      <c r="L1150" s="21" t="s">
        <v>4879</v>
      </c>
      <c r="M1150" s="26">
        <v>44315</v>
      </c>
      <c r="N1150" s="44">
        <v>1395</v>
      </c>
      <c r="O1150" s="22" t="s">
        <v>15</v>
      </c>
      <c r="P1150" s="22" t="s">
        <v>19</v>
      </c>
      <c r="Q1150" s="44">
        <f t="shared" si="74"/>
        <v>0</v>
      </c>
      <c r="R1150" s="260">
        <f t="shared" si="75"/>
        <v>1395</v>
      </c>
      <c r="S1150" s="5"/>
      <c r="T1150" s="5"/>
    </row>
    <row r="1151" spans="2:20" ht="15.75" hidden="1" x14ac:dyDescent="0.25">
      <c r="B1151" s="21" t="s">
        <v>395</v>
      </c>
      <c r="C1151" s="22" t="s">
        <v>2459</v>
      </c>
      <c r="D1151" s="22"/>
      <c r="E1151" s="21" t="s">
        <v>75</v>
      </c>
      <c r="F1151" s="21"/>
      <c r="G1151" s="147" t="s">
        <v>155</v>
      </c>
      <c r="H1151" s="23" t="s">
        <v>5027</v>
      </c>
      <c r="I1151" s="23"/>
      <c r="J1151" s="21" t="s">
        <v>5028</v>
      </c>
      <c r="K1151" s="21"/>
      <c r="L1151" s="21" t="s">
        <v>5574</v>
      </c>
      <c r="M1151" s="26">
        <v>44413</v>
      </c>
      <c r="N1151" s="44">
        <v>9352</v>
      </c>
      <c r="O1151" s="22" t="s">
        <v>15</v>
      </c>
      <c r="P1151" s="22" t="s">
        <v>19</v>
      </c>
      <c r="Q1151" s="24">
        <f t="shared" si="74"/>
        <v>0</v>
      </c>
      <c r="R1151" s="24">
        <f t="shared" si="75"/>
        <v>9352</v>
      </c>
      <c r="S1151" s="5"/>
      <c r="T1151" s="5"/>
    </row>
    <row r="1152" spans="2:20" ht="15.75" hidden="1" x14ac:dyDescent="0.25">
      <c r="B1152" s="21" t="s">
        <v>395</v>
      </c>
      <c r="C1152" s="22" t="s">
        <v>2459</v>
      </c>
      <c r="D1152" s="22"/>
      <c r="E1152" s="21" t="s">
        <v>75</v>
      </c>
      <c r="F1152" s="21"/>
      <c r="G1152" s="147" t="s">
        <v>155</v>
      </c>
      <c r="H1152" s="23" t="s">
        <v>5027</v>
      </c>
      <c r="I1152" s="23"/>
      <c r="J1152" s="21" t="s">
        <v>5029</v>
      </c>
      <c r="K1152" s="21"/>
      <c r="L1152" s="21" t="s">
        <v>5574</v>
      </c>
      <c r="M1152" s="26">
        <v>44413</v>
      </c>
      <c r="N1152" s="44">
        <v>9352</v>
      </c>
      <c r="O1152" s="22" t="s">
        <v>15</v>
      </c>
      <c r="P1152" s="22" t="s">
        <v>19</v>
      </c>
      <c r="Q1152" s="24">
        <f t="shared" si="74"/>
        <v>0</v>
      </c>
      <c r="R1152" s="24">
        <f t="shared" si="75"/>
        <v>9352</v>
      </c>
      <c r="S1152" s="5"/>
      <c r="T1152" s="5"/>
    </row>
    <row r="1153" spans="1:20" ht="15.75" hidden="1" x14ac:dyDescent="0.25">
      <c r="B1153" s="21" t="s">
        <v>395</v>
      </c>
      <c r="C1153" s="22" t="s">
        <v>2459</v>
      </c>
      <c r="D1153" s="22"/>
      <c r="E1153" s="21" t="s">
        <v>75</v>
      </c>
      <c r="F1153" s="21"/>
      <c r="G1153" s="147" t="s">
        <v>155</v>
      </c>
      <c r="H1153" s="23" t="s">
        <v>5027</v>
      </c>
      <c r="I1153" s="23"/>
      <c r="J1153" s="21" t="s">
        <v>5030</v>
      </c>
      <c r="K1153" s="21"/>
      <c r="L1153" s="21" t="s">
        <v>5574</v>
      </c>
      <c r="M1153" s="26">
        <v>44413</v>
      </c>
      <c r="N1153" s="44">
        <v>18704</v>
      </c>
      <c r="O1153" s="22" t="s">
        <v>15</v>
      </c>
      <c r="P1153" s="22" t="s">
        <v>19</v>
      </c>
      <c r="Q1153" s="24">
        <f t="shared" si="74"/>
        <v>0</v>
      </c>
      <c r="R1153" s="24">
        <f t="shared" si="75"/>
        <v>18704</v>
      </c>
      <c r="S1153" s="5"/>
      <c r="T1153" s="5"/>
    </row>
    <row r="1154" spans="1:20" ht="15.75" hidden="1" x14ac:dyDescent="0.25">
      <c r="B1154" s="21" t="s">
        <v>395</v>
      </c>
      <c r="C1154" s="22" t="s">
        <v>2459</v>
      </c>
      <c r="D1154" s="22"/>
      <c r="E1154" s="21" t="s">
        <v>75</v>
      </c>
      <c r="F1154" s="21"/>
      <c r="G1154" s="147" t="s">
        <v>155</v>
      </c>
      <c r="H1154" s="23" t="s">
        <v>5027</v>
      </c>
      <c r="I1154" s="23"/>
      <c r="J1154" s="21" t="s">
        <v>5031</v>
      </c>
      <c r="K1154" s="21"/>
      <c r="L1154" s="21" t="s">
        <v>5574</v>
      </c>
      <c r="M1154" s="26">
        <v>44413</v>
      </c>
      <c r="N1154" s="44">
        <v>9352</v>
      </c>
      <c r="O1154" s="22" t="s">
        <v>15</v>
      </c>
      <c r="P1154" s="22" t="s">
        <v>19</v>
      </c>
      <c r="Q1154" s="24">
        <f t="shared" si="74"/>
        <v>0</v>
      </c>
      <c r="R1154" s="24">
        <f t="shared" si="75"/>
        <v>9352</v>
      </c>
      <c r="S1154" s="5"/>
      <c r="T1154" s="5"/>
    </row>
    <row r="1155" spans="1:20" ht="15.75" hidden="1" x14ac:dyDescent="0.25">
      <c r="B1155" s="21" t="s">
        <v>395</v>
      </c>
      <c r="C1155" s="22" t="s">
        <v>4542</v>
      </c>
      <c r="D1155" s="22"/>
      <c r="E1155" s="21" t="s">
        <v>75</v>
      </c>
      <c r="F1155" s="21"/>
      <c r="G1155" s="147" t="s">
        <v>155</v>
      </c>
      <c r="H1155" s="23" t="s">
        <v>5053</v>
      </c>
      <c r="I1155" s="23"/>
      <c r="J1155" s="21" t="s">
        <v>5049</v>
      </c>
      <c r="K1155" s="21"/>
      <c r="L1155" s="21" t="s">
        <v>5289</v>
      </c>
      <c r="M1155" s="26">
        <v>44379</v>
      </c>
      <c r="N1155" s="44">
        <v>2200</v>
      </c>
      <c r="O1155" s="22" t="s">
        <v>15</v>
      </c>
      <c r="P1155" s="22">
        <v>2200</v>
      </c>
      <c r="Q1155" s="24">
        <f t="shared" si="74"/>
        <v>0</v>
      </c>
      <c r="R1155" s="24">
        <f t="shared" si="75"/>
        <v>2200</v>
      </c>
      <c r="S1155" s="5"/>
      <c r="T1155" s="5"/>
    </row>
    <row r="1156" spans="1:20" ht="15.75" hidden="1" x14ac:dyDescent="0.25">
      <c r="B1156" s="21" t="s">
        <v>395</v>
      </c>
      <c r="C1156" s="22" t="s">
        <v>4542</v>
      </c>
      <c r="D1156" s="22"/>
      <c r="E1156" s="21" t="s">
        <v>75</v>
      </c>
      <c r="F1156" s="21"/>
      <c r="G1156" s="147" t="s">
        <v>155</v>
      </c>
      <c r="H1156" s="23" t="s">
        <v>5053</v>
      </c>
      <c r="I1156" s="23"/>
      <c r="J1156" s="21" t="s">
        <v>5050</v>
      </c>
      <c r="K1156" s="21"/>
      <c r="L1156" s="21" t="s">
        <v>5573</v>
      </c>
      <c r="M1156" s="26">
        <v>44413</v>
      </c>
      <c r="N1156" s="44">
        <v>2200</v>
      </c>
      <c r="O1156" s="22" t="s">
        <v>15</v>
      </c>
      <c r="P1156" s="22">
        <v>2200</v>
      </c>
      <c r="Q1156" s="24">
        <f t="shared" si="74"/>
        <v>0</v>
      </c>
      <c r="R1156" s="24">
        <f t="shared" si="75"/>
        <v>2200</v>
      </c>
      <c r="S1156" s="5"/>
      <c r="T1156" s="5"/>
    </row>
    <row r="1157" spans="1:20" ht="15.75" hidden="1" x14ac:dyDescent="0.25">
      <c r="B1157" s="21" t="s">
        <v>395</v>
      </c>
      <c r="C1157" s="22" t="s">
        <v>4542</v>
      </c>
      <c r="D1157" s="22"/>
      <c r="E1157" s="21" t="s">
        <v>75</v>
      </c>
      <c r="F1157" s="21"/>
      <c r="G1157" s="147" t="s">
        <v>155</v>
      </c>
      <c r="H1157" s="23" t="s">
        <v>5053</v>
      </c>
      <c r="I1157" s="23"/>
      <c r="J1157" s="21" t="s">
        <v>5051</v>
      </c>
      <c r="K1157" s="21"/>
      <c r="L1157" s="21" t="s">
        <v>6059</v>
      </c>
      <c r="M1157" s="26">
        <v>44448</v>
      </c>
      <c r="N1157" s="44">
        <v>2200</v>
      </c>
      <c r="O1157" s="22" t="s">
        <v>15</v>
      </c>
      <c r="P1157" s="22">
        <v>2200</v>
      </c>
      <c r="Q1157" s="24">
        <f t="shared" si="74"/>
        <v>0</v>
      </c>
      <c r="R1157" s="24">
        <f t="shared" si="75"/>
        <v>2200</v>
      </c>
      <c r="S1157" s="5"/>
      <c r="T1157" s="5"/>
    </row>
    <row r="1158" spans="1:20" ht="15.75" hidden="1" x14ac:dyDescent="0.25">
      <c r="B1158" s="21" t="s">
        <v>395</v>
      </c>
      <c r="C1158" s="22" t="s">
        <v>4542</v>
      </c>
      <c r="D1158" s="22"/>
      <c r="E1158" s="21" t="s">
        <v>75</v>
      </c>
      <c r="F1158" s="21"/>
      <c r="G1158" s="147" t="s">
        <v>155</v>
      </c>
      <c r="H1158" s="23" t="s">
        <v>5053</v>
      </c>
      <c r="I1158" s="23"/>
      <c r="J1158" s="21" t="s">
        <v>5052</v>
      </c>
      <c r="K1158" s="21"/>
      <c r="L1158" s="21" t="s">
        <v>6059</v>
      </c>
      <c r="M1158" s="26">
        <v>44448</v>
      </c>
      <c r="N1158" s="44">
        <v>2200</v>
      </c>
      <c r="O1158" s="22" t="s">
        <v>15</v>
      </c>
      <c r="P1158" s="22">
        <v>2200</v>
      </c>
      <c r="Q1158" s="24">
        <f t="shared" si="74"/>
        <v>0</v>
      </c>
      <c r="R1158" s="24">
        <f t="shared" si="75"/>
        <v>2200</v>
      </c>
      <c r="S1158" s="5"/>
      <c r="T1158" s="5"/>
    </row>
    <row r="1159" spans="1:20" ht="15.75" hidden="1" x14ac:dyDescent="0.25">
      <c r="B1159" s="21" t="s">
        <v>395</v>
      </c>
      <c r="C1159" s="22" t="s">
        <v>2427</v>
      </c>
      <c r="D1159" s="22"/>
      <c r="E1159" s="21" t="s">
        <v>0</v>
      </c>
      <c r="F1159" s="21"/>
      <c r="G1159" s="147" t="s">
        <v>1241</v>
      </c>
      <c r="H1159" s="23" t="s">
        <v>5055</v>
      </c>
      <c r="I1159" s="23"/>
      <c r="J1159" s="21" t="s">
        <v>5054</v>
      </c>
      <c r="K1159" s="21"/>
      <c r="L1159" s="21" t="s">
        <v>5223</v>
      </c>
      <c r="M1159" s="26">
        <v>44369</v>
      </c>
      <c r="N1159" s="44">
        <v>4317.42</v>
      </c>
      <c r="O1159" s="22" t="s">
        <v>15</v>
      </c>
      <c r="P1159" s="22" t="s">
        <v>19</v>
      </c>
      <c r="Q1159" s="24">
        <f t="shared" si="74"/>
        <v>0</v>
      </c>
      <c r="R1159" s="24">
        <f t="shared" si="75"/>
        <v>4317.42</v>
      </c>
      <c r="S1159" s="5"/>
      <c r="T1159" s="5"/>
    </row>
    <row r="1160" spans="1:20" ht="15.75" hidden="1" x14ac:dyDescent="0.25">
      <c r="B1160" s="21" t="s">
        <v>395</v>
      </c>
      <c r="C1160" s="22" t="s">
        <v>2427</v>
      </c>
      <c r="D1160" s="22"/>
      <c r="E1160" s="21" t="s">
        <v>0</v>
      </c>
      <c r="F1160" s="21"/>
      <c r="G1160" s="147" t="s">
        <v>1241</v>
      </c>
      <c r="H1160" s="23" t="s">
        <v>5228</v>
      </c>
      <c r="I1160" s="23"/>
      <c r="J1160" s="21" t="s">
        <v>5229</v>
      </c>
      <c r="K1160" s="21"/>
      <c r="L1160" s="21" t="s">
        <v>5644</v>
      </c>
      <c r="M1160" s="26">
        <v>44424</v>
      </c>
      <c r="N1160" s="44">
        <v>13458.4</v>
      </c>
      <c r="O1160" s="22" t="s">
        <v>15</v>
      </c>
      <c r="P1160" s="22" t="s">
        <v>19</v>
      </c>
      <c r="Q1160" s="24">
        <f t="shared" si="74"/>
        <v>0</v>
      </c>
      <c r="R1160" s="24">
        <f t="shared" si="75"/>
        <v>13458.4</v>
      </c>
      <c r="S1160" s="5"/>
      <c r="T1160" s="5"/>
    </row>
    <row r="1161" spans="1:20" ht="15.75" hidden="1" x14ac:dyDescent="0.25">
      <c r="B1161" s="5"/>
      <c r="C1161" s="4" t="s">
        <v>3916</v>
      </c>
      <c r="D1161" s="4" t="s">
        <v>4613</v>
      </c>
      <c r="E1161" s="5" t="s">
        <v>10</v>
      </c>
      <c r="F1161" s="5"/>
      <c r="G1161" s="146" t="s">
        <v>3914</v>
      </c>
      <c r="H1161" s="7" t="s">
        <v>5098</v>
      </c>
      <c r="I1161" s="7"/>
      <c r="J1161" s="5" t="s">
        <v>5099</v>
      </c>
      <c r="K1161" s="13"/>
      <c r="L1161" s="5"/>
      <c r="M1161" s="7"/>
      <c r="N1161" s="45">
        <v>8000</v>
      </c>
      <c r="O1161" s="4" t="s">
        <v>15</v>
      </c>
      <c r="P1161" s="4"/>
      <c r="Q1161" s="3">
        <f t="shared" si="74"/>
        <v>8000</v>
      </c>
      <c r="R1161" s="3">
        <f t="shared" si="75"/>
        <v>0</v>
      </c>
      <c r="S1161" s="5"/>
      <c r="T1161" s="5"/>
    </row>
    <row r="1162" spans="1:20" ht="15.75" hidden="1" x14ac:dyDescent="0.25">
      <c r="B1162" s="21" t="s">
        <v>395</v>
      </c>
      <c r="C1162" s="22" t="s">
        <v>2450</v>
      </c>
      <c r="D1162" s="22"/>
      <c r="E1162" s="21" t="s">
        <v>0</v>
      </c>
      <c r="F1162" s="21"/>
      <c r="G1162" s="147" t="s">
        <v>3862</v>
      </c>
      <c r="H1162" s="23" t="s">
        <v>5263</v>
      </c>
      <c r="I1162" s="23"/>
      <c r="J1162" s="21" t="s">
        <v>5110</v>
      </c>
      <c r="K1162" s="21"/>
      <c r="L1162" s="21" t="s">
        <v>5264</v>
      </c>
      <c r="M1162" s="26">
        <v>44372</v>
      </c>
      <c r="N1162" s="44">
        <v>2920.8</v>
      </c>
      <c r="O1162" s="22" t="s">
        <v>15</v>
      </c>
      <c r="P1162" s="22">
        <v>2391.48</v>
      </c>
      <c r="Q1162" s="24">
        <v>0</v>
      </c>
      <c r="R1162" s="24">
        <f t="shared" si="75"/>
        <v>2391.48</v>
      </c>
      <c r="S1162" s="5"/>
      <c r="T1162" s="5"/>
    </row>
    <row r="1163" spans="1:20" ht="15.75" hidden="1" x14ac:dyDescent="0.25">
      <c r="B1163" s="21" t="s">
        <v>395</v>
      </c>
      <c r="C1163" s="22" t="s">
        <v>2427</v>
      </c>
      <c r="D1163" s="22"/>
      <c r="E1163" s="21" t="s">
        <v>0</v>
      </c>
      <c r="F1163" s="21"/>
      <c r="G1163" s="147" t="s">
        <v>340</v>
      </c>
      <c r="H1163" s="23" t="s">
        <v>5119</v>
      </c>
      <c r="I1163" s="23"/>
      <c r="J1163" s="21" t="s">
        <v>5120</v>
      </c>
      <c r="K1163" s="120"/>
      <c r="L1163" s="21" t="s">
        <v>5251</v>
      </c>
      <c r="M1163" s="47">
        <v>44371</v>
      </c>
      <c r="N1163" s="44">
        <v>3550</v>
      </c>
      <c r="O1163" s="22" t="s">
        <v>341</v>
      </c>
      <c r="P1163" s="22" t="s">
        <v>19</v>
      </c>
      <c r="Q1163" s="24">
        <f t="shared" ref="Q1163" si="76">IF(P1163="en cours",N1163,IF(P1163="OK",0,IF(N1163-P1163&lt;0,0,N1163-P1163)))</f>
        <v>0</v>
      </c>
      <c r="R1163" s="24">
        <f t="shared" si="75"/>
        <v>3550</v>
      </c>
      <c r="S1163" s="5"/>
      <c r="T1163" s="5"/>
    </row>
    <row r="1164" spans="1:20" ht="15.75" hidden="1" x14ac:dyDescent="0.25">
      <c r="B1164" s="21" t="s">
        <v>395</v>
      </c>
      <c r="C1164" s="22" t="s">
        <v>2568</v>
      </c>
      <c r="D1164" s="22"/>
      <c r="E1164" s="21" t="s">
        <v>10</v>
      </c>
      <c r="F1164" s="21"/>
      <c r="G1164" s="147" t="s">
        <v>356</v>
      </c>
      <c r="H1164" s="23" t="s">
        <v>5322</v>
      </c>
      <c r="I1164" s="23"/>
      <c r="J1164" s="23" t="s">
        <v>5323</v>
      </c>
      <c r="K1164" s="21"/>
      <c r="L1164" s="21" t="s">
        <v>5324</v>
      </c>
      <c r="M1164" s="26">
        <v>44377</v>
      </c>
      <c r="N1164" s="44">
        <v>2200</v>
      </c>
      <c r="O1164" s="22" t="s">
        <v>15</v>
      </c>
      <c r="P1164" s="22">
        <v>1320</v>
      </c>
      <c r="Q1164" s="24">
        <v>0</v>
      </c>
      <c r="R1164" s="24">
        <f t="shared" si="75"/>
        <v>1320</v>
      </c>
      <c r="S1164" s="5"/>
      <c r="T1164" s="5"/>
    </row>
    <row r="1165" spans="1:20" ht="15.75" hidden="1" x14ac:dyDescent="0.25">
      <c r="B1165" s="21" t="s">
        <v>395</v>
      </c>
      <c r="C1165" s="22" t="s">
        <v>1940</v>
      </c>
      <c r="D1165" s="22"/>
      <c r="E1165" s="21" t="s">
        <v>75</v>
      </c>
      <c r="F1165" s="21"/>
      <c r="G1165" s="147" t="s">
        <v>356</v>
      </c>
      <c r="H1165" s="23" t="s">
        <v>5212</v>
      </c>
      <c r="I1165" s="23"/>
      <c r="J1165" s="23" t="s">
        <v>5783</v>
      </c>
      <c r="K1165" s="21"/>
      <c r="L1165" s="21" t="s">
        <v>5904</v>
      </c>
      <c r="M1165" s="26" t="s">
        <v>5905</v>
      </c>
      <c r="N1165" s="44">
        <v>8800</v>
      </c>
      <c r="O1165" s="22" t="s">
        <v>15</v>
      </c>
      <c r="P1165" s="22">
        <f>5720+3696</f>
        <v>9416</v>
      </c>
      <c r="Q1165" s="24">
        <f t="shared" ref="Q1165:Q1185" si="77">IF(P1165="en cours",N1165,IF(P1165="OK",0,IF(N1165-P1165&lt;0,0,N1165-P1165)))</f>
        <v>0</v>
      </c>
      <c r="R1165" s="24">
        <f t="shared" si="75"/>
        <v>9416</v>
      </c>
      <c r="S1165" s="5"/>
      <c r="T1165" s="5"/>
    </row>
    <row r="1166" spans="1:20" ht="15.75" hidden="1" x14ac:dyDescent="0.25">
      <c r="A1166" t="s">
        <v>6753</v>
      </c>
      <c r="B1166" s="21" t="s">
        <v>395</v>
      </c>
      <c r="C1166" s="22" t="s">
        <v>4628</v>
      </c>
      <c r="D1166" s="22"/>
      <c r="E1166" s="21" t="s">
        <v>75</v>
      </c>
      <c r="F1166" s="21"/>
      <c r="G1166" s="147" t="s">
        <v>155</v>
      </c>
      <c r="H1166" s="23" t="s">
        <v>5290</v>
      </c>
      <c r="I1166" s="23"/>
      <c r="J1166" s="21" t="s">
        <v>5291</v>
      </c>
      <c r="K1166" s="21"/>
      <c r="L1166" s="21" t="s">
        <v>5328</v>
      </c>
      <c r="M1166" s="26">
        <v>44382</v>
      </c>
      <c r="N1166" s="44">
        <v>8868</v>
      </c>
      <c r="O1166" s="22" t="s">
        <v>15</v>
      </c>
      <c r="P1166" s="22" t="s">
        <v>19</v>
      </c>
      <c r="Q1166" s="24">
        <f t="shared" si="77"/>
        <v>0</v>
      </c>
      <c r="R1166" s="24">
        <f t="shared" si="75"/>
        <v>8868</v>
      </c>
      <c r="S1166" s="5"/>
      <c r="T1166" s="5"/>
    </row>
    <row r="1167" spans="1:20" ht="15.75" hidden="1" x14ac:dyDescent="0.25">
      <c r="A1167" t="s">
        <v>6753</v>
      </c>
      <c r="B1167" s="21" t="s">
        <v>395</v>
      </c>
      <c r="C1167" s="22" t="s">
        <v>4628</v>
      </c>
      <c r="D1167" s="22"/>
      <c r="E1167" s="21" t="s">
        <v>75</v>
      </c>
      <c r="F1167" s="21"/>
      <c r="G1167" s="147" t="s">
        <v>155</v>
      </c>
      <c r="H1167" s="23" t="s">
        <v>5290</v>
      </c>
      <c r="I1167" s="23"/>
      <c r="J1167" s="21" t="s">
        <v>5292</v>
      </c>
      <c r="K1167" s="21"/>
      <c r="L1167" s="21" t="s">
        <v>6058</v>
      </c>
      <c r="M1167" s="26">
        <v>44508</v>
      </c>
      <c r="N1167" s="44">
        <v>8868</v>
      </c>
      <c r="O1167" s="22" t="s">
        <v>15</v>
      </c>
      <c r="P1167" s="22" t="s">
        <v>19</v>
      </c>
      <c r="Q1167" s="24">
        <f t="shared" si="77"/>
        <v>0</v>
      </c>
      <c r="R1167" s="24">
        <f t="shared" si="75"/>
        <v>8868</v>
      </c>
      <c r="S1167" s="5"/>
      <c r="T1167" s="5"/>
    </row>
    <row r="1168" spans="1:20" ht="15.75" hidden="1" x14ac:dyDescent="0.25">
      <c r="A1168" t="s">
        <v>6753</v>
      </c>
      <c r="B1168" s="21" t="s">
        <v>395</v>
      </c>
      <c r="C1168" s="22" t="s">
        <v>4628</v>
      </c>
      <c r="D1168" s="22"/>
      <c r="E1168" s="21" t="s">
        <v>75</v>
      </c>
      <c r="F1168" s="21"/>
      <c r="G1168" s="147" t="s">
        <v>155</v>
      </c>
      <c r="H1168" s="23" t="s">
        <v>5290</v>
      </c>
      <c r="I1168" s="23"/>
      <c r="J1168" s="21" t="s">
        <v>5293</v>
      </c>
      <c r="K1168" s="21"/>
      <c r="L1168" s="21" t="s">
        <v>6933</v>
      </c>
      <c r="M1168" s="26">
        <v>44760</v>
      </c>
      <c r="N1168" s="44">
        <v>8868</v>
      </c>
      <c r="O1168" s="22" t="s">
        <v>15</v>
      </c>
      <c r="P1168" s="22" t="s">
        <v>19</v>
      </c>
      <c r="Q1168" s="24">
        <f t="shared" si="77"/>
        <v>0</v>
      </c>
      <c r="R1168" s="24">
        <f t="shared" si="75"/>
        <v>8868</v>
      </c>
      <c r="S1168" s="5"/>
      <c r="T1168" s="5"/>
    </row>
    <row r="1169" spans="1:20" ht="15.75" hidden="1" x14ac:dyDescent="0.25">
      <c r="A1169" t="s">
        <v>6753</v>
      </c>
      <c r="B1169" s="21" t="s">
        <v>395</v>
      </c>
      <c r="C1169" s="22" t="s">
        <v>4628</v>
      </c>
      <c r="D1169" s="22"/>
      <c r="E1169" s="21" t="s">
        <v>75</v>
      </c>
      <c r="F1169" s="21"/>
      <c r="G1169" s="147" t="s">
        <v>155</v>
      </c>
      <c r="H1169" s="23" t="s">
        <v>5290</v>
      </c>
      <c r="I1169" s="23"/>
      <c r="J1169" s="21" t="s">
        <v>5294</v>
      </c>
      <c r="K1169" s="21"/>
      <c r="L1169" s="21" t="s">
        <v>6934</v>
      </c>
      <c r="M1169" s="26">
        <v>44760</v>
      </c>
      <c r="N1169" s="44">
        <v>8868</v>
      </c>
      <c r="O1169" s="22" t="s">
        <v>15</v>
      </c>
      <c r="P1169" s="22" t="s">
        <v>19</v>
      </c>
      <c r="Q1169" s="24">
        <f t="shared" si="77"/>
        <v>0</v>
      </c>
      <c r="R1169" s="24">
        <f t="shared" si="75"/>
        <v>8868</v>
      </c>
      <c r="S1169" s="5"/>
      <c r="T1169" s="5"/>
    </row>
    <row r="1170" spans="1:20" ht="15.75" hidden="1" x14ac:dyDescent="0.25">
      <c r="A1170" t="s">
        <v>6753</v>
      </c>
      <c r="B1170" s="21" t="s">
        <v>395</v>
      </c>
      <c r="C1170" s="22" t="s">
        <v>4628</v>
      </c>
      <c r="D1170" s="22"/>
      <c r="E1170" s="21" t="s">
        <v>75</v>
      </c>
      <c r="F1170" s="21"/>
      <c r="G1170" s="147" t="s">
        <v>155</v>
      </c>
      <c r="H1170" s="23" t="s">
        <v>5290</v>
      </c>
      <c r="I1170" s="23"/>
      <c r="J1170" s="21" t="s">
        <v>5295</v>
      </c>
      <c r="K1170" s="21"/>
      <c r="L1170" s="21" t="s">
        <v>6935</v>
      </c>
      <c r="M1170" s="26">
        <v>44760</v>
      </c>
      <c r="N1170" s="44">
        <v>8868</v>
      </c>
      <c r="O1170" s="22" t="s">
        <v>15</v>
      </c>
      <c r="P1170" s="22" t="s">
        <v>19</v>
      </c>
      <c r="Q1170" s="24">
        <f t="shared" si="77"/>
        <v>0</v>
      </c>
      <c r="R1170" s="24">
        <f t="shared" si="75"/>
        <v>8868</v>
      </c>
      <c r="S1170" s="5"/>
      <c r="T1170" s="5"/>
    </row>
    <row r="1171" spans="1:20" ht="15.75" hidden="1" x14ac:dyDescent="0.25">
      <c r="A1171" t="s">
        <v>6753</v>
      </c>
      <c r="B1171" s="21" t="s">
        <v>395</v>
      </c>
      <c r="C1171" s="22" t="s">
        <v>4628</v>
      </c>
      <c r="D1171" s="22"/>
      <c r="E1171" s="21" t="s">
        <v>75</v>
      </c>
      <c r="F1171" s="21"/>
      <c r="G1171" s="147" t="s">
        <v>155</v>
      </c>
      <c r="H1171" s="23" t="s">
        <v>6523</v>
      </c>
      <c r="I1171" s="23"/>
      <c r="J1171" s="21" t="s">
        <v>6524</v>
      </c>
      <c r="K1171" s="21"/>
      <c r="L1171" s="21" t="s">
        <v>6846</v>
      </c>
      <c r="M1171" s="26" t="s">
        <v>6847</v>
      </c>
      <c r="N1171" s="44">
        <v>17100</v>
      </c>
      <c r="O1171" s="22" t="s">
        <v>15</v>
      </c>
      <c r="P1171" s="22">
        <f>3420+3420+3420+3420+3420</f>
        <v>17100</v>
      </c>
      <c r="Q1171" s="24">
        <f t="shared" si="77"/>
        <v>0</v>
      </c>
      <c r="R1171" s="24">
        <f t="shared" si="75"/>
        <v>17100</v>
      </c>
      <c r="S1171" s="5"/>
      <c r="T1171" s="5"/>
    </row>
    <row r="1172" spans="1:20" ht="15.75" hidden="1" x14ac:dyDescent="0.25">
      <c r="B1172" s="21" t="s">
        <v>395</v>
      </c>
      <c r="C1172" s="22" t="s">
        <v>3916</v>
      </c>
      <c r="D1172" s="22"/>
      <c r="E1172" s="21" t="s">
        <v>75</v>
      </c>
      <c r="F1172" s="21"/>
      <c r="G1172" s="147" t="s">
        <v>3779</v>
      </c>
      <c r="H1172" s="23" t="s">
        <v>5585</v>
      </c>
      <c r="I1172" s="23"/>
      <c r="J1172" s="21" t="s">
        <v>5584</v>
      </c>
      <c r="K1172" s="21"/>
      <c r="L1172" s="21" t="s">
        <v>5602</v>
      </c>
      <c r="M1172" s="26">
        <v>44413</v>
      </c>
      <c r="N1172" s="44">
        <v>38357</v>
      </c>
      <c r="O1172" s="22" t="s">
        <v>15</v>
      </c>
      <c r="P1172" s="22">
        <v>38357</v>
      </c>
      <c r="Q1172" s="44">
        <f t="shared" si="77"/>
        <v>0</v>
      </c>
      <c r="R1172" s="24">
        <f t="shared" si="75"/>
        <v>38357</v>
      </c>
      <c r="S1172" s="5"/>
      <c r="T1172" s="5"/>
    </row>
    <row r="1173" spans="1:20" ht="15.75" hidden="1" x14ac:dyDescent="0.25">
      <c r="B1173" s="21" t="s">
        <v>395</v>
      </c>
      <c r="C1173" s="22" t="s">
        <v>5387</v>
      </c>
      <c r="D1173" s="22"/>
      <c r="E1173" s="21" t="s">
        <v>75</v>
      </c>
      <c r="F1173" s="21"/>
      <c r="G1173" s="147" t="s">
        <v>155</v>
      </c>
      <c r="H1173" s="23" t="s">
        <v>5703</v>
      </c>
      <c r="I1173" s="23"/>
      <c r="J1173" s="21" t="s">
        <v>5704</v>
      </c>
      <c r="K1173" s="21"/>
      <c r="L1173" s="21" t="s">
        <v>5987</v>
      </c>
      <c r="M1173" s="26" t="s">
        <v>5988</v>
      </c>
      <c r="N1173" s="44">
        <v>9700</v>
      </c>
      <c r="O1173" s="22" t="s">
        <v>15</v>
      </c>
      <c r="P1173" s="44">
        <f>2425+2425+2425+2425</f>
        <v>9700</v>
      </c>
      <c r="Q1173" s="24">
        <f t="shared" si="77"/>
        <v>0</v>
      </c>
      <c r="R1173" s="24">
        <f t="shared" si="75"/>
        <v>9700</v>
      </c>
      <c r="S1173" s="5"/>
      <c r="T1173" s="5"/>
    </row>
    <row r="1174" spans="1:20" ht="15.75" hidden="1" x14ac:dyDescent="0.25">
      <c r="B1174" s="21" t="s">
        <v>395</v>
      </c>
      <c r="C1174" s="22" t="s">
        <v>4628</v>
      </c>
      <c r="D1174" s="22"/>
      <c r="E1174" s="21" t="s">
        <v>75</v>
      </c>
      <c r="F1174" s="21"/>
      <c r="G1174" s="147" t="s">
        <v>2551</v>
      </c>
      <c r="H1174" s="23" t="s">
        <v>5789</v>
      </c>
      <c r="I1174" s="23"/>
      <c r="J1174" s="21" t="s">
        <v>5788</v>
      </c>
      <c r="K1174" s="21"/>
      <c r="L1174" s="21" t="s">
        <v>6629</v>
      </c>
      <c r="M1174" s="23" t="s">
        <v>6630</v>
      </c>
      <c r="N1174" s="44">
        <v>11904.187</v>
      </c>
      <c r="O1174" s="22" t="s">
        <v>15</v>
      </c>
      <c r="P1174" s="44">
        <f>2424.88+2424.88+2559.25+2661.51+1990.8</f>
        <v>12061.32</v>
      </c>
      <c r="Q1174" s="24">
        <f t="shared" si="77"/>
        <v>0</v>
      </c>
      <c r="R1174" s="24">
        <f t="shared" si="75"/>
        <v>12061.32</v>
      </c>
      <c r="S1174" s="5"/>
      <c r="T1174" s="5"/>
    </row>
    <row r="1175" spans="1:20" ht="15.75" hidden="1" x14ac:dyDescent="0.25">
      <c r="B1175" s="21" t="s">
        <v>395</v>
      </c>
      <c r="C1175" s="22" t="s">
        <v>2450</v>
      </c>
      <c r="D1175" s="22"/>
      <c r="E1175" s="21" t="s">
        <v>0</v>
      </c>
      <c r="F1175" s="21"/>
      <c r="G1175" s="147" t="s">
        <v>3862</v>
      </c>
      <c r="H1175" s="23" t="s">
        <v>5790</v>
      </c>
      <c r="I1175" s="23"/>
      <c r="J1175" s="21" t="s">
        <v>5791</v>
      </c>
      <c r="K1175" s="21"/>
      <c r="L1175" s="21" t="s">
        <v>5941</v>
      </c>
      <c r="M1175" s="26">
        <v>44476</v>
      </c>
      <c r="N1175" s="44">
        <v>3505.3</v>
      </c>
      <c r="O1175" s="22" t="s">
        <v>15</v>
      </c>
      <c r="P1175" s="44">
        <v>5285.8</v>
      </c>
      <c r="Q1175" s="44">
        <f t="shared" si="77"/>
        <v>0</v>
      </c>
      <c r="R1175" s="24">
        <f t="shared" si="75"/>
        <v>5285.8</v>
      </c>
      <c r="S1175" s="5"/>
      <c r="T1175" s="5"/>
    </row>
    <row r="1176" spans="1:20" ht="15.75" hidden="1" x14ac:dyDescent="0.25">
      <c r="B1176" s="21" t="s">
        <v>395</v>
      </c>
      <c r="C1176" s="22" t="s">
        <v>2450</v>
      </c>
      <c r="D1176" s="22"/>
      <c r="E1176" s="21" t="s">
        <v>0</v>
      </c>
      <c r="F1176" s="21"/>
      <c r="G1176" s="147" t="s">
        <v>3862</v>
      </c>
      <c r="H1176" s="23" t="s">
        <v>5872</v>
      </c>
      <c r="I1176" s="23"/>
      <c r="J1176" s="21" t="s">
        <v>5873</v>
      </c>
      <c r="K1176" s="21"/>
      <c r="L1176" s="21" t="s">
        <v>5942</v>
      </c>
      <c r="M1176" s="26">
        <v>44476</v>
      </c>
      <c r="N1176" s="44">
        <v>4413.84</v>
      </c>
      <c r="O1176" s="22" t="s">
        <v>15</v>
      </c>
      <c r="P1176" s="44">
        <v>4295.8999999999996</v>
      </c>
      <c r="Q1176" s="44">
        <f t="shared" si="77"/>
        <v>117.94000000000051</v>
      </c>
      <c r="R1176" s="24">
        <f t="shared" si="75"/>
        <v>4295.8999999999996</v>
      </c>
      <c r="S1176" s="5"/>
      <c r="T1176" s="5"/>
    </row>
    <row r="1177" spans="1:20" ht="15.75" hidden="1" x14ac:dyDescent="0.25">
      <c r="B1177" s="21" t="s">
        <v>395</v>
      </c>
      <c r="C1177" s="22" t="s">
        <v>3916</v>
      </c>
      <c r="D1177" s="22"/>
      <c r="E1177" s="21" t="s">
        <v>75</v>
      </c>
      <c r="F1177" s="21"/>
      <c r="G1177" s="147" t="s">
        <v>4810</v>
      </c>
      <c r="H1177" s="165" t="s">
        <v>5877</v>
      </c>
      <c r="I1177" s="165"/>
      <c r="J1177" s="165" t="s">
        <v>5876</v>
      </c>
      <c r="K1177" s="21"/>
      <c r="L1177" s="21"/>
      <c r="M1177" s="23"/>
      <c r="N1177" s="44">
        <v>0</v>
      </c>
      <c r="O1177" s="22" t="s">
        <v>15</v>
      </c>
      <c r="P1177" s="44"/>
      <c r="Q1177" s="44">
        <f t="shared" si="77"/>
        <v>0</v>
      </c>
      <c r="R1177" s="24">
        <f t="shared" si="75"/>
        <v>0</v>
      </c>
      <c r="S1177" s="5" t="s">
        <v>5915</v>
      </c>
      <c r="T1177" s="5"/>
    </row>
    <row r="1178" spans="1:20" ht="15.75" hidden="1" x14ac:dyDescent="0.25">
      <c r="A1178" t="s">
        <v>6753</v>
      </c>
      <c r="B1178" s="21" t="s">
        <v>395</v>
      </c>
      <c r="C1178" s="22" t="s">
        <v>4628</v>
      </c>
      <c r="D1178" s="22"/>
      <c r="E1178" s="21" t="s">
        <v>75</v>
      </c>
      <c r="F1178" s="21"/>
      <c r="G1178" s="147" t="s">
        <v>805</v>
      </c>
      <c r="H1178" s="165" t="s">
        <v>5878</v>
      </c>
      <c r="I1178" s="165"/>
      <c r="J1178" s="21" t="s">
        <v>5879</v>
      </c>
      <c r="K1178" s="21"/>
      <c r="L1178" s="21" t="s">
        <v>5883</v>
      </c>
      <c r="M1178" s="26">
        <v>44469</v>
      </c>
      <c r="N1178" s="44">
        <f>0.4*37100</f>
        <v>14840</v>
      </c>
      <c r="O1178" s="22" t="s">
        <v>15</v>
      </c>
      <c r="P1178" s="44">
        <v>14840</v>
      </c>
      <c r="Q1178" s="24">
        <f t="shared" si="77"/>
        <v>0</v>
      </c>
      <c r="R1178" s="24">
        <f t="shared" si="75"/>
        <v>14840</v>
      </c>
      <c r="S1178" s="5"/>
      <c r="T1178" s="5"/>
    </row>
    <row r="1179" spans="1:20" ht="15.75" hidden="1" x14ac:dyDescent="0.25">
      <c r="A1179" t="s">
        <v>6753</v>
      </c>
      <c r="B1179" s="21" t="s">
        <v>395</v>
      </c>
      <c r="C1179" s="22" t="s">
        <v>4628</v>
      </c>
      <c r="D1179" s="22"/>
      <c r="E1179" s="21" t="s">
        <v>75</v>
      </c>
      <c r="F1179" s="21"/>
      <c r="G1179" s="147" t="s">
        <v>805</v>
      </c>
      <c r="H1179" s="165" t="s">
        <v>5878</v>
      </c>
      <c r="I1179" s="165"/>
      <c r="J1179" s="21" t="s">
        <v>5880</v>
      </c>
      <c r="K1179" s="21"/>
      <c r="L1179" s="21" t="s">
        <v>6860</v>
      </c>
      <c r="M1179" s="23" t="s">
        <v>6861</v>
      </c>
      <c r="N1179" s="44">
        <f>0.6*37100</f>
        <v>22260</v>
      </c>
      <c r="O1179" s="22" t="s">
        <v>15</v>
      </c>
      <c r="P1179" s="44">
        <f>17494.13+6455.4</f>
        <v>23949.53</v>
      </c>
      <c r="Q1179" s="24">
        <f t="shared" si="77"/>
        <v>0</v>
      </c>
      <c r="R1179" s="24">
        <f t="shared" si="75"/>
        <v>23949.53</v>
      </c>
      <c r="S1179" s="5"/>
      <c r="T1179" s="5"/>
    </row>
    <row r="1180" spans="1:20" ht="15.75" hidden="1" x14ac:dyDescent="0.25">
      <c r="B1180" s="21" t="s">
        <v>395</v>
      </c>
      <c r="C1180" s="22" t="s">
        <v>2456</v>
      </c>
      <c r="D1180" s="22"/>
      <c r="E1180" s="21" t="s">
        <v>0</v>
      </c>
      <c r="F1180" s="21"/>
      <c r="G1180" s="147" t="s">
        <v>155</v>
      </c>
      <c r="H1180" s="23" t="s">
        <v>5926</v>
      </c>
      <c r="I1180" s="23"/>
      <c r="J1180" s="21" t="s">
        <v>5927</v>
      </c>
      <c r="K1180" s="21"/>
      <c r="L1180" s="21" t="s">
        <v>5986</v>
      </c>
      <c r="M1180" s="26">
        <v>44491</v>
      </c>
      <c r="N1180" s="44">
        <v>2100</v>
      </c>
      <c r="O1180" s="22" t="s">
        <v>15</v>
      </c>
      <c r="P1180" s="22">
        <v>2100</v>
      </c>
      <c r="Q1180" s="24">
        <f t="shared" si="77"/>
        <v>0</v>
      </c>
      <c r="R1180" s="24">
        <f t="shared" si="75"/>
        <v>2100</v>
      </c>
      <c r="S1180" s="5"/>
      <c r="T1180" s="5"/>
    </row>
    <row r="1181" spans="1:20" ht="15.75" hidden="1" x14ac:dyDescent="0.25">
      <c r="A1181" t="s">
        <v>6753</v>
      </c>
      <c r="B1181" s="21" t="s">
        <v>395</v>
      </c>
      <c r="C1181" s="22" t="s">
        <v>3916</v>
      </c>
      <c r="D1181" s="22"/>
      <c r="E1181" s="21" t="s">
        <v>75</v>
      </c>
      <c r="F1181" s="21"/>
      <c r="G1181" s="147" t="s">
        <v>98</v>
      </c>
      <c r="H1181" s="165" t="s">
        <v>5930</v>
      </c>
      <c r="I1181" s="165"/>
      <c r="J1181" s="165" t="s">
        <v>5931</v>
      </c>
      <c r="K1181" s="21"/>
      <c r="L1181" s="21" t="s">
        <v>6328</v>
      </c>
      <c r="M1181" s="26" t="s">
        <v>6329</v>
      </c>
      <c r="N1181" s="44">
        <v>6095.06</v>
      </c>
      <c r="O1181" s="22" t="s">
        <v>15</v>
      </c>
      <c r="P1181" s="44">
        <f>4804.44+1672.36</f>
        <v>6476.7999999999993</v>
      </c>
      <c r="Q1181" s="44">
        <f t="shared" si="77"/>
        <v>0</v>
      </c>
      <c r="R1181" s="24">
        <f t="shared" si="75"/>
        <v>6476.7999999999993</v>
      </c>
      <c r="S1181" s="5"/>
      <c r="T1181" s="5"/>
    </row>
    <row r="1182" spans="1:20" ht="15.75" hidden="1" x14ac:dyDescent="0.25">
      <c r="B1182" s="21" t="s">
        <v>395</v>
      </c>
      <c r="C1182" s="22" t="s">
        <v>2450</v>
      </c>
      <c r="D1182" s="22"/>
      <c r="E1182" s="21" t="s">
        <v>10</v>
      </c>
      <c r="F1182" s="21"/>
      <c r="G1182" s="147" t="s">
        <v>2551</v>
      </c>
      <c r="H1182" s="165" t="s">
        <v>5932</v>
      </c>
      <c r="I1182" s="165"/>
      <c r="J1182" s="165" t="s">
        <v>5933</v>
      </c>
      <c r="K1182" s="21"/>
      <c r="L1182" s="21" t="s">
        <v>5937</v>
      </c>
      <c r="M1182" s="26">
        <v>44480</v>
      </c>
      <c r="N1182" s="44">
        <v>2839.38</v>
      </c>
      <c r="O1182" s="22" t="s">
        <v>15</v>
      </c>
      <c r="P1182" s="44">
        <v>2839.38</v>
      </c>
      <c r="Q1182" s="24">
        <f t="shared" si="77"/>
        <v>0</v>
      </c>
      <c r="R1182" s="24">
        <f t="shared" si="75"/>
        <v>2839.38</v>
      </c>
      <c r="S1182" s="5"/>
      <c r="T1182" s="5"/>
    </row>
    <row r="1183" spans="1:20" ht="15.75" hidden="1" x14ac:dyDescent="0.25">
      <c r="A1183" t="s">
        <v>6753</v>
      </c>
      <c r="B1183" s="21" t="s">
        <v>395</v>
      </c>
      <c r="C1183" s="22" t="s">
        <v>158</v>
      </c>
      <c r="D1183" s="22"/>
      <c r="E1183" s="21" t="s">
        <v>10</v>
      </c>
      <c r="F1183" s="21"/>
      <c r="G1183" s="147" t="s">
        <v>916</v>
      </c>
      <c r="H1183" s="23" t="s">
        <v>6004</v>
      </c>
      <c r="I1183" s="23"/>
      <c r="J1183" s="21" t="s">
        <v>6056</v>
      </c>
      <c r="K1183" s="21"/>
      <c r="L1183" s="21" t="s">
        <v>6057</v>
      </c>
      <c r="M1183" s="26">
        <v>44503</v>
      </c>
      <c r="N1183" s="44">
        <v>248</v>
      </c>
      <c r="O1183" s="22" t="s">
        <v>15</v>
      </c>
      <c r="P1183" s="22">
        <v>248</v>
      </c>
      <c r="Q1183" s="24">
        <f t="shared" si="77"/>
        <v>0</v>
      </c>
      <c r="R1183" s="24">
        <f t="shared" si="75"/>
        <v>248</v>
      </c>
      <c r="S1183" s="5"/>
      <c r="T1183" s="5"/>
    </row>
    <row r="1184" spans="1:20" ht="15.75" hidden="1" x14ac:dyDescent="0.25">
      <c r="A1184" t="s">
        <v>6753</v>
      </c>
      <c r="B1184" s="21" t="s">
        <v>395</v>
      </c>
      <c r="C1184" s="22" t="s">
        <v>158</v>
      </c>
      <c r="D1184" s="22"/>
      <c r="E1184" s="21" t="s">
        <v>10</v>
      </c>
      <c r="F1184" s="21"/>
      <c r="G1184" s="147" t="s">
        <v>916</v>
      </c>
      <c r="H1184" s="23" t="s">
        <v>6005</v>
      </c>
      <c r="I1184" s="23"/>
      <c r="J1184" s="165" t="s">
        <v>6006</v>
      </c>
      <c r="K1184" s="21"/>
      <c r="L1184" s="21" t="s">
        <v>6359</v>
      </c>
      <c r="M1184" s="26">
        <v>44571</v>
      </c>
      <c r="N1184" s="44">
        <v>4391.5</v>
      </c>
      <c r="O1184" s="22" t="s">
        <v>15</v>
      </c>
      <c r="P1184" s="22">
        <v>4391.5</v>
      </c>
      <c r="Q1184" s="24">
        <f t="shared" si="77"/>
        <v>0</v>
      </c>
      <c r="R1184" s="24">
        <f t="shared" si="75"/>
        <v>4391.5</v>
      </c>
      <c r="S1184" s="5"/>
      <c r="T1184" s="5"/>
    </row>
    <row r="1185" spans="1:20" ht="15.75" hidden="1" x14ac:dyDescent="0.25">
      <c r="B1185" s="21" t="s">
        <v>395</v>
      </c>
      <c r="C1185" s="22" t="s">
        <v>2568</v>
      </c>
      <c r="D1185" s="22"/>
      <c r="E1185" s="21" t="s">
        <v>729</v>
      </c>
      <c r="F1185" s="21"/>
      <c r="G1185" s="147" t="s">
        <v>4000</v>
      </c>
      <c r="H1185" s="23" t="s">
        <v>6022</v>
      </c>
      <c r="I1185" s="23"/>
      <c r="J1185" s="21" t="s">
        <v>6023</v>
      </c>
      <c r="K1185" s="21"/>
      <c r="L1185" s="21" t="s">
        <v>6848</v>
      </c>
      <c r="M1185" s="26" t="s">
        <v>6849</v>
      </c>
      <c r="N1185" s="44">
        <v>7125</v>
      </c>
      <c r="O1185" s="22" t="s">
        <v>341</v>
      </c>
      <c r="P1185" s="22">
        <f>(3.5*125)+(3*125)+(5.25*125)+(38.25*125)+(16*125)+187.5</f>
        <v>8437.5</v>
      </c>
      <c r="Q1185" s="44">
        <f t="shared" si="77"/>
        <v>0</v>
      </c>
      <c r="R1185" s="116">
        <f t="shared" si="75"/>
        <v>8437.5</v>
      </c>
      <c r="S1185" s="5"/>
      <c r="T1185" s="5"/>
    </row>
    <row r="1186" spans="1:20" ht="15.75" hidden="1" x14ac:dyDescent="0.25">
      <c r="A1186" t="s">
        <v>6753</v>
      </c>
      <c r="B1186" s="21" t="s">
        <v>395</v>
      </c>
      <c r="C1186" s="22" t="s">
        <v>3916</v>
      </c>
      <c r="D1186" s="22"/>
      <c r="E1186" s="21" t="s">
        <v>75</v>
      </c>
      <c r="F1186" s="21"/>
      <c r="G1186" s="147" t="s">
        <v>98</v>
      </c>
      <c r="H1186" s="165" t="s">
        <v>6094</v>
      </c>
      <c r="I1186" s="165"/>
      <c r="J1186" s="21" t="s">
        <v>6095</v>
      </c>
      <c r="K1186" s="21"/>
      <c r="L1186" s="21" t="s">
        <v>6361</v>
      </c>
      <c r="M1186" s="26">
        <v>44561</v>
      </c>
      <c r="N1186" s="44">
        <v>1626.96</v>
      </c>
      <c r="O1186" s="22" t="s">
        <v>15</v>
      </c>
      <c r="P1186" s="44">
        <v>1562.91</v>
      </c>
      <c r="Q1186" s="24">
        <v>0</v>
      </c>
      <c r="R1186" s="24">
        <f t="shared" si="75"/>
        <v>1562.91</v>
      </c>
      <c r="S1186" s="5"/>
      <c r="T1186" s="5"/>
    </row>
    <row r="1187" spans="1:20" ht="15.75" hidden="1" x14ac:dyDescent="0.25">
      <c r="A1187" t="s">
        <v>6753</v>
      </c>
      <c r="B1187" s="21" t="s">
        <v>395</v>
      </c>
      <c r="C1187" s="22" t="s">
        <v>3916</v>
      </c>
      <c r="D1187" s="22"/>
      <c r="E1187" s="21" t="s">
        <v>75</v>
      </c>
      <c r="F1187" s="21"/>
      <c r="G1187" s="147" t="s">
        <v>98</v>
      </c>
      <c r="H1187" s="165" t="s">
        <v>6096</v>
      </c>
      <c r="I1187" s="165"/>
      <c r="J1187" s="21" t="s">
        <v>6095</v>
      </c>
      <c r="K1187" s="21"/>
      <c r="L1187" s="21" t="s">
        <v>6361</v>
      </c>
      <c r="M1187" s="26">
        <v>44561</v>
      </c>
      <c r="N1187" s="44">
        <v>764</v>
      </c>
      <c r="O1187" s="22" t="s">
        <v>15</v>
      </c>
      <c r="P1187" s="44">
        <v>560.05999999999995</v>
      </c>
      <c r="Q1187" s="24">
        <v>0</v>
      </c>
      <c r="R1187" s="24">
        <f t="shared" si="75"/>
        <v>560.05999999999995</v>
      </c>
      <c r="S1187" s="5"/>
      <c r="T1187" s="5"/>
    </row>
    <row r="1188" spans="1:20" ht="15.75" hidden="1" x14ac:dyDescent="0.25">
      <c r="A1188" t="s">
        <v>6753</v>
      </c>
      <c r="B1188" s="21" t="s">
        <v>395</v>
      </c>
      <c r="C1188" s="22" t="s">
        <v>3916</v>
      </c>
      <c r="D1188" s="22"/>
      <c r="E1188" s="21" t="s">
        <v>75</v>
      </c>
      <c r="F1188" s="21"/>
      <c r="G1188" s="147" t="s">
        <v>98</v>
      </c>
      <c r="H1188" s="165" t="s">
        <v>6392</v>
      </c>
      <c r="I1188" s="165"/>
      <c r="J1188" s="21" t="s">
        <v>6095</v>
      </c>
      <c r="K1188" s="21"/>
      <c r="L1188" s="21" t="s">
        <v>7380</v>
      </c>
      <c r="M1188" s="26" t="s">
        <v>7381</v>
      </c>
      <c r="N1188" s="44">
        <v>4607.33</v>
      </c>
      <c r="O1188" s="22" t="s">
        <v>15</v>
      </c>
      <c r="P1188" s="44">
        <f>4607.33+129.5</f>
        <v>4736.83</v>
      </c>
      <c r="Q1188" s="24">
        <f t="shared" ref="Q1188:Q1196" si="78">IF(P1188="en cours",N1188,IF(P1188="OK",0,IF(N1188-P1188&lt;0,0,N1188-P1188)))</f>
        <v>0</v>
      </c>
      <c r="R1188" s="24">
        <f t="shared" si="75"/>
        <v>4736.83</v>
      </c>
      <c r="S1188" s="5"/>
      <c r="T1188" s="5"/>
    </row>
    <row r="1189" spans="1:20" ht="15.75" hidden="1" x14ac:dyDescent="0.25">
      <c r="B1189" s="21" t="s">
        <v>395</v>
      </c>
      <c r="C1189" s="22" t="s">
        <v>2450</v>
      </c>
      <c r="D1189" s="22"/>
      <c r="E1189" s="21" t="s">
        <v>10</v>
      </c>
      <c r="F1189" s="21"/>
      <c r="G1189" s="147" t="s">
        <v>4447</v>
      </c>
      <c r="H1189" s="23" t="s">
        <v>6097</v>
      </c>
      <c r="I1189" s="23"/>
      <c r="J1189" s="21" t="s">
        <v>6079</v>
      </c>
      <c r="K1189" s="21"/>
      <c r="L1189" s="21" t="s">
        <v>6131</v>
      </c>
      <c r="M1189" s="26">
        <v>44523</v>
      </c>
      <c r="N1189" s="44">
        <v>16000</v>
      </c>
      <c r="O1189" s="22" t="s">
        <v>15</v>
      </c>
      <c r="P1189" s="44">
        <v>16000</v>
      </c>
      <c r="Q1189" s="24">
        <f t="shared" si="78"/>
        <v>0</v>
      </c>
      <c r="R1189" s="24">
        <f t="shared" si="75"/>
        <v>16000</v>
      </c>
      <c r="S1189" s="5"/>
      <c r="T1189" s="5"/>
    </row>
    <row r="1190" spans="1:20" ht="15.75" hidden="1" x14ac:dyDescent="0.25">
      <c r="B1190" s="21" t="s">
        <v>395</v>
      </c>
      <c r="C1190" s="22" t="s">
        <v>4542</v>
      </c>
      <c r="D1190" s="22"/>
      <c r="E1190" s="21" t="s">
        <v>0</v>
      </c>
      <c r="F1190" s="21"/>
      <c r="G1190" s="147" t="s">
        <v>155</v>
      </c>
      <c r="H1190" s="23" t="s">
        <v>6133</v>
      </c>
      <c r="I1190" s="23"/>
      <c r="J1190" s="21" t="s">
        <v>6134</v>
      </c>
      <c r="K1190" s="21"/>
      <c r="L1190" s="21" t="s">
        <v>6693</v>
      </c>
      <c r="M1190" s="23" t="s">
        <v>6694</v>
      </c>
      <c r="N1190" s="44">
        <v>1800</v>
      </c>
      <c r="O1190" s="22" t="s">
        <v>15</v>
      </c>
      <c r="P1190" s="22">
        <v>1800</v>
      </c>
      <c r="Q1190" s="24">
        <f t="shared" si="78"/>
        <v>0</v>
      </c>
      <c r="R1190" s="24">
        <f t="shared" si="75"/>
        <v>1800</v>
      </c>
      <c r="S1190" s="5"/>
      <c r="T1190" s="5"/>
    </row>
    <row r="1191" spans="1:20" ht="15.75" hidden="1" x14ac:dyDescent="0.25">
      <c r="B1191" s="21" t="s">
        <v>395</v>
      </c>
      <c r="C1191" s="22" t="s">
        <v>2461</v>
      </c>
      <c r="D1191" s="22"/>
      <c r="E1191" s="21" t="s">
        <v>75</v>
      </c>
      <c r="F1191" s="21"/>
      <c r="G1191" s="147" t="s">
        <v>2366</v>
      </c>
      <c r="H1191" s="23" t="s">
        <v>6140</v>
      </c>
      <c r="I1191" s="23"/>
      <c r="J1191" s="21" t="s">
        <v>6141</v>
      </c>
      <c r="K1191" s="13"/>
      <c r="L1191" s="120" t="s">
        <v>6216</v>
      </c>
      <c r="M1191" s="26">
        <v>44530</v>
      </c>
      <c r="N1191" s="44">
        <v>2956.1</v>
      </c>
      <c r="O1191" s="22" t="s">
        <v>15</v>
      </c>
      <c r="P1191" s="22" t="s">
        <v>19</v>
      </c>
      <c r="Q1191" s="44">
        <f t="shared" si="78"/>
        <v>0</v>
      </c>
      <c r="R1191" s="116">
        <f t="shared" si="75"/>
        <v>2956.1</v>
      </c>
      <c r="S1191" s="5"/>
      <c r="T1191" s="5"/>
    </row>
    <row r="1192" spans="1:20" ht="17.25" hidden="1" customHeight="1" x14ac:dyDescent="0.25">
      <c r="B1192" s="21" t="s">
        <v>395</v>
      </c>
      <c r="C1192" s="22" t="s">
        <v>2450</v>
      </c>
      <c r="D1192" s="22"/>
      <c r="E1192" s="21" t="s">
        <v>0</v>
      </c>
      <c r="F1192" s="21"/>
      <c r="G1192" s="147" t="s">
        <v>155</v>
      </c>
      <c r="H1192" s="23" t="s">
        <v>6225</v>
      </c>
      <c r="I1192" s="23"/>
      <c r="J1192" s="21" t="s">
        <v>6226</v>
      </c>
      <c r="K1192" s="21"/>
      <c r="L1192" s="21" t="s">
        <v>6330</v>
      </c>
      <c r="M1192" s="26">
        <v>44561</v>
      </c>
      <c r="N1192" s="44">
        <v>1800</v>
      </c>
      <c r="O1192" s="22" t="s">
        <v>15</v>
      </c>
      <c r="P1192" s="22">
        <v>1800</v>
      </c>
      <c r="Q1192" s="24">
        <f t="shared" si="78"/>
        <v>0</v>
      </c>
      <c r="R1192" s="24">
        <f t="shared" si="75"/>
        <v>1800</v>
      </c>
      <c r="S1192" s="5"/>
      <c r="T1192" s="5"/>
    </row>
    <row r="1193" spans="1:20" ht="15.75" hidden="1" x14ac:dyDescent="0.25">
      <c r="B1193" s="21" t="s">
        <v>395</v>
      </c>
      <c r="C1193" s="22" t="s">
        <v>2450</v>
      </c>
      <c r="D1193" s="22"/>
      <c r="E1193" s="21" t="s">
        <v>0</v>
      </c>
      <c r="F1193" s="21"/>
      <c r="G1193" s="147" t="s">
        <v>995</v>
      </c>
      <c r="H1193" s="107" t="s">
        <v>6228</v>
      </c>
      <c r="I1193" s="107"/>
      <c r="J1193" s="21" t="s">
        <v>6227</v>
      </c>
      <c r="K1193" s="21"/>
      <c r="L1193" s="21" t="s">
        <v>6250</v>
      </c>
      <c r="M1193" s="26">
        <v>44544</v>
      </c>
      <c r="N1193" s="44">
        <v>2500</v>
      </c>
      <c r="O1193" s="22" t="s">
        <v>15</v>
      </c>
      <c r="P1193" s="44">
        <v>2500</v>
      </c>
      <c r="Q1193" s="24">
        <f t="shared" si="78"/>
        <v>0</v>
      </c>
      <c r="R1193" s="24">
        <f t="shared" si="75"/>
        <v>2500</v>
      </c>
      <c r="S1193" s="5"/>
      <c r="T1193" s="5"/>
    </row>
    <row r="1194" spans="1:20" ht="15.75" hidden="1" x14ac:dyDescent="0.25">
      <c r="B1194" s="21" t="s">
        <v>395</v>
      </c>
      <c r="C1194" s="22" t="s">
        <v>2427</v>
      </c>
      <c r="D1194" s="22"/>
      <c r="E1194" s="21" t="s">
        <v>0</v>
      </c>
      <c r="F1194" s="21"/>
      <c r="G1194" s="147" t="s">
        <v>1241</v>
      </c>
      <c r="H1194" s="23" t="s">
        <v>6231</v>
      </c>
      <c r="I1194" s="23"/>
      <c r="J1194" s="21" t="s">
        <v>6232</v>
      </c>
      <c r="K1194" s="21"/>
      <c r="L1194" s="21" t="s">
        <v>6310</v>
      </c>
      <c r="M1194" s="26">
        <v>44551</v>
      </c>
      <c r="N1194" s="44">
        <v>7000</v>
      </c>
      <c r="O1194" s="22" t="s">
        <v>15</v>
      </c>
      <c r="P1194" s="22">
        <v>7000</v>
      </c>
      <c r="Q1194" s="24">
        <f t="shared" si="78"/>
        <v>0</v>
      </c>
      <c r="R1194" s="24">
        <f t="shared" si="75"/>
        <v>7000</v>
      </c>
      <c r="S1194" s="5"/>
      <c r="T1194" s="5"/>
    </row>
    <row r="1195" spans="1:20" ht="15.75" hidden="1" x14ac:dyDescent="0.25">
      <c r="B1195" s="21"/>
      <c r="C1195" s="22" t="s">
        <v>2450</v>
      </c>
      <c r="D1195" s="22"/>
      <c r="E1195" s="21" t="s">
        <v>75</v>
      </c>
      <c r="F1195" s="21"/>
      <c r="G1195" s="147" t="s">
        <v>6341</v>
      </c>
      <c r="H1195" s="107" t="s">
        <v>6342</v>
      </c>
      <c r="I1195" s="107"/>
      <c r="J1195" s="21" t="s">
        <v>6343</v>
      </c>
      <c r="K1195" s="21"/>
      <c r="L1195" s="21" t="s">
        <v>7293</v>
      </c>
      <c r="M1195" s="26" t="s">
        <v>7294</v>
      </c>
      <c r="N1195" s="44">
        <v>10500</v>
      </c>
      <c r="O1195" s="22" t="s">
        <v>15</v>
      </c>
      <c r="P1195" s="44">
        <f>5425+6650+6825+4900+3675+5775</f>
        <v>33250</v>
      </c>
      <c r="Q1195" s="24">
        <f t="shared" si="78"/>
        <v>0</v>
      </c>
      <c r="R1195" s="24">
        <f t="shared" si="75"/>
        <v>33250</v>
      </c>
      <c r="S1195" s="5"/>
      <c r="T1195" s="5"/>
    </row>
    <row r="1196" spans="1:20" ht="15.75" hidden="1" x14ac:dyDescent="0.25">
      <c r="B1196" s="21" t="s">
        <v>395</v>
      </c>
      <c r="C1196" s="22" t="s">
        <v>6395</v>
      </c>
      <c r="D1196" s="22"/>
      <c r="E1196" s="21" t="s">
        <v>10</v>
      </c>
      <c r="F1196" s="21"/>
      <c r="G1196" s="147" t="s">
        <v>6393</v>
      </c>
      <c r="H1196" s="23" t="s">
        <v>6396</v>
      </c>
      <c r="I1196" s="23"/>
      <c r="J1196" s="21" t="s">
        <v>6394</v>
      </c>
      <c r="K1196" s="21"/>
      <c r="L1196" s="21" t="s">
        <v>6748</v>
      </c>
      <c r="M1196" s="23" t="s">
        <v>6749</v>
      </c>
      <c r="N1196" s="44">
        <v>1011.2</v>
      </c>
      <c r="O1196" s="22" t="s">
        <v>15</v>
      </c>
      <c r="P1196" s="44">
        <f>404.4+101.1+(404.4+101.1)+303.3</f>
        <v>1314.3</v>
      </c>
      <c r="Q1196" s="44">
        <f t="shared" si="78"/>
        <v>0</v>
      </c>
      <c r="R1196" s="24">
        <f t="shared" si="75"/>
        <v>1314.3</v>
      </c>
      <c r="S1196" s="5"/>
      <c r="T1196" s="5"/>
    </row>
    <row r="1197" spans="1:20" ht="15.75" hidden="1" x14ac:dyDescent="0.25">
      <c r="B1197" s="21" t="s">
        <v>395</v>
      </c>
      <c r="C1197" s="22" t="s">
        <v>6395</v>
      </c>
      <c r="D1197" s="22"/>
      <c r="E1197" s="21" t="s">
        <v>10</v>
      </c>
      <c r="F1197" s="21"/>
      <c r="G1197" s="147" t="s">
        <v>6393</v>
      </c>
      <c r="H1197" s="23" t="s">
        <v>6397</v>
      </c>
      <c r="I1197" s="23"/>
      <c r="J1197" s="21" t="s">
        <v>6394</v>
      </c>
      <c r="K1197" s="21"/>
      <c r="L1197" s="21" t="s">
        <v>6750</v>
      </c>
      <c r="M1197" s="23" t="s">
        <v>6751</v>
      </c>
      <c r="N1197" s="44">
        <v>505.5</v>
      </c>
      <c r="O1197" s="22" t="s">
        <v>15</v>
      </c>
      <c r="P1197" s="44">
        <f>50.55+101.1+252.75</f>
        <v>404.4</v>
      </c>
      <c r="Q1197" s="44">
        <v>0</v>
      </c>
      <c r="R1197" s="24">
        <f t="shared" si="75"/>
        <v>404.4</v>
      </c>
      <c r="S1197" s="5" t="s">
        <v>7301</v>
      </c>
      <c r="T1197" s="5"/>
    </row>
    <row r="1198" spans="1:20" ht="15.75" hidden="1" x14ac:dyDescent="0.25">
      <c r="A1198" t="s">
        <v>6753</v>
      </c>
      <c r="B1198" s="21" t="s">
        <v>395</v>
      </c>
      <c r="C1198" s="22" t="s">
        <v>2450</v>
      </c>
      <c r="D1198" s="22"/>
      <c r="E1198" s="21" t="s">
        <v>729</v>
      </c>
      <c r="F1198" s="21"/>
      <c r="G1198" s="147" t="s">
        <v>6415</v>
      </c>
      <c r="H1198" s="23" t="s">
        <v>6417</v>
      </c>
      <c r="I1198" s="23"/>
      <c r="J1198" s="21" t="s">
        <v>6416</v>
      </c>
      <c r="K1198" s="21"/>
      <c r="L1198" s="21" t="s">
        <v>6858</v>
      </c>
      <c r="M1198" s="26">
        <v>44741</v>
      </c>
      <c r="N1198" s="44">
        <v>4400</v>
      </c>
      <c r="O1198" s="22" t="s">
        <v>15</v>
      </c>
      <c r="P1198" s="44">
        <v>4400</v>
      </c>
      <c r="Q1198" s="24">
        <f t="shared" ref="Q1198:Q1199" si="79">IF(P1198="en cours",N1198,IF(P1198="OK",0,IF(N1198-P1198&lt;0,0,N1198-P1198)))</f>
        <v>0</v>
      </c>
      <c r="R1198" s="24">
        <f t="shared" si="75"/>
        <v>4400</v>
      </c>
      <c r="S1198" s="5"/>
      <c r="T1198" s="5"/>
    </row>
    <row r="1199" spans="1:20" ht="15.75" hidden="1" x14ac:dyDescent="0.25">
      <c r="A1199" t="s">
        <v>6753</v>
      </c>
      <c r="B1199" s="21" t="s">
        <v>395</v>
      </c>
      <c r="C1199" s="22" t="s">
        <v>1940</v>
      </c>
      <c r="D1199" s="22"/>
      <c r="E1199" s="21" t="s">
        <v>75</v>
      </c>
      <c r="F1199" s="21"/>
      <c r="G1199" s="147" t="s">
        <v>98</v>
      </c>
      <c r="H1199" s="23" t="s">
        <v>6489</v>
      </c>
      <c r="I1199" s="23"/>
      <c r="J1199" s="21" t="s">
        <v>6095</v>
      </c>
      <c r="K1199" s="21"/>
      <c r="L1199" s="21" t="s">
        <v>6647</v>
      </c>
      <c r="M1199" s="26">
        <v>44651</v>
      </c>
      <c r="N1199" s="44">
        <v>1469.73</v>
      </c>
      <c r="O1199" s="22" t="s">
        <v>15</v>
      </c>
      <c r="P1199" s="44">
        <f>1469.73</f>
        <v>1469.73</v>
      </c>
      <c r="Q1199" s="24">
        <f t="shared" si="79"/>
        <v>0</v>
      </c>
      <c r="R1199" s="24">
        <f t="shared" si="75"/>
        <v>1469.73</v>
      </c>
      <c r="S1199" s="5"/>
      <c r="T1199" s="5"/>
    </row>
    <row r="1200" spans="1:20" ht="15.75" hidden="1" x14ac:dyDescent="0.25">
      <c r="A1200" t="s">
        <v>6753</v>
      </c>
      <c r="B1200" s="21" t="s">
        <v>395</v>
      </c>
      <c r="C1200" s="22" t="s">
        <v>2461</v>
      </c>
      <c r="D1200" s="22"/>
      <c r="E1200" s="21" t="s">
        <v>75</v>
      </c>
      <c r="F1200" s="21"/>
      <c r="G1200" s="147" t="s">
        <v>98</v>
      </c>
      <c r="H1200" s="23" t="s">
        <v>6490</v>
      </c>
      <c r="I1200" s="23"/>
      <c r="J1200" s="21" t="s">
        <v>6095</v>
      </c>
      <c r="K1200" s="21"/>
      <c r="L1200" s="21" t="s">
        <v>6648</v>
      </c>
      <c r="M1200" s="26">
        <v>44651</v>
      </c>
      <c r="N1200" s="44">
        <v>2483.5</v>
      </c>
      <c r="O1200" s="22" t="s">
        <v>15</v>
      </c>
      <c r="P1200" s="44">
        <v>2437.67</v>
      </c>
      <c r="Q1200" s="24">
        <v>0</v>
      </c>
      <c r="R1200" s="24">
        <f t="shared" si="75"/>
        <v>2437.67</v>
      </c>
      <c r="S1200" s="5"/>
      <c r="T1200" s="5"/>
    </row>
    <row r="1201" spans="1:20" ht="15.75" hidden="1" x14ac:dyDescent="0.25">
      <c r="A1201" t="s">
        <v>6753</v>
      </c>
      <c r="B1201" s="21" t="s">
        <v>395</v>
      </c>
      <c r="C1201" s="22" t="s">
        <v>158</v>
      </c>
      <c r="D1201" s="22"/>
      <c r="E1201" s="21" t="s">
        <v>10</v>
      </c>
      <c r="F1201" s="21"/>
      <c r="G1201" s="147" t="s">
        <v>98</v>
      </c>
      <c r="H1201" s="107" t="s">
        <v>6479</v>
      </c>
      <c r="I1201" s="107"/>
      <c r="J1201" s="21" t="s">
        <v>6480</v>
      </c>
      <c r="K1201" s="21"/>
      <c r="L1201" s="21" t="s">
        <v>6491</v>
      </c>
      <c r="M1201" s="26">
        <v>44591</v>
      </c>
      <c r="N1201" s="44">
        <v>7324.09</v>
      </c>
      <c r="O1201" s="22" t="s">
        <v>15</v>
      </c>
      <c r="P1201" s="44">
        <v>7324.09</v>
      </c>
      <c r="Q1201" s="24">
        <f t="shared" ref="Q1201:Q1248" si="80">IF(P1201="en cours",N1201,IF(P1201="OK",0,IF(N1201-P1201&lt;0,0,N1201-P1201)))</f>
        <v>0</v>
      </c>
      <c r="R1201" s="24">
        <f t="shared" si="75"/>
        <v>7324.09</v>
      </c>
      <c r="S1201" s="5"/>
      <c r="T1201" s="5"/>
    </row>
    <row r="1202" spans="1:20" ht="15.75" hidden="1" x14ac:dyDescent="0.25">
      <c r="A1202" t="s">
        <v>6753</v>
      </c>
      <c r="B1202" s="21" t="s">
        <v>395</v>
      </c>
      <c r="C1202" s="22" t="s">
        <v>2421</v>
      </c>
      <c r="D1202" s="22"/>
      <c r="E1202" s="21" t="s">
        <v>75</v>
      </c>
      <c r="F1202" s="21"/>
      <c r="G1202" s="147" t="s">
        <v>98</v>
      </c>
      <c r="H1202" s="107" t="s">
        <v>6481</v>
      </c>
      <c r="I1202" s="107"/>
      <c r="J1202" s="21" t="s">
        <v>6480</v>
      </c>
      <c r="K1202" s="21"/>
      <c r="L1202" s="21" t="s">
        <v>6494</v>
      </c>
      <c r="M1202" s="26">
        <v>44591</v>
      </c>
      <c r="N1202" s="44">
        <v>441.84</v>
      </c>
      <c r="O1202" s="22" t="s">
        <v>15</v>
      </c>
      <c r="P1202" s="44">
        <v>441.84</v>
      </c>
      <c r="Q1202" s="24">
        <f t="shared" si="80"/>
        <v>0</v>
      </c>
      <c r="R1202" s="24">
        <f t="shared" si="75"/>
        <v>441.84</v>
      </c>
      <c r="S1202" s="5"/>
      <c r="T1202" s="5"/>
    </row>
    <row r="1203" spans="1:20" ht="15.75" hidden="1" x14ac:dyDescent="0.25">
      <c r="A1203" t="s">
        <v>6753</v>
      </c>
      <c r="B1203" s="21" t="s">
        <v>395</v>
      </c>
      <c r="C1203" s="22" t="s">
        <v>2462</v>
      </c>
      <c r="D1203" s="22"/>
      <c r="E1203" s="21" t="s">
        <v>75</v>
      </c>
      <c r="F1203" s="21"/>
      <c r="G1203" s="147" t="s">
        <v>98</v>
      </c>
      <c r="H1203" s="107" t="s">
        <v>6482</v>
      </c>
      <c r="I1203" s="107"/>
      <c r="J1203" s="21" t="s">
        <v>6480</v>
      </c>
      <c r="K1203" s="21"/>
      <c r="L1203" s="21" t="s">
        <v>6495</v>
      </c>
      <c r="M1203" s="26">
        <v>44591</v>
      </c>
      <c r="N1203" s="44">
        <v>5598.12</v>
      </c>
      <c r="O1203" s="22" t="s">
        <v>15</v>
      </c>
      <c r="P1203" s="44">
        <v>5598.12</v>
      </c>
      <c r="Q1203" s="24">
        <f t="shared" si="80"/>
        <v>0</v>
      </c>
      <c r="R1203" s="24">
        <f t="shared" si="75"/>
        <v>5598.12</v>
      </c>
      <c r="S1203" s="5"/>
      <c r="T1203" s="5"/>
    </row>
    <row r="1204" spans="1:20" ht="15.75" hidden="1" x14ac:dyDescent="0.25">
      <c r="A1204" t="s">
        <v>6753</v>
      </c>
      <c r="B1204" s="21" t="s">
        <v>395</v>
      </c>
      <c r="C1204" s="22" t="s">
        <v>2452</v>
      </c>
      <c r="D1204" s="22"/>
      <c r="E1204" s="21" t="s">
        <v>75</v>
      </c>
      <c r="F1204" s="21"/>
      <c r="G1204" s="147" t="s">
        <v>98</v>
      </c>
      <c r="H1204" s="107" t="s">
        <v>6483</v>
      </c>
      <c r="I1204" s="107"/>
      <c r="J1204" s="21" t="s">
        <v>6480</v>
      </c>
      <c r="K1204" s="21"/>
      <c r="L1204" s="21" t="s">
        <v>6496</v>
      </c>
      <c r="M1204" s="26">
        <v>44591</v>
      </c>
      <c r="N1204" s="44">
        <v>2699.76</v>
      </c>
      <c r="O1204" s="22" t="s">
        <v>15</v>
      </c>
      <c r="P1204" s="44">
        <v>2699.76</v>
      </c>
      <c r="Q1204" s="24">
        <f t="shared" si="80"/>
        <v>0</v>
      </c>
      <c r="R1204" s="24">
        <f t="shared" si="75"/>
        <v>2699.76</v>
      </c>
      <c r="S1204" s="5"/>
      <c r="T1204" s="5"/>
    </row>
    <row r="1205" spans="1:20" ht="15.75" hidden="1" x14ac:dyDescent="0.25">
      <c r="A1205" t="s">
        <v>6753</v>
      </c>
      <c r="B1205" s="21" t="s">
        <v>395</v>
      </c>
      <c r="C1205" s="22" t="s">
        <v>2450</v>
      </c>
      <c r="D1205" s="22"/>
      <c r="E1205" s="21" t="s">
        <v>75</v>
      </c>
      <c r="F1205" s="21"/>
      <c r="G1205" s="147" t="s">
        <v>98</v>
      </c>
      <c r="H1205" s="107" t="s">
        <v>6484</v>
      </c>
      <c r="I1205" s="107"/>
      <c r="J1205" s="21" t="s">
        <v>6480</v>
      </c>
      <c r="K1205" s="21"/>
      <c r="L1205" s="21" t="s">
        <v>6498</v>
      </c>
      <c r="M1205" s="26">
        <v>44591</v>
      </c>
      <c r="N1205" s="44">
        <v>3221.64</v>
      </c>
      <c r="O1205" s="22" t="s">
        <v>15</v>
      </c>
      <c r="P1205" s="44">
        <v>3221.64</v>
      </c>
      <c r="Q1205" s="24">
        <f t="shared" si="80"/>
        <v>0</v>
      </c>
      <c r="R1205" s="24">
        <f t="shared" si="75"/>
        <v>3221.64</v>
      </c>
      <c r="S1205" s="5"/>
      <c r="T1205" s="5"/>
    </row>
    <row r="1206" spans="1:20" ht="15.75" hidden="1" x14ac:dyDescent="0.25">
      <c r="A1206" t="s">
        <v>6753</v>
      </c>
      <c r="B1206" s="21" t="s">
        <v>395</v>
      </c>
      <c r="C1206" s="22" t="s">
        <v>2453</v>
      </c>
      <c r="D1206" s="22"/>
      <c r="E1206" s="21" t="s">
        <v>75</v>
      </c>
      <c r="F1206" s="21"/>
      <c r="G1206" s="147" t="s">
        <v>98</v>
      </c>
      <c r="H1206" s="107" t="s">
        <v>6485</v>
      </c>
      <c r="I1206" s="107"/>
      <c r="J1206" s="21" t="s">
        <v>6480</v>
      </c>
      <c r="K1206" s="21"/>
      <c r="L1206" s="21" t="s">
        <v>6493</v>
      </c>
      <c r="M1206" s="26">
        <v>44591</v>
      </c>
      <c r="N1206" s="44">
        <v>1251.48</v>
      </c>
      <c r="O1206" s="22" t="s">
        <v>15</v>
      </c>
      <c r="P1206" s="44">
        <v>1251.48</v>
      </c>
      <c r="Q1206" s="24">
        <f t="shared" si="80"/>
        <v>0</v>
      </c>
      <c r="R1206" s="24">
        <f t="shared" si="75"/>
        <v>1251.48</v>
      </c>
      <c r="S1206" s="5"/>
      <c r="T1206" s="5"/>
    </row>
    <row r="1207" spans="1:20" ht="15.75" hidden="1" x14ac:dyDescent="0.25">
      <c r="A1207" t="s">
        <v>6753</v>
      </c>
      <c r="B1207" s="21" t="s">
        <v>395</v>
      </c>
      <c r="C1207" s="22" t="s">
        <v>3916</v>
      </c>
      <c r="D1207" s="22"/>
      <c r="E1207" s="21" t="s">
        <v>75</v>
      </c>
      <c r="F1207" s="21"/>
      <c r="G1207" s="147" t="s">
        <v>98</v>
      </c>
      <c r="H1207" s="107" t="s">
        <v>6486</v>
      </c>
      <c r="I1207" s="107"/>
      <c r="J1207" s="21" t="s">
        <v>6480</v>
      </c>
      <c r="K1207" s="21"/>
      <c r="L1207" s="21" t="s">
        <v>6499</v>
      </c>
      <c r="M1207" s="26">
        <v>44591</v>
      </c>
      <c r="N1207" s="44">
        <v>7614.72</v>
      </c>
      <c r="O1207" s="22" t="s">
        <v>15</v>
      </c>
      <c r="P1207" s="44">
        <v>7614.72</v>
      </c>
      <c r="Q1207" s="24">
        <f t="shared" si="80"/>
        <v>0</v>
      </c>
      <c r="R1207" s="24">
        <f t="shared" si="75"/>
        <v>7614.72</v>
      </c>
      <c r="S1207" s="5"/>
      <c r="T1207" s="5"/>
    </row>
    <row r="1208" spans="1:20" ht="15.75" hidden="1" x14ac:dyDescent="0.25">
      <c r="A1208" t="s">
        <v>6753</v>
      </c>
      <c r="B1208" s="21" t="s">
        <v>395</v>
      </c>
      <c r="C1208" s="22" t="s">
        <v>2456</v>
      </c>
      <c r="D1208" s="22"/>
      <c r="E1208" s="21" t="s">
        <v>75</v>
      </c>
      <c r="F1208" s="21"/>
      <c r="G1208" s="147" t="s">
        <v>98</v>
      </c>
      <c r="H1208" s="107" t="s">
        <v>6487</v>
      </c>
      <c r="I1208" s="107"/>
      <c r="J1208" s="21" t="s">
        <v>6480</v>
      </c>
      <c r="K1208" s="21"/>
      <c r="L1208" s="21" t="s">
        <v>6492</v>
      </c>
      <c r="M1208" s="26">
        <v>44591</v>
      </c>
      <c r="N1208" s="44">
        <v>2264.2800000000002</v>
      </c>
      <c r="O1208" s="22" t="s">
        <v>15</v>
      </c>
      <c r="P1208" s="44">
        <v>2264.2800000000002</v>
      </c>
      <c r="Q1208" s="24">
        <f t="shared" si="80"/>
        <v>0</v>
      </c>
      <c r="R1208" s="24">
        <f t="shared" si="75"/>
        <v>2264.2800000000002</v>
      </c>
      <c r="S1208" s="5"/>
      <c r="T1208" s="5"/>
    </row>
    <row r="1209" spans="1:20" ht="15.75" hidden="1" x14ac:dyDescent="0.25">
      <c r="A1209" t="s">
        <v>6753</v>
      </c>
      <c r="B1209" s="21" t="s">
        <v>395</v>
      </c>
      <c r="C1209" s="22" t="s">
        <v>1940</v>
      </c>
      <c r="D1209" s="22"/>
      <c r="E1209" s="21" t="s">
        <v>75</v>
      </c>
      <c r="F1209" s="21"/>
      <c r="G1209" s="147" t="s">
        <v>98</v>
      </c>
      <c r="H1209" s="107" t="s">
        <v>6488</v>
      </c>
      <c r="I1209" s="107"/>
      <c r="J1209" s="21" t="s">
        <v>6480</v>
      </c>
      <c r="K1209" s="21"/>
      <c r="L1209" s="21" t="s">
        <v>6497</v>
      </c>
      <c r="M1209" s="26">
        <v>44591</v>
      </c>
      <c r="N1209" s="44">
        <v>565.20000000000005</v>
      </c>
      <c r="O1209" s="22" t="s">
        <v>15</v>
      </c>
      <c r="P1209" s="44">
        <v>565.20000000000005</v>
      </c>
      <c r="Q1209" s="24">
        <f t="shared" si="80"/>
        <v>0</v>
      </c>
      <c r="R1209" s="24">
        <f t="shared" si="75"/>
        <v>565.20000000000005</v>
      </c>
      <c r="S1209" s="5"/>
      <c r="T1209" s="5"/>
    </row>
    <row r="1210" spans="1:20" ht="15.75" hidden="1" x14ac:dyDescent="0.25">
      <c r="B1210" s="21" t="s">
        <v>395</v>
      </c>
      <c r="C1210" s="22" t="s">
        <v>2450</v>
      </c>
      <c r="D1210" s="22"/>
      <c r="E1210" s="21" t="s">
        <v>0</v>
      </c>
      <c r="F1210" s="21"/>
      <c r="G1210" s="147" t="s">
        <v>6500</v>
      </c>
      <c r="H1210" s="23" t="s">
        <v>6501</v>
      </c>
      <c r="I1210" s="23"/>
      <c r="J1210" s="21" t="s">
        <v>6502</v>
      </c>
      <c r="K1210" s="21"/>
      <c r="L1210" s="21" t="s">
        <v>6689</v>
      </c>
      <c r="M1210" s="26">
        <v>44663</v>
      </c>
      <c r="N1210" s="44">
        <v>2957</v>
      </c>
      <c r="O1210" s="22" t="s">
        <v>276</v>
      </c>
      <c r="P1210" s="22">
        <v>3237.25</v>
      </c>
      <c r="Q1210" s="24">
        <f t="shared" si="80"/>
        <v>0</v>
      </c>
      <c r="R1210" s="24">
        <f t="shared" si="75"/>
        <v>3237.25</v>
      </c>
      <c r="S1210" s="5"/>
      <c r="T1210" s="5"/>
    </row>
    <row r="1211" spans="1:20" ht="15.75" hidden="1" x14ac:dyDescent="0.25">
      <c r="B1211" s="21" t="s">
        <v>395</v>
      </c>
      <c r="C1211" s="22" t="s">
        <v>2450</v>
      </c>
      <c r="D1211" s="22"/>
      <c r="E1211" s="21" t="s">
        <v>0</v>
      </c>
      <c r="F1211" s="21"/>
      <c r="G1211" s="147" t="s">
        <v>3862</v>
      </c>
      <c r="H1211" s="23" t="s">
        <v>6503</v>
      </c>
      <c r="I1211" s="23"/>
      <c r="J1211" s="21" t="s">
        <v>6504</v>
      </c>
      <c r="K1211" s="21"/>
      <c r="L1211" s="21" t="s">
        <v>6572</v>
      </c>
      <c r="M1211" s="26">
        <v>44628</v>
      </c>
      <c r="N1211" s="44">
        <v>510</v>
      </c>
      <c r="O1211" s="22" t="s">
        <v>15</v>
      </c>
      <c r="P1211" s="44">
        <v>510</v>
      </c>
      <c r="Q1211" s="44">
        <f t="shared" si="80"/>
        <v>0</v>
      </c>
      <c r="R1211" s="44">
        <f t="shared" si="75"/>
        <v>510</v>
      </c>
      <c r="S1211" s="5"/>
      <c r="T1211" s="5"/>
    </row>
    <row r="1212" spans="1:20" ht="15.75" hidden="1" x14ac:dyDescent="0.25">
      <c r="B1212" s="21" t="s">
        <v>395</v>
      </c>
      <c r="C1212" s="22" t="s">
        <v>2450</v>
      </c>
      <c r="D1212" s="22"/>
      <c r="E1212" s="21" t="s">
        <v>10</v>
      </c>
      <c r="F1212" s="21"/>
      <c r="G1212" s="147" t="s">
        <v>6506</v>
      </c>
      <c r="H1212" s="23" t="s">
        <v>6578</v>
      </c>
      <c r="I1212" s="23"/>
      <c r="J1212" s="21" t="s">
        <v>6507</v>
      </c>
      <c r="K1212" s="21"/>
      <c r="L1212" s="21" t="s">
        <v>6619</v>
      </c>
      <c r="M1212" s="26" t="s">
        <v>6620</v>
      </c>
      <c r="N1212" s="44">
        <v>997.15</v>
      </c>
      <c r="O1212" s="22" t="s">
        <v>15</v>
      </c>
      <c r="P1212" s="44">
        <f>183.75+813.4</f>
        <v>997.15</v>
      </c>
      <c r="Q1212" s="44">
        <f t="shared" si="80"/>
        <v>0</v>
      </c>
      <c r="R1212" s="24">
        <f t="shared" si="75"/>
        <v>997.15</v>
      </c>
      <c r="S1212" s="5"/>
      <c r="T1212" s="5"/>
    </row>
    <row r="1213" spans="1:20" ht="15.75" hidden="1" x14ac:dyDescent="0.25">
      <c r="A1213" t="s">
        <v>6753</v>
      </c>
      <c r="B1213" s="21" t="s">
        <v>395</v>
      </c>
      <c r="C1213" s="22" t="s">
        <v>2450</v>
      </c>
      <c r="D1213" s="22"/>
      <c r="E1213" s="21" t="s">
        <v>10</v>
      </c>
      <c r="F1213" s="21"/>
      <c r="G1213" s="147" t="s">
        <v>6508</v>
      </c>
      <c r="H1213" s="23" t="s">
        <v>6509</v>
      </c>
      <c r="I1213" s="23"/>
      <c r="J1213" s="21" t="s">
        <v>6510</v>
      </c>
      <c r="K1213" s="21"/>
      <c r="L1213" s="21" t="s">
        <v>6542</v>
      </c>
      <c r="M1213" s="26">
        <v>44622</v>
      </c>
      <c r="N1213" s="44">
        <v>483</v>
      </c>
      <c r="O1213" s="22" t="s">
        <v>15</v>
      </c>
      <c r="P1213" s="44">
        <v>483</v>
      </c>
      <c r="Q1213" s="44">
        <f t="shared" si="80"/>
        <v>0</v>
      </c>
      <c r="R1213" s="24">
        <f t="shared" ref="R1213:R1248" si="81">IF(P1213="OK",N1213-Q1213,IF(P1213="en cours",N1213-Q1213,P1213))</f>
        <v>483</v>
      </c>
      <c r="S1213" s="5"/>
      <c r="T1213" s="5"/>
    </row>
    <row r="1214" spans="1:20" ht="15.75" hidden="1" x14ac:dyDescent="0.25">
      <c r="B1214" s="21" t="s">
        <v>395</v>
      </c>
      <c r="C1214" s="22" t="s">
        <v>2450</v>
      </c>
      <c r="D1214" s="22"/>
      <c r="E1214" s="21" t="s">
        <v>0</v>
      </c>
      <c r="F1214" s="21"/>
      <c r="G1214" s="147" t="s">
        <v>3862</v>
      </c>
      <c r="H1214" s="23" t="s">
        <v>7270</v>
      </c>
      <c r="I1214" s="23"/>
      <c r="J1214" s="21" t="s">
        <v>6504</v>
      </c>
      <c r="K1214" s="21"/>
      <c r="L1214" s="21" t="s">
        <v>6573</v>
      </c>
      <c r="M1214" s="26">
        <v>44628</v>
      </c>
      <c r="N1214" s="44">
        <v>606</v>
      </c>
      <c r="O1214" s="22" t="s">
        <v>15</v>
      </c>
      <c r="P1214" s="44">
        <v>606</v>
      </c>
      <c r="Q1214" s="24">
        <f t="shared" si="80"/>
        <v>0</v>
      </c>
      <c r="R1214" s="24">
        <f t="shared" si="81"/>
        <v>606</v>
      </c>
      <c r="S1214" s="5"/>
      <c r="T1214" s="5"/>
    </row>
    <row r="1215" spans="1:20" ht="15.75" hidden="1" x14ac:dyDescent="0.25">
      <c r="B1215" s="21" t="s">
        <v>395</v>
      </c>
      <c r="C1215" s="22" t="s">
        <v>2450</v>
      </c>
      <c r="D1215" s="22"/>
      <c r="E1215" s="21" t="s">
        <v>10</v>
      </c>
      <c r="F1215" s="21"/>
      <c r="G1215" s="147" t="s">
        <v>6546</v>
      </c>
      <c r="H1215" s="23" t="s">
        <v>6547</v>
      </c>
      <c r="I1215" s="23"/>
      <c r="J1215" s="21" t="s">
        <v>6548</v>
      </c>
      <c r="K1215" s="21"/>
      <c r="L1215" s="21" t="s">
        <v>6618</v>
      </c>
      <c r="M1215" s="26">
        <v>44636</v>
      </c>
      <c r="N1215" s="44">
        <v>436.05</v>
      </c>
      <c r="O1215" s="22" t="s">
        <v>15</v>
      </c>
      <c r="P1215" s="44">
        <v>436.05</v>
      </c>
      <c r="Q1215" s="24">
        <f t="shared" si="80"/>
        <v>0</v>
      </c>
      <c r="R1215" s="24">
        <f t="shared" si="81"/>
        <v>436.05</v>
      </c>
      <c r="S1215" s="5"/>
      <c r="T1215" s="5"/>
    </row>
    <row r="1216" spans="1:20" ht="15.75" hidden="1" x14ac:dyDescent="0.25">
      <c r="A1216" t="s">
        <v>6753</v>
      </c>
      <c r="B1216" s="21" t="s">
        <v>395</v>
      </c>
      <c r="C1216" s="22" t="s">
        <v>2450</v>
      </c>
      <c r="D1216" s="22" t="s">
        <v>6549</v>
      </c>
      <c r="E1216" s="21" t="s">
        <v>10</v>
      </c>
      <c r="F1216" s="21"/>
      <c r="G1216" s="147" t="s">
        <v>1090</v>
      </c>
      <c r="H1216" s="23" t="s">
        <v>6550</v>
      </c>
      <c r="I1216" s="23"/>
      <c r="J1216" s="21" t="s">
        <v>6557</v>
      </c>
      <c r="K1216" s="21"/>
      <c r="L1216" s="21" t="s">
        <v>6558</v>
      </c>
      <c r="M1216" s="26">
        <v>44622</v>
      </c>
      <c r="N1216" s="44">
        <v>17717.25</v>
      </c>
      <c r="O1216" s="22" t="s">
        <v>15</v>
      </c>
      <c r="P1216" s="44">
        <v>17717.25</v>
      </c>
      <c r="Q1216" s="24">
        <f t="shared" si="80"/>
        <v>0</v>
      </c>
      <c r="R1216" s="24">
        <f t="shared" si="81"/>
        <v>17717.25</v>
      </c>
      <c r="S1216" s="5"/>
      <c r="T1216" s="5"/>
    </row>
    <row r="1217" spans="1:20" ht="15.75" hidden="1" x14ac:dyDescent="0.25">
      <c r="B1217" s="21" t="s">
        <v>395</v>
      </c>
      <c r="C1217" s="22" t="s">
        <v>2450</v>
      </c>
      <c r="D1217" s="22"/>
      <c r="E1217" s="21" t="s">
        <v>10</v>
      </c>
      <c r="F1217" s="21"/>
      <c r="G1217" s="147" t="s">
        <v>6506</v>
      </c>
      <c r="H1217" s="107" t="s">
        <v>6551</v>
      </c>
      <c r="I1217" s="107"/>
      <c r="J1217" s="21" t="s">
        <v>6552</v>
      </c>
      <c r="K1217" s="21"/>
      <c r="L1217" s="21" t="s">
        <v>6577</v>
      </c>
      <c r="M1217" s="26">
        <v>44630</v>
      </c>
      <c r="N1217" s="44">
        <v>372</v>
      </c>
      <c r="O1217" s="22" t="s">
        <v>15</v>
      </c>
      <c r="P1217" s="44">
        <v>372</v>
      </c>
      <c r="Q1217" s="24">
        <f t="shared" si="80"/>
        <v>0</v>
      </c>
      <c r="R1217" s="24">
        <f t="shared" si="81"/>
        <v>372</v>
      </c>
      <c r="S1217" s="5"/>
      <c r="T1217" s="5"/>
    </row>
    <row r="1218" spans="1:20" ht="15.75" hidden="1" x14ac:dyDescent="0.25">
      <c r="B1218" s="21" t="s">
        <v>395</v>
      </c>
      <c r="C1218" s="22" t="s">
        <v>2450</v>
      </c>
      <c r="D1218" s="22"/>
      <c r="E1218" s="21" t="s">
        <v>10</v>
      </c>
      <c r="F1218" s="21"/>
      <c r="G1218" s="147" t="s">
        <v>7074</v>
      </c>
      <c r="H1218" s="107" t="s">
        <v>6554</v>
      </c>
      <c r="I1218" s="107"/>
      <c r="J1218" s="21" t="s">
        <v>6555</v>
      </c>
      <c r="K1218" s="21"/>
      <c r="L1218" s="21" t="s">
        <v>6668</v>
      </c>
      <c r="M1218" s="26">
        <v>44623</v>
      </c>
      <c r="N1218" s="44">
        <v>848.4</v>
      </c>
      <c r="O1218" s="22" t="s">
        <v>15</v>
      </c>
      <c r="P1218" s="44">
        <v>848.4</v>
      </c>
      <c r="Q1218" s="24">
        <f t="shared" si="80"/>
        <v>0</v>
      </c>
      <c r="R1218" s="24">
        <f t="shared" si="81"/>
        <v>848.4</v>
      </c>
      <c r="S1218" s="5"/>
      <c r="T1218" s="5"/>
    </row>
    <row r="1219" spans="1:20" ht="15.75" hidden="1" x14ac:dyDescent="0.25">
      <c r="A1219" t="s">
        <v>6753</v>
      </c>
      <c r="B1219" s="21" t="s">
        <v>395</v>
      </c>
      <c r="C1219" s="22" t="s">
        <v>2450</v>
      </c>
      <c r="D1219" s="22"/>
      <c r="E1219" s="21" t="s">
        <v>10</v>
      </c>
      <c r="F1219" s="21"/>
      <c r="G1219" s="147" t="s">
        <v>6792</v>
      </c>
      <c r="H1219" s="23" t="s">
        <v>6556</v>
      </c>
      <c r="I1219" s="23"/>
      <c r="J1219" s="21" t="s">
        <v>6555</v>
      </c>
      <c r="K1219" s="21"/>
      <c r="L1219" s="21" t="s">
        <v>6793</v>
      </c>
      <c r="M1219" s="23" t="s">
        <v>6794</v>
      </c>
      <c r="N1219" s="44">
        <v>829.76</v>
      </c>
      <c r="O1219" s="22" t="s">
        <v>15</v>
      </c>
      <c r="P1219" s="44">
        <f>581.76+248</f>
        <v>829.76</v>
      </c>
      <c r="Q1219" s="24">
        <f t="shared" si="80"/>
        <v>0</v>
      </c>
      <c r="R1219" s="24">
        <f t="shared" si="81"/>
        <v>829.76</v>
      </c>
      <c r="S1219" s="5"/>
      <c r="T1219" s="5"/>
    </row>
    <row r="1220" spans="1:20" ht="15.75" hidden="1" x14ac:dyDescent="0.25">
      <c r="A1220" t="s">
        <v>6753</v>
      </c>
      <c r="B1220" s="21" t="s">
        <v>395</v>
      </c>
      <c r="C1220" s="22" t="s">
        <v>2450</v>
      </c>
      <c r="D1220" s="22"/>
      <c r="E1220" s="21" t="s">
        <v>10</v>
      </c>
      <c r="F1220" s="21"/>
      <c r="G1220" s="147" t="s">
        <v>6508</v>
      </c>
      <c r="H1220" s="23" t="s">
        <v>6585</v>
      </c>
      <c r="I1220" s="23"/>
      <c r="J1220" s="21" t="s">
        <v>6510</v>
      </c>
      <c r="K1220" s="21"/>
      <c r="L1220" s="21" t="s">
        <v>6625</v>
      </c>
      <c r="M1220" s="26">
        <v>44650</v>
      </c>
      <c r="N1220" s="44">
        <v>2807.2</v>
      </c>
      <c r="O1220" s="22" t="s">
        <v>15</v>
      </c>
      <c r="P1220" s="44">
        <v>2807.2</v>
      </c>
      <c r="Q1220" s="44">
        <f t="shared" si="80"/>
        <v>0</v>
      </c>
      <c r="R1220" s="24">
        <f t="shared" si="81"/>
        <v>2807.2</v>
      </c>
      <c r="S1220" s="5"/>
      <c r="T1220" s="5"/>
    </row>
    <row r="1221" spans="1:20" ht="15.75" hidden="1" x14ac:dyDescent="0.25">
      <c r="B1221" s="21" t="s">
        <v>395</v>
      </c>
      <c r="C1221" s="22" t="s">
        <v>2427</v>
      </c>
      <c r="D1221" s="22"/>
      <c r="E1221" s="21" t="s">
        <v>0</v>
      </c>
      <c r="F1221" s="21"/>
      <c r="G1221" s="147" t="s">
        <v>340</v>
      </c>
      <c r="H1221" s="23" t="s">
        <v>6586</v>
      </c>
      <c r="I1221" s="23"/>
      <c r="J1221" s="21" t="s">
        <v>6587</v>
      </c>
      <c r="K1221" s="21"/>
      <c r="L1221" s="21" t="s">
        <v>6599</v>
      </c>
      <c r="M1221" s="26">
        <v>44638</v>
      </c>
      <c r="N1221" s="44">
        <v>2470</v>
      </c>
      <c r="O1221" s="22" t="s">
        <v>341</v>
      </c>
      <c r="P1221" s="44" t="s">
        <v>19</v>
      </c>
      <c r="Q1221" s="44">
        <f t="shared" si="80"/>
        <v>0</v>
      </c>
      <c r="R1221" s="24">
        <f t="shared" si="81"/>
        <v>2470</v>
      </c>
      <c r="S1221" s="5"/>
      <c r="T1221" s="5"/>
    </row>
    <row r="1222" spans="1:20" ht="15.75" hidden="1" x14ac:dyDescent="0.25">
      <c r="A1222" t="s">
        <v>6753</v>
      </c>
      <c r="B1222" s="21" t="s">
        <v>395</v>
      </c>
      <c r="C1222" s="22" t="s">
        <v>1940</v>
      </c>
      <c r="D1222" s="22"/>
      <c r="E1222" s="21" t="s">
        <v>75</v>
      </c>
      <c r="F1222" s="21"/>
      <c r="G1222" s="147" t="s">
        <v>98</v>
      </c>
      <c r="H1222" s="23" t="s">
        <v>6588</v>
      </c>
      <c r="I1222" s="23"/>
      <c r="J1222" s="21" t="s">
        <v>6589</v>
      </c>
      <c r="K1222" s="21"/>
      <c r="L1222" s="21" t="s">
        <v>7382</v>
      </c>
      <c r="M1222" s="26" t="s">
        <v>7383</v>
      </c>
      <c r="N1222" s="44">
        <v>1507.19</v>
      </c>
      <c r="O1222" s="22" t="s">
        <v>15</v>
      </c>
      <c r="P1222" s="44">
        <f>2990.42-1469.73+1689.04</f>
        <v>3209.73</v>
      </c>
      <c r="Q1222" s="24">
        <f t="shared" si="80"/>
        <v>0</v>
      </c>
      <c r="R1222" s="24">
        <f t="shared" si="81"/>
        <v>3209.73</v>
      </c>
      <c r="S1222" s="5"/>
      <c r="T1222" s="5"/>
    </row>
    <row r="1223" spans="1:20" ht="15.75" hidden="1" x14ac:dyDescent="0.25">
      <c r="B1223" s="21" t="s">
        <v>395</v>
      </c>
      <c r="C1223" s="22" t="s">
        <v>2450</v>
      </c>
      <c r="D1223" s="22"/>
      <c r="E1223" s="21" t="s">
        <v>10</v>
      </c>
      <c r="F1223" s="21"/>
      <c r="G1223" s="147" t="s">
        <v>6593</v>
      </c>
      <c r="H1223" s="23" t="s">
        <v>6594</v>
      </c>
      <c r="I1223" s="23"/>
      <c r="J1223" s="21" t="s">
        <v>6507</v>
      </c>
      <c r="K1223" s="21"/>
      <c r="L1223" s="21" t="s">
        <v>6679</v>
      </c>
      <c r="M1223" s="26">
        <v>44659</v>
      </c>
      <c r="N1223" s="44">
        <v>2378</v>
      </c>
      <c r="O1223" s="22" t="s">
        <v>276</v>
      </c>
      <c r="P1223" s="44">
        <v>2378</v>
      </c>
      <c r="Q1223" s="24">
        <f t="shared" si="80"/>
        <v>0</v>
      </c>
      <c r="R1223" s="24">
        <f t="shared" si="81"/>
        <v>2378</v>
      </c>
      <c r="S1223" s="5"/>
      <c r="T1223" s="5"/>
    </row>
    <row r="1224" spans="1:20" ht="15.75" hidden="1" x14ac:dyDescent="0.25">
      <c r="B1224" s="21" t="s">
        <v>395</v>
      </c>
      <c r="C1224" s="22" t="s">
        <v>2450</v>
      </c>
      <c r="D1224" s="22"/>
      <c r="E1224" s="21" t="s">
        <v>10</v>
      </c>
      <c r="F1224" s="21"/>
      <c r="G1224" s="147" t="s">
        <v>6393</v>
      </c>
      <c r="H1224" s="23" t="s">
        <v>6633</v>
      </c>
      <c r="I1224" s="23"/>
      <c r="J1224" s="21" t="s">
        <v>6394</v>
      </c>
      <c r="K1224" s="21"/>
      <c r="L1224" s="21" t="s">
        <v>6931</v>
      </c>
      <c r="M1224" s="26" t="s">
        <v>6932</v>
      </c>
      <c r="N1224" s="44">
        <f>50.55*12</f>
        <v>606.59999999999991</v>
      </c>
      <c r="O1224" s="22" t="s">
        <v>15</v>
      </c>
      <c r="P1224" s="44">
        <f>303.3+303.3</f>
        <v>606.6</v>
      </c>
      <c r="Q1224" s="44">
        <f t="shared" si="80"/>
        <v>0</v>
      </c>
      <c r="R1224" s="24">
        <f t="shared" si="81"/>
        <v>606.6</v>
      </c>
      <c r="S1224" s="5"/>
      <c r="T1224" s="5"/>
    </row>
    <row r="1225" spans="1:20" ht="15.75" hidden="1" x14ac:dyDescent="0.25">
      <c r="B1225" s="21" t="s">
        <v>395</v>
      </c>
      <c r="C1225" s="22" t="s">
        <v>2450</v>
      </c>
      <c r="D1225" s="22"/>
      <c r="E1225" s="21" t="s">
        <v>10</v>
      </c>
      <c r="F1225" s="21"/>
      <c r="G1225" s="147" t="s">
        <v>6393</v>
      </c>
      <c r="H1225" s="23" t="s">
        <v>6634</v>
      </c>
      <c r="I1225" s="23"/>
      <c r="J1225" s="21" t="s">
        <v>6394</v>
      </c>
      <c r="K1225" s="21"/>
      <c r="L1225" s="21" t="s">
        <v>6931</v>
      </c>
      <c r="M1225" s="26" t="s">
        <v>6932</v>
      </c>
      <c r="N1225" s="44">
        <f>50.55*6</f>
        <v>303.29999999999995</v>
      </c>
      <c r="O1225" s="22" t="s">
        <v>15</v>
      </c>
      <c r="P1225" s="44">
        <f>151.65+151.65</f>
        <v>303.3</v>
      </c>
      <c r="Q1225" s="44">
        <f t="shared" si="80"/>
        <v>0</v>
      </c>
      <c r="R1225" s="24">
        <f t="shared" si="81"/>
        <v>303.3</v>
      </c>
      <c r="S1225" s="5"/>
      <c r="T1225" s="5"/>
    </row>
    <row r="1226" spans="1:20" ht="15.75" hidden="1" x14ac:dyDescent="0.25">
      <c r="B1226" s="21" t="s">
        <v>395</v>
      </c>
      <c r="C1226" s="22" t="s">
        <v>2450</v>
      </c>
      <c r="D1226" s="22"/>
      <c r="E1226" s="21" t="s">
        <v>10</v>
      </c>
      <c r="F1226" s="21"/>
      <c r="G1226" s="147" t="s">
        <v>6635</v>
      </c>
      <c r="H1226" s="23" t="s">
        <v>6636</v>
      </c>
      <c r="I1226" s="23"/>
      <c r="J1226" s="21" t="s">
        <v>6637</v>
      </c>
      <c r="K1226" s="21"/>
      <c r="L1226" s="21" t="s">
        <v>6782</v>
      </c>
      <c r="M1226" s="26" t="s">
        <v>6783</v>
      </c>
      <c r="N1226" s="44">
        <v>1298.06</v>
      </c>
      <c r="O1226" s="22" t="s">
        <v>15</v>
      </c>
      <c r="P1226" s="44">
        <f>1287+36.8+17.4</f>
        <v>1341.2</v>
      </c>
      <c r="Q1226" s="44">
        <f t="shared" si="80"/>
        <v>0</v>
      </c>
      <c r="R1226" s="24">
        <f t="shared" si="81"/>
        <v>1341.2</v>
      </c>
      <c r="S1226" s="5"/>
      <c r="T1226" s="5"/>
    </row>
    <row r="1227" spans="1:20" ht="15.75" hidden="1" x14ac:dyDescent="0.25">
      <c r="A1227" t="s">
        <v>6753</v>
      </c>
      <c r="B1227" s="21" t="s">
        <v>395</v>
      </c>
      <c r="C1227" s="22" t="s">
        <v>2450</v>
      </c>
      <c r="D1227" s="22"/>
      <c r="E1227" s="21" t="s">
        <v>10</v>
      </c>
      <c r="F1227" s="21"/>
      <c r="G1227" s="147" t="s">
        <v>6638</v>
      </c>
      <c r="H1227" s="23" t="s">
        <v>6643</v>
      </c>
      <c r="I1227" s="23"/>
      <c r="J1227" s="21" t="s">
        <v>6557</v>
      </c>
      <c r="K1227" s="21"/>
      <c r="L1227" s="21" t="s">
        <v>6644</v>
      </c>
      <c r="M1227" s="23" t="s">
        <v>6645</v>
      </c>
      <c r="N1227" s="44">
        <v>495</v>
      </c>
      <c r="O1227" s="22" t="s">
        <v>15</v>
      </c>
      <c r="P1227" s="44">
        <v>495</v>
      </c>
      <c r="Q1227" s="44">
        <f t="shared" si="80"/>
        <v>0</v>
      </c>
      <c r="R1227" s="24">
        <f t="shared" si="81"/>
        <v>495</v>
      </c>
      <c r="S1227" s="5"/>
      <c r="T1227" s="5"/>
    </row>
    <row r="1228" spans="1:20" ht="15.75" hidden="1" x14ac:dyDescent="0.25">
      <c r="A1228" t="s">
        <v>6753</v>
      </c>
      <c r="B1228" s="21" t="s">
        <v>395</v>
      </c>
      <c r="C1228" s="22" t="s">
        <v>2450</v>
      </c>
      <c r="D1228" s="22"/>
      <c r="E1228" s="21" t="s">
        <v>10</v>
      </c>
      <c r="F1228" s="21"/>
      <c r="G1228" s="147" t="s">
        <v>6638</v>
      </c>
      <c r="H1228" s="23" t="s">
        <v>6639</v>
      </c>
      <c r="I1228" s="23"/>
      <c r="J1228" s="21" t="s">
        <v>6557</v>
      </c>
      <c r="K1228" s="21"/>
      <c r="L1228" s="21" t="s">
        <v>6646</v>
      </c>
      <c r="M1228" s="26">
        <v>44658</v>
      </c>
      <c r="N1228" s="44">
        <v>1188</v>
      </c>
      <c r="O1228" s="22" t="s">
        <v>15</v>
      </c>
      <c r="P1228" s="44">
        <f>1155+33</f>
        <v>1188</v>
      </c>
      <c r="Q1228" s="44">
        <f t="shared" si="80"/>
        <v>0</v>
      </c>
      <c r="R1228" s="24">
        <f t="shared" si="81"/>
        <v>1188</v>
      </c>
      <c r="S1228" s="5"/>
      <c r="T1228" s="5"/>
    </row>
    <row r="1229" spans="1:20" ht="15.75" hidden="1" x14ac:dyDescent="0.25">
      <c r="B1229" s="21" t="s">
        <v>395</v>
      </c>
      <c r="C1229" s="22" t="s">
        <v>2450</v>
      </c>
      <c r="D1229" s="22"/>
      <c r="E1229" s="21" t="s">
        <v>10</v>
      </c>
      <c r="F1229" s="21"/>
      <c r="G1229" s="147" t="s">
        <v>239</v>
      </c>
      <c r="H1229" s="23" t="s">
        <v>6704</v>
      </c>
      <c r="I1229" s="23"/>
      <c r="J1229" s="21" t="s">
        <v>6840</v>
      </c>
      <c r="K1229" s="21"/>
      <c r="L1229" s="21" t="s">
        <v>6841</v>
      </c>
      <c r="M1229" s="26">
        <v>44722</v>
      </c>
      <c r="N1229" s="44">
        <v>8750</v>
      </c>
      <c r="O1229" s="22" t="s">
        <v>15</v>
      </c>
      <c r="P1229" s="44">
        <v>8750</v>
      </c>
      <c r="Q1229" s="24">
        <f t="shared" si="80"/>
        <v>0</v>
      </c>
      <c r="R1229" s="24">
        <f t="shared" si="81"/>
        <v>8750</v>
      </c>
      <c r="S1229" s="5"/>
      <c r="T1229" s="5"/>
    </row>
    <row r="1230" spans="1:20" ht="15.75" hidden="1" x14ac:dyDescent="0.25">
      <c r="A1230" t="s">
        <v>6753</v>
      </c>
      <c r="B1230" s="21" t="s">
        <v>395</v>
      </c>
      <c r="C1230" s="22" t="s">
        <v>2450</v>
      </c>
      <c r="D1230" s="22"/>
      <c r="E1230" s="21" t="s">
        <v>10</v>
      </c>
      <c r="F1230" s="21"/>
      <c r="G1230" s="147" t="s">
        <v>6705</v>
      </c>
      <c r="H1230" s="23" t="s">
        <v>6706</v>
      </c>
      <c r="I1230" s="23"/>
      <c r="J1230" s="21" t="s">
        <v>6552</v>
      </c>
      <c r="K1230" s="21"/>
      <c r="L1230" s="21" t="s">
        <v>6708</v>
      </c>
      <c r="M1230" s="26">
        <v>44678</v>
      </c>
      <c r="N1230" s="44">
        <v>974</v>
      </c>
      <c r="O1230" s="22" t="s">
        <v>15</v>
      </c>
      <c r="P1230" s="44">
        <v>974</v>
      </c>
      <c r="Q1230" s="24">
        <f t="shared" si="80"/>
        <v>0</v>
      </c>
      <c r="R1230" s="24">
        <f t="shared" si="81"/>
        <v>974</v>
      </c>
      <c r="S1230" s="5"/>
      <c r="T1230" s="5"/>
    </row>
    <row r="1231" spans="1:20" ht="15.75" hidden="1" x14ac:dyDescent="0.25">
      <c r="B1231" s="21" t="s">
        <v>395</v>
      </c>
      <c r="C1231" s="22" t="s">
        <v>2450</v>
      </c>
      <c r="D1231" s="22"/>
      <c r="E1231" s="21" t="s">
        <v>0</v>
      </c>
      <c r="F1231" s="21"/>
      <c r="G1231" s="147" t="s">
        <v>6500</v>
      </c>
      <c r="H1231" s="23" t="s">
        <v>6710</v>
      </c>
      <c r="I1231" s="23"/>
      <c r="J1231" s="21" t="s">
        <v>6711</v>
      </c>
      <c r="K1231" s="21"/>
      <c r="L1231" s="21" t="s">
        <v>6870</v>
      </c>
      <c r="M1231" s="26">
        <v>44740</v>
      </c>
      <c r="N1231" s="44">
        <v>10361.5</v>
      </c>
      <c r="O1231" s="22" t="s">
        <v>276</v>
      </c>
      <c r="P1231" s="44">
        <v>10361.5</v>
      </c>
      <c r="Q1231" s="24">
        <f t="shared" si="80"/>
        <v>0</v>
      </c>
      <c r="R1231" s="24">
        <f t="shared" si="81"/>
        <v>10361.5</v>
      </c>
      <c r="S1231" s="5"/>
      <c r="T1231" s="5"/>
    </row>
    <row r="1232" spans="1:20" ht="15.75" hidden="1" x14ac:dyDescent="0.25">
      <c r="B1232" s="21" t="s">
        <v>395</v>
      </c>
      <c r="C1232" s="22" t="s">
        <v>2450</v>
      </c>
      <c r="D1232" s="22"/>
      <c r="E1232" s="21" t="s">
        <v>10</v>
      </c>
      <c r="F1232" s="21"/>
      <c r="G1232" s="147" t="s">
        <v>6754</v>
      </c>
      <c r="H1232" s="23" t="s">
        <v>6755</v>
      </c>
      <c r="I1232" s="23"/>
      <c r="J1232" s="21" t="s">
        <v>6756</v>
      </c>
      <c r="K1232" s="21"/>
      <c r="L1232" s="21" t="s">
        <v>6773</v>
      </c>
      <c r="M1232" s="26">
        <v>44705</v>
      </c>
      <c r="N1232" s="44">
        <v>2485</v>
      </c>
      <c r="O1232" s="22" t="s">
        <v>15</v>
      </c>
      <c r="P1232" s="44">
        <v>2485</v>
      </c>
      <c r="Q1232" s="44">
        <f t="shared" si="80"/>
        <v>0</v>
      </c>
      <c r="R1232" s="24">
        <f t="shared" si="81"/>
        <v>2485</v>
      </c>
      <c r="S1232" s="5"/>
      <c r="T1232" s="5"/>
    </row>
    <row r="1233" spans="1:20" ht="15.75" hidden="1" x14ac:dyDescent="0.25">
      <c r="B1233" s="21" t="s">
        <v>395</v>
      </c>
      <c r="C1233" s="22" t="s">
        <v>2450</v>
      </c>
      <c r="D1233" s="22"/>
      <c r="E1233" s="21" t="s">
        <v>10</v>
      </c>
      <c r="F1233" s="21"/>
      <c r="G1233" s="147" t="s">
        <v>6757</v>
      </c>
      <c r="H1233" s="23" t="s">
        <v>6758</v>
      </c>
      <c r="I1233" s="23"/>
      <c r="J1233" s="21" t="s">
        <v>6557</v>
      </c>
      <c r="K1233" s="21"/>
      <c r="L1233" s="21" t="s">
        <v>6759</v>
      </c>
      <c r="M1233" s="26">
        <v>44698</v>
      </c>
      <c r="N1233" s="44">
        <v>845.74</v>
      </c>
      <c r="O1233" s="22" t="s">
        <v>15</v>
      </c>
      <c r="P1233" s="44">
        <f>818.74+27</f>
        <v>845.74</v>
      </c>
      <c r="Q1233" s="44">
        <f t="shared" si="80"/>
        <v>0</v>
      </c>
      <c r="R1233" s="24">
        <f t="shared" si="81"/>
        <v>845.74</v>
      </c>
      <c r="S1233" s="5"/>
      <c r="T1233" s="5"/>
    </row>
    <row r="1234" spans="1:20" ht="15.75" hidden="1" x14ac:dyDescent="0.25">
      <c r="A1234" t="s">
        <v>6753</v>
      </c>
      <c r="B1234" s="21" t="s">
        <v>395</v>
      </c>
      <c r="C1234" s="22" t="s">
        <v>2450</v>
      </c>
      <c r="D1234" s="22"/>
      <c r="E1234" s="21" t="s">
        <v>10</v>
      </c>
      <c r="F1234" s="21"/>
      <c r="G1234" s="147" t="s">
        <v>1090</v>
      </c>
      <c r="H1234" s="23" t="s">
        <v>6762</v>
      </c>
      <c r="I1234" s="23"/>
      <c r="J1234" s="21" t="s">
        <v>6557</v>
      </c>
      <c r="K1234" s="21"/>
      <c r="L1234" s="21" t="s">
        <v>6769</v>
      </c>
      <c r="M1234" s="26">
        <v>44693</v>
      </c>
      <c r="N1234" s="44">
        <v>376</v>
      </c>
      <c r="O1234" s="22" t="s">
        <v>15</v>
      </c>
      <c r="P1234" s="44">
        <f>376</f>
        <v>376</v>
      </c>
      <c r="Q1234" s="44">
        <f t="shared" si="80"/>
        <v>0</v>
      </c>
      <c r="R1234" s="24">
        <f t="shared" si="81"/>
        <v>376</v>
      </c>
      <c r="S1234" s="5"/>
      <c r="T1234" s="5"/>
    </row>
    <row r="1235" spans="1:20" ht="15.75" hidden="1" x14ac:dyDescent="0.25">
      <c r="A1235" t="s">
        <v>6753</v>
      </c>
      <c r="B1235" s="21" t="s">
        <v>395</v>
      </c>
      <c r="C1235" s="22" t="s">
        <v>2568</v>
      </c>
      <c r="D1235" s="22"/>
      <c r="E1235" s="21" t="s">
        <v>75</v>
      </c>
      <c r="F1235" s="21"/>
      <c r="G1235" s="147" t="s">
        <v>98</v>
      </c>
      <c r="H1235" s="23" t="s">
        <v>6765</v>
      </c>
      <c r="I1235" s="23"/>
      <c r="J1235" s="21" t="s">
        <v>6865</v>
      </c>
      <c r="K1235" s="21"/>
      <c r="L1235" s="260" t="s">
        <v>6866</v>
      </c>
      <c r="M1235" s="26" t="s">
        <v>6867</v>
      </c>
      <c r="N1235" s="44">
        <v>2361.7800000000002</v>
      </c>
      <c r="O1235" s="22" t="s">
        <v>15</v>
      </c>
      <c r="P1235" s="44">
        <f>666.2+186.12+2253.44</f>
        <v>3105.76</v>
      </c>
      <c r="Q1235" s="44">
        <f t="shared" si="80"/>
        <v>0</v>
      </c>
      <c r="R1235" s="24">
        <f t="shared" si="81"/>
        <v>3105.76</v>
      </c>
      <c r="S1235" s="5"/>
      <c r="T1235" s="5"/>
    </row>
    <row r="1236" spans="1:20" ht="15.75" hidden="1" x14ac:dyDescent="0.25">
      <c r="B1236" s="21" t="s">
        <v>395</v>
      </c>
      <c r="C1236" s="22" t="s">
        <v>2450</v>
      </c>
      <c r="D1236" s="22"/>
      <c r="E1236" s="21" t="s">
        <v>10</v>
      </c>
      <c r="F1236" s="21"/>
      <c r="G1236" s="147" t="s">
        <v>6766</v>
      </c>
      <c r="H1236" s="23" t="s">
        <v>6767</v>
      </c>
      <c r="I1236" s="23"/>
      <c r="J1236" s="21" t="s">
        <v>6768</v>
      </c>
      <c r="K1236" s="21"/>
      <c r="L1236" s="21" t="s">
        <v>7222</v>
      </c>
      <c r="M1236" s="26">
        <v>44855</v>
      </c>
      <c r="N1236" s="44">
        <v>4788</v>
      </c>
      <c r="O1236" s="22" t="s">
        <v>15</v>
      </c>
      <c r="P1236" s="44">
        <v>4788</v>
      </c>
      <c r="Q1236" s="44">
        <f t="shared" si="80"/>
        <v>0</v>
      </c>
      <c r="R1236" s="24">
        <f t="shared" si="81"/>
        <v>4788</v>
      </c>
      <c r="S1236" s="5"/>
      <c r="T1236" s="5"/>
    </row>
    <row r="1237" spans="1:20" ht="15.75" hidden="1" x14ac:dyDescent="0.25">
      <c r="A1237" t="s">
        <v>6753</v>
      </c>
      <c r="B1237" s="21" t="s">
        <v>395</v>
      </c>
      <c r="C1237" s="22" t="s">
        <v>158</v>
      </c>
      <c r="D1237" s="22"/>
      <c r="E1237" s="21" t="s">
        <v>10</v>
      </c>
      <c r="F1237" s="21"/>
      <c r="G1237" s="147" t="s">
        <v>7143</v>
      </c>
      <c r="H1237" s="23" t="s">
        <v>6814</v>
      </c>
      <c r="I1237" s="23"/>
      <c r="J1237" s="21" t="s">
        <v>6815</v>
      </c>
      <c r="K1237" s="21"/>
      <c r="L1237" s="21" t="s">
        <v>6835</v>
      </c>
      <c r="M1237" s="26">
        <v>44726</v>
      </c>
      <c r="N1237" s="44">
        <v>200.1</v>
      </c>
      <c r="O1237" s="22" t="s">
        <v>15</v>
      </c>
      <c r="P1237" s="22">
        <v>200.1</v>
      </c>
      <c r="Q1237" s="24">
        <f t="shared" si="80"/>
        <v>0</v>
      </c>
      <c r="R1237" s="24">
        <f t="shared" si="81"/>
        <v>200.1</v>
      </c>
      <c r="S1237" s="5"/>
      <c r="T1237" s="5"/>
    </row>
    <row r="1238" spans="1:20" ht="15.75" hidden="1" x14ac:dyDescent="0.25">
      <c r="B1238" s="21" t="s">
        <v>395</v>
      </c>
      <c r="C1238" s="22" t="s">
        <v>2450</v>
      </c>
      <c r="D1238" s="22"/>
      <c r="E1238" s="21" t="s">
        <v>10</v>
      </c>
      <c r="F1238" s="21"/>
      <c r="G1238" s="147" t="s">
        <v>7073</v>
      </c>
      <c r="H1238" s="107" t="s">
        <v>6828</v>
      </c>
      <c r="I1238" s="107"/>
      <c r="J1238" s="21" t="s">
        <v>6552</v>
      </c>
      <c r="K1238" s="21"/>
      <c r="L1238" s="21" t="s">
        <v>7106</v>
      </c>
      <c r="M1238" s="26" t="s">
        <v>7107</v>
      </c>
      <c r="N1238" s="44">
        <v>1200.5</v>
      </c>
      <c r="O1238" s="22" t="s">
        <v>15</v>
      </c>
      <c r="P1238" s="44">
        <f>(555+40)+(146+40)+419.5</f>
        <v>1200.5</v>
      </c>
      <c r="Q1238" s="24">
        <f t="shared" si="80"/>
        <v>0</v>
      </c>
      <c r="R1238" s="24">
        <f t="shared" si="81"/>
        <v>1200.5</v>
      </c>
      <c r="S1238" s="5"/>
      <c r="T1238" s="5"/>
    </row>
    <row r="1239" spans="1:20" ht="15.75" hidden="1" x14ac:dyDescent="0.25">
      <c r="A1239" t="s">
        <v>6753</v>
      </c>
      <c r="B1239" s="21" t="s">
        <v>395</v>
      </c>
      <c r="C1239" s="22" t="s">
        <v>2450</v>
      </c>
      <c r="D1239" s="22"/>
      <c r="E1239" s="21" t="s">
        <v>10</v>
      </c>
      <c r="F1239" s="21"/>
      <c r="G1239" s="147" t="s">
        <v>6638</v>
      </c>
      <c r="H1239" s="23" t="s">
        <v>6829</v>
      </c>
      <c r="I1239" s="23"/>
      <c r="J1239" s="21" t="s">
        <v>6557</v>
      </c>
      <c r="K1239" s="21"/>
      <c r="L1239" s="21" t="s">
        <v>6834</v>
      </c>
      <c r="M1239" s="26">
        <v>44726</v>
      </c>
      <c r="N1239" s="44">
        <v>3049.4</v>
      </c>
      <c r="O1239" s="22" t="s">
        <v>15</v>
      </c>
      <c r="P1239" s="44">
        <v>3029.4</v>
      </c>
      <c r="Q1239" s="24">
        <f t="shared" si="80"/>
        <v>20</v>
      </c>
      <c r="R1239" s="24">
        <f t="shared" si="81"/>
        <v>3029.4</v>
      </c>
      <c r="S1239" s="5"/>
      <c r="T1239" s="5"/>
    </row>
    <row r="1240" spans="1:20" ht="15.75" hidden="1" x14ac:dyDescent="0.25">
      <c r="A1240" t="s">
        <v>6753</v>
      </c>
      <c r="B1240" s="21" t="s">
        <v>395</v>
      </c>
      <c r="C1240" s="22" t="s">
        <v>2450</v>
      </c>
      <c r="D1240" s="22"/>
      <c r="E1240" s="21" t="s">
        <v>10</v>
      </c>
      <c r="F1240" s="21"/>
      <c r="G1240" s="147" t="s">
        <v>6508</v>
      </c>
      <c r="H1240" s="23" t="s">
        <v>6830</v>
      </c>
      <c r="I1240" s="23"/>
      <c r="J1240" s="21" t="s">
        <v>6510</v>
      </c>
      <c r="K1240" s="21"/>
      <c r="L1240" s="21" t="s">
        <v>6868</v>
      </c>
      <c r="M1240" s="26">
        <v>44742</v>
      </c>
      <c r="N1240" s="44">
        <v>667.6</v>
      </c>
      <c r="O1240" s="22" t="s">
        <v>15</v>
      </c>
      <c r="P1240" s="44">
        <v>667.6</v>
      </c>
      <c r="Q1240" s="24">
        <f t="shared" si="80"/>
        <v>0</v>
      </c>
      <c r="R1240" s="24">
        <f t="shared" si="81"/>
        <v>667.6</v>
      </c>
      <c r="S1240" s="5"/>
      <c r="T1240" s="5"/>
    </row>
    <row r="1241" spans="1:20" ht="15.75" hidden="1" x14ac:dyDescent="0.25">
      <c r="B1241" s="21" t="s">
        <v>395</v>
      </c>
      <c r="C1241" s="22" t="s">
        <v>158</v>
      </c>
      <c r="D1241" s="22"/>
      <c r="E1241" s="21" t="s">
        <v>10</v>
      </c>
      <c r="F1241" s="21"/>
      <c r="G1241" s="147" t="s">
        <v>6546</v>
      </c>
      <c r="H1241" s="23" t="s">
        <v>6920</v>
      </c>
      <c r="I1241" s="23"/>
      <c r="J1241" s="21" t="s">
        <v>6921</v>
      </c>
      <c r="K1241" s="21"/>
      <c r="L1241" s="21" t="s">
        <v>7253</v>
      </c>
      <c r="M1241" s="26">
        <v>44865</v>
      </c>
      <c r="N1241" s="44">
        <v>14033.17</v>
      </c>
      <c r="O1241" s="22" t="s">
        <v>15</v>
      </c>
      <c r="P1241" s="44">
        <v>14033.17</v>
      </c>
      <c r="Q1241" s="24">
        <f t="shared" si="80"/>
        <v>0</v>
      </c>
      <c r="R1241" s="24">
        <f t="shared" si="81"/>
        <v>14033.17</v>
      </c>
      <c r="S1241" s="5"/>
      <c r="T1241" s="5"/>
    </row>
    <row r="1242" spans="1:20" ht="15.75" hidden="1" x14ac:dyDescent="0.25">
      <c r="B1242" s="21" t="s">
        <v>395</v>
      </c>
      <c r="C1242" s="22" t="s">
        <v>2450</v>
      </c>
      <c r="D1242" s="22"/>
      <c r="E1242" s="21" t="s">
        <v>0</v>
      </c>
      <c r="F1242" s="21"/>
      <c r="G1242" s="147" t="s">
        <v>995</v>
      </c>
      <c r="H1242" s="107" t="s">
        <v>6922</v>
      </c>
      <c r="I1242" s="107"/>
      <c r="J1242" s="21" t="s">
        <v>6923</v>
      </c>
      <c r="K1242" s="21"/>
      <c r="L1242" s="21" t="s">
        <v>7085</v>
      </c>
      <c r="M1242" s="26">
        <v>44818</v>
      </c>
      <c r="N1242" s="44">
        <v>2500</v>
      </c>
      <c r="O1242" s="22" t="s">
        <v>15</v>
      </c>
      <c r="P1242" s="44">
        <v>2500</v>
      </c>
      <c r="Q1242" s="24">
        <f t="shared" si="80"/>
        <v>0</v>
      </c>
      <c r="R1242" s="24">
        <f t="shared" si="81"/>
        <v>2500</v>
      </c>
      <c r="S1242" s="5"/>
      <c r="T1242" s="5"/>
    </row>
    <row r="1243" spans="1:20" ht="15.75" hidden="1" x14ac:dyDescent="0.25">
      <c r="B1243" s="21" t="s">
        <v>395</v>
      </c>
      <c r="C1243" s="22" t="s">
        <v>2450</v>
      </c>
      <c r="D1243" s="22"/>
      <c r="E1243" s="21" t="s">
        <v>0</v>
      </c>
      <c r="F1243" s="21"/>
      <c r="G1243" s="147" t="s">
        <v>6925</v>
      </c>
      <c r="H1243" s="23" t="s">
        <v>6926</v>
      </c>
      <c r="I1243" s="23"/>
      <c r="J1243" s="21" t="s">
        <v>6927</v>
      </c>
      <c r="K1243" s="21"/>
      <c r="L1243" s="21" t="s">
        <v>7068</v>
      </c>
      <c r="M1243" s="26">
        <v>44802</v>
      </c>
      <c r="N1243" s="44">
        <v>13222</v>
      </c>
      <c r="O1243" s="22" t="s">
        <v>15</v>
      </c>
      <c r="P1243" s="44">
        <v>13322</v>
      </c>
      <c r="Q1243" s="24">
        <f t="shared" si="80"/>
        <v>0</v>
      </c>
      <c r="R1243" s="24">
        <f t="shared" si="81"/>
        <v>13322</v>
      </c>
      <c r="S1243" s="5"/>
      <c r="T1243" s="5"/>
    </row>
    <row r="1244" spans="1:20" ht="15.75" hidden="1" x14ac:dyDescent="0.25">
      <c r="B1244" s="21" t="s">
        <v>395</v>
      </c>
      <c r="C1244" s="22" t="s">
        <v>2450</v>
      </c>
      <c r="D1244" s="22"/>
      <c r="E1244" s="21" t="s">
        <v>0</v>
      </c>
      <c r="F1244" s="21"/>
      <c r="G1244" s="147" t="s">
        <v>6925</v>
      </c>
      <c r="H1244" s="23" t="s">
        <v>6949</v>
      </c>
      <c r="I1244" s="23"/>
      <c r="J1244" s="21" t="s">
        <v>6950</v>
      </c>
      <c r="K1244" s="21"/>
      <c r="L1244" s="21" t="s">
        <v>7274</v>
      </c>
      <c r="M1244" s="26">
        <v>44861</v>
      </c>
      <c r="N1244" s="44">
        <v>2003.84</v>
      </c>
      <c r="O1244" s="22" t="s">
        <v>15</v>
      </c>
      <c r="P1244" s="44">
        <v>2003.84</v>
      </c>
      <c r="Q1244" s="24">
        <f t="shared" si="80"/>
        <v>0</v>
      </c>
      <c r="R1244" s="24">
        <f t="shared" si="81"/>
        <v>2003.84</v>
      </c>
      <c r="S1244" s="5"/>
      <c r="T1244" s="5"/>
    </row>
    <row r="1245" spans="1:20" ht="15.75" hidden="1" x14ac:dyDescent="0.25">
      <c r="A1245" t="s">
        <v>6753</v>
      </c>
      <c r="B1245" s="21" t="s">
        <v>395</v>
      </c>
      <c r="C1245" s="22" t="s">
        <v>2450</v>
      </c>
      <c r="D1245" s="22"/>
      <c r="E1245" s="21" t="s">
        <v>10</v>
      </c>
      <c r="F1245" s="21"/>
      <c r="G1245" s="147" t="s">
        <v>1090</v>
      </c>
      <c r="H1245" s="23" t="s">
        <v>7029</v>
      </c>
      <c r="I1245" s="23"/>
      <c r="J1245" s="21" t="s">
        <v>6557</v>
      </c>
      <c r="K1245" s="21"/>
      <c r="L1245" s="21" t="s">
        <v>7059</v>
      </c>
      <c r="M1245" s="26">
        <v>44804</v>
      </c>
      <c r="N1245" s="44">
        <v>498.95</v>
      </c>
      <c r="O1245" s="22" t="s">
        <v>15</v>
      </c>
      <c r="P1245" s="44">
        <f>528.95-30</f>
        <v>498.95000000000005</v>
      </c>
      <c r="Q1245" s="44">
        <f t="shared" si="80"/>
        <v>0</v>
      </c>
      <c r="R1245" s="24">
        <f t="shared" si="81"/>
        <v>498.95000000000005</v>
      </c>
      <c r="S1245" s="5"/>
      <c r="T1245" s="5"/>
    </row>
    <row r="1246" spans="1:20" ht="15.75" hidden="1" x14ac:dyDescent="0.25">
      <c r="A1246" t="s">
        <v>6753</v>
      </c>
      <c r="B1246" s="21" t="s">
        <v>395</v>
      </c>
      <c r="C1246" s="22" t="s">
        <v>2450</v>
      </c>
      <c r="D1246" s="22"/>
      <c r="E1246" s="21" t="s">
        <v>10</v>
      </c>
      <c r="F1246" s="21"/>
      <c r="G1246" s="147" t="s">
        <v>7030</v>
      </c>
      <c r="H1246" s="107" t="s">
        <v>7031</v>
      </c>
      <c r="I1246" s="107"/>
      <c r="J1246" s="21" t="s">
        <v>6557</v>
      </c>
      <c r="K1246" s="21"/>
      <c r="L1246" s="21" t="s">
        <v>7056</v>
      </c>
      <c r="M1246" s="26">
        <v>44797</v>
      </c>
      <c r="N1246" s="44">
        <v>460</v>
      </c>
      <c r="O1246" s="22" t="s">
        <v>15</v>
      </c>
      <c r="P1246" s="44">
        <v>460</v>
      </c>
      <c r="Q1246" s="44">
        <f t="shared" si="80"/>
        <v>0</v>
      </c>
      <c r="R1246" s="24">
        <f t="shared" si="81"/>
        <v>460</v>
      </c>
      <c r="S1246" s="5"/>
      <c r="T1246" s="5"/>
    </row>
    <row r="1247" spans="1:20" ht="15.75" hidden="1" x14ac:dyDescent="0.25">
      <c r="B1247" s="21" t="s">
        <v>395</v>
      </c>
      <c r="C1247" s="22" t="s">
        <v>2459</v>
      </c>
      <c r="D1247" s="22"/>
      <c r="E1247" s="21" t="s">
        <v>75</v>
      </c>
      <c r="F1247" s="21"/>
      <c r="G1247" s="147" t="s">
        <v>98</v>
      </c>
      <c r="H1247" s="23" t="s">
        <v>7032</v>
      </c>
      <c r="I1247" s="23"/>
      <c r="J1247" s="21" t="s">
        <v>7033</v>
      </c>
      <c r="K1247" s="21"/>
      <c r="L1247" s="21"/>
      <c r="M1247" s="23"/>
      <c r="N1247" s="44">
        <v>0</v>
      </c>
      <c r="O1247" s="22" t="s">
        <v>15</v>
      </c>
      <c r="P1247" s="44"/>
      <c r="Q1247" s="24">
        <f t="shared" si="80"/>
        <v>0</v>
      </c>
      <c r="R1247" s="24">
        <f t="shared" si="81"/>
        <v>0</v>
      </c>
      <c r="S1247" s="5" t="s">
        <v>7141</v>
      </c>
      <c r="T1247" s="5"/>
    </row>
    <row r="1248" spans="1:20" ht="15.75" hidden="1" x14ac:dyDescent="0.25">
      <c r="A1248" t="s">
        <v>6753</v>
      </c>
      <c r="B1248" s="21" t="s">
        <v>395</v>
      </c>
      <c r="C1248" s="22" t="s">
        <v>2450</v>
      </c>
      <c r="D1248" s="22"/>
      <c r="E1248" s="21" t="s">
        <v>10</v>
      </c>
      <c r="F1248" s="21"/>
      <c r="G1248" s="147" t="s">
        <v>7030</v>
      </c>
      <c r="H1248" s="107" t="s">
        <v>7036</v>
      </c>
      <c r="I1248" s="107"/>
      <c r="J1248" s="21" t="s">
        <v>6557</v>
      </c>
      <c r="K1248" s="21"/>
      <c r="L1248" s="21" t="s">
        <v>7055</v>
      </c>
      <c r="M1248" s="26">
        <v>44792</v>
      </c>
      <c r="N1248" s="44">
        <v>2025</v>
      </c>
      <c r="O1248" s="22" t="s">
        <v>15</v>
      </c>
      <c r="P1248" s="44">
        <v>2025</v>
      </c>
      <c r="Q1248" s="44">
        <f t="shared" si="80"/>
        <v>0</v>
      </c>
      <c r="R1248" s="24">
        <f t="shared" si="81"/>
        <v>2025</v>
      </c>
      <c r="S1248" s="5"/>
      <c r="T1248" s="5"/>
    </row>
    <row r="1249" spans="1:20" ht="15.75" hidden="1" x14ac:dyDescent="0.25">
      <c r="A1249" t="s">
        <v>6753</v>
      </c>
      <c r="B1249" s="21" t="s">
        <v>395</v>
      </c>
      <c r="C1249" s="22" t="s">
        <v>2450</v>
      </c>
      <c r="D1249" s="22"/>
      <c r="E1249" s="21" t="s">
        <v>10</v>
      </c>
      <c r="F1249" s="21"/>
      <c r="G1249" s="147" t="s">
        <v>1090</v>
      </c>
      <c r="H1249" s="23" t="s">
        <v>7038</v>
      </c>
      <c r="I1249" s="23"/>
      <c r="J1249" s="21" t="s">
        <v>6557</v>
      </c>
      <c r="K1249" s="21"/>
      <c r="L1249" s="21" t="s">
        <v>7060</v>
      </c>
      <c r="M1249" s="26">
        <v>44811</v>
      </c>
      <c r="N1249" s="44">
        <v>1071</v>
      </c>
      <c r="O1249" s="22" t="s">
        <v>15</v>
      </c>
      <c r="P1249" s="44">
        <v>1071</v>
      </c>
      <c r="Q1249" s="44">
        <f>IF(P1249="en cours",N1249,IF(P1249="OK",0,IF(N1249-P1249&lt;0,0,N1249-P1249)))</f>
        <v>0</v>
      </c>
      <c r="R1249" s="24">
        <f>IF(P1249="OK",N1249-Q1249,IF(P1249="en cours",N1249-Q1249,P1249))</f>
        <v>1071</v>
      </c>
      <c r="S1249" s="5"/>
      <c r="T1249" s="5"/>
    </row>
    <row r="1250" spans="1:20" ht="15.75" hidden="1" x14ac:dyDescent="0.25">
      <c r="A1250" t="s">
        <v>6753</v>
      </c>
      <c r="B1250" s="21" t="s">
        <v>395</v>
      </c>
      <c r="C1250" s="22" t="s">
        <v>158</v>
      </c>
      <c r="D1250" s="22"/>
      <c r="E1250" s="21" t="s">
        <v>10</v>
      </c>
      <c r="F1250" s="21"/>
      <c r="G1250" s="147" t="s">
        <v>7043</v>
      </c>
      <c r="H1250" s="23" t="s">
        <v>7044</v>
      </c>
      <c r="I1250" s="23"/>
      <c r="J1250" s="21" t="s">
        <v>7045</v>
      </c>
      <c r="K1250" s="21"/>
      <c r="L1250" s="21" t="s">
        <v>7072</v>
      </c>
      <c r="M1250" s="26">
        <v>44812</v>
      </c>
      <c r="N1250" s="44">
        <v>9900</v>
      </c>
      <c r="O1250" s="22" t="s">
        <v>15</v>
      </c>
      <c r="P1250" s="44">
        <v>9900</v>
      </c>
      <c r="Q1250" s="24">
        <f t="shared" ref="Q1250:Q1265" si="82">IF(P1250="en cours",N1250,IF(P1250="OK",0,IF(N1250-P1250&lt;0,0,N1250-P1250)))</f>
        <v>0</v>
      </c>
      <c r="R1250" s="24">
        <f t="shared" ref="R1250:R1313" si="83">IF(P1250="OK",N1250-Q1250,IF(P1250="en cours",N1250-Q1250,P1250))</f>
        <v>9900</v>
      </c>
      <c r="S1250" s="5"/>
      <c r="T1250" s="5"/>
    </row>
    <row r="1251" spans="1:20" ht="15.75" hidden="1" x14ac:dyDescent="0.25">
      <c r="B1251" s="21" t="s">
        <v>395</v>
      </c>
      <c r="C1251" s="22" t="s">
        <v>2450</v>
      </c>
      <c r="D1251" s="22"/>
      <c r="E1251" s="21" t="s">
        <v>10</v>
      </c>
      <c r="F1251" s="21"/>
      <c r="G1251" s="147" t="s">
        <v>7073</v>
      </c>
      <c r="H1251" s="107" t="s">
        <v>7096</v>
      </c>
      <c r="I1251" s="107"/>
      <c r="J1251" s="21" t="s">
        <v>6555</v>
      </c>
      <c r="K1251" s="21"/>
      <c r="L1251" s="21" t="s">
        <v>7097</v>
      </c>
      <c r="M1251" s="26">
        <v>44817</v>
      </c>
      <c r="N1251" s="44">
        <f>355+737+40+40</f>
        <v>1172</v>
      </c>
      <c r="O1251" s="22" t="s">
        <v>15</v>
      </c>
      <c r="P1251" s="44">
        <f>1092+80</f>
        <v>1172</v>
      </c>
      <c r="Q1251" s="24">
        <f t="shared" si="82"/>
        <v>0</v>
      </c>
      <c r="R1251" s="24">
        <f t="shared" si="83"/>
        <v>1172</v>
      </c>
      <c r="S1251" s="5"/>
      <c r="T1251" s="5"/>
    </row>
    <row r="1252" spans="1:20" ht="15.75" hidden="1" x14ac:dyDescent="0.25">
      <c r="B1252" s="21" t="s">
        <v>395</v>
      </c>
      <c r="C1252" s="22" t="s">
        <v>2450</v>
      </c>
      <c r="D1252" s="22"/>
      <c r="E1252" s="21" t="s">
        <v>10</v>
      </c>
      <c r="F1252" s="21"/>
      <c r="G1252" s="147" t="s">
        <v>239</v>
      </c>
      <c r="H1252" s="23" t="s">
        <v>7126</v>
      </c>
      <c r="I1252" s="23"/>
      <c r="J1252" s="21" t="s">
        <v>7127</v>
      </c>
      <c r="K1252" s="21"/>
      <c r="L1252" s="21" t="s">
        <v>7128</v>
      </c>
      <c r="M1252" s="26">
        <v>44834</v>
      </c>
      <c r="N1252" s="44">
        <v>13100</v>
      </c>
      <c r="O1252" s="22" t="s">
        <v>15</v>
      </c>
      <c r="P1252" s="44">
        <v>13100</v>
      </c>
      <c r="Q1252" s="44">
        <f t="shared" si="82"/>
        <v>0</v>
      </c>
      <c r="R1252" s="24">
        <f t="shared" si="83"/>
        <v>13100</v>
      </c>
      <c r="S1252" s="5"/>
      <c r="T1252" s="5"/>
    </row>
    <row r="1253" spans="1:20" ht="15.75" hidden="1" x14ac:dyDescent="0.25">
      <c r="B1253" s="21" t="s">
        <v>395</v>
      </c>
      <c r="C1253" s="22" t="s">
        <v>2450</v>
      </c>
      <c r="D1253" s="22"/>
      <c r="E1253" s="21" t="s">
        <v>10</v>
      </c>
      <c r="F1253" s="21"/>
      <c r="G1253" s="147" t="s">
        <v>1090</v>
      </c>
      <c r="H1253" s="23" t="s">
        <v>7129</v>
      </c>
      <c r="I1253" s="23"/>
      <c r="J1253" s="21" t="s">
        <v>6557</v>
      </c>
      <c r="K1253" s="21"/>
      <c r="L1253" s="21" t="s">
        <v>7130</v>
      </c>
      <c r="M1253" s="26">
        <v>44833</v>
      </c>
      <c r="N1253" s="44">
        <v>3296</v>
      </c>
      <c r="O1253" s="22" t="s">
        <v>15</v>
      </c>
      <c r="P1253" s="44">
        <v>3296</v>
      </c>
      <c r="Q1253" s="44">
        <f t="shared" si="82"/>
        <v>0</v>
      </c>
      <c r="R1253" s="24">
        <f t="shared" si="83"/>
        <v>3296</v>
      </c>
      <c r="S1253" s="5"/>
      <c r="T1253" s="5"/>
    </row>
    <row r="1254" spans="1:20" ht="15.75" hidden="1" x14ac:dyDescent="0.25">
      <c r="B1254" s="21" t="s">
        <v>395</v>
      </c>
      <c r="C1254" s="22" t="s">
        <v>2450</v>
      </c>
      <c r="D1254" s="22"/>
      <c r="E1254" s="21" t="s">
        <v>0</v>
      </c>
      <c r="F1254" s="21"/>
      <c r="G1254" s="147" t="s">
        <v>6500</v>
      </c>
      <c r="H1254" s="23" t="s">
        <v>7136</v>
      </c>
      <c r="I1254" s="23"/>
      <c r="J1254" s="21" t="s">
        <v>6502</v>
      </c>
      <c r="K1254" s="21"/>
      <c r="L1254" s="21" t="s">
        <v>7194</v>
      </c>
      <c r="M1254" s="26">
        <v>44851</v>
      </c>
      <c r="N1254" s="44">
        <v>3695</v>
      </c>
      <c r="O1254" s="22" t="s">
        <v>276</v>
      </c>
      <c r="P1254" s="44">
        <v>3695</v>
      </c>
      <c r="Q1254" s="24">
        <f t="shared" si="82"/>
        <v>0</v>
      </c>
      <c r="R1254" s="24">
        <f t="shared" si="83"/>
        <v>3695</v>
      </c>
      <c r="S1254" s="5"/>
      <c r="T1254" s="5"/>
    </row>
    <row r="1255" spans="1:20" ht="15.75" hidden="1" x14ac:dyDescent="0.25">
      <c r="B1255" s="21" t="s">
        <v>395</v>
      </c>
      <c r="C1255" s="22" t="s">
        <v>158</v>
      </c>
      <c r="D1255" s="22"/>
      <c r="E1255" s="21" t="s">
        <v>7137</v>
      </c>
      <c r="F1255" s="21"/>
      <c r="G1255" s="147" t="s">
        <v>7138</v>
      </c>
      <c r="H1255" s="23" t="s">
        <v>7139</v>
      </c>
      <c r="I1255" s="23"/>
      <c r="J1255" s="21" t="s">
        <v>7140</v>
      </c>
      <c r="K1255" s="21"/>
      <c r="L1255" s="21" t="s">
        <v>7169</v>
      </c>
      <c r="M1255" s="26">
        <v>44842</v>
      </c>
      <c r="N1255" s="44">
        <v>1400</v>
      </c>
      <c r="O1255" s="22" t="s">
        <v>15</v>
      </c>
      <c r="P1255" s="44">
        <v>1400</v>
      </c>
      <c r="Q1255" s="44">
        <f t="shared" si="82"/>
        <v>0</v>
      </c>
      <c r="R1255" s="24">
        <f t="shared" si="83"/>
        <v>1400</v>
      </c>
      <c r="S1255" s="5"/>
      <c r="T1255" s="5"/>
    </row>
    <row r="1256" spans="1:20" ht="15.75" hidden="1" x14ac:dyDescent="0.25">
      <c r="B1256" s="21" t="s">
        <v>395</v>
      </c>
      <c r="C1256" s="22" t="s">
        <v>158</v>
      </c>
      <c r="D1256" s="22"/>
      <c r="E1256" s="21" t="s">
        <v>10</v>
      </c>
      <c r="F1256" s="21"/>
      <c r="G1256" s="147" t="s">
        <v>7143</v>
      </c>
      <c r="H1256" s="23" t="s">
        <v>7145</v>
      </c>
      <c r="I1256" s="23"/>
      <c r="J1256" s="21" t="s">
        <v>7144</v>
      </c>
      <c r="K1256" s="21"/>
      <c r="L1256" s="21" t="s">
        <v>7165</v>
      </c>
      <c r="M1256" s="26">
        <v>44839</v>
      </c>
      <c r="N1256" s="44">
        <v>284.76</v>
      </c>
      <c r="O1256" s="22" t="s">
        <v>15</v>
      </c>
      <c r="P1256" s="22">
        <v>284.76</v>
      </c>
      <c r="Q1256" s="24">
        <f t="shared" si="82"/>
        <v>0</v>
      </c>
      <c r="R1256" s="24">
        <f t="shared" si="83"/>
        <v>284.76</v>
      </c>
      <c r="S1256" s="5"/>
      <c r="T1256" s="5"/>
    </row>
    <row r="1257" spans="1:20" ht="15.75" hidden="1" x14ac:dyDescent="0.25">
      <c r="B1257" s="21" t="s">
        <v>395</v>
      </c>
      <c r="C1257" s="22" t="s">
        <v>158</v>
      </c>
      <c r="D1257" s="22"/>
      <c r="E1257" s="21" t="s">
        <v>10</v>
      </c>
      <c r="F1257" s="21"/>
      <c r="G1257" s="147" t="s">
        <v>7143</v>
      </c>
      <c r="H1257" s="23" t="s">
        <v>7146</v>
      </c>
      <c r="I1257" s="23"/>
      <c r="J1257" s="21" t="s">
        <v>7147</v>
      </c>
      <c r="K1257" s="21"/>
      <c r="L1257" s="21" t="s">
        <v>7164</v>
      </c>
      <c r="M1257" s="26">
        <v>44844</v>
      </c>
      <c r="N1257" s="44">
        <v>489.12</v>
      </c>
      <c r="O1257" s="22" t="s">
        <v>15</v>
      </c>
      <c r="P1257" s="22">
        <v>489.12</v>
      </c>
      <c r="Q1257" s="24">
        <f t="shared" si="82"/>
        <v>0</v>
      </c>
      <c r="R1257" s="24">
        <f t="shared" si="83"/>
        <v>489.12</v>
      </c>
      <c r="S1257" s="5"/>
      <c r="T1257" s="5"/>
    </row>
    <row r="1258" spans="1:20" ht="15.75" hidden="1" x14ac:dyDescent="0.25">
      <c r="B1258" s="21" t="s">
        <v>395</v>
      </c>
      <c r="C1258" s="22" t="s">
        <v>158</v>
      </c>
      <c r="D1258" s="22"/>
      <c r="E1258" s="21" t="s">
        <v>10</v>
      </c>
      <c r="F1258" s="21"/>
      <c r="G1258" s="147" t="s">
        <v>7143</v>
      </c>
      <c r="H1258" s="23" t="s">
        <v>7148</v>
      </c>
      <c r="I1258" s="23"/>
      <c r="J1258" s="21" t="s">
        <v>6006</v>
      </c>
      <c r="K1258" s="21"/>
      <c r="L1258" s="21" t="s">
        <v>7303</v>
      </c>
      <c r="M1258" s="26">
        <v>44900</v>
      </c>
      <c r="N1258" s="44">
        <v>4413.5600000000004</v>
      </c>
      <c r="O1258" s="22" t="s">
        <v>15</v>
      </c>
      <c r="P1258" s="44">
        <v>4413.5600000000004</v>
      </c>
      <c r="Q1258" s="24">
        <f t="shared" si="82"/>
        <v>0</v>
      </c>
      <c r="R1258" s="24">
        <f t="shared" si="83"/>
        <v>4413.5600000000004</v>
      </c>
      <c r="S1258" s="5"/>
      <c r="T1258" s="5"/>
    </row>
    <row r="1259" spans="1:20" ht="15.75" hidden="1" x14ac:dyDescent="0.25">
      <c r="B1259" s="21" t="s">
        <v>395</v>
      </c>
      <c r="C1259" s="22" t="s">
        <v>2450</v>
      </c>
      <c r="D1259" s="22"/>
      <c r="E1259" s="21" t="s">
        <v>10</v>
      </c>
      <c r="F1259" s="21"/>
      <c r="G1259" s="147" t="s">
        <v>1090</v>
      </c>
      <c r="H1259" s="23" t="s">
        <v>7153</v>
      </c>
      <c r="I1259" s="23"/>
      <c r="J1259" s="21" t="s">
        <v>6557</v>
      </c>
      <c r="K1259" s="21"/>
      <c r="L1259" s="21" t="s">
        <v>7193</v>
      </c>
      <c r="M1259" s="26">
        <v>44840</v>
      </c>
      <c r="N1259" s="44">
        <v>3135.2</v>
      </c>
      <c r="O1259" s="22" t="s">
        <v>15</v>
      </c>
      <c r="P1259" s="44">
        <v>3135.2</v>
      </c>
      <c r="Q1259" s="24">
        <f t="shared" si="82"/>
        <v>0</v>
      </c>
      <c r="R1259" s="24">
        <f t="shared" si="83"/>
        <v>3135.2</v>
      </c>
      <c r="S1259" s="5"/>
      <c r="T1259" s="5"/>
    </row>
    <row r="1260" spans="1:20" ht="15.75" hidden="1" x14ac:dyDescent="0.25">
      <c r="B1260" s="21" t="s">
        <v>395</v>
      </c>
      <c r="C1260" s="22" t="s">
        <v>158</v>
      </c>
      <c r="D1260" s="22"/>
      <c r="E1260" s="21" t="s">
        <v>10</v>
      </c>
      <c r="F1260" s="21"/>
      <c r="G1260" s="147" t="s">
        <v>1201</v>
      </c>
      <c r="H1260" s="23" t="s">
        <v>7154</v>
      </c>
      <c r="I1260" s="23"/>
      <c r="J1260" s="21" t="s">
        <v>7155</v>
      </c>
      <c r="K1260" s="120"/>
      <c r="L1260" s="21" t="s">
        <v>7231</v>
      </c>
      <c r="M1260" s="26">
        <v>44860</v>
      </c>
      <c r="N1260" s="44">
        <f>1450+35.1</f>
        <v>1485.1</v>
      </c>
      <c r="O1260" s="22" t="s">
        <v>15</v>
      </c>
      <c r="P1260" s="22">
        <v>1485.1</v>
      </c>
      <c r="Q1260" s="24">
        <f t="shared" si="82"/>
        <v>0</v>
      </c>
      <c r="R1260" s="116">
        <f t="shared" si="83"/>
        <v>1485.1</v>
      </c>
      <c r="S1260" s="5"/>
      <c r="T1260" s="5"/>
    </row>
    <row r="1261" spans="1:20" ht="15.75" hidden="1" x14ac:dyDescent="0.25">
      <c r="B1261" s="21" t="s">
        <v>395</v>
      </c>
      <c r="C1261" s="22" t="s">
        <v>158</v>
      </c>
      <c r="D1261" s="22"/>
      <c r="E1261" s="21" t="s">
        <v>10</v>
      </c>
      <c r="F1261" s="21"/>
      <c r="G1261" s="147" t="s">
        <v>1201</v>
      </c>
      <c r="H1261" s="107" t="s">
        <v>7156</v>
      </c>
      <c r="I1261" s="107"/>
      <c r="J1261" s="21" t="s">
        <v>6557</v>
      </c>
      <c r="K1261" s="21"/>
      <c r="L1261" s="21" t="s">
        <v>7203</v>
      </c>
      <c r="M1261" s="26">
        <v>44854</v>
      </c>
      <c r="N1261" s="44">
        <v>1242</v>
      </c>
      <c r="O1261" s="22" t="s">
        <v>15</v>
      </c>
      <c r="P1261" s="44">
        <v>1242</v>
      </c>
      <c r="Q1261" s="24">
        <f t="shared" si="82"/>
        <v>0</v>
      </c>
      <c r="R1261" s="24">
        <f t="shared" si="83"/>
        <v>1242</v>
      </c>
      <c r="S1261" s="5"/>
      <c r="T1261" s="5"/>
    </row>
    <row r="1262" spans="1:20" ht="15.75" hidden="1" x14ac:dyDescent="0.25">
      <c r="A1262" t="s">
        <v>6753</v>
      </c>
      <c r="B1262" s="21" t="s">
        <v>395</v>
      </c>
      <c r="C1262" s="22" t="s">
        <v>2450</v>
      </c>
      <c r="D1262" s="22"/>
      <c r="E1262" s="21" t="s">
        <v>10</v>
      </c>
      <c r="F1262" s="21"/>
      <c r="G1262" s="147" t="s">
        <v>6638</v>
      </c>
      <c r="H1262" s="107" t="s">
        <v>7157</v>
      </c>
      <c r="I1262" s="107"/>
      <c r="J1262" s="21" t="s">
        <v>6557</v>
      </c>
      <c r="K1262" s="21"/>
      <c r="L1262" s="21" t="s">
        <v>7206</v>
      </c>
      <c r="M1262" s="26">
        <v>44853</v>
      </c>
      <c r="N1262" s="44">
        <v>692</v>
      </c>
      <c r="O1262" s="22" t="s">
        <v>15</v>
      </c>
      <c r="P1262" s="44">
        <v>692</v>
      </c>
      <c r="Q1262" s="24">
        <f t="shared" si="82"/>
        <v>0</v>
      </c>
      <c r="R1262" s="24">
        <f t="shared" si="83"/>
        <v>692</v>
      </c>
      <c r="S1262" s="5"/>
      <c r="T1262" s="5"/>
    </row>
    <row r="1263" spans="1:20" ht="15.75" hidden="1" x14ac:dyDescent="0.25">
      <c r="A1263" t="s">
        <v>6753</v>
      </c>
      <c r="B1263" s="21" t="s">
        <v>395</v>
      </c>
      <c r="C1263" s="22" t="s">
        <v>2450</v>
      </c>
      <c r="D1263" s="22"/>
      <c r="E1263" s="21" t="s">
        <v>10</v>
      </c>
      <c r="F1263" s="21"/>
      <c r="G1263" s="147" t="s">
        <v>6638</v>
      </c>
      <c r="H1263" s="107" t="s">
        <v>7158</v>
      </c>
      <c r="I1263" s="107"/>
      <c r="J1263" s="21" t="s">
        <v>6557</v>
      </c>
      <c r="K1263" s="21"/>
      <c r="L1263" s="21" t="s">
        <v>7192</v>
      </c>
      <c r="M1263" s="26">
        <v>44847</v>
      </c>
      <c r="N1263" s="44">
        <v>699.2</v>
      </c>
      <c r="O1263" s="22" t="s">
        <v>15</v>
      </c>
      <c r="P1263" s="44">
        <v>699.2</v>
      </c>
      <c r="Q1263" s="24">
        <f t="shared" si="82"/>
        <v>0</v>
      </c>
      <c r="R1263" s="24">
        <f t="shared" si="83"/>
        <v>699.2</v>
      </c>
      <c r="S1263" s="5"/>
      <c r="T1263" s="5"/>
    </row>
    <row r="1264" spans="1:20" ht="15.75" hidden="1" x14ac:dyDescent="0.25">
      <c r="A1264" t="s">
        <v>6753</v>
      </c>
      <c r="B1264" s="21" t="s">
        <v>395</v>
      </c>
      <c r="C1264" s="22" t="s">
        <v>2450</v>
      </c>
      <c r="D1264" s="22"/>
      <c r="E1264" s="21" t="s">
        <v>10</v>
      </c>
      <c r="F1264" s="21"/>
      <c r="G1264" s="147" t="s">
        <v>6792</v>
      </c>
      <c r="H1264" s="107" t="s">
        <v>7161</v>
      </c>
      <c r="I1264" s="107"/>
      <c r="J1264" s="21" t="s">
        <v>6557</v>
      </c>
      <c r="K1264" s="21"/>
      <c r="L1264" s="21" t="s">
        <v>7244</v>
      </c>
      <c r="M1264" s="26">
        <v>44846</v>
      </c>
      <c r="N1264" s="44">
        <v>2807</v>
      </c>
      <c r="O1264" s="22" t="s">
        <v>15</v>
      </c>
      <c r="P1264" s="44">
        <v>2807</v>
      </c>
      <c r="Q1264" s="44">
        <f t="shared" si="82"/>
        <v>0</v>
      </c>
      <c r="R1264" s="24">
        <f t="shared" si="83"/>
        <v>2807</v>
      </c>
      <c r="S1264" s="5"/>
      <c r="T1264" s="5"/>
    </row>
    <row r="1265" spans="2:20" ht="15.75" hidden="1" x14ac:dyDescent="0.25">
      <c r="B1265" s="21" t="s">
        <v>395</v>
      </c>
      <c r="C1265" s="22" t="s">
        <v>2421</v>
      </c>
      <c r="D1265" s="22"/>
      <c r="E1265" s="21" t="s">
        <v>75</v>
      </c>
      <c r="F1265" s="21"/>
      <c r="G1265" s="147" t="s">
        <v>1655</v>
      </c>
      <c r="H1265" s="23" t="s">
        <v>1656</v>
      </c>
      <c r="I1265" s="23"/>
      <c r="J1265" s="21" t="s">
        <v>1768</v>
      </c>
      <c r="K1265" s="120"/>
      <c r="L1265" s="120" t="s">
        <v>2673</v>
      </c>
      <c r="M1265" s="120" t="s">
        <v>2674</v>
      </c>
      <c r="N1265" s="44">
        <f>P1265</f>
        <v>29068.34</v>
      </c>
      <c r="O1265" s="22" t="s">
        <v>276</v>
      </c>
      <c r="P1265" s="44">
        <f>14377.5+1472.5+3522.34+3246+3225+3225</f>
        <v>29068.34</v>
      </c>
      <c r="Q1265" s="44">
        <f t="shared" si="82"/>
        <v>0</v>
      </c>
      <c r="R1265" s="24">
        <f t="shared" si="83"/>
        <v>29068.34</v>
      </c>
      <c r="S1265" s="5"/>
      <c r="T1265" s="5"/>
    </row>
    <row r="1266" spans="2:20" ht="15.75" hidden="1" x14ac:dyDescent="0.25">
      <c r="B1266" s="21" t="s">
        <v>395</v>
      </c>
      <c r="C1266" s="22" t="s">
        <v>2421</v>
      </c>
      <c r="D1266" s="22"/>
      <c r="E1266" s="21" t="s">
        <v>75</v>
      </c>
      <c r="F1266" s="21"/>
      <c r="G1266" s="147" t="s">
        <v>1655</v>
      </c>
      <c r="H1266" s="23" t="s">
        <v>1656</v>
      </c>
      <c r="I1266" s="23"/>
      <c r="J1266" s="21" t="s">
        <v>1768</v>
      </c>
      <c r="K1266" s="120"/>
      <c r="L1266" s="120" t="s">
        <v>2980</v>
      </c>
      <c r="M1266" s="120" t="s">
        <v>2981</v>
      </c>
      <c r="N1266" s="44">
        <f t="shared" ref="N1266:N1286" si="84">18679.18/3+(26969.21/21)</f>
        <v>7510.6414285714291</v>
      </c>
      <c r="O1266" s="22" t="s">
        <v>276</v>
      </c>
      <c r="P1266" s="44">
        <f>3225+3531.65</f>
        <v>6756.65</v>
      </c>
      <c r="Q1266" s="44">
        <v>0</v>
      </c>
      <c r="R1266" s="24">
        <f t="shared" si="83"/>
        <v>6756.65</v>
      </c>
      <c r="S1266" s="5"/>
      <c r="T1266" s="5"/>
    </row>
    <row r="1267" spans="2:20" ht="15.75" hidden="1" x14ac:dyDescent="0.25">
      <c r="B1267" s="21" t="s">
        <v>395</v>
      </c>
      <c r="C1267" s="22" t="s">
        <v>2421</v>
      </c>
      <c r="D1267" s="22"/>
      <c r="E1267" s="21" t="s">
        <v>75</v>
      </c>
      <c r="F1267" s="21"/>
      <c r="G1267" s="147" t="s">
        <v>1655</v>
      </c>
      <c r="H1267" s="23" t="s">
        <v>1656</v>
      </c>
      <c r="I1267" s="23"/>
      <c r="J1267" s="21" t="s">
        <v>1768</v>
      </c>
      <c r="K1267" s="120"/>
      <c r="L1267" s="120" t="s">
        <v>3072</v>
      </c>
      <c r="M1267" s="26">
        <v>43921</v>
      </c>
      <c r="N1267" s="44">
        <f t="shared" si="84"/>
        <v>7510.6414285714291</v>
      </c>
      <c r="O1267" s="22" t="s">
        <v>276</v>
      </c>
      <c r="P1267" s="44">
        <v>7063.65</v>
      </c>
      <c r="Q1267" s="44">
        <v>0</v>
      </c>
      <c r="R1267" s="24">
        <f t="shared" si="83"/>
        <v>7063.65</v>
      </c>
      <c r="S1267" s="5" t="s">
        <v>2982</v>
      </c>
      <c r="T1267" s="5"/>
    </row>
    <row r="1268" spans="2:20" ht="15.75" hidden="1" x14ac:dyDescent="0.25">
      <c r="B1268" s="21" t="s">
        <v>395</v>
      </c>
      <c r="C1268" s="22" t="s">
        <v>2421</v>
      </c>
      <c r="D1268" s="22"/>
      <c r="E1268" s="21" t="s">
        <v>75</v>
      </c>
      <c r="F1268" s="21"/>
      <c r="G1268" s="147" t="s">
        <v>1655</v>
      </c>
      <c r="H1268" s="23" t="s">
        <v>1656</v>
      </c>
      <c r="I1268" s="23"/>
      <c r="J1268" s="21" t="s">
        <v>1768</v>
      </c>
      <c r="K1268" s="120"/>
      <c r="L1268" s="120" t="s">
        <v>3158</v>
      </c>
      <c r="M1268" s="26">
        <v>43951</v>
      </c>
      <c r="N1268" s="44">
        <f t="shared" si="84"/>
        <v>7510.6414285714291</v>
      </c>
      <c r="O1268" s="22" t="s">
        <v>276</v>
      </c>
      <c r="P1268" s="44">
        <v>7510.64</v>
      </c>
      <c r="Q1268" s="44">
        <f>IF(P1268="en cours",N1268,IF(P1268="OK",0,IF(N1268-P1268&lt;0,0,N1268-P1268)))</f>
        <v>1.4285714287325391E-3</v>
      </c>
      <c r="R1268" s="24">
        <f t="shared" si="83"/>
        <v>7510.64</v>
      </c>
      <c r="S1268" s="5"/>
      <c r="T1268" s="5"/>
    </row>
    <row r="1269" spans="2:20" ht="15.75" hidden="1" x14ac:dyDescent="0.25">
      <c r="B1269" s="21" t="s">
        <v>395</v>
      </c>
      <c r="C1269" s="22" t="s">
        <v>2421</v>
      </c>
      <c r="D1269" s="22"/>
      <c r="E1269" s="21" t="s">
        <v>75</v>
      </c>
      <c r="F1269" s="21"/>
      <c r="G1269" s="147" t="s">
        <v>1655</v>
      </c>
      <c r="H1269" s="23" t="s">
        <v>1656</v>
      </c>
      <c r="I1269" s="23"/>
      <c r="J1269" s="21" t="s">
        <v>1768</v>
      </c>
      <c r="K1269" s="120"/>
      <c r="L1269" s="120" t="s">
        <v>3249</v>
      </c>
      <c r="M1269" s="26" t="s">
        <v>3246</v>
      </c>
      <c r="N1269" s="44">
        <f t="shared" si="84"/>
        <v>7510.6414285714291</v>
      </c>
      <c r="O1269" s="22" t="s">
        <v>276</v>
      </c>
      <c r="P1269" s="44">
        <f>(10809.26-7510.64)+4212.02</f>
        <v>7510.64</v>
      </c>
      <c r="Q1269" s="44">
        <f>IF(P1269="en cours",N1269,IF(P1269="OK",0,IF(N1269-P1269&lt;0,0,N1269-P1269)))</f>
        <v>1.4285714287325391E-3</v>
      </c>
      <c r="R1269" s="24">
        <f t="shared" si="83"/>
        <v>7510.64</v>
      </c>
      <c r="S1269" s="5"/>
      <c r="T1269" s="5"/>
    </row>
    <row r="1270" spans="2:20" ht="15.75" hidden="1" x14ac:dyDescent="0.25">
      <c r="B1270" s="21" t="s">
        <v>395</v>
      </c>
      <c r="C1270" s="22" t="s">
        <v>2421</v>
      </c>
      <c r="D1270" s="22"/>
      <c r="E1270" s="21" t="s">
        <v>75</v>
      </c>
      <c r="F1270" s="21"/>
      <c r="G1270" s="147" t="s">
        <v>1655</v>
      </c>
      <c r="H1270" s="23" t="s">
        <v>1656</v>
      </c>
      <c r="I1270" s="23"/>
      <c r="J1270" s="21" t="s">
        <v>1768</v>
      </c>
      <c r="K1270" s="120"/>
      <c r="L1270" s="120" t="s">
        <v>3454</v>
      </c>
      <c r="M1270" s="26">
        <v>44012</v>
      </c>
      <c r="N1270" s="44">
        <f t="shared" si="84"/>
        <v>7510.6414285714291</v>
      </c>
      <c r="O1270" s="22" t="s">
        <v>276</v>
      </c>
      <c r="P1270" s="44">
        <f>2036.4+5474.24</f>
        <v>7510.6399999999994</v>
      </c>
      <c r="Q1270" s="44">
        <f>IF(P1270="en cours",N1270,IF(P1270="OK",0,IF(N1270-P1270&lt;0,0,N1270-P1270)))</f>
        <v>1.4285714296420338E-3</v>
      </c>
      <c r="R1270" s="24">
        <f t="shared" si="83"/>
        <v>7510.6399999999994</v>
      </c>
      <c r="S1270" s="5"/>
      <c r="T1270" s="5"/>
    </row>
    <row r="1271" spans="2:20" ht="15.75" hidden="1" x14ac:dyDescent="0.25">
      <c r="B1271" s="21" t="s">
        <v>395</v>
      </c>
      <c r="C1271" s="22" t="s">
        <v>2421</v>
      </c>
      <c r="D1271" s="22"/>
      <c r="E1271" s="21" t="s">
        <v>75</v>
      </c>
      <c r="F1271" s="21"/>
      <c r="G1271" s="147" t="s">
        <v>1655</v>
      </c>
      <c r="H1271" s="23" t="s">
        <v>1656</v>
      </c>
      <c r="I1271" s="23"/>
      <c r="J1271" s="21" t="s">
        <v>1768</v>
      </c>
      <c r="K1271" s="120"/>
      <c r="L1271" s="120" t="s">
        <v>3602</v>
      </c>
      <c r="M1271" s="120" t="s">
        <v>3603</v>
      </c>
      <c r="N1271" s="44">
        <f t="shared" si="84"/>
        <v>7510.6414285714291</v>
      </c>
      <c r="O1271" s="22" t="s">
        <v>276</v>
      </c>
      <c r="P1271" s="44">
        <f>1208.09+6302.55</f>
        <v>7510.64</v>
      </c>
      <c r="Q1271" s="44">
        <f>IF(P1271="en cours",N1271,IF(P1271="OK",0,IF(N1271-P1271&lt;0,0,N1271-P1271)))</f>
        <v>1.4285714287325391E-3</v>
      </c>
      <c r="R1271" s="24">
        <f t="shared" si="83"/>
        <v>7510.64</v>
      </c>
      <c r="S1271" s="5"/>
      <c r="T1271" s="5"/>
    </row>
    <row r="1272" spans="2:20" ht="15.75" hidden="1" x14ac:dyDescent="0.25">
      <c r="B1272" s="21" t="s">
        <v>395</v>
      </c>
      <c r="C1272" s="22" t="s">
        <v>2421</v>
      </c>
      <c r="D1272" s="22"/>
      <c r="E1272" s="21" t="s">
        <v>75</v>
      </c>
      <c r="F1272" s="21"/>
      <c r="G1272" s="147" t="s">
        <v>1655</v>
      </c>
      <c r="H1272" s="23" t="s">
        <v>1656</v>
      </c>
      <c r="I1272" s="23"/>
      <c r="J1272" s="21" t="s">
        <v>1768</v>
      </c>
      <c r="K1272" s="120"/>
      <c r="L1272" s="120" t="s">
        <v>3641</v>
      </c>
      <c r="M1272" s="26" t="s">
        <v>3642</v>
      </c>
      <c r="N1272" s="44">
        <f t="shared" si="84"/>
        <v>7510.6414285714291</v>
      </c>
      <c r="O1272" s="22" t="s">
        <v>276</v>
      </c>
      <c r="P1272" s="44">
        <f>1358.93+5993.48</f>
        <v>7352.41</v>
      </c>
      <c r="Q1272" s="44">
        <v>0</v>
      </c>
      <c r="R1272" s="24">
        <f t="shared" si="83"/>
        <v>7352.41</v>
      </c>
      <c r="S1272" s="5"/>
      <c r="T1272" s="5"/>
    </row>
    <row r="1273" spans="2:20" ht="15.75" hidden="1" x14ac:dyDescent="0.25">
      <c r="B1273" s="21" t="s">
        <v>395</v>
      </c>
      <c r="C1273" s="22" t="s">
        <v>2421</v>
      </c>
      <c r="D1273" s="22"/>
      <c r="E1273" s="21" t="s">
        <v>75</v>
      </c>
      <c r="F1273" s="21"/>
      <c r="G1273" s="147" t="s">
        <v>1655</v>
      </c>
      <c r="H1273" s="23" t="s">
        <v>1656</v>
      </c>
      <c r="I1273" s="23"/>
      <c r="J1273" s="21" t="s">
        <v>1768</v>
      </c>
      <c r="K1273" s="120"/>
      <c r="L1273" s="120" t="s">
        <v>4143</v>
      </c>
      <c r="M1273" s="26" t="s">
        <v>4022</v>
      </c>
      <c r="N1273" s="44">
        <f t="shared" si="84"/>
        <v>7510.6414285714291</v>
      </c>
      <c r="O1273" s="22" t="s">
        <v>276</v>
      </c>
      <c r="P1273" s="44">
        <f>6710.68+799.96</f>
        <v>7510.64</v>
      </c>
      <c r="Q1273" s="44">
        <f t="shared" ref="Q1273:Q1286" si="85">IF(P1273="en cours",N1273,IF(P1273="OK",0,IF(N1273-P1273&lt;0,0,N1273-P1273)))</f>
        <v>1.4285714287325391E-3</v>
      </c>
      <c r="R1273" s="24">
        <f t="shared" si="83"/>
        <v>7510.64</v>
      </c>
      <c r="S1273" s="5"/>
      <c r="T1273" s="5"/>
    </row>
    <row r="1274" spans="2:20" ht="15" hidden="1" customHeight="1" x14ac:dyDescent="0.25">
      <c r="B1274" s="21" t="s">
        <v>395</v>
      </c>
      <c r="C1274" s="22" t="s">
        <v>2421</v>
      </c>
      <c r="D1274" s="22"/>
      <c r="E1274" s="21" t="s">
        <v>75</v>
      </c>
      <c r="F1274" s="21"/>
      <c r="G1274" s="147" t="s">
        <v>1655</v>
      </c>
      <c r="H1274" s="23" t="s">
        <v>1656</v>
      </c>
      <c r="I1274" s="23"/>
      <c r="J1274" s="21" t="s">
        <v>1768</v>
      </c>
      <c r="K1274" s="120"/>
      <c r="L1274" s="120" t="s">
        <v>4144</v>
      </c>
      <c r="M1274" s="26" t="s">
        <v>4145</v>
      </c>
      <c r="N1274" s="44">
        <f t="shared" si="84"/>
        <v>7510.6414285714291</v>
      </c>
      <c r="O1274" s="22" t="s">
        <v>276</v>
      </c>
      <c r="P1274" s="44">
        <f>5098.05+2412.59</f>
        <v>7510.64</v>
      </c>
      <c r="Q1274" s="44">
        <f t="shared" si="85"/>
        <v>1.4285714287325391E-3</v>
      </c>
      <c r="R1274" s="24">
        <f t="shared" si="83"/>
        <v>7510.64</v>
      </c>
      <c r="S1274" s="5"/>
      <c r="T1274" s="5"/>
    </row>
    <row r="1275" spans="2:20" ht="15" hidden="1" customHeight="1" x14ac:dyDescent="0.25">
      <c r="B1275" s="21" t="s">
        <v>395</v>
      </c>
      <c r="C1275" s="22" t="s">
        <v>2421</v>
      </c>
      <c r="D1275" s="22"/>
      <c r="E1275" s="21" t="s">
        <v>75</v>
      </c>
      <c r="F1275" s="21"/>
      <c r="G1275" s="147" t="s">
        <v>1655</v>
      </c>
      <c r="H1275" s="23" t="s">
        <v>1656</v>
      </c>
      <c r="I1275" s="23"/>
      <c r="J1275" s="21" t="s">
        <v>1768</v>
      </c>
      <c r="K1275" s="120"/>
      <c r="L1275" s="120" t="s">
        <v>5208</v>
      </c>
      <c r="M1275" s="26" t="s">
        <v>5209</v>
      </c>
      <c r="N1275" s="44">
        <f t="shared" si="84"/>
        <v>7510.6414285714291</v>
      </c>
      <c r="O1275" s="22" t="s">
        <v>276</v>
      </c>
      <c r="P1275" s="44">
        <f>3259.96+4250.68</f>
        <v>7510.64</v>
      </c>
      <c r="Q1275" s="44">
        <f t="shared" si="85"/>
        <v>1.4285714287325391E-3</v>
      </c>
      <c r="R1275" s="24">
        <f t="shared" si="83"/>
        <v>7510.64</v>
      </c>
      <c r="S1275" s="5"/>
      <c r="T1275" s="5"/>
    </row>
    <row r="1276" spans="2:20" ht="15.75" hidden="1" x14ac:dyDescent="0.25">
      <c r="B1276" s="21" t="s">
        <v>395</v>
      </c>
      <c r="C1276" s="22" t="s">
        <v>2421</v>
      </c>
      <c r="D1276" s="22"/>
      <c r="E1276" s="21" t="s">
        <v>75</v>
      </c>
      <c r="F1276" s="21"/>
      <c r="G1276" s="147" t="s">
        <v>1655</v>
      </c>
      <c r="H1276" s="23" t="s">
        <v>1656</v>
      </c>
      <c r="I1276" s="23"/>
      <c r="J1276" s="21" t="s">
        <v>1768</v>
      </c>
      <c r="K1276" s="120"/>
      <c r="L1276" s="120" t="s">
        <v>4507</v>
      </c>
      <c r="M1276" s="26" t="s">
        <v>4508</v>
      </c>
      <c r="N1276" s="44">
        <f t="shared" si="84"/>
        <v>7510.6414285714291</v>
      </c>
      <c r="O1276" s="22" t="s">
        <v>276</v>
      </c>
      <c r="P1276" s="44">
        <f>6131.46+1379.18</f>
        <v>7510.64</v>
      </c>
      <c r="Q1276" s="44">
        <f t="shared" si="85"/>
        <v>1.4285714287325391E-3</v>
      </c>
      <c r="R1276" s="24">
        <f t="shared" si="83"/>
        <v>7510.64</v>
      </c>
      <c r="S1276" s="5"/>
      <c r="T1276" s="5"/>
    </row>
    <row r="1277" spans="2:20" ht="15.75" hidden="1" x14ac:dyDescent="0.25">
      <c r="B1277" s="21" t="s">
        <v>395</v>
      </c>
      <c r="C1277" s="22" t="s">
        <v>2421</v>
      </c>
      <c r="D1277" s="22"/>
      <c r="E1277" s="21" t="s">
        <v>75</v>
      </c>
      <c r="F1277" s="21"/>
      <c r="G1277" s="147" t="s">
        <v>1655</v>
      </c>
      <c r="H1277" s="23" t="s">
        <v>1656</v>
      </c>
      <c r="I1277" s="23"/>
      <c r="J1277" s="21" t="s">
        <v>1768</v>
      </c>
      <c r="K1277" s="120"/>
      <c r="L1277" s="120" t="s">
        <v>4509</v>
      </c>
      <c r="M1277" s="26">
        <v>44244</v>
      </c>
      <c r="N1277" s="44">
        <f t="shared" si="84"/>
        <v>7510.6414285714291</v>
      </c>
      <c r="O1277" s="22" t="s">
        <v>276</v>
      </c>
      <c r="P1277" s="44">
        <v>7567.2199999999993</v>
      </c>
      <c r="Q1277" s="44">
        <f t="shared" si="85"/>
        <v>0</v>
      </c>
      <c r="R1277" s="24">
        <f t="shared" si="83"/>
        <v>7567.2199999999993</v>
      </c>
      <c r="S1277" s="5"/>
      <c r="T1277" s="5"/>
    </row>
    <row r="1278" spans="2:20" ht="15.75" hidden="1" x14ac:dyDescent="0.25">
      <c r="B1278" s="21" t="s">
        <v>395</v>
      </c>
      <c r="C1278" s="22" t="s">
        <v>2421</v>
      </c>
      <c r="D1278" s="22"/>
      <c r="E1278" s="21" t="s">
        <v>75</v>
      </c>
      <c r="F1278" s="21"/>
      <c r="G1278" s="147" t="s">
        <v>1655</v>
      </c>
      <c r="H1278" s="23" t="s">
        <v>1656</v>
      </c>
      <c r="I1278" s="23"/>
      <c r="J1278" s="21" t="s">
        <v>1768</v>
      </c>
      <c r="K1278" s="120"/>
      <c r="L1278" s="120" t="s">
        <v>4642</v>
      </c>
      <c r="M1278" s="26">
        <v>44267</v>
      </c>
      <c r="N1278" s="44">
        <f t="shared" si="84"/>
        <v>7510.6414285714291</v>
      </c>
      <c r="O1278" s="22" t="s">
        <v>276</v>
      </c>
      <c r="P1278" s="44">
        <v>7510.64</v>
      </c>
      <c r="Q1278" s="44">
        <f t="shared" si="85"/>
        <v>1.4285714287325391E-3</v>
      </c>
      <c r="R1278" s="24">
        <f t="shared" si="83"/>
        <v>7510.64</v>
      </c>
      <c r="S1278" s="5"/>
      <c r="T1278" s="5"/>
    </row>
    <row r="1279" spans="2:20" ht="15.75" hidden="1" x14ac:dyDescent="0.25">
      <c r="B1279" s="21" t="s">
        <v>395</v>
      </c>
      <c r="C1279" s="22" t="s">
        <v>2421</v>
      </c>
      <c r="D1279" s="22"/>
      <c r="E1279" s="21" t="s">
        <v>75</v>
      </c>
      <c r="F1279" s="21"/>
      <c r="G1279" s="147" t="s">
        <v>1655</v>
      </c>
      <c r="H1279" s="23" t="s">
        <v>1656</v>
      </c>
      <c r="I1279" s="23"/>
      <c r="J1279" s="21" t="s">
        <v>1768</v>
      </c>
      <c r="K1279" s="120"/>
      <c r="L1279" s="120" t="s">
        <v>4827</v>
      </c>
      <c r="M1279" s="26" t="s">
        <v>4828</v>
      </c>
      <c r="N1279" s="44">
        <f t="shared" si="84"/>
        <v>7510.6414285714291</v>
      </c>
      <c r="O1279" s="22" t="s">
        <v>276</v>
      </c>
      <c r="P1279" s="44">
        <f>6296.59+1214.05</f>
        <v>7510.64</v>
      </c>
      <c r="Q1279" s="44">
        <f t="shared" si="85"/>
        <v>1.4285714287325391E-3</v>
      </c>
      <c r="R1279" s="24">
        <f t="shared" si="83"/>
        <v>7510.64</v>
      </c>
      <c r="S1279" s="5"/>
      <c r="T1279" s="5"/>
    </row>
    <row r="1280" spans="2:20" ht="15.75" hidden="1" x14ac:dyDescent="0.25">
      <c r="B1280" s="21" t="s">
        <v>395</v>
      </c>
      <c r="C1280" s="22" t="s">
        <v>2421</v>
      </c>
      <c r="D1280" s="22"/>
      <c r="E1280" s="21" t="s">
        <v>75</v>
      </c>
      <c r="F1280" s="21"/>
      <c r="G1280" s="147" t="s">
        <v>1655</v>
      </c>
      <c r="H1280" s="23" t="s">
        <v>1656</v>
      </c>
      <c r="I1280" s="23"/>
      <c r="J1280" s="21" t="s">
        <v>1768</v>
      </c>
      <c r="K1280" s="120"/>
      <c r="L1280" s="120" t="s">
        <v>4829</v>
      </c>
      <c r="M1280" s="26">
        <v>44302</v>
      </c>
      <c r="N1280" s="44">
        <f t="shared" si="84"/>
        <v>7510.6414285714291</v>
      </c>
      <c r="O1280" s="22" t="s">
        <v>276</v>
      </c>
      <c r="P1280" s="44">
        <v>7510.64</v>
      </c>
      <c r="Q1280" s="44">
        <f t="shared" si="85"/>
        <v>1.4285714287325391E-3</v>
      </c>
      <c r="R1280" s="24">
        <f t="shared" si="83"/>
        <v>7510.64</v>
      </c>
      <c r="S1280" s="5"/>
      <c r="T1280" s="5"/>
    </row>
    <row r="1281" spans="1:20" ht="15.75" hidden="1" x14ac:dyDescent="0.25">
      <c r="B1281" s="21" t="s">
        <v>395</v>
      </c>
      <c r="C1281" s="22" t="s">
        <v>2421</v>
      </c>
      <c r="D1281" s="22"/>
      <c r="E1281" s="21" t="s">
        <v>75</v>
      </c>
      <c r="F1281" s="21"/>
      <c r="G1281" s="147" t="s">
        <v>1655</v>
      </c>
      <c r="H1281" s="23" t="s">
        <v>1656</v>
      </c>
      <c r="I1281" s="23"/>
      <c r="J1281" s="21" t="s">
        <v>1768</v>
      </c>
      <c r="K1281" s="120"/>
      <c r="L1281" s="120" t="s">
        <v>5079</v>
      </c>
      <c r="M1281" s="26" t="s">
        <v>5080</v>
      </c>
      <c r="N1281" s="44">
        <f t="shared" si="84"/>
        <v>7510.6414285714291</v>
      </c>
      <c r="O1281" s="22" t="s">
        <v>276</v>
      </c>
      <c r="P1281" s="44">
        <f>9776.38-1214.05-7510.64+6458.95</f>
        <v>7510.6399999999994</v>
      </c>
      <c r="Q1281" s="44">
        <f t="shared" si="85"/>
        <v>1.4285714296420338E-3</v>
      </c>
      <c r="R1281" s="24">
        <f t="shared" si="83"/>
        <v>7510.6399999999994</v>
      </c>
      <c r="S1281" s="5"/>
      <c r="T1281" s="5"/>
    </row>
    <row r="1282" spans="1:20" ht="15.75" hidden="1" x14ac:dyDescent="0.25">
      <c r="B1282" s="21" t="s">
        <v>395</v>
      </c>
      <c r="C1282" s="22" t="s">
        <v>2421</v>
      </c>
      <c r="D1282" s="22"/>
      <c r="E1282" s="21" t="s">
        <v>75</v>
      </c>
      <c r="F1282" s="21"/>
      <c r="G1282" s="147" t="s">
        <v>1655</v>
      </c>
      <c r="H1282" s="23" t="s">
        <v>1656</v>
      </c>
      <c r="I1282" s="23"/>
      <c r="J1282" s="21" t="s">
        <v>1768</v>
      </c>
      <c r="K1282" s="120"/>
      <c r="L1282" s="120" t="s">
        <v>5245</v>
      </c>
      <c r="M1282" s="26" t="s">
        <v>5246</v>
      </c>
      <c r="N1282" s="44">
        <f t="shared" si="84"/>
        <v>7510.6414285714291</v>
      </c>
      <c r="O1282" s="22" t="s">
        <v>276</v>
      </c>
      <c r="P1282" s="44">
        <f>2599.15+4911.49</f>
        <v>7510.6399999999994</v>
      </c>
      <c r="Q1282" s="44">
        <f t="shared" si="85"/>
        <v>1.4285714296420338E-3</v>
      </c>
      <c r="R1282" s="24">
        <f t="shared" si="83"/>
        <v>7510.6399999999994</v>
      </c>
      <c r="S1282" s="5"/>
      <c r="T1282" s="5"/>
    </row>
    <row r="1283" spans="1:20" ht="15.75" hidden="1" x14ac:dyDescent="0.25">
      <c r="B1283" s="21" t="s">
        <v>395</v>
      </c>
      <c r="C1283" s="22" t="s">
        <v>2421</v>
      </c>
      <c r="D1283" s="22"/>
      <c r="E1283" s="21" t="s">
        <v>75</v>
      </c>
      <c r="F1283" s="21"/>
      <c r="G1283" s="147" t="s">
        <v>1655</v>
      </c>
      <c r="H1283" s="23" t="s">
        <v>1656</v>
      </c>
      <c r="I1283" s="23"/>
      <c r="J1283" s="21" t="s">
        <v>1768</v>
      </c>
      <c r="K1283" s="120"/>
      <c r="L1283" s="120" t="s">
        <v>5466</v>
      </c>
      <c r="M1283" s="26" t="s">
        <v>5467</v>
      </c>
      <c r="N1283" s="44">
        <f t="shared" si="84"/>
        <v>7510.6414285714291</v>
      </c>
      <c r="O1283" s="22" t="s">
        <v>276</v>
      </c>
      <c r="P1283" s="44">
        <f>3252.62+4258.02</f>
        <v>7510.64</v>
      </c>
      <c r="Q1283" s="44">
        <f t="shared" si="85"/>
        <v>1.4285714287325391E-3</v>
      </c>
      <c r="R1283" s="24">
        <f t="shared" si="83"/>
        <v>7510.64</v>
      </c>
      <c r="S1283" s="5"/>
      <c r="T1283" s="5"/>
    </row>
    <row r="1284" spans="1:20" ht="15.75" hidden="1" x14ac:dyDescent="0.25">
      <c r="B1284" s="21" t="s">
        <v>395</v>
      </c>
      <c r="C1284" s="22" t="s">
        <v>2421</v>
      </c>
      <c r="D1284" s="22"/>
      <c r="E1284" s="21" t="s">
        <v>75</v>
      </c>
      <c r="F1284" s="21"/>
      <c r="G1284" s="147" t="s">
        <v>1655</v>
      </c>
      <c r="H1284" s="23" t="s">
        <v>1656</v>
      </c>
      <c r="I1284" s="23"/>
      <c r="J1284" s="21" t="s">
        <v>1768</v>
      </c>
      <c r="K1284" s="120"/>
      <c r="L1284" s="120" t="s">
        <v>5468</v>
      </c>
      <c r="M1284" s="26">
        <v>44396</v>
      </c>
      <c r="N1284" s="44">
        <f t="shared" si="84"/>
        <v>7510.6414285714291</v>
      </c>
      <c r="O1284" s="22" t="s">
        <v>276</v>
      </c>
      <c r="P1284" s="44">
        <v>7510.64</v>
      </c>
      <c r="Q1284" s="44">
        <f t="shared" si="85"/>
        <v>1.4285714287325391E-3</v>
      </c>
      <c r="R1284" s="24">
        <f t="shared" si="83"/>
        <v>7510.64</v>
      </c>
      <c r="S1284" s="5"/>
      <c r="T1284" s="5"/>
    </row>
    <row r="1285" spans="1:20" ht="15.75" hidden="1" x14ac:dyDescent="0.25">
      <c r="B1285" s="21" t="s">
        <v>395</v>
      </c>
      <c r="C1285" s="22" t="s">
        <v>2421</v>
      </c>
      <c r="D1285" s="22"/>
      <c r="E1285" s="21" t="s">
        <v>75</v>
      </c>
      <c r="F1285" s="21"/>
      <c r="G1285" s="147" t="s">
        <v>1655</v>
      </c>
      <c r="H1285" s="23" t="s">
        <v>1656</v>
      </c>
      <c r="I1285" s="23"/>
      <c r="J1285" s="21" t="s">
        <v>1768</v>
      </c>
      <c r="K1285" s="120"/>
      <c r="L1285" s="120" t="s">
        <v>5820</v>
      </c>
      <c r="M1285" s="26" t="s">
        <v>5821</v>
      </c>
      <c r="N1285" s="44">
        <f t="shared" si="84"/>
        <v>7510.6414285714291</v>
      </c>
      <c r="O1285" s="22" t="s">
        <v>276</v>
      </c>
      <c r="P1285" s="44">
        <f>13881.02-7510.64-4258.02+5306.73+91.55</f>
        <v>7510.6399999999994</v>
      </c>
      <c r="Q1285" s="44">
        <f t="shared" si="85"/>
        <v>1.4285714296420338E-3</v>
      </c>
      <c r="R1285" s="24">
        <f t="shared" si="83"/>
        <v>7510.6399999999994</v>
      </c>
      <c r="S1285" s="5"/>
      <c r="T1285" s="5"/>
    </row>
    <row r="1286" spans="1:20" ht="15.75" hidden="1" x14ac:dyDescent="0.25">
      <c r="B1286" s="21" t="s">
        <v>395</v>
      </c>
      <c r="C1286" s="22" t="s">
        <v>2421</v>
      </c>
      <c r="D1286" s="22"/>
      <c r="E1286" s="21" t="s">
        <v>75</v>
      </c>
      <c r="F1286" s="21"/>
      <c r="G1286" s="147" t="s">
        <v>1655</v>
      </c>
      <c r="H1286" s="23" t="s">
        <v>1656</v>
      </c>
      <c r="I1286" s="23"/>
      <c r="J1286" s="21" t="s">
        <v>1768</v>
      </c>
      <c r="K1286" s="120"/>
      <c r="L1286" s="120" t="s">
        <v>6363</v>
      </c>
      <c r="M1286" s="26" t="s">
        <v>6364</v>
      </c>
      <c r="N1286" s="44">
        <f t="shared" si="84"/>
        <v>7510.6414285714291</v>
      </c>
      <c r="O1286" s="22" t="s">
        <v>276</v>
      </c>
      <c r="P1286" s="44">
        <f>4693.3+2817.34</f>
        <v>7510.64</v>
      </c>
      <c r="Q1286" s="44">
        <f t="shared" si="85"/>
        <v>1.4285714287325391E-3</v>
      </c>
      <c r="R1286" s="24">
        <f t="shared" si="83"/>
        <v>7510.64</v>
      </c>
      <c r="S1286" s="5"/>
      <c r="T1286" s="5"/>
    </row>
    <row r="1287" spans="1:20" ht="15.75" hidden="1" x14ac:dyDescent="0.25">
      <c r="B1287" s="21" t="s">
        <v>395</v>
      </c>
      <c r="C1287" s="22" t="s">
        <v>2421</v>
      </c>
      <c r="D1287" s="22"/>
      <c r="E1287" s="21" t="s">
        <v>75</v>
      </c>
      <c r="F1287" s="21"/>
      <c r="G1287" s="147" t="s">
        <v>1655</v>
      </c>
      <c r="H1287" s="23" t="s">
        <v>7020</v>
      </c>
      <c r="I1287" s="23"/>
      <c r="J1287" s="21" t="s">
        <v>6362</v>
      </c>
      <c r="K1287" s="120"/>
      <c r="L1287" s="120" t="s">
        <v>7637</v>
      </c>
      <c r="M1287" s="26" t="s">
        <v>7638</v>
      </c>
      <c r="N1287" s="44">
        <v>68939.11</v>
      </c>
      <c r="O1287" s="22" t="s">
        <v>276</v>
      </c>
      <c r="P1287" s="44">
        <f>1973.51+4698.81+8471.16+4478.4+4463.75+4750.59+4628.57+4028.39+4028.39+834.9+607.91+654.72+654.72+654.72-654.72+2779.47</f>
        <v>47053.29</v>
      </c>
      <c r="Q1287" s="24">
        <v>0</v>
      </c>
      <c r="R1287" s="24">
        <f t="shared" si="83"/>
        <v>47053.29</v>
      </c>
      <c r="S1287" s="5" t="s">
        <v>7477</v>
      </c>
      <c r="T1287" s="5"/>
    </row>
    <row r="1288" spans="1:20" hidden="1" x14ac:dyDescent="0.25">
      <c r="A1288" t="s">
        <v>6753</v>
      </c>
      <c r="B1288" s="21" t="s">
        <v>395</v>
      </c>
      <c r="C1288" s="22" t="s">
        <v>158</v>
      </c>
      <c r="D1288" s="22"/>
      <c r="E1288" s="21" t="s">
        <v>3234</v>
      </c>
      <c r="F1288" s="21"/>
      <c r="G1288" s="165" t="s">
        <v>9219</v>
      </c>
      <c r="H1288" s="23" t="s">
        <v>9222</v>
      </c>
      <c r="I1288" s="23"/>
      <c r="J1288" s="165" t="s">
        <v>9631</v>
      </c>
      <c r="K1288" s="174"/>
      <c r="L1288" s="21" t="s">
        <v>9221</v>
      </c>
      <c r="M1288" s="26">
        <v>45176</v>
      </c>
      <c r="N1288" s="44">
        <v>656275</v>
      </c>
      <c r="O1288" s="22" t="s">
        <v>15</v>
      </c>
      <c r="P1288" s="44">
        <v>656275</v>
      </c>
      <c r="Q1288" s="44">
        <f t="shared" ref="Q1288:Q1351" si="86">IF(P1288="en cours",N1288,IF(P1288="OK",0,IF(N1288-P1288&lt;0,0,N1288-P1288)))</f>
        <v>0</v>
      </c>
      <c r="R1288" s="24">
        <f t="shared" si="83"/>
        <v>656275</v>
      </c>
      <c r="S1288" s="5" t="s">
        <v>12274</v>
      </c>
      <c r="T1288" s="5"/>
    </row>
    <row r="1289" spans="1:20" hidden="1" x14ac:dyDescent="0.25">
      <c r="A1289" t="s">
        <v>6753</v>
      </c>
      <c r="B1289" s="21" t="s">
        <v>395</v>
      </c>
      <c r="C1289" s="22" t="s">
        <v>158</v>
      </c>
      <c r="D1289" s="22"/>
      <c r="E1289" s="21" t="s">
        <v>3234</v>
      </c>
      <c r="F1289" s="21"/>
      <c r="G1289" s="165" t="s">
        <v>9219</v>
      </c>
      <c r="H1289" s="23" t="s">
        <v>9222</v>
      </c>
      <c r="I1289" s="23"/>
      <c r="J1289" s="165" t="s">
        <v>9190</v>
      </c>
      <c r="K1289" s="174"/>
      <c r="L1289" s="21" t="s">
        <v>9223</v>
      </c>
      <c r="M1289" s="26">
        <v>45176</v>
      </c>
      <c r="N1289" s="44">
        <v>217041</v>
      </c>
      <c r="O1289" s="22" t="s">
        <v>15</v>
      </c>
      <c r="P1289" s="44">
        <v>217041</v>
      </c>
      <c r="Q1289" s="44">
        <f t="shared" si="86"/>
        <v>0</v>
      </c>
      <c r="R1289" s="24">
        <f t="shared" si="83"/>
        <v>217041</v>
      </c>
      <c r="S1289" s="5" t="s">
        <v>12274</v>
      </c>
      <c r="T1289" s="5"/>
    </row>
    <row r="1290" spans="1:20" hidden="1" x14ac:dyDescent="0.25">
      <c r="A1290" t="s">
        <v>6753</v>
      </c>
      <c r="B1290" s="21" t="s">
        <v>395</v>
      </c>
      <c r="C1290" s="22" t="s">
        <v>158</v>
      </c>
      <c r="D1290" s="22"/>
      <c r="E1290" s="21" t="s">
        <v>3234</v>
      </c>
      <c r="F1290" s="21"/>
      <c r="G1290" s="165" t="s">
        <v>9219</v>
      </c>
      <c r="H1290" s="23" t="s">
        <v>9222</v>
      </c>
      <c r="I1290" s="23"/>
      <c r="J1290" s="165" t="s">
        <v>9191</v>
      </c>
      <c r="K1290" s="472"/>
      <c r="L1290" s="21" t="s">
        <v>9224</v>
      </c>
      <c r="M1290" s="26">
        <v>45176</v>
      </c>
      <c r="N1290" s="44">
        <v>217041</v>
      </c>
      <c r="O1290" s="22" t="s">
        <v>15</v>
      </c>
      <c r="P1290" s="44">
        <v>217041</v>
      </c>
      <c r="Q1290" s="44">
        <f t="shared" si="86"/>
        <v>0</v>
      </c>
      <c r="R1290" s="24">
        <f t="shared" si="83"/>
        <v>217041</v>
      </c>
      <c r="S1290" s="5" t="s">
        <v>12274</v>
      </c>
      <c r="T1290" s="5"/>
    </row>
    <row r="1291" spans="1:20" hidden="1" x14ac:dyDescent="0.25">
      <c r="A1291" t="s">
        <v>6753</v>
      </c>
      <c r="B1291" s="21" t="s">
        <v>395</v>
      </c>
      <c r="C1291" s="22" t="s">
        <v>158</v>
      </c>
      <c r="D1291" s="22"/>
      <c r="E1291" s="21" t="s">
        <v>3234</v>
      </c>
      <c r="F1291" s="21"/>
      <c r="G1291" s="165" t="s">
        <v>9219</v>
      </c>
      <c r="H1291" s="23" t="s">
        <v>9222</v>
      </c>
      <c r="I1291" s="23"/>
      <c r="J1291" s="165" t="s">
        <v>9192</v>
      </c>
      <c r="K1291" s="472"/>
      <c r="L1291" s="21" t="s">
        <v>9225</v>
      </c>
      <c r="M1291" s="26">
        <v>45200</v>
      </c>
      <c r="N1291" s="44">
        <v>217041</v>
      </c>
      <c r="O1291" s="22" t="s">
        <v>15</v>
      </c>
      <c r="P1291" s="44">
        <v>217041</v>
      </c>
      <c r="Q1291" s="44">
        <f t="shared" si="86"/>
        <v>0</v>
      </c>
      <c r="R1291" s="24">
        <f t="shared" si="83"/>
        <v>217041</v>
      </c>
      <c r="S1291" s="5" t="s">
        <v>12274</v>
      </c>
      <c r="T1291" s="5"/>
    </row>
    <row r="1292" spans="1:20" hidden="1" x14ac:dyDescent="0.25">
      <c r="A1292" t="s">
        <v>6753</v>
      </c>
      <c r="B1292" s="21" t="s">
        <v>395</v>
      </c>
      <c r="C1292" s="22" t="s">
        <v>158</v>
      </c>
      <c r="D1292" s="22"/>
      <c r="E1292" s="21" t="s">
        <v>3234</v>
      </c>
      <c r="F1292" s="21"/>
      <c r="G1292" s="165" t="s">
        <v>9219</v>
      </c>
      <c r="H1292" s="107" t="s">
        <v>9220</v>
      </c>
      <c r="I1292" s="23"/>
      <c r="J1292" s="165" t="s">
        <v>9193</v>
      </c>
      <c r="K1292" s="472"/>
      <c r="L1292" s="21" t="s">
        <v>9274</v>
      </c>
      <c r="M1292" s="26" t="s">
        <v>9275</v>
      </c>
      <c r="N1292" s="44">
        <v>314945.06</v>
      </c>
      <c r="O1292" s="22" t="s">
        <v>15</v>
      </c>
      <c r="P1292" s="44">
        <f>217041-217041+314945.06</f>
        <v>314945.06</v>
      </c>
      <c r="Q1292" s="44">
        <f t="shared" si="86"/>
        <v>0</v>
      </c>
      <c r="R1292" s="24">
        <f t="shared" si="83"/>
        <v>314945.06</v>
      </c>
      <c r="S1292" s="5" t="s">
        <v>12274</v>
      </c>
      <c r="T1292" s="5"/>
    </row>
    <row r="1293" spans="1:20" hidden="1" x14ac:dyDescent="0.25">
      <c r="A1293" t="s">
        <v>6753</v>
      </c>
      <c r="B1293" s="21" t="s">
        <v>395</v>
      </c>
      <c r="C1293" s="22" t="s">
        <v>158</v>
      </c>
      <c r="D1293" s="22"/>
      <c r="E1293" s="21" t="s">
        <v>3234</v>
      </c>
      <c r="F1293" s="21"/>
      <c r="G1293" s="165" t="s">
        <v>9219</v>
      </c>
      <c r="H1293" s="23" t="s">
        <v>9222</v>
      </c>
      <c r="I1293" s="23"/>
      <c r="J1293" s="165" t="s">
        <v>9194</v>
      </c>
      <c r="K1293" s="472"/>
      <c r="L1293" s="21" t="s">
        <v>9226</v>
      </c>
      <c r="M1293" s="26">
        <v>45261</v>
      </c>
      <c r="N1293" s="44">
        <v>559546.32999999996</v>
      </c>
      <c r="O1293" s="22" t="s">
        <v>15</v>
      </c>
      <c r="P1293" s="44">
        <v>559546.32999999996</v>
      </c>
      <c r="Q1293" s="44">
        <f t="shared" si="86"/>
        <v>0</v>
      </c>
      <c r="R1293" s="24">
        <f t="shared" si="83"/>
        <v>559546.32999999996</v>
      </c>
      <c r="S1293" s="5" t="s">
        <v>12274</v>
      </c>
      <c r="T1293" s="5"/>
    </row>
    <row r="1294" spans="1:20" hidden="1" x14ac:dyDescent="0.25">
      <c r="A1294" t="s">
        <v>6753</v>
      </c>
      <c r="B1294" s="21" t="s">
        <v>395</v>
      </c>
      <c r="C1294" s="22" t="s">
        <v>158</v>
      </c>
      <c r="D1294" s="22"/>
      <c r="E1294" s="21" t="s">
        <v>3234</v>
      </c>
      <c r="F1294" s="21"/>
      <c r="G1294" s="165" t="s">
        <v>9219</v>
      </c>
      <c r="H1294" s="23" t="s">
        <v>9542</v>
      </c>
      <c r="I1294" s="23"/>
      <c r="J1294" s="165" t="s">
        <v>9195</v>
      </c>
      <c r="K1294" s="472"/>
      <c r="L1294" s="21" t="s">
        <v>9568</v>
      </c>
      <c r="M1294" s="26" t="s">
        <v>9569</v>
      </c>
      <c r="N1294" s="44">
        <v>461631.51</v>
      </c>
      <c r="O1294" s="22" t="s">
        <v>15</v>
      </c>
      <c r="P1294" s="44">
        <f>407122.33-407122.33+461631.51</f>
        <v>461631.51</v>
      </c>
      <c r="Q1294" s="44">
        <f t="shared" si="86"/>
        <v>0</v>
      </c>
      <c r="R1294" s="24">
        <f t="shared" si="83"/>
        <v>461631.51</v>
      </c>
      <c r="S1294" s="5" t="s">
        <v>12274</v>
      </c>
      <c r="T1294" s="5"/>
    </row>
    <row r="1295" spans="1:20" hidden="1" x14ac:dyDescent="0.25">
      <c r="A1295" t="s">
        <v>6753</v>
      </c>
      <c r="B1295" s="21" t="s">
        <v>395</v>
      </c>
      <c r="C1295" s="22" t="s">
        <v>158</v>
      </c>
      <c r="D1295" s="22"/>
      <c r="E1295" s="21" t="s">
        <v>3234</v>
      </c>
      <c r="F1295" s="21"/>
      <c r="G1295" s="165" t="s">
        <v>9219</v>
      </c>
      <c r="H1295" s="23" t="s">
        <v>9542</v>
      </c>
      <c r="I1295" s="23"/>
      <c r="J1295" s="165" t="s">
        <v>9196</v>
      </c>
      <c r="K1295" s="472"/>
      <c r="L1295" s="21" t="s">
        <v>9571</v>
      </c>
      <c r="M1295" s="26">
        <v>45323</v>
      </c>
      <c r="N1295" s="44">
        <v>430481.51</v>
      </c>
      <c r="O1295" s="22" t="s">
        <v>15</v>
      </c>
      <c r="P1295" s="44">
        <v>430481.51</v>
      </c>
      <c r="Q1295" s="44">
        <f t="shared" si="86"/>
        <v>0</v>
      </c>
      <c r="R1295" s="24">
        <f t="shared" si="83"/>
        <v>430481.51</v>
      </c>
      <c r="S1295" s="5" t="s">
        <v>12274</v>
      </c>
      <c r="T1295" s="5"/>
    </row>
    <row r="1296" spans="1:20" hidden="1" x14ac:dyDescent="0.25">
      <c r="A1296" t="s">
        <v>6753</v>
      </c>
      <c r="B1296" s="21" t="s">
        <v>395</v>
      </c>
      <c r="C1296" s="22" t="s">
        <v>158</v>
      </c>
      <c r="D1296" s="22"/>
      <c r="E1296" s="21" t="s">
        <v>3234</v>
      </c>
      <c r="F1296" s="21"/>
      <c r="G1296" s="165" t="s">
        <v>9219</v>
      </c>
      <c r="H1296" s="23" t="s">
        <v>9542</v>
      </c>
      <c r="I1296" s="23"/>
      <c r="J1296" s="165" t="s">
        <v>9197</v>
      </c>
      <c r="K1296" s="472"/>
      <c r="L1296" s="21" t="s">
        <v>9572</v>
      </c>
      <c r="M1296" s="26">
        <v>45352</v>
      </c>
      <c r="N1296" s="44">
        <v>475708.96</v>
      </c>
      <c r="O1296" s="22" t="s">
        <v>15</v>
      </c>
      <c r="P1296" s="44">
        <v>475708.96</v>
      </c>
      <c r="Q1296" s="44">
        <f t="shared" si="86"/>
        <v>0</v>
      </c>
      <c r="R1296" s="24">
        <f t="shared" si="83"/>
        <v>475708.96</v>
      </c>
      <c r="S1296" s="5" t="s">
        <v>12274</v>
      </c>
      <c r="T1296" s="5"/>
    </row>
    <row r="1297" spans="1:20" hidden="1" x14ac:dyDescent="0.25">
      <c r="A1297" t="s">
        <v>6753</v>
      </c>
      <c r="B1297" s="21" t="s">
        <v>395</v>
      </c>
      <c r="C1297" s="22" t="s">
        <v>158</v>
      </c>
      <c r="D1297" s="22"/>
      <c r="E1297" s="21" t="s">
        <v>3234</v>
      </c>
      <c r="F1297" s="21"/>
      <c r="G1297" s="165" t="s">
        <v>9219</v>
      </c>
      <c r="H1297" s="23" t="s">
        <v>9630</v>
      </c>
      <c r="I1297" s="23"/>
      <c r="J1297" s="165" t="s">
        <v>9198</v>
      </c>
      <c r="K1297" s="472"/>
      <c r="L1297" s="21" t="s">
        <v>9932</v>
      </c>
      <c r="M1297" s="26">
        <v>45383</v>
      </c>
      <c r="N1297" s="44">
        <v>461827.96</v>
      </c>
      <c r="O1297" s="22" t="s">
        <v>15</v>
      </c>
      <c r="P1297" s="44">
        <v>456469.96</v>
      </c>
      <c r="Q1297" s="44">
        <f t="shared" si="86"/>
        <v>5358</v>
      </c>
      <c r="R1297" s="24">
        <f t="shared" si="83"/>
        <v>456469.96</v>
      </c>
      <c r="S1297" s="5" t="s">
        <v>12274</v>
      </c>
      <c r="T1297" s="5"/>
    </row>
    <row r="1298" spans="1:20" hidden="1" x14ac:dyDescent="0.25">
      <c r="A1298" t="s">
        <v>6753</v>
      </c>
      <c r="B1298" s="21" t="s">
        <v>395</v>
      </c>
      <c r="C1298" s="22" t="s">
        <v>158</v>
      </c>
      <c r="D1298" s="22"/>
      <c r="E1298" s="21" t="s">
        <v>3234</v>
      </c>
      <c r="F1298" s="21"/>
      <c r="G1298" s="165" t="s">
        <v>9219</v>
      </c>
      <c r="H1298" s="23" t="s">
        <v>9630</v>
      </c>
      <c r="I1298" s="23"/>
      <c r="J1298" s="165" t="s">
        <v>9199</v>
      </c>
      <c r="K1298" s="472" t="s">
        <v>9934</v>
      </c>
      <c r="L1298" s="21" t="s">
        <v>9933</v>
      </c>
      <c r="M1298" s="26">
        <v>45413</v>
      </c>
      <c r="N1298" s="44">
        <v>456469.96</v>
      </c>
      <c r="O1298" s="22" t="s">
        <v>15</v>
      </c>
      <c r="P1298" s="44">
        <v>456469.96</v>
      </c>
      <c r="Q1298" s="44">
        <f t="shared" si="86"/>
        <v>0</v>
      </c>
      <c r="R1298" s="24">
        <f t="shared" si="83"/>
        <v>456469.96</v>
      </c>
      <c r="S1298" s="5" t="s">
        <v>12274</v>
      </c>
      <c r="T1298" s="5"/>
    </row>
    <row r="1299" spans="1:20" hidden="1" x14ac:dyDescent="0.25">
      <c r="A1299" t="s">
        <v>6753</v>
      </c>
      <c r="B1299" s="21" t="s">
        <v>395</v>
      </c>
      <c r="C1299" s="22" t="s">
        <v>158</v>
      </c>
      <c r="D1299" s="22"/>
      <c r="E1299" s="21" t="s">
        <v>3234</v>
      </c>
      <c r="F1299" s="21"/>
      <c r="G1299" s="165" t="s">
        <v>9219</v>
      </c>
      <c r="H1299" s="23" t="s">
        <v>9630</v>
      </c>
      <c r="I1299" s="23"/>
      <c r="J1299" s="165" t="s">
        <v>9200</v>
      </c>
      <c r="K1299" s="472"/>
      <c r="L1299" s="21" t="s">
        <v>9931</v>
      </c>
      <c r="M1299" s="26">
        <v>45444</v>
      </c>
      <c r="N1299" s="44">
        <v>456469.96</v>
      </c>
      <c r="O1299" s="22" t="s">
        <v>15</v>
      </c>
      <c r="P1299" s="44">
        <v>456469.96</v>
      </c>
      <c r="Q1299" s="44">
        <f t="shared" si="86"/>
        <v>0</v>
      </c>
      <c r="R1299" s="24">
        <f t="shared" si="83"/>
        <v>456469.96</v>
      </c>
      <c r="S1299" s="5" t="s">
        <v>12274</v>
      </c>
      <c r="T1299" s="5"/>
    </row>
    <row r="1300" spans="1:20" hidden="1" x14ac:dyDescent="0.25">
      <c r="A1300" t="s">
        <v>6753</v>
      </c>
      <c r="B1300" s="21" t="s">
        <v>395</v>
      </c>
      <c r="C1300" s="22" t="s">
        <v>158</v>
      </c>
      <c r="D1300" s="22"/>
      <c r="E1300" s="21" t="s">
        <v>3234</v>
      </c>
      <c r="F1300" s="21" t="s">
        <v>9947</v>
      </c>
      <c r="G1300" s="165" t="s">
        <v>9219</v>
      </c>
      <c r="H1300" s="23" t="s">
        <v>9630</v>
      </c>
      <c r="I1300" s="23"/>
      <c r="J1300" s="165" t="s">
        <v>9201</v>
      </c>
      <c r="K1300" s="472"/>
      <c r="L1300" s="21" t="s">
        <v>9948</v>
      </c>
      <c r="M1300" s="26">
        <v>45474</v>
      </c>
      <c r="N1300" s="44">
        <v>456469.96</v>
      </c>
      <c r="O1300" s="22" t="s">
        <v>15</v>
      </c>
      <c r="P1300" s="44">
        <v>456469.96</v>
      </c>
      <c r="Q1300" s="44">
        <f t="shared" si="86"/>
        <v>0</v>
      </c>
      <c r="R1300" s="24">
        <f t="shared" si="83"/>
        <v>456469.96</v>
      </c>
      <c r="S1300" s="5" t="s">
        <v>12274</v>
      </c>
      <c r="T1300" s="5"/>
    </row>
    <row r="1301" spans="1:20" hidden="1" x14ac:dyDescent="0.25">
      <c r="A1301" t="s">
        <v>6753</v>
      </c>
      <c r="B1301" s="21" t="s">
        <v>395</v>
      </c>
      <c r="C1301" s="22" t="s">
        <v>158</v>
      </c>
      <c r="D1301" s="22"/>
      <c r="E1301" s="21" t="s">
        <v>3234</v>
      </c>
      <c r="F1301" s="21" t="s">
        <v>9947</v>
      </c>
      <c r="G1301" s="165" t="s">
        <v>9219</v>
      </c>
      <c r="H1301" s="23" t="s">
        <v>9630</v>
      </c>
      <c r="I1301" s="23"/>
      <c r="J1301" s="165" t="s">
        <v>9202</v>
      </c>
      <c r="K1301" s="472"/>
      <c r="L1301" s="21" t="s">
        <v>10278</v>
      </c>
      <c r="M1301" s="26">
        <v>45505</v>
      </c>
      <c r="N1301" s="44">
        <v>476469.96</v>
      </c>
      <c r="O1301" s="22" t="s">
        <v>15</v>
      </c>
      <c r="P1301" s="44">
        <v>476469.96</v>
      </c>
      <c r="Q1301" s="44">
        <f t="shared" si="86"/>
        <v>0</v>
      </c>
      <c r="R1301" s="24">
        <f t="shared" si="83"/>
        <v>476469.96</v>
      </c>
      <c r="S1301" s="5" t="s">
        <v>12274</v>
      </c>
      <c r="T1301" s="5"/>
    </row>
    <row r="1302" spans="1:20" hidden="1" x14ac:dyDescent="0.25">
      <c r="A1302" t="s">
        <v>6753</v>
      </c>
      <c r="B1302" s="21" t="s">
        <v>395</v>
      </c>
      <c r="C1302" s="22" t="s">
        <v>158</v>
      </c>
      <c r="D1302" s="22"/>
      <c r="E1302" s="21" t="s">
        <v>3234</v>
      </c>
      <c r="F1302" s="21" t="s">
        <v>10570</v>
      </c>
      <c r="G1302" s="165" t="s">
        <v>9219</v>
      </c>
      <c r="H1302" s="23" t="s">
        <v>9630</v>
      </c>
      <c r="I1302" s="23"/>
      <c r="J1302" s="165" t="s">
        <v>9203</v>
      </c>
      <c r="K1302" s="472"/>
      <c r="L1302" s="21" t="s">
        <v>10571</v>
      </c>
      <c r="M1302" s="26">
        <v>45536</v>
      </c>
      <c r="N1302" s="44">
        <v>456469.96</v>
      </c>
      <c r="O1302" s="22" t="s">
        <v>15</v>
      </c>
      <c r="P1302" s="44">
        <v>456469.96</v>
      </c>
      <c r="Q1302" s="44">
        <f t="shared" si="86"/>
        <v>0</v>
      </c>
      <c r="R1302" s="24">
        <f t="shared" si="83"/>
        <v>456469.96</v>
      </c>
      <c r="S1302" s="5" t="s">
        <v>12274</v>
      </c>
      <c r="T1302" s="5"/>
    </row>
    <row r="1303" spans="1:20" hidden="1" x14ac:dyDescent="0.25">
      <c r="A1303" t="s">
        <v>6753</v>
      </c>
      <c r="B1303" s="21" t="s">
        <v>395</v>
      </c>
      <c r="C1303" s="22" t="s">
        <v>158</v>
      </c>
      <c r="D1303" s="22"/>
      <c r="E1303" s="21" t="s">
        <v>3234</v>
      </c>
      <c r="F1303" s="21" t="s">
        <v>10570</v>
      </c>
      <c r="G1303" s="165" t="s">
        <v>9219</v>
      </c>
      <c r="H1303" s="23" t="s">
        <v>9630</v>
      </c>
      <c r="I1303" s="23"/>
      <c r="J1303" s="165" t="s">
        <v>9204</v>
      </c>
      <c r="K1303" s="472"/>
      <c r="L1303" s="21" t="s">
        <v>10572</v>
      </c>
      <c r="M1303" s="26">
        <v>45566</v>
      </c>
      <c r="N1303" s="44">
        <v>456469.96</v>
      </c>
      <c r="O1303" s="22" t="s">
        <v>15</v>
      </c>
      <c r="P1303" s="44">
        <v>456469.96</v>
      </c>
      <c r="Q1303" s="44">
        <f t="shared" si="86"/>
        <v>0</v>
      </c>
      <c r="R1303" s="24">
        <f t="shared" si="83"/>
        <v>456469.96</v>
      </c>
      <c r="S1303" s="5" t="s">
        <v>12274</v>
      </c>
      <c r="T1303" s="5"/>
    </row>
    <row r="1304" spans="1:20" hidden="1" x14ac:dyDescent="0.25">
      <c r="A1304" t="s">
        <v>6753</v>
      </c>
      <c r="B1304" s="21" t="s">
        <v>395</v>
      </c>
      <c r="C1304" s="22" t="s">
        <v>158</v>
      </c>
      <c r="D1304" s="22"/>
      <c r="E1304" s="21" t="s">
        <v>3234</v>
      </c>
      <c r="F1304" s="21" t="s">
        <v>10570</v>
      </c>
      <c r="G1304" s="165" t="s">
        <v>9219</v>
      </c>
      <c r="H1304" s="23" t="s">
        <v>10710</v>
      </c>
      <c r="I1304" s="23"/>
      <c r="J1304" s="165" t="s">
        <v>9205</v>
      </c>
      <c r="K1304" s="472"/>
      <c r="L1304" s="21" t="s">
        <v>10887</v>
      </c>
      <c r="M1304" s="26">
        <v>45611</v>
      </c>
      <c r="N1304" s="44">
        <v>-468988.41</v>
      </c>
      <c r="O1304" s="22" t="s">
        <v>15</v>
      </c>
      <c r="P1304" s="44">
        <v>-468988.41</v>
      </c>
      <c r="Q1304" s="44">
        <f t="shared" si="86"/>
        <v>0</v>
      </c>
      <c r="R1304" s="24">
        <f t="shared" si="83"/>
        <v>-468988.41</v>
      </c>
      <c r="S1304" s="5" t="s">
        <v>12274</v>
      </c>
      <c r="T1304" s="5"/>
    </row>
    <row r="1305" spans="1:20" hidden="1" x14ac:dyDescent="0.25">
      <c r="A1305" t="s">
        <v>6753</v>
      </c>
      <c r="B1305" s="21" t="s">
        <v>395</v>
      </c>
      <c r="C1305" s="22" t="s">
        <v>158</v>
      </c>
      <c r="D1305" s="22"/>
      <c r="E1305" s="21" t="s">
        <v>3234</v>
      </c>
      <c r="F1305" s="21" t="s">
        <v>10570</v>
      </c>
      <c r="G1305" s="165" t="s">
        <v>9219</v>
      </c>
      <c r="H1305" s="23" t="s">
        <v>10710</v>
      </c>
      <c r="I1305" s="23"/>
      <c r="J1305" s="165" t="s">
        <v>9206</v>
      </c>
      <c r="K1305" s="472"/>
      <c r="L1305" s="21" t="s">
        <v>10863</v>
      </c>
      <c r="M1305" s="26">
        <v>45627</v>
      </c>
      <c r="N1305" s="44">
        <v>392630.7</v>
      </c>
      <c r="O1305" s="22" t="s">
        <v>15</v>
      </c>
      <c r="P1305" s="44">
        <v>392630.7</v>
      </c>
      <c r="Q1305" s="44">
        <f t="shared" si="86"/>
        <v>0</v>
      </c>
      <c r="R1305" s="24">
        <f t="shared" si="83"/>
        <v>392630.7</v>
      </c>
      <c r="S1305" s="5" t="s">
        <v>12274</v>
      </c>
      <c r="T1305" s="5"/>
    </row>
    <row r="1306" spans="1:20" hidden="1" x14ac:dyDescent="0.25">
      <c r="A1306" t="s">
        <v>6753</v>
      </c>
      <c r="B1306" s="21" t="s">
        <v>12228</v>
      </c>
      <c r="C1306" s="22" t="s">
        <v>158</v>
      </c>
      <c r="D1306" s="22"/>
      <c r="E1306" s="21" t="s">
        <v>3234</v>
      </c>
      <c r="F1306" s="21" t="s">
        <v>10570</v>
      </c>
      <c r="G1306" s="165" t="s">
        <v>9219</v>
      </c>
      <c r="H1306" s="23" t="s">
        <v>10710</v>
      </c>
      <c r="I1306" s="23"/>
      <c r="J1306" s="165" t="s">
        <v>9207</v>
      </c>
      <c r="K1306" s="472"/>
      <c r="L1306" s="21"/>
      <c r="M1306" s="23"/>
      <c r="N1306" s="44">
        <v>0</v>
      </c>
      <c r="O1306" s="22" t="s">
        <v>15</v>
      </c>
      <c r="P1306" s="44"/>
      <c r="Q1306" s="44">
        <f t="shared" si="86"/>
        <v>0</v>
      </c>
      <c r="R1306" s="24">
        <f t="shared" si="83"/>
        <v>0</v>
      </c>
      <c r="S1306" s="5" t="s">
        <v>12274</v>
      </c>
      <c r="T1306" s="5"/>
    </row>
    <row r="1307" spans="1:20" hidden="1" x14ac:dyDescent="0.25">
      <c r="A1307" t="s">
        <v>6753</v>
      </c>
      <c r="B1307" s="21" t="s">
        <v>12228</v>
      </c>
      <c r="C1307" s="22" t="s">
        <v>158</v>
      </c>
      <c r="D1307" s="22"/>
      <c r="E1307" s="21" t="s">
        <v>3234</v>
      </c>
      <c r="F1307" s="21" t="s">
        <v>10570</v>
      </c>
      <c r="G1307" s="165" t="s">
        <v>9219</v>
      </c>
      <c r="H1307" s="23" t="s">
        <v>10710</v>
      </c>
      <c r="I1307" s="23"/>
      <c r="J1307" s="165" t="s">
        <v>9208</v>
      </c>
      <c r="K1307" s="472"/>
      <c r="L1307" s="21"/>
      <c r="M1307" s="23"/>
      <c r="N1307" s="44">
        <v>0</v>
      </c>
      <c r="O1307" s="22" t="s">
        <v>15</v>
      </c>
      <c r="P1307" s="44"/>
      <c r="Q1307" s="44">
        <f t="shared" si="86"/>
        <v>0</v>
      </c>
      <c r="R1307" s="24">
        <f t="shared" si="83"/>
        <v>0</v>
      </c>
      <c r="S1307" s="5" t="s">
        <v>12274</v>
      </c>
      <c r="T1307" s="5"/>
    </row>
    <row r="1308" spans="1:20" hidden="1" x14ac:dyDescent="0.25">
      <c r="A1308" t="s">
        <v>6753</v>
      </c>
      <c r="B1308" s="21" t="s">
        <v>12228</v>
      </c>
      <c r="C1308" s="22" t="s">
        <v>158</v>
      </c>
      <c r="D1308" s="22"/>
      <c r="E1308" s="21" t="s">
        <v>3234</v>
      </c>
      <c r="F1308" s="21" t="s">
        <v>10570</v>
      </c>
      <c r="G1308" s="165" t="s">
        <v>9219</v>
      </c>
      <c r="H1308" s="23" t="s">
        <v>10710</v>
      </c>
      <c r="I1308" s="23"/>
      <c r="J1308" s="165" t="s">
        <v>9209</v>
      </c>
      <c r="K1308" s="472"/>
      <c r="L1308" s="21"/>
      <c r="M1308" s="23"/>
      <c r="N1308" s="44">
        <v>0</v>
      </c>
      <c r="O1308" s="22" t="s">
        <v>15</v>
      </c>
      <c r="P1308" s="44"/>
      <c r="Q1308" s="44">
        <f t="shared" si="86"/>
        <v>0</v>
      </c>
      <c r="R1308" s="24">
        <f t="shared" si="83"/>
        <v>0</v>
      </c>
      <c r="S1308" s="5" t="s">
        <v>12274</v>
      </c>
      <c r="T1308" s="5"/>
    </row>
    <row r="1309" spans="1:20" hidden="1" x14ac:dyDescent="0.25">
      <c r="A1309" t="s">
        <v>6753</v>
      </c>
      <c r="B1309" s="21" t="s">
        <v>12228</v>
      </c>
      <c r="C1309" s="22" t="s">
        <v>158</v>
      </c>
      <c r="D1309" s="22"/>
      <c r="E1309" s="21" t="s">
        <v>3234</v>
      </c>
      <c r="F1309" s="21" t="s">
        <v>10570</v>
      </c>
      <c r="G1309" s="165" t="s">
        <v>9219</v>
      </c>
      <c r="H1309" s="23" t="s">
        <v>10710</v>
      </c>
      <c r="I1309" s="23"/>
      <c r="J1309" s="165" t="s">
        <v>9210</v>
      </c>
      <c r="K1309" s="472"/>
      <c r="L1309" s="21"/>
      <c r="M1309" s="23"/>
      <c r="N1309" s="44">
        <v>0</v>
      </c>
      <c r="O1309" s="22" t="s">
        <v>15</v>
      </c>
      <c r="P1309" s="44"/>
      <c r="Q1309" s="44">
        <f t="shared" si="86"/>
        <v>0</v>
      </c>
      <c r="R1309" s="24">
        <f t="shared" si="83"/>
        <v>0</v>
      </c>
      <c r="S1309" s="5" t="s">
        <v>12274</v>
      </c>
      <c r="T1309" s="5"/>
    </row>
    <row r="1310" spans="1:20" hidden="1" x14ac:dyDescent="0.25">
      <c r="A1310" t="s">
        <v>6753</v>
      </c>
      <c r="B1310" s="21" t="s">
        <v>12228</v>
      </c>
      <c r="C1310" s="22" t="s">
        <v>158</v>
      </c>
      <c r="D1310" s="22"/>
      <c r="E1310" s="21" t="s">
        <v>3234</v>
      </c>
      <c r="F1310" s="21" t="s">
        <v>10570</v>
      </c>
      <c r="G1310" s="165" t="s">
        <v>9219</v>
      </c>
      <c r="H1310" s="23" t="s">
        <v>10710</v>
      </c>
      <c r="I1310" s="23"/>
      <c r="J1310" s="165" t="s">
        <v>9211</v>
      </c>
      <c r="K1310" s="472"/>
      <c r="L1310" s="21"/>
      <c r="M1310" s="23"/>
      <c r="N1310" s="44">
        <v>0</v>
      </c>
      <c r="O1310" s="22" t="s">
        <v>15</v>
      </c>
      <c r="P1310" s="44"/>
      <c r="Q1310" s="44">
        <f t="shared" si="86"/>
        <v>0</v>
      </c>
      <c r="R1310" s="24">
        <f t="shared" si="83"/>
        <v>0</v>
      </c>
      <c r="S1310" s="5" t="s">
        <v>12274</v>
      </c>
      <c r="T1310" s="5"/>
    </row>
    <row r="1311" spans="1:20" hidden="1" x14ac:dyDescent="0.25">
      <c r="A1311" t="s">
        <v>6753</v>
      </c>
      <c r="B1311" s="21" t="s">
        <v>12228</v>
      </c>
      <c r="C1311" s="22" t="s">
        <v>158</v>
      </c>
      <c r="D1311" s="22"/>
      <c r="E1311" s="21" t="s">
        <v>3234</v>
      </c>
      <c r="F1311" s="21" t="s">
        <v>10570</v>
      </c>
      <c r="G1311" s="165" t="s">
        <v>9219</v>
      </c>
      <c r="H1311" s="23" t="s">
        <v>10710</v>
      </c>
      <c r="I1311" s="23"/>
      <c r="J1311" s="165" t="s">
        <v>9212</v>
      </c>
      <c r="K1311" s="472"/>
      <c r="L1311" s="21"/>
      <c r="M1311" s="23"/>
      <c r="N1311" s="44">
        <v>0</v>
      </c>
      <c r="O1311" s="22" t="s">
        <v>15</v>
      </c>
      <c r="P1311" s="44"/>
      <c r="Q1311" s="44">
        <f t="shared" si="86"/>
        <v>0</v>
      </c>
      <c r="R1311" s="24">
        <f t="shared" si="83"/>
        <v>0</v>
      </c>
      <c r="S1311" s="5" t="s">
        <v>12274</v>
      </c>
      <c r="T1311" s="5"/>
    </row>
    <row r="1312" spans="1:20" hidden="1" x14ac:dyDescent="0.25">
      <c r="A1312" t="s">
        <v>6753</v>
      </c>
      <c r="B1312" s="21" t="s">
        <v>12228</v>
      </c>
      <c r="C1312" s="22" t="s">
        <v>158</v>
      </c>
      <c r="D1312" s="22"/>
      <c r="E1312" s="21" t="s">
        <v>3234</v>
      </c>
      <c r="F1312" s="21" t="s">
        <v>10570</v>
      </c>
      <c r="G1312" s="165" t="s">
        <v>9219</v>
      </c>
      <c r="H1312" s="23" t="s">
        <v>10710</v>
      </c>
      <c r="I1312" s="23"/>
      <c r="J1312" s="165" t="s">
        <v>9213</v>
      </c>
      <c r="K1312" s="472"/>
      <c r="L1312" s="21"/>
      <c r="M1312" s="23"/>
      <c r="N1312" s="44">
        <v>0</v>
      </c>
      <c r="O1312" s="22" t="s">
        <v>15</v>
      </c>
      <c r="P1312" s="44"/>
      <c r="Q1312" s="44">
        <f t="shared" si="86"/>
        <v>0</v>
      </c>
      <c r="R1312" s="24">
        <f t="shared" si="83"/>
        <v>0</v>
      </c>
      <c r="S1312" s="5" t="s">
        <v>12274</v>
      </c>
      <c r="T1312" s="5"/>
    </row>
    <row r="1313" spans="1:20" hidden="1" x14ac:dyDescent="0.25">
      <c r="A1313" t="s">
        <v>6753</v>
      </c>
      <c r="B1313" s="21" t="s">
        <v>12228</v>
      </c>
      <c r="C1313" s="22" t="s">
        <v>158</v>
      </c>
      <c r="D1313" s="22"/>
      <c r="E1313" s="21" t="s">
        <v>3234</v>
      </c>
      <c r="F1313" s="21" t="s">
        <v>10570</v>
      </c>
      <c r="G1313" s="165" t="s">
        <v>9219</v>
      </c>
      <c r="H1313" s="23" t="s">
        <v>10710</v>
      </c>
      <c r="I1313" s="23"/>
      <c r="J1313" s="165" t="s">
        <v>9214</v>
      </c>
      <c r="K1313" s="472"/>
      <c r="L1313" s="21"/>
      <c r="M1313" s="23"/>
      <c r="N1313" s="44">
        <v>0</v>
      </c>
      <c r="O1313" s="22" t="s">
        <v>15</v>
      </c>
      <c r="P1313" s="44"/>
      <c r="Q1313" s="44">
        <f t="shared" si="86"/>
        <v>0</v>
      </c>
      <c r="R1313" s="24">
        <f t="shared" si="83"/>
        <v>0</v>
      </c>
      <c r="S1313" s="5" t="s">
        <v>12274</v>
      </c>
      <c r="T1313" s="5"/>
    </row>
    <row r="1314" spans="1:20" hidden="1" x14ac:dyDescent="0.25">
      <c r="A1314" t="s">
        <v>6753</v>
      </c>
      <c r="B1314" s="21" t="s">
        <v>12228</v>
      </c>
      <c r="C1314" s="22" t="s">
        <v>158</v>
      </c>
      <c r="D1314" s="22"/>
      <c r="E1314" s="21" t="s">
        <v>3234</v>
      </c>
      <c r="F1314" s="21" t="s">
        <v>10570</v>
      </c>
      <c r="G1314" s="165" t="s">
        <v>9219</v>
      </c>
      <c r="H1314" s="23" t="s">
        <v>10710</v>
      </c>
      <c r="I1314" s="23"/>
      <c r="J1314" s="165" t="s">
        <v>9215</v>
      </c>
      <c r="K1314" s="472"/>
      <c r="L1314" s="21"/>
      <c r="M1314" s="23"/>
      <c r="N1314" s="44">
        <v>0</v>
      </c>
      <c r="O1314" s="22" t="s">
        <v>15</v>
      </c>
      <c r="P1314" s="44"/>
      <c r="Q1314" s="44">
        <f t="shared" si="86"/>
        <v>0</v>
      </c>
      <c r="R1314" s="24">
        <f t="shared" ref="R1314:R1377" si="87">IF(P1314="OK",N1314-Q1314,IF(P1314="en cours",N1314-Q1314,P1314))</f>
        <v>0</v>
      </c>
      <c r="S1314" s="5" t="s">
        <v>12274</v>
      </c>
      <c r="T1314" s="5"/>
    </row>
    <row r="1315" spans="1:20" hidden="1" x14ac:dyDescent="0.25">
      <c r="A1315" t="s">
        <v>6753</v>
      </c>
      <c r="B1315" s="21" t="s">
        <v>12228</v>
      </c>
      <c r="C1315" s="22" t="s">
        <v>158</v>
      </c>
      <c r="D1315" s="22"/>
      <c r="E1315" s="21" t="s">
        <v>3234</v>
      </c>
      <c r="F1315" s="21" t="s">
        <v>10570</v>
      </c>
      <c r="G1315" s="165" t="s">
        <v>9219</v>
      </c>
      <c r="H1315" s="23" t="s">
        <v>10710</v>
      </c>
      <c r="I1315" s="23"/>
      <c r="J1315" s="165" t="s">
        <v>9216</v>
      </c>
      <c r="K1315" s="472"/>
      <c r="L1315" s="21"/>
      <c r="M1315" s="23"/>
      <c r="N1315" s="44">
        <v>0</v>
      </c>
      <c r="O1315" s="22" t="s">
        <v>15</v>
      </c>
      <c r="P1315" s="44"/>
      <c r="Q1315" s="44">
        <f t="shared" si="86"/>
        <v>0</v>
      </c>
      <c r="R1315" s="24">
        <f t="shared" si="87"/>
        <v>0</v>
      </c>
      <c r="S1315" s="5" t="s">
        <v>12274</v>
      </c>
      <c r="T1315" s="5"/>
    </row>
    <row r="1316" spans="1:20" hidden="1" x14ac:dyDescent="0.25">
      <c r="A1316" t="s">
        <v>6753</v>
      </c>
      <c r="B1316" s="21" t="s">
        <v>12228</v>
      </c>
      <c r="C1316" s="22" t="s">
        <v>158</v>
      </c>
      <c r="D1316" s="22"/>
      <c r="E1316" s="21" t="s">
        <v>3234</v>
      </c>
      <c r="F1316" s="21" t="s">
        <v>10570</v>
      </c>
      <c r="G1316" s="165" t="s">
        <v>9219</v>
      </c>
      <c r="H1316" s="23" t="s">
        <v>10710</v>
      </c>
      <c r="I1316" s="23"/>
      <c r="J1316" s="165" t="s">
        <v>9217</v>
      </c>
      <c r="K1316" s="472"/>
      <c r="L1316" s="21"/>
      <c r="M1316" s="23"/>
      <c r="N1316" s="44">
        <v>0</v>
      </c>
      <c r="O1316" s="22" t="s">
        <v>15</v>
      </c>
      <c r="P1316" s="44"/>
      <c r="Q1316" s="44">
        <f t="shared" si="86"/>
        <v>0</v>
      </c>
      <c r="R1316" s="24">
        <f t="shared" si="87"/>
        <v>0</v>
      </c>
      <c r="S1316" s="5" t="s">
        <v>12274</v>
      </c>
      <c r="T1316" s="5"/>
    </row>
    <row r="1317" spans="1:20" hidden="1" x14ac:dyDescent="0.25">
      <c r="A1317" t="s">
        <v>6753</v>
      </c>
      <c r="B1317" s="21" t="s">
        <v>12228</v>
      </c>
      <c r="C1317" s="22" t="s">
        <v>158</v>
      </c>
      <c r="D1317" s="22"/>
      <c r="E1317" s="21" t="s">
        <v>3234</v>
      </c>
      <c r="F1317" s="21" t="s">
        <v>10570</v>
      </c>
      <c r="G1317" s="165" t="s">
        <v>9219</v>
      </c>
      <c r="H1317" s="23" t="s">
        <v>10710</v>
      </c>
      <c r="I1317" s="23"/>
      <c r="J1317" s="165" t="s">
        <v>9218</v>
      </c>
      <c r="K1317" s="472"/>
      <c r="L1317" s="21"/>
      <c r="M1317" s="23"/>
      <c r="N1317" s="44">
        <v>0</v>
      </c>
      <c r="O1317" s="22" t="s">
        <v>15</v>
      </c>
      <c r="P1317" s="44"/>
      <c r="Q1317" s="44">
        <f t="shared" si="86"/>
        <v>0</v>
      </c>
      <c r="R1317" s="24">
        <f t="shared" si="87"/>
        <v>0</v>
      </c>
      <c r="S1317" s="5" t="s">
        <v>12274</v>
      </c>
      <c r="T1317" s="5"/>
    </row>
    <row r="1318" spans="1:20" hidden="1" x14ac:dyDescent="0.25">
      <c r="A1318" t="s">
        <v>6753</v>
      </c>
      <c r="B1318" s="21" t="s">
        <v>12228</v>
      </c>
      <c r="C1318" s="22" t="s">
        <v>158</v>
      </c>
      <c r="D1318" s="22"/>
      <c r="E1318" s="21" t="s">
        <v>3234</v>
      </c>
      <c r="F1318" s="21" t="s">
        <v>10570</v>
      </c>
      <c r="G1318" s="165" t="s">
        <v>9219</v>
      </c>
      <c r="H1318" s="23" t="s">
        <v>10710</v>
      </c>
      <c r="I1318" s="23"/>
      <c r="J1318" s="165" t="s">
        <v>9632</v>
      </c>
      <c r="K1318" s="472"/>
      <c r="L1318" s="21"/>
      <c r="M1318" s="23"/>
      <c r="N1318" s="44">
        <v>0</v>
      </c>
      <c r="O1318" s="22" t="s">
        <v>15</v>
      </c>
      <c r="P1318" s="44"/>
      <c r="Q1318" s="44">
        <f t="shared" si="86"/>
        <v>0</v>
      </c>
      <c r="R1318" s="24">
        <f t="shared" si="87"/>
        <v>0</v>
      </c>
      <c r="S1318" s="5" t="s">
        <v>12274</v>
      </c>
      <c r="T1318" s="5"/>
    </row>
    <row r="1319" spans="1:20" hidden="1" x14ac:dyDescent="0.25">
      <c r="A1319" t="s">
        <v>6753</v>
      </c>
      <c r="B1319" s="21" t="s">
        <v>12228</v>
      </c>
      <c r="C1319" s="22" t="s">
        <v>158</v>
      </c>
      <c r="D1319" s="22"/>
      <c r="E1319" s="21" t="s">
        <v>3234</v>
      </c>
      <c r="F1319" s="21" t="s">
        <v>10570</v>
      </c>
      <c r="G1319" s="165" t="s">
        <v>9219</v>
      </c>
      <c r="H1319" s="23" t="s">
        <v>10710</v>
      </c>
      <c r="I1319" s="23"/>
      <c r="J1319" s="165" t="s">
        <v>10885</v>
      </c>
      <c r="K1319" s="472"/>
      <c r="L1319" s="21"/>
      <c r="M1319" s="23"/>
      <c r="N1319" s="44">
        <v>0</v>
      </c>
      <c r="O1319" s="22" t="s">
        <v>15</v>
      </c>
      <c r="P1319" s="44"/>
      <c r="Q1319" s="44">
        <f t="shared" si="86"/>
        <v>0</v>
      </c>
      <c r="R1319" s="24">
        <f t="shared" si="87"/>
        <v>0</v>
      </c>
      <c r="S1319" s="5" t="s">
        <v>12274</v>
      </c>
      <c r="T1319" s="5"/>
    </row>
    <row r="1320" spans="1:20" hidden="1" x14ac:dyDescent="0.25">
      <c r="A1320" t="s">
        <v>6753</v>
      </c>
      <c r="B1320" s="21" t="s">
        <v>12228</v>
      </c>
      <c r="C1320" s="22" t="s">
        <v>158</v>
      </c>
      <c r="D1320" s="22"/>
      <c r="E1320" s="21" t="s">
        <v>3234</v>
      </c>
      <c r="F1320" s="21" t="s">
        <v>10570</v>
      </c>
      <c r="G1320" s="165" t="s">
        <v>9219</v>
      </c>
      <c r="H1320" s="23" t="s">
        <v>9222</v>
      </c>
      <c r="I1320" s="23"/>
      <c r="J1320" s="165" t="s">
        <v>10886</v>
      </c>
      <c r="K1320" s="472"/>
      <c r="L1320" s="21" t="s">
        <v>10883</v>
      </c>
      <c r="M1320" s="26" t="s">
        <v>10884</v>
      </c>
      <c r="N1320" s="44">
        <v>0</v>
      </c>
      <c r="O1320" s="22" t="s">
        <v>15</v>
      </c>
      <c r="P1320" s="44">
        <f>-8212.4-214318.98-70556.07-197795.45</f>
        <v>-490882.9</v>
      </c>
      <c r="Q1320" s="44">
        <f t="shared" si="86"/>
        <v>490882.9</v>
      </c>
      <c r="R1320" s="24">
        <f t="shared" si="87"/>
        <v>-490882.9</v>
      </c>
      <c r="S1320" s="5" t="s">
        <v>12274</v>
      </c>
      <c r="T1320" s="5"/>
    </row>
    <row r="1321" spans="1:20" ht="15.75" hidden="1" x14ac:dyDescent="0.25">
      <c r="A1321" t="s">
        <v>6753</v>
      </c>
      <c r="B1321" s="21" t="s">
        <v>395</v>
      </c>
      <c r="C1321" s="22" t="s">
        <v>7235</v>
      </c>
      <c r="D1321" s="22"/>
      <c r="E1321" s="21" t="s">
        <v>0</v>
      </c>
      <c r="F1321" s="21"/>
      <c r="G1321" s="147" t="s">
        <v>7310</v>
      </c>
      <c r="H1321" s="23" t="s">
        <v>7312</v>
      </c>
      <c r="I1321" s="23" t="s">
        <v>8216</v>
      </c>
      <c r="J1321" s="21" t="s">
        <v>7311</v>
      </c>
      <c r="K1321" s="21"/>
      <c r="L1321" s="21" t="s">
        <v>7541</v>
      </c>
      <c r="M1321" s="26">
        <v>44958</v>
      </c>
      <c r="N1321" s="44">
        <v>719.5</v>
      </c>
      <c r="O1321" s="22" t="s">
        <v>15</v>
      </c>
      <c r="P1321" s="44">
        <v>719.5</v>
      </c>
      <c r="Q1321" s="44">
        <f t="shared" si="86"/>
        <v>0</v>
      </c>
      <c r="R1321" s="24">
        <f t="shared" si="87"/>
        <v>719.5</v>
      </c>
      <c r="S1321" s="5"/>
      <c r="T1321" s="5"/>
    </row>
    <row r="1322" spans="1:20" ht="15.75" hidden="1" x14ac:dyDescent="0.25">
      <c r="A1322" t="s">
        <v>6753</v>
      </c>
      <c r="B1322" s="21" t="s">
        <v>395</v>
      </c>
      <c r="C1322" s="22" t="s">
        <v>2450</v>
      </c>
      <c r="D1322" s="22" t="s">
        <v>6260</v>
      </c>
      <c r="E1322" s="21" t="s">
        <v>0</v>
      </c>
      <c r="F1322" s="21"/>
      <c r="G1322" s="147" t="s">
        <v>2078</v>
      </c>
      <c r="H1322" s="63" t="s">
        <v>3632</v>
      </c>
      <c r="I1322" s="63" t="s">
        <v>7939</v>
      </c>
      <c r="J1322" s="62" t="s">
        <v>3406</v>
      </c>
      <c r="K1322" s="234"/>
      <c r="L1322" s="62" t="s">
        <v>3601</v>
      </c>
      <c r="M1322" s="211">
        <v>44047</v>
      </c>
      <c r="N1322" s="101">
        <v>29730</v>
      </c>
      <c r="O1322" s="22" t="s">
        <v>15</v>
      </c>
      <c r="P1322" s="22" t="s">
        <v>19</v>
      </c>
      <c r="Q1322" s="44">
        <f t="shared" si="86"/>
        <v>0</v>
      </c>
      <c r="R1322" s="24">
        <f t="shared" si="87"/>
        <v>29730</v>
      </c>
      <c r="S1322" s="5" t="s">
        <v>3428</v>
      </c>
      <c r="T1322" s="5"/>
    </row>
    <row r="1323" spans="1:20" ht="15.75" hidden="1" x14ac:dyDescent="0.25">
      <c r="A1323" t="s">
        <v>6753</v>
      </c>
      <c r="B1323" s="21" t="s">
        <v>395</v>
      </c>
      <c r="C1323" s="22" t="s">
        <v>2450</v>
      </c>
      <c r="D1323" s="22" t="s">
        <v>6260</v>
      </c>
      <c r="E1323" s="21" t="s">
        <v>0</v>
      </c>
      <c r="F1323" s="21"/>
      <c r="G1323" s="147" t="s">
        <v>2078</v>
      </c>
      <c r="H1323" s="63" t="s">
        <v>3632</v>
      </c>
      <c r="I1323" s="63" t="s">
        <v>7939</v>
      </c>
      <c r="J1323" s="62" t="s">
        <v>3407</v>
      </c>
      <c r="K1323" s="234"/>
      <c r="L1323" s="62" t="s">
        <v>4689</v>
      </c>
      <c r="M1323" s="211">
        <v>44286</v>
      </c>
      <c r="N1323" s="101">
        <v>44595</v>
      </c>
      <c r="O1323" s="22" t="s">
        <v>15</v>
      </c>
      <c r="P1323" s="22" t="s">
        <v>19</v>
      </c>
      <c r="Q1323" s="44">
        <f t="shared" si="86"/>
        <v>0</v>
      </c>
      <c r="R1323" s="24">
        <f t="shared" si="87"/>
        <v>44595</v>
      </c>
      <c r="S1323" s="5" t="s">
        <v>3428</v>
      </c>
      <c r="T1323" s="5"/>
    </row>
    <row r="1324" spans="1:20" ht="15.75" hidden="1" x14ac:dyDescent="0.25">
      <c r="A1324" t="s">
        <v>6753</v>
      </c>
      <c r="B1324" s="21" t="s">
        <v>395</v>
      </c>
      <c r="C1324" s="22" t="s">
        <v>2450</v>
      </c>
      <c r="D1324" s="22" t="s">
        <v>6260</v>
      </c>
      <c r="E1324" s="21" t="s">
        <v>0</v>
      </c>
      <c r="F1324" s="21"/>
      <c r="G1324" s="147" t="s">
        <v>2078</v>
      </c>
      <c r="H1324" s="63" t="s">
        <v>3632</v>
      </c>
      <c r="I1324" s="63" t="s">
        <v>7939</v>
      </c>
      <c r="J1324" s="62" t="s">
        <v>3408</v>
      </c>
      <c r="K1324" s="234"/>
      <c r="L1324" s="62" t="s">
        <v>3601</v>
      </c>
      <c r="M1324" s="211">
        <v>44047</v>
      </c>
      <c r="N1324" s="101">
        <v>55780</v>
      </c>
      <c r="O1324" s="22" t="s">
        <v>15</v>
      </c>
      <c r="P1324" s="22" t="s">
        <v>19</v>
      </c>
      <c r="Q1324" s="44">
        <f t="shared" si="86"/>
        <v>0</v>
      </c>
      <c r="R1324" s="24">
        <f t="shared" si="87"/>
        <v>55780</v>
      </c>
      <c r="S1324" s="5" t="s">
        <v>3428</v>
      </c>
      <c r="T1324" s="5"/>
    </row>
    <row r="1325" spans="1:20" ht="15.75" hidden="1" x14ac:dyDescent="0.25">
      <c r="A1325" t="s">
        <v>6753</v>
      </c>
      <c r="B1325" s="21" t="s">
        <v>395</v>
      </c>
      <c r="C1325" s="22" t="s">
        <v>2450</v>
      </c>
      <c r="D1325" s="22" t="s">
        <v>6260</v>
      </c>
      <c r="E1325" s="21" t="s">
        <v>0</v>
      </c>
      <c r="F1325" s="21"/>
      <c r="G1325" s="147" t="s">
        <v>2078</v>
      </c>
      <c r="H1325" s="63" t="s">
        <v>3632</v>
      </c>
      <c r="I1325" s="63" t="s">
        <v>7939</v>
      </c>
      <c r="J1325" s="62" t="s">
        <v>3409</v>
      </c>
      <c r="K1325" s="234"/>
      <c r="L1325" s="62" t="s">
        <v>3731</v>
      </c>
      <c r="M1325" s="211">
        <v>44099</v>
      </c>
      <c r="N1325" s="101">
        <v>83670</v>
      </c>
      <c r="O1325" s="22" t="s">
        <v>15</v>
      </c>
      <c r="P1325" s="22" t="s">
        <v>19</v>
      </c>
      <c r="Q1325" s="44">
        <f t="shared" si="86"/>
        <v>0</v>
      </c>
      <c r="R1325" s="24">
        <f t="shared" si="87"/>
        <v>83670</v>
      </c>
      <c r="S1325" s="5" t="s">
        <v>3428</v>
      </c>
      <c r="T1325" s="5"/>
    </row>
    <row r="1326" spans="1:20" ht="15.75" hidden="1" x14ac:dyDescent="0.25">
      <c r="A1326" t="s">
        <v>6753</v>
      </c>
      <c r="B1326" s="21" t="s">
        <v>395</v>
      </c>
      <c r="C1326" s="22" t="s">
        <v>2450</v>
      </c>
      <c r="D1326" s="22" t="s">
        <v>6260</v>
      </c>
      <c r="E1326" s="21" t="s">
        <v>0</v>
      </c>
      <c r="F1326" s="21"/>
      <c r="G1326" s="147" t="s">
        <v>2078</v>
      </c>
      <c r="H1326" s="63" t="s">
        <v>3632</v>
      </c>
      <c r="I1326" s="63" t="s">
        <v>7939</v>
      </c>
      <c r="J1326" s="62" t="s">
        <v>3413</v>
      </c>
      <c r="K1326" s="234"/>
      <c r="L1326" s="62" t="s">
        <v>3681</v>
      </c>
      <c r="M1326" s="211">
        <v>44085</v>
      </c>
      <c r="N1326" s="101">
        <v>14344</v>
      </c>
      <c r="O1326" s="22" t="s">
        <v>15</v>
      </c>
      <c r="P1326" s="22" t="s">
        <v>19</v>
      </c>
      <c r="Q1326" s="44">
        <f t="shared" si="86"/>
        <v>0</v>
      </c>
      <c r="R1326" s="24">
        <f t="shared" si="87"/>
        <v>14344</v>
      </c>
      <c r="S1326" s="5" t="s">
        <v>3428</v>
      </c>
      <c r="T1326" s="5"/>
    </row>
    <row r="1327" spans="1:20" ht="15.75" hidden="1" x14ac:dyDescent="0.25">
      <c r="A1327" t="s">
        <v>6753</v>
      </c>
      <c r="B1327" s="21" t="s">
        <v>395</v>
      </c>
      <c r="C1327" s="22" t="s">
        <v>2450</v>
      </c>
      <c r="D1327" s="22" t="s">
        <v>6260</v>
      </c>
      <c r="E1327" s="21" t="s">
        <v>0</v>
      </c>
      <c r="F1327" s="21"/>
      <c r="G1327" s="147" t="s">
        <v>2078</v>
      </c>
      <c r="H1327" s="63" t="s">
        <v>3632</v>
      </c>
      <c r="I1327" s="63" t="s">
        <v>7939</v>
      </c>
      <c r="J1327" s="62" t="s">
        <v>3414</v>
      </c>
      <c r="K1327" s="234"/>
      <c r="L1327" s="62" t="s">
        <v>3789</v>
      </c>
      <c r="M1327" s="211">
        <v>44106</v>
      </c>
      <c r="N1327" s="101">
        <f>21516</f>
        <v>21516</v>
      </c>
      <c r="O1327" s="22" t="s">
        <v>15</v>
      </c>
      <c r="P1327" s="22" t="s">
        <v>19</v>
      </c>
      <c r="Q1327" s="44">
        <f t="shared" si="86"/>
        <v>0</v>
      </c>
      <c r="R1327" s="24">
        <f t="shared" si="87"/>
        <v>21516</v>
      </c>
      <c r="S1327" s="5" t="s">
        <v>3428</v>
      </c>
      <c r="T1327" s="5"/>
    </row>
    <row r="1328" spans="1:20" ht="15.75" hidden="1" x14ac:dyDescent="0.25">
      <c r="A1328" t="s">
        <v>6753</v>
      </c>
      <c r="B1328" s="21" t="s">
        <v>395</v>
      </c>
      <c r="C1328" s="22" t="s">
        <v>2450</v>
      </c>
      <c r="D1328" s="22" t="s">
        <v>6260</v>
      </c>
      <c r="E1328" s="21" t="s">
        <v>0</v>
      </c>
      <c r="F1328" s="21"/>
      <c r="G1328" s="147" t="s">
        <v>2078</v>
      </c>
      <c r="H1328" s="71" t="s">
        <v>3633</v>
      </c>
      <c r="I1328" s="71" t="s">
        <v>7940</v>
      </c>
      <c r="J1328" s="70" t="s">
        <v>3410</v>
      </c>
      <c r="K1328" s="235"/>
      <c r="L1328" s="70" t="s">
        <v>3634</v>
      </c>
      <c r="M1328" s="213">
        <v>44075</v>
      </c>
      <c r="N1328" s="103">
        <v>129965</v>
      </c>
      <c r="O1328" s="22" t="s">
        <v>15</v>
      </c>
      <c r="P1328" s="22" t="s">
        <v>19</v>
      </c>
      <c r="Q1328" s="44">
        <f t="shared" si="86"/>
        <v>0</v>
      </c>
      <c r="R1328" s="24">
        <f t="shared" si="87"/>
        <v>129965</v>
      </c>
      <c r="S1328" s="5" t="s">
        <v>3428</v>
      </c>
      <c r="T1328" s="5"/>
    </row>
    <row r="1329" spans="1:20" ht="15.75" hidden="1" x14ac:dyDescent="0.25">
      <c r="A1329" t="s">
        <v>6753</v>
      </c>
      <c r="B1329" s="21" t="s">
        <v>395</v>
      </c>
      <c r="C1329" s="22" t="s">
        <v>2450</v>
      </c>
      <c r="D1329" s="22" t="s">
        <v>6260</v>
      </c>
      <c r="E1329" s="21" t="s">
        <v>0</v>
      </c>
      <c r="F1329" s="21"/>
      <c r="G1329" s="147" t="s">
        <v>2078</v>
      </c>
      <c r="H1329" s="71" t="s">
        <v>3633</v>
      </c>
      <c r="I1329" s="71" t="s">
        <v>7940</v>
      </c>
      <c r="J1329" s="70" t="s">
        <v>3411</v>
      </c>
      <c r="K1329" s="235"/>
      <c r="L1329" s="70" t="s">
        <v>3928</v>
      </c>
      <c r="M1329" s="213">
        <v>44138</v>
      </c>
      <c r="N1329" s="103">
        <v>129965</v>
      </c>
      <c r="O1329" s="22" t="s">
        <v>15</v>
      </c>
      <c r="P1329" s="22" t="s">
        <v>19</v>
      </c>
      <c r="Q1329" s="44">
        <f t="shared" si="86"/>
        <v>0</v>
      </c>
      <c r="R1329" s="24">
        <f t="shared" si="87"/>
        <v>129965</v>
      </c>
      <c r="S1329" s="5" t="s">
        <v>3428</v>
      </c>
      <c r="T1329" s="5"/>
    </row>
    <row r="1330" spans="1:20" ht="15.75" hidden="1" x14ac:dyDescent="0.25">
      <c r="A1330" t="s">
        <v>6753</v>
      </c>
      <c r="B1330" s="21" t="s">
        <v>395</v>
      </c>
      <c r="C1330" s="22" t="s">
        <v>2450</v>
      </c>
      <c r="D1330" s="22" t="s">
        <v>6260</v>
      </c>
      <c r="E1330" s="21" t="s">
        <v>0</v>
      </c>
      <c r="F1330" s="21"/>
      <c r="G1330" s="147" t="s">
        <v>2078</v>
      </c>
      <c r="H1330" s="71" t="s">
        <v>3633</v>
      </c>
      <c r="I1330" s="71" t="s">
        <v>7940</v>
      </c>
      <c r="J1330" s="70" t="s">
        <v>3412</v>
      </c>
      <c r="K1330" s="235" t="s">
        <v>2568</v>
      </c>
      <c r="L1330" s="70" t="s">
        <v>4245</v>
      </c>
      <c r="M1330" s="213">
        <v>44187</v>
      </c>
      <c r="N1330" s="103">
        <v>129965</v>
      </c>
      <c r="O1330" s="22" t="s">
        <v>15</v>
      </c>
      <c r="P1330" s="22" t="s">
        <v>19</v>
      </c>
      <c r="Q1330" s="44">
        <f t="shared" si="86"/>
        <v>0</v>
      </c>
      <c r="R1330" s="24">
        <f t="shared" si="87"/>
        <v>129965</v>
      </c>
      <c r="S1330" s="5" t="s">
        <v>3428</v>
      </c>
      <c r="T1330" s="5"/>
    </row>
    <row r="1331" spans="1:20" ht="15.75" hidden="1" x14ac:dyDescent="0.25">
      <c r="A1331" t="s">
        <v>6753</v>
      </c>
      <c r="B1331" s="21" t="s">
        <v>395</v>
      </c>
      <c r="C1331" s="22" t="s">
        <v>2450</v>
      </c>
      <c r="D1331" s="22" t="s">
        <v>6260</v>
      </c>
      <c r="E1331" s="21" t="s">
        <v>0</v>
      </c>
      <c r="F1331" s="21"/>
      <c r="G1331" s="147" t="s">
        <v>2078</v>
      </c>
      <c r="H1331" s="23" t="s">
        <v>4513</v>
      </c>
      <c r="I1331" s="23" t="s">
        <v>7942</v>
      </c>
      <c r="J1331" s="21" t="s">
        <v>3415</v>
      </c>
      <c r="K1331" s="120"/>
      <c r="L1331" s="21" t="s">
        <v>4327</v>
      </c>
      <c r="M1331" s="26">
        <v>44225</v>
      </c>
      <c r="N1331" s="44">
        <v>72954</v>
      </c>
      <c r="O1331" s="22" t="s">
        <v>15</v>
      </c>
      <c r="P1331" s="22" t="s">
        <v>19</v>
      </c>
      <c r="Q1331" s="44">
        <f t="shared" si="86"/>
        <v>0</v>
      </c>
      <c r="R1331" s="24">
        <f t="shared" si="87"/>
        <v>72954</v>
      </c>
      <c r="S1331" s="5" t="s">
        <v>3428</v>
      </c>
      <c r="T1331" s="5"/>
    </row>
    <row r="1332" spans="1:20" ht="15.75" hidden="1" x14ac:dyDescent="0.25">
      <c r="A1332" t="s">
        <v>6753</v>
      </c>
      <c r="B1332" s="21" t="s">
        <v>395</v>
      </c>
      <c r="C1332" s="22" t="s">
        <v>2450</v>
      </c>
      <c r="D1332" s="22" t="s">
        <v>6260</v>
      </c>
      <c r="E1332" s="21" t="s">
        <v>0</v>
      </c>
      <c r="F1332" s="21"/>
      <c r="G1332" s="147" t="s">
        <v>2078</v>
      </c>
      <c r="H1332" s="23" t="s">
        <v>4513</v>
      </c>
      <c r="I1332" s="23" t="s">
        <v>7942</v>
      </c>
      <c r="J1332" s="21" t="s">
        <v>3416</v>
      </c>
      <c r="K1332" s="120" t="s">
        <v>2568</v>
      </c>
      <c r="L1332" s="21" t="s">
        <v>4245</v>
      </c>
      <c r="M1332" s="26">
        <v>44187</v>
      </c>
      <c r="N1332" s="44">
        <v>109431</v>
      </c>
      <c r="O1332" s="22" t="s">
        <v>15</v>
      </c>
      <c r="P1332" s="22" t="s">
        <v>19</v>
      </c>
      <c r="Q1332" s="44">
        <f t="shared" si="86"/>
        <v>0</v>
      </c>
      <c r="R1332" s="24">
        <f t="shared" si="87"/>
        <v>109431</v>
      </c>
      <c r="S1332" s="5" t="s">
        <v>3428</v>
      </c>
      <c r="T1332" s="5"/>
    </row>
    <row r="1333" spans="1:20" ht="15.75" hidden="1" x14ac:dyDescent="0.25">
      <c r="A1333" t="s">
        <v>6753</v>
      </c>
      <c r="B1333" s="21" t="s">
        <v>395</v>
      </c>
      <c r="C1333" s="22" t="s">
        <v>2450</v>
      </c>
      <c r="D1333" s="22" t="s">
        <v>6260</v>
      </c>
      <c r="E1333" s="21" t="s">
        <v>0</v>
      </c>
      <c r="F1333" s="21"/>
      <c r="G1333" s="147" t="s">
        <v>2078</v>
      </c>
      <c r="H1333" s="23" t="s">
        <v>4513</v>
      </c>
      <c r="I1333" s="23" t="s">
        <v>7942</v>
      </c>
      <c r="J1333" s="21" t="s">
        <v>3417</v>
      </c>
      <c r="K1333" s="120"/>
      <c r="L1333" s="21" t="s">
        <v>4212</v>
      </c>
      <c r="M1333" s="26">
        <v>44189</v>
      </c>
      <c r="N1333" s="44">
        <v>43726</v>
      </c>
      <c r="O1333" s="22" t="s">
        <v>15</v>
      </c>
      <c r="P1333" s="22" t="s">
        <v>19</v>
      </c>
      <c r="Q1333" s="44">
        <f t="shared" si="86"/>
        <v>0</v>
      </c>
      <c r="R1333" s="24">
        <f t="shared" si="87"/>
        <v>43726</v>
      </c>
      <c r="S1333" s="5" t="s">
        <v>3428</v>
      </c>
      <c r="T1333" s="5"/>
    </row>
    <row r="1334" spans="1:20" ht="15.75" hidden="1" x14ac:dyDescent="0.25">
      <c r="A1334" t="s">
        <v>6753</v>
      </c>
      <c r="B1334" s="21" t="s">
        <v>395</v>
      </c>
      <c r="C1334" s="22" t="s">
        <v>2450</v>
      </c>
      <c r="D1334" s="22" t="s">
        <v>6260</v>
      </c>
      <c r="E1334" s="21" t="s">
        <v>0</v>
      </c>
      <c r="F1334" s="21"/>
      <c r="G1334" s="147" t="s">
        <v>2078</v>
      </c>
      <c r="H1334" s="23" t="s">
        <v>4513</v>
      </c>
      <c r="I1334" s="23" t="s">
        <v>7942</v>
      </c>
      <c r="J1334" s="21" t="s">
        <v>3418</v>
      </c>
      <c r="K1334" s="120"/>
      <c r="L1334" s="21" t="s">
        <v>4377</v>
      </c>
      <c r="M1334" s="26">
        <v>44244</v>
      </c>
      <c r="N1334" s="44">
        <v>65589</v>
      </c>
      <c r="O1334" s="22" t="s">
        <v>15</v>
      </c>
      <c r="P1334" s="22" t="s">
        <v>19</v>
      </c>
      <c r="Q1334" s="44">
        <f t="shared" si="86"/>
        <v>0</v>
      </c>
      <c r="R1334" s="24">
        <f t="shared" si="87"/>
        <v>65589</v>
      </c>
      <c r="S1334" s="5" t="s">
        <v>3428</v>
      </c>
      <c r="T1334" s="5"/>
    </row>
    <row r="1335" spans="1:20" ht="15.75" hidden="1" x14ac:dyDescent="0.25">
      <c r="A1335" t="s">
        <v>6753</v>
      </c>
      <c r="B1335" s="21" t="s">
        <v>395</v>
      </c>
      <c r="C1335" s="22" t="s">
        <v>2450</v>
      </c>
      <c r="D1335" s="22" t="s">
        <v>6260</v>
      </c>
      <c r="E1335" s="21" t="s">
        <v>0</v>
      </c>
      <c r="F1335" s="21"/>
      <c r="G1335" s="147" t="s">
        <v>2078</v>
      </c>
      <c r="H1335" s="23" t="s">
        <v>4513</v>
      </c>
      <c r="I1335" s="23" t="s">
        <v>7942</v>
      </c>
      <c r="J1335" s="21" t="s">
        <v>3419</v>
      </c>
      <c r="K1335" s="120"/>
      <c r="L1335" s="21" t="s">
        <v>4214</v>
      </c>
      <c r="M1335" s="26">
        <v>44193</v>
      </c>
      <c r="N1335" s="44">
        <v>30900</v>
      </c>
      <c r="O1335" s="22" t="s">
        <v>15</v>
      </c>
      <c r="P1335" s="22" t="s">
        <v>19</v>
      </c>
      <c r="Q1335" s="44">
        <f t="shared" si="86"/>
        <v>0</v>
      </c>
      <c r="R1335" s="24">
        <f t="shared" si="87"/>
        <v>30900</v>
      </c>
      <c r="S1335" s="5" t="s">
        <v>3428</v>
      </c>
      <c r="T1335" s="5"/>
    </row>
    <row r="1336" spans="1:20" ht="15.75" hidden="1" x14ac:dyDescent="0.25">
      <c r="A1336" t="s">
        <v>6753</v>
      </c>
      <c r="B1336" s="21" t="s">
        <v>395</v>
      </c>
      <c r="C1336" s="22" t="s">
        <v>2450</v>
      </c>
      <c r="D1336" s="22" t="s">
        <v>6260</v>
      </c>
      <c r="E1336" s="21" t="s">
        <v>0</v>
      </c>
      <c r="F1336" s="21"/>
      <c r="G1336" s="147" t="s">
        <v>2078</v>
      </c>
      <c r="H1336" s="23" t="s">
        <v>4513</v>
      </c>
      <c r="I1336" s="23" t="s">
        <v>7942</v>
      </c>
      <c r="J1336" s="21" t="s">
        <v>3955</v>
      </c>
      <c r="K1336" s="120"/>
      <c r="L1336" s="21" t="s">
        <v>4539</v>
      </c>
      <c r="M1336" s="26">
        <v>44260</v>
      </c>
      <c r="N1336" s="44">
        <v>15450</v>
      </c>
      <c r="O1336" s="22" t="s">
        <v>15</v>
      </c>
      <c r="P1336" s="22" t="s">
        <v>19</v>
      </c>
      <c r="Q1336" s="24">
        <f t="shared" si="86"/>
        <v>0</v>
      </c>
      <c r="R1336" s="24">
        <f t="shared" si="87"/>
        <v>15450</v>
      </c>
      <c r="S1336" s="5"/>
      <c r="T1336" s="5"/>
    </row>
    <row r="1337" spans="1:20" ht="15.75" hidden="1" x14ac:dyDescent="0.25">
      <c r="A1337" t="s">
        <v>6753</v>
      </c>
      <c r="B1337" s="21" t="s">
        <v>395</v>
      </c>
      <c r="C1337" s="22" t="s">
        <v>2450</v>
      </c>
      <c r="D1337" s="22" t="s">
        <v>6260</v>
      </c>
      <c r="E1337" s="21" t="s">
        <v>0</v>
      </c>
      <c r="F1337" s="21"/>
      <c r="G1337" s="147" t="s">
        <v>2078</v>
      </c>
      <c r="H1337" s="23" t="s">
        <v>4513</v>
      </c>
      <c r="I1337" s="23" t="s">
        <v>7942</v>
      </c>
      <c r="J1337" s="21" t="s">
        <v>3956</v>
      </c>
      <c r="K1337" s="120"/>
      <c r="L1337" s="21" t="s">
        <v>6013</v>
      </c>
      <c r="M1337" s="26">
        <v>44504</v>
      </c>
      <c r="N1337" s="44">
        <v>15450</v>
      </c>
      <c r="O1337" s="22" t="s">
        <v>15</v>
      </c>
      <c r="P1337" s="22" t="s">
        <v>19</v>
      </c>
      <c r="Q1337" s="24">
        <f t="shared" si="86"/>
        <v>0</v>
      </c>
      <c r="R1337" s="24">
        <f t="shared" si="87"/>
        <v>15450</v>
      </c>
      <c r="S1337" s="5"/>
      <c r="T1337" s="5"/>
    </row>
    <row r="1338" spans="1:20" ht="15.75" hidden="1" x14ac:dyDescent="0.25">
      <c r="A1338" t="s">
        <v>6753</v>
      </c>
      <c r="B1338" s="21" t="s">
        <v>395</v>
      </c>
      <c r="C1338" s="22" t="s">
        <v>2450</v>
      </c>
      <c r="D1338" s="22" t="s">
        <v>6260</v>
      </c>
      <c r="E1338" s="21" t="s">
        <v>0</v>
      </c>
      <c r="F1338" s="21"/>
      <c r="G1338" s="147" t="s">
        <v>2078</v>
      </c>
      <c r="H1338" s="23" t="s">
        <v>4513</v>
      </c>
      <c r="I1338" s="23" t="s">
        <v>7942</v>
      </c>
      <c r="J1338" s="21" t="s">
        <v>3957</v>
      </c>
      <c r="K1338" s="120"/>
      <c r="L1338" s="21" t="s">
        <v>6384</v>
      </c>
      <c r="M1338" s="26">
        <v>44592</v>
      </c>
      <c r="N1338" s="44">
        <v>15450</v>
      </c>
      <c r="O1338" s="22" t="s">
        <v>15</v>
      </c>
      <c r="P1338" s="22" t="s">
        <v>19</v>
      </c>
      <c r="Q1338" s="24">
        <f t="shared" si="86"/>
        <v>0</v>
      </c>
      <c r="R1338" s="24">
        <f t="shared" si="87"/>
        <v>15450</v>
      </c>
      <c r="S1338" s="5"/>
      <c r="T1338" s="5"/>
    </row>
    <row r="1339" spans="1:20" ht="15.75" hidden="1" x14ac:dyDescent="0.25">
      <c r="A1339" t="s">
        <v>6753</v>
      </c>
      <c r="B1339" s="21" t="s">
        <v>395</v>
      </c>
      <c r="C1339" s="22" t="s">
        <v>2450</v>
      </c>
      <c r="D1339" s="22" t="s">
        <v>6260</v>
      </c>
      <c r="E1339" s="21" t="s">
        <v>0</v>
      </c>
      <c r="F1339" s="21"/>
      <c r="G1339" s="147" t="s">
        <v>2078</v>
      </c>
      <c r="H1339" s="66" t="s">
        <v>3754</v>
      </c>
      <c r="I1339" s="66" t="s">
        <v>7941</v>
      </c>
      <c r="J1339" s="65" t="s">
        <v>3414</v>
      </c>
      <c r="K1339" s="239"/>
      <c r="L1339" s="65" t="s">
        <v>3789</v>
      </c>
      <c r="M1339" s="167">
        <v>44106</v>
      </c>
      <c r="N1339" s="96">
        <v>6007</v>
      </c>
      <c r="O1339" s="22" t="s">
        <v>15</v>
      </c>
      <c r="P1339" s="44" t="s">
        <v>19</v>
      </c>
      <c r="Q1339" s="44">
        <f t="shared" si="86"/>
        <v>0</v>
      </c>
      <c r="R1339" s="24">
        <f t="shared" si="87"/>
        <v>6007</v>
      </c>
      <c r="S1339" s="5" t="s">
        <v>3428</v>
      </c>
      <c r="T1339" s="5"/>
    </row>
    <row r="1340" spans="1:20" ht="15.75" hidden="1" x14ac:dyDescent="0.25">
      <c r="A1340" t="s">
        <v>6753</v>
      </c>
      <c r="B1340" s="21" t="s">
        <v>395</v>
      </c>
      <c r="C1340" s="22" t="s">
        <v>2450</v>
      </c>
      <c r="D1340" s="22" t="s">
        <v>6260</v>
      </c>
      <c r="E1340" s="21" t="s">
        <v>0</v>
      </c>
      <c r="F1340" s="21"/>
      <c r="G1340" s="147" t="s">
        <v>2078</v>
      </c>
      <c r="H1340" s="66" t="s">
        <v>3754</v>
      </c>
      <c r="I1340" s="66" t="s">
        <v>7941</v>
      </c>
      <c r="J1340" s="65" t="s">
        <v>3958</v>
      </c>
      <c r="K1340" s="239"/>
      <c r="L1340" s="65" t="s">
        <v>3755</v>
      </c>
      <c r="M1340" s="167">
        <v>44103</v>
      </c>
      <c r="N1340" s="96">
        <v>40161</v>
      </c>
      <c r="O1340" s="22" t="s">
        <v>15</v>
      </c>
      <c r="P1340" s="44" t="s">
        <v>19</v>
      </c>
      <c r="Q1340" s="24">
        <f t="shared" si="86"/>
        <v>0</v>
      </c>
      <c r="R1340" s="24">
        <f t="shared" si="87"/>
        <v>40161</v>
      </c>
      <c r="S1340" s="5"/>
      <c r="T1340" s="5"/>
    </row>
    <row r="1341" spans="1:20" ht="15.75" hidden="1" x14ac:dyDescent="0.25">
      <c r="A1341" t="s">
        <v>6753</v>
      </c>
      <c r="B1341" s="21" t="s">
        <v>395</v>
      </c>
      <c r="C1341" s="22" t="s">
        <v>2450</v>
      </c>
      <c r="D1341" s="22" t="s">
        <v>6260</v>
      </c>
      <c r="E1341" s="21" t="s">
        <v>0</v>
      </c>
      <c r="F1341" s="21"/>
      <c r="G1341" s="147" t="s">
        <v>2078</v>
      </c>
      <c r="H1341" s="66" t="s">
        <v>3754</v>
      </c>
      <c r="I1341" s="66" t="s">
        <v>7941</v>
      </c>
      <c r="J1341" s="65" t="s">
        <v>3960</v>
      </c>
      <c r="K1341" s="239"/>
      <c r="L1341" s="65" t="s">
        <v>4245</v>
      </c>
      <c r="M1341" s="167">
        <v>44187</v>
      </c>
      <c r="N1341" s="96">
        <v>6132</v>
      </c>
      <c r="O1341" s="22" t="s">
        <v>15</v>
      </c>
      <c r="P1341" s="44" t="s">
        <v>19</v>
      </c>
      <c r="Q1341" s="24">
        <f t="shared" si="86"/>
        <v>0</v>
      </c>
      <c r="R1341" s="24">
        <f t="shared" si="87"/>
        <v>6132</v>
      </c>
      <c r="S1341" s="5"/>
      <c r="T1341" s="5"/>
    </row>
    <row r="1342" spans="1:20" ht="15.75" hidden="1" x14ac:dyDescent="0.25">
      <c r="A1342" t="s">
        <v>6753</v>
      </c>
      <c r="B1342" s="21" t="s">
        <v>395</v>
      </c>
      <c r="C1342" s="22" t="s">
        <v>2450</v>
      </c>
      <c r="D1342" s="22" t="s">
        <v>6260</v>
      </c>
      <c r="E1342" s="21" t="s">
        <v>0</v>
      </c>
      <c r="F1342" s="21"/>
      <c r="G1342" s="147" t="s">
        <v>2078</v>
      </c>
      <c r="H1342" s="66" t="s">
        <v>3754</v>
      </c>
      <c r="I1342" s="66" t="s">
        <v>7941</v>
      </c>
      <c r="J1342" s="65" t="s">
        <v>3959</v>
      </c>
      <c r="K1342" s="239"/>
      <c r="L1342" s="65" t="s">
        <v>4540</v>
      </c>
      <c r="M1342" s="167">
        <v>44260</v>
      </c>
      <c r="N1342" s="96">
        <v>31610</v>
      </c>
      <c r="O1342" s="22" t="s">
        <v>15</v>
      </c>
      <c r="P1342" s="44" t="s">
        <v>19</v>
      </c>
      <c r="Q1342" s="24">
        <f t="shared" si="86"/>
        <v>0</v>
      </c>
      <c r="R1342" s="24">
        <f t="shared" si="87"/>
        <v>31610</v>
      </c>
      <c r="S1342" s="5"/>
      <c r="T1342" s="5"/>
    </row>
    <row r="1343" spans="1:20" ht="15.75" hidden="1" x14ac:dyDescent="0.25">
      <c r="A1343" t="s">
        <v>6753</v>
      </c>
      <c r="B1343" s="21" t="s">
        <v>395</v>
      </c>
      <c r="C1343" s="22" t="s">
        <v>2450</v>
      </c>
      <c r="D1343" s="22" t="s">
        <v>6260</v>
      </c>
      <c r="E1343" s="21" t="s">
        <v>0</v>
      </c>
      <c r="F1343" s="21"/>
      <c r="G1343" s="147" t="s">
        <v>2078</v>
      </c>
      <c r="H1343" s="66" t="s">
        <v>3754</v>
      </c>
      <c r="I1343" s="66" t="s">
        <v>7941</v>
      </c>
      <c r="J1343" s="65" t="s">
        <v>3961</v>
      </c>
      <c r="K1343" s="239"/>
      <c r="L1343" s="65" t="s">
        <v>4211</v>
      </c>
      <c r="M1343" s="167">
        <v>44188</v>
      </c>
      <c r="N1343" s="96">
        <v>25690</v>
      </c>
      <c r="O1343" s="22" t="s">
        <v>15</v>
      </c>
      <c r="P1343" s="44" t="s">
        <v>19</v>
      </c>
      <c r="Q1343" s="24">
        <f t="shared" si="86"/>
        <v>0</v>
      </c>
      <c r="R1343" s="24">
        <f t="shared" si="87"/>
        <v>25690</v>
      </c>
      <c r="S1343" s="5"/>
      <c r="T1343" s="5"/>
    </row>
    <row r="1344" spans="1:20" ht="15.75" hidden="1" x14ac:dyDescent="0.25">
      <c r="A1344" t="s">
        <v>6753</v>
      </c>
      <c r="B1344" s="21" t="s">
        <v>395</v>
      </c>
      <c r="C1344" s="22" t="s">
        <v>2450</v>
      </c>
      <c r="D1344" s="22" t="s">
        <v>6260</v>
      </c>
      <c r="E1344" s="21" t="s">
        <v>0</v>
      </c>
      <c r="F1344" s="21"/>
      <c r="G1344" s="147" t="s">
        <v>2078</v>
      </c>
      <c r="H1344" s="66" t="s">
        <v>3754</v>
      </c>
      <c r="I1344" s="66" t="s">
        <v>7941</v>
      </c>
      <c r="J1344" s="65" t="s">
        <v>4200</v>
      </c>
      <c r="K1344" s="239"/>
      <c r="L1344" s="65" t="s">
        <v>4689</v>
      </c>
      <c r="M1344" s="167">
        <v>44286</v>
      </c>
      <c r="N1344" s="96">
        <v>18916</v>
      </c>
      <c r="O1344" s="22" t="s">
        <v>15</v>
      </c>
      <c r="P1344" s="44" t="s">
        <v>19</v>
      </c>
      <c r="Q1344" s="24">
        <f t="shared" si="86"/>
        <v>0</v>
      </c>
      <c r="R1344" s="24">
        <f t="shared" si="87"/>
        <v>18916</v>
      </c>
      <c r="S1344" s="5"/>
      <c r="T1344" s="5"/>
    </row>
    <row r="1345" spans="1:20" ht="15.75" hidden="1" x14ac:dyDescent="0.25">
      <c r="A1345" t="s">
        <v>6753</v>
      </c>
      <c r="B1345" s="21" t="s">
        <v>395</v>
      </c>
      <c r="C1345" s="22" t="s">
        <v>2450</v>
      </c>
      <c r="D1345" s="22" t="s">
        <v>6260</v>
      </c>
      <c r="E1345" s="21" t="s">
        <v>0</v>
      </c>
      <c r="F1345" s="21"/>
      <c r="G1345" s="147" t="s">
        <v>2078</v>
      </c>
      <c r="H1345" s="66" t="s">
        <v>3754</v>
      </c>
      <c r="I1345" s="66" t="s">
        <v>7941</v>
      </c>
      <c r="J1345" s="65" t="s">
        <v>4197</v>
      </c>
      <c r="K1345" s="239"/>
      <c r="L1345" s="65" t="s">
        <v>4876</v>
      </c>
      <c r="M1345" s="167">
        <v>44316</v>
      </c>
      <c r="N1345" s="96">
        <v>15190</v>
      </c>
      <c r="O1345" s="22" t="s">
        <v>15</v>
      </c>
      <c r="P1345" s="44" t="s">
        <v>19</v>
      </c>
      <c r="Q1345" s="24">
        <f t="shared" si="86"/>
        <v>0</v>
      </c>
      <c r="R1345" s="24">
        <f t="shared" si="87"/>
        <v>15190</v>
      </c>
      <c r="S1345" s="5"/>
      <c r="T1345" s="5"/>
    </row>
    <row r="1346" spans="1:20" ht="15.75" hidden="1" x14ac:dyDescent="0.25">
      <c r="A1346" t="s">
        <v>6753</v>
      </c>
      <c r="B1346" s="21" t="s">
        <v>395</v>
      </c>
      <c r="C1346" s="22" t="s">
        <v>2450</v>
      </c>
      <c r="D1346" s="22" t="s">
        <v>6260</v>
      </c>
      <c r="E1346" s="21" t="s">
        <v>0</v>
      </c>
      <c r="F1346" s="21"/>
      <c r="G1346" s="147" t="s">
        <v>2078</v>
      </c>
      <c r="H1346" s="40" t="s">
        <v>4196</v>
      </c>
      <c r="I1346" s="40" t="s">
        <v>7964</v>
      </c>
      <c r="J1346" s="39" t="s">
        <v>4198</v>
      </c>
      <c r="K1346" s="39"/>
      <c r="L1346" s="39" t="s">
        <v>4689</v>
      </c>
      <c r="M1346" s="41">
        <v>44286</v>
      </c>
      <c r="N1346" s="97">
        <f>23965-18916</f>
        <v>5049</v>
      </c>
      <c r="O1346" s="22" t="s">
        <v>15</v>
      </c>
      <c r="P1346" s="22" t="s">
        <v>19</v>
      </c>
      <c r="Q1346" s="44">
        <f t="shared" si="86"/>
        <v>0</v>
      </c>
      <c r="R1346" s="24">
        <f t="shared" si="87"/>
        <v>5049</v>
      </c>
      <c r="S1346" s="5"/>
      <c r="T1346" s="5"/>
    </row>
    <row r="1347" spans="1:20" ht="15.75" hidden="1" x14ac:dyDescent="0.25">
      <c r="A1347" t="s">
        <v>6753</v>
      </c>
      <c r="B1347" s="21" t="s">
        <v>395</v>
      </c>
      <c r="C1347" s="22" t="s">
        <v>2450</v>
      </c>
      <c r="D1347" s="22" t="s">
        <v>6260</v>
      </c>
      <c r="E1347" s="21" t="s">
        <v>0</v>
      </c>
      <c r="F1347" s="21"/>
      <c r="G1347" s="147" t="s">
        <v>2078</v>
      </c>
      <c r="H1347" s="40" t="s">
        <v>4196</v>
      </c>
      <c r="I1347" s="40" t="s">
        <v>7964</v>
      </c>
      <c r="J1347" s="39" t="s">
        <v>4199</v>
      </c>
      <c r="K1347" s="238"/>
      <c r="L1347" s="39" t="s">
        <v>4876</v>
      </c>
      <c r="M1347" s="41">
        <v>44316</v>
      </c>
      <c r="N1347" s="97">
        <f>40051-15190</f>
        <v>24861</v>
      </c>
      <c r="O1347" s="22" t="s">
        <v>15</v>
      </c>
      <c r="P1347" s="44" t="s">
        <v>19</v>
      </c>
      <c r="Q1347" s="24">
        <f t="shared" si="86"/>
        <v>0</v>
      </c>
      <c r="R1347" s="24">
        <f t="shared" si="87"/>
        <v>24861</v>
      </c>
      <c r="S1347" s="5"/>
      <c r="T1347" s="5"/>
    </row>
    <row r="1348" spans="1:20" ht="15.75" hidden="1" x14ac:dyDescent="0.25">
      <c r="A1348" t="s">
        <v>6753</v>
      </c>
      <c r="B1348" s="21" t="s">
        <v>395</v>
      </c>
      <c r="C1348" s="22" t="s">
        <v>2450</v>
      </c>
      <c r="D1348" s="22" t="s">
        <v>6260</v>
      </c>
      <c r="E1348" s="21" t="s">
        <v>0</v>
      </c>
      <c r="F1348" s="21"/>
      <c r="G1348" s="147" t="s">
        <v>2078</v>
      </c>
      <c r="H1348" s="40" t="s">
        <v>4191</v>
      </c>
      <c r="I1348" s="40" t="s">
        <v>7964</v>
      </c>
      <c r="J1348" s="39" t="s">
        <v>4192</v>
      </c>
      <c r="K1348" s="39"/>
      <c r="L1348" s="39" t="s">
        <v>4245</v>
      </c>
      <c r="M1348" s="41">
        <v>44187</v>
      </c>
      <c r="N1348" s="97">
        <v>35039</v>
      </c>
      <c r="O1348" s="22" t="s">
        <v>15</v>
      </c>
      <c r="P1348" s="22" t="s">
        <v>19</v>
      </c>
      <c r="Q1348" s="44">
        <f t="shared" si="86"/>
        <v>0</v>
      </c>
      <c r="R1348" s="24">
        <f t="shared" si="87"/>
        <v>35039</v>
      </c>
      <c r="S1348" s="5"/>
      <c r="T1348" s="5"/>
    </row>
    <row r="1349" spans="1:20" ht="15.75" hidden="1" x14ac:dyDescent="0.25">
      <c r="A1349" t="s">
        <v>6753</v>
      </c>
      <c r="B1349" s="21" t="s">
        <v>395</v>
      </c>
      <c r="C1349" s="22" t="s">
        <v>2450</v>
      </c>
      <c r="D1349" s="22" t="s">
        <v>6260</v>
      </c>
      <c r="E1349" s="21" t="s">
        <v>0</v>
      </c>
      <c r="F1349" s="21"/>
      <c r="G1349" s="147" t="s">
        <v>2078</v>
      </c>
      <c r="H1349" s="40" t="s">
        <v>4191</v>
      </c>
      <c r="I1349" s="40" t="s">
        <v>7964</v>
      </c>
      <c r="J1349" s="39" t="s">
        <v>4193</v>
      </c>
      <c r="K1349" s="39"/>
      <c r="L1349" s="39" t="s">
        <v>4510</v>
      </c>
      <c r="M1349" s="41">
        <v>44253</v>
      </c>
      <c r="N1349" s="97">
        <v>50784</v>
      </c>
      <c r="O1349" s="22" t="s">
        <v>15</v>
      </c>
      <c r="P1349" s="22" t="s">
        <v>19</v>
      </c>
      <c r="Q1349" s="44">
        <f t="shared" si="86"/>
        <v>0</v>
      </c>
      <c r="R1349" s="24">
        <f t="shared" si="87"/>
        <v>50784</v>
      </c>
      <c r="S1349" s="5"/>
      <c r="T1349" s="5"/>
    </row>
    <row r="1350" spans="1:20" ht="15.75" hidden="1" x14ac:dyDescent="0.25">
      <c r="A1350" t="s">
        <v>6753</v>
      </c>
      <c r="B1350" s="21" t="s">
        <v>395</v>
      </c>
      <c r="C1350" s="22" t="s">
        <v>2450</v>
      </c>
      <c r="D1350" s="22" t="s">
        <v>6260</v>
      </c>
      <c r="E1350" s="21" t="s">
        <v>0</v>
      </c>
      <c r="F1350" s="21"/>
      <c r="G1350" s="147" t="s">
        <v>2078</v>
      </c>
      <c r="H1350" s="40" t="s">
        <v>4191</v>
      </c>
      <c r="I1350" s="40" t="s">
        <v>7964</v>
      </c>
      <c r="J1350" s="39" t="s">
        <v>4194</v>
      </c>
      <c r="K1350" s="39"/>
      <c r="L1350" s="39" t="s">
        <v>6012</v>
      </c>
      <c r="M1350" s="41">
        <v>44498</v>
      </c>
      <c r="N1350" s="97">
        <v>126518</v>
      </c>
      <c r="O1350" s="22" t="s">
        <v>15</v>
      </c>
      <c r="P1350" s="22" t="s">
        <v>19</v>
      </c>
      <c r="Q1350" s="44">
        <f t="shared" si="86"/>
        <v>0</v>
      </c>
      <c r="R1350" s="24">
        <f t="shared" si="87"/>
        <v>126518</v>
      </c>
      <c r="S1350" s="5"/>
      <c r="T1350" s="5"/>
    </row>
    <row r="1351" spans="1:20" ht="15.75" hidden="1" x14ac:dyDescent="0.25">
      <c r="A1351" t="s">
        <v>6753</v>
      </c>
      <c r="B1351" s="21" t="s">
        <v>395</v>
      </c>
      <c r="C1351" s="22" t="s">
        <v>2450</v>
      </c>
      <c r="D1351" s="22" t="s">
        <v>6260</v>
      </c>
      <c r="E1351" s="21" t="s">
        <v>0</v>
      </c>
      <c r="F1351" s="21"/>
      <c r="G1351" s="147" t="s">
        <v>2078</v>
      </c>
      <c r="H1351" s="40" t="s">
        <v>4191</v>
      </c>
      <c r="I1351" s="40" t="s">
        <v>7964</v>
      </c>
      <c r="J1351" s="39" t="s">
        <v>4195</v>
      </c>
      <c r="K1351" s="39"/>
      <c r="L1351" s="39" t="s">
        <v>6012</v>
      </c>
      <c r="M1351" s="41">
        <v>44498</v>
      </c>
      <c r="N1351" s="97">
        <v>25835</v>
      </c>
      <c r="O1351" s="22" t="s">
        <v>15</v>
      </c>
      <c r="P1351" s="22" t="s">
        <v>19</v>
      </c>
      <c r="Q1351" s="44">
        <f t="shared" si="86"/>
        <v>0</v>
      </c>
      <c r="R1351" s="24">
        <f t="shared" si="87"/>
        <v>25835</v>
      </c>
      <c r="S1351" s="5"/>
      <c r="T1351" s="5"/>
    </row>
    <row r="1352" spans="1:20" ht="15.75" hidden="1" x14ac:dyDescent="0.25">
      <c r="A1352" t="s">
        <v>6753</v>
      </c>
      <c r="B1352" s="21" t="s">
        <v>395</v>
      </c>
      <c r="C1352" s="22" t="s">
        <v>2450</v>
      </c>
      <c r="D1352" s="22" t="s">
        <v>6260</v>
      </c>
      <c r="E1352" s="21" t="s">
        <v>0</v>
      </c>
      <c r="F1352" s="21"/>
      <c r="G1352" s="147" t="s">
        <v>2078</v>
      </c>
      <c r="H1352" s="63" t="s">
        <v>4378</v>
      </c>
      <c r="I1352" s="63" t="s">
        <v>8014</v>
      </c>
      <c r="J1352" s="62" t="s">
        <v>4380</v>
      </c>
      <c r="K1352" s="234"/>
      <c r="L1352" s="62" t="s">
        <v>4539</v>
      </c>
      <c r="M1352" s="211">
        <v>44260</v>
      </c>
      <c r="N1352" s="101">
        <v>-5031</v>
      </c>
      <c r="O1352" s="22" t="s">
        <v>15</v>
      </c>
      <c r="P1352" s="44" t="s">
        <v>19</v>
      </c>
      <c r="Q1352" s="44">
        <f t="shared" ref="Q1352:Q1404" si="88">IF(P1352="en cours",N1352,IF(P1352="OK",0,IF(N1352-P1352&lt;0,0,N1352-P1352)))</f>
        <v>0</v>
      </c>
      <c r="R1352" s="24">
        <f t="shared" si="87"/>
        <v>-5031</v>
      </c>
      <c r="S1352" s="5"/>
      <c r="T1352" s="5"/>
    </row>
    <row r="1353" spans="1:20" ht="15.75" hidden="1" x14ac:dyDescent="0.25">
      <c r="A1353" t="s">
        <v>6753</v>
      </c>
      <c r="B1353" s="21" t="s">
        <v>395</v>
      </c>
      <c r="C1353" s="22" t="s">
        <v>2450</v>
      </c>
      <c r="D1353" s="22" t="s">
        <v>6260</v>
      </c>
      <c r="E1353" s="21" t="s">
        <v>0</v>
      </c>
      <c r="F1353" s="21"/>
      <c r="G1353" s="147" t="s">
        <v>2078</v>
      </c>
      <c r="H1353" s="63" t="s">
        <v>4378</v>
      </c>
      <c r="I1353" s="63" t="s">
        <v>8014</v>
      </c>
      <c r="J1353" s="62" t="s">
        <v>4379</v>
      </c>
      <c r="K1353" s="234"/>
      <c r="L1353" s="62" t="s">
        <v>4876</v>
      </c>
      <c r="M1353" s="211">
        <v>44316</v>
      </c>
      <c r="N1353" s="101">
        <v>5007</v>
      </c>
      <c r="O1353" s="22" t="s">
        <v>15</v>
      </c>
      <c r="P1353" s="44" t="s">
        <v>19</v>
      </c>
      <c r="Q1353" s="44">
        <f t="shared" si="88"/>
        <v>0</v>
      </c>
      <c r="R1353" s="24">
        <f t="shared" si="87"/>
        <v>5007</v>
      </c>
      <c r="S1353" s="5"/>
      <c r="T1353" s="5"/>
    </row>
    <row r="1354" spans="1:20" ht="15.75" hidden="1" x14ac:dyDescent="0.25">
      <c r="A1354" t="s">
        <v>6753</v>
      </c>
      <c r="B1354" s="21" t="s">
        <v>395</v>
      </c>
      <c r="C1354" s="22" t="s">
        <v>2450</v>
      </c>
      <c r="D1354" s="22" t="s">
        <v>6260</v>
      </c>
      <c r="E1354" s="21" t="s">
        <v>0</v>
      </c>
      <c r="F1354" s="21"/>
      <c r="G1354" s="147" t="s">
        <v>2078</v>
      </c>
      <c r="H1354" s="63" t="s">
        <v>4378</v>
      </c>
      <c r="I1354" s="63" t="s">
        <v>8014</v>
      </c>
      <c r="J1354" s="62" t="s">
        <v>4381</v>
      </c>
      <c r="K1354" s="234"/>
      <c r="L1354" s="62" t="s">
        <v>4406</v>
      </c>
      <c r="M1354" s="211">
        <v>44243</v>
      </c>
      <c r="N1354" s="101">
        <v>45050</v>
      </c>
      <c r="O1354" s="22" t="s">
        <v>15</v>
      </c>
      <c r="P1354" s="44" t="s">
        <v>19</v>
      </c>
      <c r="Q1354" s="44">
        <f t="shared" si="88"/>
        <v>0</v>
      </c>
      <c r="R1354" s="24">
        <f t="shared" si="87"/>
        <v>45050</v>
      </c>
      <c r="S1354" s="5"/>
      <c r="T1354" s="5"/>
    </row>
    <row r="1355" spans="1:20" ht="15.75" hidden="1" x14ac:dyDescent="0.25">
      <c r="A1355" t="s">
        <v>6753</v>
      </c>
      <c r="B1355" s="21" t="s">
        <v>395</v>
      </c>
      <c r="C1355" s="22" t="s">
        <v>2450</v>
      </c>
      <c r="D1355" s="22" t="s">
        <v>6260</v>
      </c>
      <c r="E1355" s="21" t="s">
        <v>0</v>
      </c>
      <c r="F1355" s="21"/>
      <c r="G1355" s="147" t="s">
        <v>2078</v>
      </c>
      <c r="H1355" s="63" t="s">
        <v>4378</v>
      </c>
      <c r="I1355" s="63" t="s">
        <v>8014</v>
      </c>
      <c r="J1355" s="62" t="s">
        <v>4382</v>
      </c>
      <c r="K1355" s="234"/>
      <c r="L1355" s="62" t="s">
        <v>4689</v>
      </c>
      <c r="M1355" s="211">
        <v>44286</v>
      </c>
      <c r="N1355" s="101">
        <v>27275</v>
      </c>
      <c r="O1355" s="22" t="s">
        <v>15</v>
      </c>
      <c r="P1355" s="44" t="s">
        <v>19</v>
      </c>
      <c r="Q1355" s="44">
        <f t="shared" si="88"/>
        <v>0</v>
      </c>
      <c r="R1355" s="24">
        <f t="shared" si="87"/>
        <v>27275</v>
      </c>
      <c r="S1355" s="5"/>
      <c r="T1355" s="5"/>
    </row>
    <row r="1356" spans="1:20" ht="15.75" hidden="1" x14ac:dyDescent="0.25">
      <c r="A1356" t="s">
        <v>6753</v>
      </c>
      <c r="B1356" s="21" t="s">
        <v>395</v>
      </c>
      <c r="C1356" s="22" t="s">
        <v>2450</v>
      </c>
      <c r="D1356" s="22" t="s">
        <v>6260</v>
      </c>
      <c r="E1356" s="21" t="s">
        <v>0</v>
      </c>
      <c r="F1356" s="21"/>
      <c r="G1356" s="147" t="s">
        <v>2078</v>
      </c>
      <c r="H1356" s="63" t="s">
        <v>4378</v>
      </c>
      <c r="I1356" s="63" t="s">
        <v>8014</v>
      </c>
      <c r="J1356" s="62" t="s">
        <v>4383</v>
      </c>
      <c r="K1356" s="234"/>
      <c r="L1356" s="62" t="s">
        <v>4510</v>
      </c>
      <c r="M1356" s="211">
        <v>44253</v>
      </c>
      <c r="N1356" s="101">
        <v>22323</v>
      </c>
      <c r="O1356" s="22" t="s">
        <v>15</v>
      </c>
      <c r="P1356" s="44" t="s">
        <v>19</v>
      </c>
      <c r="Q1356" s="44">
        <f t="shared" si="88"/>
        <v>0</v>
      </c>
      <c r="R1356" s="24">
        <f t="shared" si="87"/>
        <v>22323</v>
      </c>
      <c r="S1356" s="5"/>
      <c r="T1356" s="5"/>
    </row>
    <row r="1357" spans="1:20" ht="15.75" hidden="1" x14ac:dyDescent="0.25">
      <c r="A1357" t="s">
        <v>6753</v>
      </c>
      <c r="B1357" s="21" t="s">
        <v>395</v>
      </c>
      <c r="C1357" s="22" t="s">
        <v>2450</v>
      </c>
      <c r="D1357" s="22" t="s">
        <v>6260</v>
      </c>
      <c r="E1357" s="21" t="s">
        <v>0</v>
      </c>
      <c r="F1357" s="21"/>
      <c r="G1357" s="147" t="s">
        <v>2078</v>
      </c>
      <c r="H1357" s="63" t="s">
        <v>4378</v>
      </c>
      <c r="I1357" s="63" t="s">
        <v>8014</v>
      </c>
      <c r="J1357" s="62" t="s">
        <v>4384</v>
      </c>
      <c r="K1357" s="234"/>
      <c r="L1357" s="62" t="s">
        <v>4875</v>
      </c>
      <c r="M1357" s="211">
        <v>44316</v>
      </c>
      <c r="N1357" s="101">
        <v>9590</v>
      </c>
      <c r="O1357" s="22" t="s">
        <v>15</v>
      </c>
      <c r="P1357" s="44" t="s">
        <v>19</v>
      </c>
      <c r="Q1357" s="44">
        <f t="shared" si="88"/>
        <v>0</v>
      </c>
      <c r="R1357" s="24">
        <f t="shared" si="87"/>
        <v>9590</v>
      </c>
      <c r="S1357" s="5"/>
      <c r="T1357" s="5"/>
    </row>
    <row r="1358" spans="1:20" ht="15.75" hidden="1" x14ac:dyDescent="0.25">
      <c r="A1358" t="s">
        <v>6753</v>
      </c>
      <c r="B1358" s="21" t="s">
        <v>395</v>
      </c>
      <c r="C1358" s="22" t="s">
        <v>2450</v>
      </c>
      <c r="D1358" s="22" t="s">
        <v>6260</v>
      </c>
      <c r="E1358" s="21" t="s">
        <v>0</v>
      </c>
      <c r="F1358" s="21"/>
      <c r="G1358" s="147" t="s">
        <v>2078</v>
      </c>
      <c r="H1358" s="63" t="s">
        <v>4378</v>
      </c>
      <c r="I1358" s="63" t="s">
        <v>8014</v>
      </c>
      <c r="J1358" s="62" t="s">
        <v>4511</v>
      </c>
      <c r="K1358" s="234"/>
      <c r="L1358" s="62" t="s">
        <v>4510</v>
      </c>
      <c r="M1358" s="211">
        <v>44253</v>
      </c>
      <c r="N1358" s="101">
        <v>15413</v>
      </c>
      <c r="O1358" s="22" t="s">
        <v>15</v>
      </c>
      <c r="P1358" s="44" t="s">
        <v>19</v>
      </c>
      <c r="Q1358" s="44">
        <f t="shared" si="88"/>
        <v>0</v>
      </c>
      <c r="R1358" s="24">
        <f t="shared" si="87"/>
        <v>15413</v>
      </c>
      <c r="S1358" s="5"/>
      <c r="T1358" s="5"/>
    </row>
    <row r="1359" spans="1:20" ht="15.75" hidden="1" x14ac:dyDescent="0.25">
      <c r="A1359" t="s">
        <v>6753</v>
      </c>
      <c r="B1359" s="21" t="s">
        <v>395</v>
      </c>
      <c r="C1359" s="22" t="s">
        <v>2450</v>
      </c>
      <c r="D1359" s="22" t="s">
        <v>6260</v>
      </c>
      <c r="E1359" s="21" t="s">
        <v>0</v>
      </c>
      <c r="F1359" s="21"/>
      <c r="G1359" s="147" t="s">
        <v>2078</v>
      </c>
      <c r="H1359" s="63" t="s">
        <v>4378</v>
      </c>
      <c r="I1359" s="63" t="s">
        <v>8014</v>
      </c>
      <c r="J1359" s="62" t="s">
        <v>4386</v>
      </c>
      <c r="K1359" s="234"/>
      <c r="L1359" s="62" t="s">
        <v>5520</v>
      </c>
      <c r="M1359" s="211">
        <v>44407</v>
      </c>
      <c r="N1359" s="101">
        <v>67398</v>
      </c>
      <c r="O1359" s="22" t="s">
        <v>15</v>
      </c>
      <c r="P1359" s="44" t="s">
        <v>19</v>
      </c>
      <c r="Q1359" s="44">
        <f t="shared" si="88"/>
        <v>0</v>
      </c>
      <c r="R1359" s="24">
        <f t="shared" si="87"/>
        <v>67398</v>
      </c>
      <c r="S1359" s="5"/>
      <c r="T1359" s="5"/>
    </row>
    <row r="1360" spans="1:20" ht="15.75" hidden="1" x14ac:dyDescent="0.25">
      <c r="A1360" t="s">
        <v>6753</v>
      </c>
      <c r="B1360" s="21" t="s">
        <v>395</v>
      </c>
      <c r="C1360" s="22" t="s">
        <v>2450</v>
      </c>
      <c r="D1360" s="22" t="s">
        <v>6260</v>
      </c>
      <c r="E1360" s="21" t="s">
        <v>0</v>
      </c>
      <c r="F1360" s="21"/>
      <c r="G1360" s="147" t="s">
        <v>2078</v>
      </c>
      <c r="H1360" s="63" t="s">
        <v>4378</v>
      </c>
      <c r="I1360" s="63" t="s">
        <v>8014</v>
      </c>
      <c r="J1360" s="62" t="s">
        <v>4512</v>
      </c>
      <c r="K1360" s="234"/>
      <c r="L1360" s="62" t="s">
        <v>4510</v>
      </c>
      <c r="M1360" s="211">
        <v>44253</v>
      </c>
      <c r="N1360" s="101">
        <v>15881</v>
      </c>
      <c r="O1360" s="22" t="s">
        <v>15</v>
      </c>
      <c r="P1360" s="44" t="s">
        <v>19</v>
      </c>
      <c r="Q1360" s="44">
        <f t="shared" si="88"/>
        <v>0</v>
      </c>
      <c r="R1360" s="24">
        <f t="shared" si="87"/>
        <v>15881</v>
      </c>
      <c r="S1360" s="5"/>
      <c r="T1360" s="5"/>
    </row>
    <row r="1361" spans="1:20" ht="15.75" hidden="1" x14ac:dyDescent="0.25">
      <c r="A1361" t="s">
        <v>6753</v>
      </c>
      <c r="B1361" s="21" t="s">
        <v>395</v>
      </c>
      <c r="C1361" s="22" t="s">
        <v>2450</v>
      </c>
      <c r="D1361" s="22" t="s">
        <v>6260</v>
      </c>
      <c r="E1361" s="21" t="s">
        <v>0</v>
      </c>
      <c r="F1361" s="21"/>
      <c r="G1361" s="147" t="s">
        <v>2078</v>
      </c>
      <c r="H1361" s="63" t="s">
        <v>4378</v>
      </c>
      <c r="I1361" s="63" t="s">
        <v>8014</v>
      </c>
      <c r="J1361" s="62" t="s">
        <v>4387</v>
      </c>
      <c r="K1361" s="234"/>
      <c r="L1361" s="62" t="s">
        <v>4689</v>
      </c>
      <c r="M1361" s="211">
        <v>44286</v>
      </c>
      <c r="N1361" s="101">
        <v>29667</v>
      </c>
      <c r="O1361" s="22" t="s">
        <v>15</v>
      </c>
      <c r="P1361" s="44" t="s">
        <v>19</v>
      </c>
      <c r="Q1361" s="44">
        <f t="shared" si="88"/>
        <v>0</v>
      </c>
      <c r="R1361" s="24">
        <f t="shared" si="87"/>
        <v>29667</v>
      </c>
      <c r="S1361" s="5"/>
      <c r="T1361" s="5"/>
    </row>
    <row r="1362" spans="1:20" ht="15.75" hidden="1" x14ac:dyDescent="0.25">
      <c r="A1362" t="s">
        <v>6753</v>
      </c>
      <c r="B1362" s="21" t="s">
        <v>395</v>
      </c>
      <c r="C1362" s="22" t="s">
        <v>2450</v>
      </c>
      <c r="D1362" s="22" t="s">
        <v>6260</v>
      </c>
      <c r="E1362" s="21" t="s">
        <v>0</v>
      </c>
      <c r="F1362" s="21"/>
      <c r="G1362" s="147" t="s">
        <v>2078</v>
      </c>
      <c r="H1362" s="63" t="s">
        <v>4378</v>
      </c>
      <c r="I1362" s="63" t="s">
        <v>8014</v>
      </c>
      <c r="J1362" s="62" t="s">
        <v>4388</v>
      </c>
      <c r="K1362" s="234"/>
      <c r="L1362" s="62" t="s">
        <v>4876</v>
      </c>
      <c r="M1362" s="211">
        <v>44316</v>
      </c>
      <c r="N1362" s="101">
        <v>16504</v>
      </c>
      <c r="O1362" s="22" t="s">
        <v>15</v>
      </c>
      <c r="P1362" s="44" t="s">
        <v>19</v>
      </c>
      <c r="Q1362" s="44">
        <f t="shared" si="88"/>
        <v>0</v>
      </c>
      <c r="R1362" s="24">
        <f t="shared" si="87"/>
        <v>16504</v>
      </c>
      <c r="S1362" s="5"/>
      <c r="T1362" s="5"/>
    </row>
    <row r="1363" spans="1:20" ht="15.75" hidden="1" x14ac:dyDescent="0.25">
      <c r="A1363" t="s">
        <v>6753</v>
      </c>
      <c r="B1363" s="21" t="s">
        <v>395</v>
      </c>
      <c r="C1363" s="22" t="s">
        <v>2450</v>
      </c>
      <c r="D1363" s="22" t="s">
        <v>6260</v>
      </c>
      <c r="E1363" s="21" t="s">
        <v>0</v>
      </c>
      <c r="F1363" s="21"/>
      <c r="G1363" s="147" t="s">
        <v>2078</v>
      </c>
      <c r="H1363" s="63" t="s">
        <v>4378</v>
      </c>
      <c r="I1363" s="63" t="s">
        <v>8014</v>
      </c>
      <c r="J1363" s="62" t="s">
        <v>4389</v>
      </c>
      <c r="K1363" s="234"/>
      <c r="L1363" s="62" t="s">
        <v>5092</v>
      </c>
      <c r="M1363" s="211">
        <v>44347</v>
      </c>
      <c r="N1363" s="101">
        <v>16504</v>
      </c>
      <c r="O1363" s="22" t="s">
        <v>15</v>
      </c>
      <c r="P1363" s="44" t="s">
        <v>19</v>
      </c>
      <c r="Q1363" s="44">
        <f t="shared" si="88"/>
        <v>0</v>
      </c>
      <c r="R1363" s="24">
        <f t="shared" si="87"/>
        <v>16504</v>
      </c>
      <c r="S1363" s="5"/>
      <c r="T1363" s="5"/>
    </row>
    <row r="1364" spans="1:20" ht="15.75" hidden="1" x14ac:dyDescent="0.25">
      <c r="A1364" t="s">
        <v>6753</v>
      </c>
      <c r="B1364" s="21" t="s">
        <v>395</v>
      </c>
      <c r="C1364" s="22" t="s">
        <v>2450</v>
      </c>
      <c r="D1364" s="22" t="s">
        <v>6260</v>
      </c>
      <c r="E1364" s="21" t="s">
        <v>0</v>
      </c>
      <c r="F1364" s="21"/>
      <c r="G1364" s="147" t="s">
        <v>2078</v>
      </c>
      <c r="H1364" s="63" t="s">
        <v>4378</v>
      </c>
      <c r="I1364" s="63" t="s">
        <v>8014</v>
      </c>
      <c r="J1364" s="62" t="s">
        <v>4390</v>
      </c>
      <c r="K1364" s="234"/>
      <c r="L1364" s="62" t="s">
        <v>5250</v>
      </c>
      <c r="M1364" s="211">
        <v>44372</v>
      </c>
      <c r="N1364" s="101">
        <v>12003</v>
      </c>
      <c r="O1364" s="22" t="s">
        <v>15</v>
      </c>
      <c r="P1364" s="44" t="s">
        <v>19</v>
      </c>
      <c r="Q1364" s="44">
        <f t="shared" si="88"/>
        <v>0</v>
      </c>
      <c r="R1364" s="24">
        <f t="shared" si="87"/>
        <v>12003</v>
      </c>
      <c r="S1364" s="5"/>
      <c r="T1364" s="5"/>
    </row>
    <row r="1365" spans="1:20" ht="15.75" hidden="1" x14ac:dyDescent="0.25">
      <c r="A1365" t="s">
        <v>6753</v>
      </c>
      <c r="B1365" s="21" t="s">
        <v>395</v>
      </c>
      <c r="C1365" s="22" t="s">
        <v>2450</v>
      </c>
      <c r="D1365" s="22" t="s">
        <v>6260</v>
      </c>
      <c r="E1365" s="21" t="s">
        <v>0</v>
      </c>
      <c r="F1365" s="21"/>
      <c r="G1365" s="147" t="s">
        <v>2078</v>
      </c>
      <c r="H1365" s="63" t="s">
        <v>4378</v>
      </c>
      <c r="I1365" s="63" t="s">
        <v>8014</v>
      </c>
      <c r="J1365" s="62" t="s">
        <v>4385</v>
      </c>
      <c r="K1365" s="234"/>
      <c r="L1365" s="62" t="s">
        <v>5648</v>
      </c>
      <c r="M1365" s="211">
        <v>44439</v>
      </c>
      <c r="N1365" s="101">
        <v>16845</v>
      </c>
      <c r="O1365" s="22" t="s">
        <v>15</v>
      </c>
      <c r="P1365" s="44" t="s">
        <v>19</v>
      </c>
      <c r="Q1365" s="44">
        <f t="shared" si="88"/>
        <v>0</v>
      </c>
      <c r="R1365" s="24">
        <f t="shared" si="87"/>
        <v>16845</v>
      </c>
      <c r="S1365" s="5"/>
      <c r="T1365" s="5"/>
    </row>
    <row r="1366" spans="1:20" ht="15.75" hidden="1" x14ac:dyDescent="0.25">
      <c r="A1366" t="s">
        <v>6753</v>
      </c>
      <c r="B1366" s="21" t="s">
        <v>395</v>
      </c>
      <c r="C1366" s="22" t="s">
        <v>2450</v>
      </c>
      <c r="D1366" s="22" t="s">
        <v>6260</v>
      </c>
      <c r="E1366" s="21" t="s">
        <v>0</v>
      </c>
      <c r="F1366" s="21"/>
      <c r="G1366" s="147" t="s">
        <v>2078</v>
      </c>
      <c r="H1366" s="63" t="s">
        <v>4378</v>
      </c>
      <c r="I1366" s="63" t="s">
        <v>8014</v>
      </c>
      <c r="J1366" s="62" t="s">
        <v>4863</v>
      </c>
      <c r="K1366" s="234"/>
      <c r="L1366" s="62" t="s">
        <v>6157</v>
      </c>
      <c r="M1366" s="211">
        <v>44529</v>
      </c>
      <c r="N1366" s="101">
        <v>11662</v>
      </c>
      <c r="O1366" s="22" t="s">
        <v>15</v>
      </c>
      <c r="P1366" s="44" t="s">
        <v>19</v>
      </c>
      <c r="Q1366" s="44">
        <f t="shared" si="88"/>
        <v>0</v>
      </c>
      <c r="R1366" s="24">
        <f t="shared" si="87"/>
        <v>11662</v>
      </c>
      <c r="S1366" s="5"/>
      <c r="T1366" s="5"/>
    </row>
    <row r="1367" spans="1:20" ht="15.75" hidden="1" x14ac:dyDescent="0.25">
      <c r="A1367" t="s">
        <v>6753</v>
      </c>
      <c r="B1367" s="21" t="s">
        <v>395</v>
      </c>
      <c r="C1367" s="22" t="s">
        <v>2450</v>
      </c>
      <c r="D1367" s="22" t="s">
        <v>6260</v>
      </c>
      <c r="E1367" s="21" t="s">
        <v>0</v>
      </c>
      <c r="F1367" s="21"/>
      <c r="G1367" s="147" t="s">
        <v>2078</v>
      </c>
      <c r="H1367" s="63" t="s">
        <v>4378</v>
      </c>
      <c r="I1367" s="63" t="s">
        <v>8014</v>
      </c>
      <c r="J1367" s="62" t="s">
        <v>4391</v>
      </c>
      <c r="K1367" s="234"/>
      <c r="L1367" s="62" t="s">
        <v>6536</v>
      </c>
      <c r="M1367" s="211">
        <v>44620</v>
      </c>
      <c r="N1367" s="101">
        <v>12208</v>
      </c>
      <c r="O1367" s="22" t="s">
        <v>15</v>
      </c>
      <c r="P1367" s="44" t="s">
        <v>19</v>
      </c>
      <c r="Q1367" s="44">
        <f t="shared" si="88"/>
        <v>0</v>
      </c>
      <c r="R1367" s="24">
        <f t="shared" si="87"/>
        <v>12208</v>
      </c>
      <c r="S1367" s="5"/>
      <c r="T1367" s="5"/>
    </row>
    <row r="1368" spans="1:20" ht="15.75" hidden="1" x14ac:dyDescent="0.25">
      <c r="A1368" t="s">
        <v>6753</v>
      </c>
      <c r="B1368" s="21" t="s">
        <v>395</v>
      </c>
      <c r="C1368" s="22" t="s">
        <v>2450</v>
      </c>
      <c r="D1368" s="22" t="s">
        <v>6260</v>
      </c>
      <c r="E1368" s="21" t="s">
        <v>0</v>
      </c>
      <c r="F1368" s="21"/>
      <c r="G1368" s="147" t="s">
        <v>2078</v>
      </c>
      <c r="H1368" s="63" t="s">
        <v>4378</v>
      </c>
      <c r="I1368" s="63" t="s">
        <v>8014</v>
      </c>
      <c r="J1368" s="62" t="s">
        <v>4395</v>
      </c>
      <c r="K1368" s="234"/>
      <c r="L1368" s="62" t="s">
        <v>4510</v>
      </c>
      <c r="M1368" s="211">
        <v>44253</v>
      </c>
      <c r="N1368" s="101">
        <v>7976</v>
      </c>
      <c r="O1368" s="22" t="s">
        <v>15</v>
      </c>
      <c r="P1368" s="44" t="s">
        <v>19</v>
      </c>
      <c r="Q1368" s="44">
        <f t="shared" si="88"/>
        <v>0</v>
      </c>
      <c r="R1368" s="24">
        <f t="shared" si="87"/>
        <v>7976</v>
      </c>
      <c r="S1368" s="5"/>
      <c r="T1368" s="5"/>
    </row>
    <row r="1369" spans="1:20" ht="15.75" hidden="1" x14ac:dyDescent="0.25">
      <c r="A1369" t="s">
        <v>6753</v>
      </c>
      <c r="B1369" s="21" t="s">
        <v>395</v>
      </c>
      <c r="C1369" s="22" t="s">
        <v>2450</v>
      </c>
      <c r="D1369" s="22" t="s">
        <v>6260</v>
      </c>
      <c r="E1369" s="21" t="s">
        <v>0</v>
      </c>
      <c r="F1369" s="21"/>
      <c r="G1369" s="147" t="s">
        <v>2078</v>
      </c>
      <c r="H1369" s="63" t="s">
        <v>4378</v>
      </c>
      <c r="I1369" s="63" t="s">
        <v>8014</v>
      </c>
      <c r="J1369" s="62" t="s">
        <v>4396</v>
      </c>
      <c r="K1369" s="234"/>
      <c r="L1369" s="62" t="s">
        <v>4539</v>
      </c>
      <c r="M1369" s="211">
        <v>44260</v>
      </c>
      <c r="N1369" s="101">
        <v>13299</v>
      </c>
      <c r="O1369" s="22" t="s">
        <v>15</v>
      </c>
      <c r="P1369" s="44" t="s">
        <v>19</v>
      </c>
      <c r="Q1369" s="44">
        <f t="shared" si="88"/>
        <v>0</v>
      </c>
      <c r="R1369" s="24">
        <f t="shared" si="87"/>
        <v>13299</v>
      </c>
      <c r="S1369" s="5"/>
      <c r="T1369" s="5"/>
    </row>
    <row r="1370" spans="1:20" ht="15.75" hidden="1" x14ac:dyDescent="0.25">
      <c r="A1370" t="s">
        <v>6753</v>
      </c>
      <c r="B1370" s="21" t="s">
        <v>395</v>
      </c>
      <c r="C1370" s="22" t="s">
        <v>2450</v>
      </c>
      <c r="D1370" s="22" t="s">
        <v>6260</v>
      </c>
      <c r="E1370" s="21" t="s">
        <v>0</v>
      </c>
      <c r="F1370" s="21"/>
      <c r="G1370" s="147" t="s">
        <v>2078</v>
      </c>
      <c r="H1370" s="63" t="s">
        <v>4378</v>
      </c>
      <c r="I1370" s="63" t="s">
        <v>8014</v>
      </c>
      <c r="J1370" s="62" t="s">
        <v>4397</v>
      </c>
      <c r="K1370" s="234"/>
      <c r="L1370" s="62" t="s">
        <v>4689</v>
      </c>
      <c r="M1370" s="211">
        <v>44286</v>
      </c>
      <c r="N1370" s="101">
        <v>16504</v>
      </c>
      <c r="O1370" s="22" t="s">
        <v>15</v>
      </c>
      <c r="P1370" s="44" t="s">
        <v>19</v>
      </c>
      <c r="Q1370" s="44">
        <f t="shared" si="88"/>
        <v>0</v>
      </c>
      <c r="R1370" s="24">
        <f t="shared" si="87"/>
        <v>16504</v>
      </c>
      <c r="S1370" s="5"/>
      <c r="T1370" s="5"/>
    </row>
    <row r="1371" spans="1:20" ht="15.75" hidden="1" x14ac:dyDescent="0.25">
      <c r="A1371" t="s">
        <v>6753</v>
      </c>
      <c r="B1371" s="21" t="s">
        <v>395</v>
      </c>
      <c r="C1371" s="22" t="s">
        <v>2450</v>
      </c>
      <c r="D1371" s="22" t="s">
        <v>6260</v>
      </c>
      <c r="E1371" s="21" t="s">
        <v>0</v>
      </c>
      <c r="F1371" s="21"/>
      <c r="G1371" s="147" t="s">
        <v>2078</v>
      </c>
      <c r="H1371" s="63" t="s">
        <v>4378</v>
      </c>
      <c r="I1371" s="63" t="s">
        <v>8014</v>
      </c>
      <c r="J1371" s="62" t="s">
        <v>4398</v>
      </c>
      <c r="K1371" s="234"/>
      <c r="L1371" s="62" t="s">
        <v>4877</v>
      </c>
      <c r="M1371" s="211">
        <v>44316</v>
      </c>
      <c r="N1371" s="101">
        <v>3546</v>
      </c>
      <c r="O1371" s="22" t="s">
        <v>15</v>
      </c>
      <c r="P1371" s="44" t="s">
        <v>19</v>
      </c>
      <c r="Q1371" s="44">
        <f t="shared" si="88"/>
        <v>0</v>
      </c>
      <c r="R1371" s="24">
        <f t="shared" si="87"/>
        <v>3546</v>
      </c>
      <c r="S1371" s="5"/>
      <c r="T1371" s="5"/>
    </row>
    <row r="1372" spans="1:20" ht="15.75" hidden="1" x14ac:dyDescent="0.25">
      <c r="A1372" t="s">
        <v>6753</v>
      </c>
      <c r="B1372" s="21" t="s">
        <v>395</v>
      </c>
      <c r="C1372" s="22" t="s">
        <v>2450</v>
      </c>
      <c r="D1372" s="22" t="s">
        <v>6260</v>
      </c>
      <c r="E1372" s="21" t="s">
        <v>0</v>
      </c>
      <c r="F1372" s="21"/>
      <c r="G1372" s="147" t="s">
        <v>2078</v>
      </c>
      <c r="H1372" s="63" t="s">
        <v>4378</v>
      </c>
      <c r="I1372" s="63" t="s">
        <v>8014</v>
      </c>
      <c r="J1372" s="62" t="s">
        <v>4399</v>
      </c>
      <c r="K1372" s="234"/>
      <c r="L1372" s="62" t="s">
        <v>4877</v>
      </c>
      <c r="M1372" s="211">
        <v>44316</v>
      </c>
      <c r="N1372" s="101">
        <v>12003</v>
      </c>
      <c r="O1372" s="22" t="s">
        <v>15</v>
      </c>
      <c r="P1372" s="44" t="s">
        <v>19</v>
      </c>
      <c r="Q1372" s="44">
        <f t="shared" si="88"/>
        <v>0</v>
      </c>
      <c r="R1372" s="24">
        <f t="shared" si="87"/>
        <v>12003</v>
      </c>
      <c r="S1372" s="5"/>
      <c r="T1372" s="5"/>
    </row>
    <row r="1373" spans="1:20" ht="15.75" hidden="1" x14ac:dyDescent="0.25">
      <c r="A1373" t="s">
        <v>6753</v>
      </c>
      <c r="B1373" s="21" t="s">
        <v>395</v>
      </c>
      <c r="C1373" s="22" t="s">
        <v>2450</v>
      </c>
      <c r="D1373" s="22" t="s">
        <v>6260</v>
      </c>
      <c r="E1373" s="21" t="s">
        <v>0</v>
      </c>
      <c r="F1373" s="21"/>
      <c r="G1373" s="147" t="s">
        <v>2078</v>
      </c>
      <c r="H1373" s="63" t="s">
        <v>4378</v>
      </c>
      <c r="I1373" s="63" t="s">
        <v>8014</v>
      </c>
      <c r="J1373" s="62" t="s">
        <v>4400</v>
      </c>
      <c r="K1373" s="234"/>
      <c r="L1373" s="62" t="s">
        <v>5520</v>
      </c>
      <c r="M1373" s="211">
        <v>44407</v>
      </c>
      <c r="N1373" s="101">
        <v>3887</v>
      </c>
      <c r="O1373" s="22" t="s">
        <v>15</v>
      </c>
      <c r="P1373" s="44" t="s">
        <v>19</v>
      </c>
      <c r="Q1373" s="44">
        <f t="shared" si="88"/>
        <v>0</v>
      </c>
      <c r="R1373" s="24">
        <f t="shared" si="87"/>
        <v>3887</v>
      </c>
      <c r="S1373" s="5"/>
      <c r="T1373" s="5"/>
    </row>
    <row r="1374" spans="1:20" ht="15.75" hidden="1" x14ac:dyDescent="0.25">
      <c r="A1374" t="s">
        <v>6753</v>
      </c>
      <c r="B1374" s="21" t="s">
        <v>395</v>
      </c>
      <c r="C1374" s="22" t="s">
        <v>2450</v>
      </c>
      <c r="D1374" s="22" t="s">
        <v>6260</v>
      </c>
      <c r="E1374" s="21" t="s">
        <v>0</v>
      </c>
      <c r="F1374" s="21"/>
      <c r="G1374" s="147" t="s">
        <v>2078</v>
      </c>
      <c r="H1374" s="63" t="s">
        <v>4378</v>
      </c>
      <c r="I1374" s="63" t="s">
        <v>8014</v>
      </c>
      <c r="J1374" s="62" t="s">
        <v>4402</v>
      </c>
      <c r="K1374" s="234"/>
      <c r="L1374" s="62" t="s">
        <v>6013</v>
      </c>
      <c r="M1374" s="211">
        <v>44504</v>
      </c>
      <c r="N1374" s="101">
        <v>4842</v>
      </c>
      <c r="O1374" s="22" t="s">
        <v>15</v>
      </c>
      <c r="P1374" s="44" t="s">
        <v>19</v>
      </c>
      <c r="Q1374" s="44">
        <f t="shared" si="88"/>
        <v>0</v>
      </c>
      <c r="R1374" s="24">
        <f t="shared" si="87"/>
        <v>4842</v>
      </c>
      <c r="S1374" s="5"/>
      <c r="T1374" s="5"/>
    </row>
    <row r="1375" spans="1:20" ht="15.75" hidden="1" x14ac:dyDescent="0.25">
      <c r="A1375" t="s">
        <v>6753</v>
      </c>
      <c r="B1375" s="21" t="s">
        <v>395</v>
      </c>
      <c r="C1375" s="22" t="s">
        <v>2450</v>
      </c>
      <c r="D1375" s="22" t="s">
        <v>6260</v>
      </c>
      <c r="E1375" s="21" t="s">
        <v>0</v>
      </c>
      <c r="F1375" s="21"/>
      <c r="G1375" s="147" t="s">
        <v>2078</v>
      </c>
      <c r="H1375" s="63" t="s">
        <v>4378</v>
      </c>
      <c r="I1375" s="63" t="s">
        <v>8014</v>
      </c>
      <c r="J1375" s="62" t="s">
        <v>4401</v>
      </c>
      <c r="K1375" s="234"/>
      <c r="L1375" s="62" t="s">
        <v>6384</v>
      </c>
      <c r="M1375" s="211">
        <v>44592</v>
      </c>
      <c r="N1375" s="101">
        <v>5388</v>
      </c>
      <c r="O1375" s="22" t="s">
        <v>15</v>
      </c>
      <c r="P1375" s="44" t="s">
        <v>19</v>
      </c>
      <c r="Q1375" s="44">
        <f t="shared" si="88"/>
        <v>0</v>
      </c>
      <c r="R1375" s="24">
        <f t="shared" si="87"/>
        <v>5388</v>
      </c>
      <c r="S1375" s="5"/>
      <c r="T1375" s="5"/>
    </row>
    <row r="1376" spans="1:20" ht="15.75" hidden="1" x14ac:dyDescent="0.25">
      <c r="A1376" t="s">
        <v>6753</v>
      </c>
      <c r="B1376" s="21" t="s">
        <v>395</v>
      </c>
      <c r="C1376" s="22" t="s">
        <v>2450</v>
      </c>
      <c r="D1376" s="22" t="s">
        <v>6260</v>
      </c>
      <c r="E1376" s="21" t="s">
        <v>0</v>
      </c>
      <c r="F1376" s="21"/>
      <c r="G1376" s="147" t="s">
        <v>2078</v>
      </c>
      <c r="H1376" s="63" t="s">
        <v>7217</v>
      </c>
      <c r="I1376" s="63" t="s">
        <v>8015</v>
      </c>
      <c r="J1376" s="62" t="s">
        <v>4392</v>
      </c>
      <c r="K1376" s="234"/>
      <c r="L1376" s="255"/>
      <c r="M1376" s="256"/>
      <c r="N1376" s="101">
        <v>0</v>
      </c>
      <c r="O1376" s="22" t="s">
        <v>15</v>
      </c>
      <c r="P1376" s="44" t="s">
        <v>19</v>
      </c>
      <c r="Q1376" s="44">
        <f t="shared" si="88"/>
        <v>0</v>
      </c>
      <c r="R1376" s="24">
        <f t="shared" si="87"/>
        <v>0</v>
      </c>
      <c r="S1376" s="5" t="s">
        <v>7218</v>
      </c>
      <c r="T1376" s="5"/>
    </row>
    <row r="1377" spans="1:20" ht="15.75" hidden="1" x14ac:dyDescent="0.25">
      <c r="A1377" t="s">
        <v>6753</v>
      </c>
      <c r="B1377" s="21" t="s">
        <v>395</v>
      </c>
      <c r="C1377" s="22" t="s">
        <v>2450</v>
      </c>
      <c r="D1377" s="22" t="s">
        <v>6260</v>
      </c>
      <c r="E1377" s="21" t="s">
        <v>0</v>
      </c>
      <c r="F1377" s="21"/>
      <c r="G1377" s="147" t="s">
        <v>2078</v>
      </c>
      <c r="H1377" s="63" t="s">
        <v>7217</v>
      </c>
      <c r="I1377" s="63" t="s">
        <v>8015</v>
      </c>
      <c r="J1377" s="62" t="s">
        <v>4393</v>
      </c>
      <c r="K1377" s="234"/>
      <c r="L1377" s="255"/>
      <c r="M1377" s="256"/>
      <c r="N1377" s="101">
        <v>0</v>
      </c>
      <c r="O1377" s="22" t="s">
        <v>15</v>
      </c>
      <c r="P1377" s="44" t="s">
        <v>19</v>
      </c>
      <c r="Q1377" s="44">
        <f t="shared" si="88"/>
        <v>0</v>
      </c>
      <c r="R1377" s="24">
        <f t="shared" si="87"/>
        <v>0</v>
      </c>
      <c r="S1377" s="5" t="s">
        <v>7218</v>
      </c>
      <c r="T1377" s="5"/>
    </row>
    <row r="1378" spans="1:20" ht="15.75" hidden="1" x14ac:dyDescent="0.25">
      <c r="A1378" t="s">
        <v>6753</v>
      </c>
      <c r="B1378" s="21" t="s">
        <v>395</v>
      </c>
      <c r="C1378" s="22" t="s">
        <v>2450</v>
      </c>
      <c r="D1378" s="22" t="s">
        <v>6260</v>
      </c>
      <c r="E1378" s="21" t="s">
        <v>0</v>
      </c>
      <c r="F1378" s="21"/>
      <c r="G1378" s="147" t="s">
        <v>2078</v>
      </c>
      <c r="H1378" s="63" t="s">
        <v>7217</v>
      </c>
      <c r="I1378" s="63" t="s">
        <v>8015</v>
      </c>
      <c r="J1378" s="62" t="s">
        <v>4394</v>
      </c>
      <c r="K1378" s="234"/>
      <c r="L1378" s="255"/>
      <c r="M1378" s="256"/>
      <c r="N1378" s="101">
        <v>0</v>
      </c>
      <c r="O1378" s="22" t="s">
        <v>15</v>
      </c>
      <c r="P1378" s="44" t="s">
        <v>19</v>
      </c>
      <c r="Q1378" s="44">
        <f t="shared" si="88"/>
        <v>0</v>
      </c>
      <c r="R1378" s="24">
        <f t="shared" ref="R1378:R1407" si="89">IF(P1378="OK",N1378-Q1378,IF(P1378="en cours",N1378-Q1378,P1378))</f>
        <v>0</v>
      </c>
      <c r="S1378" s="5" t="s">
        <v>7218</v>
      </c>
      <c r="T1378" s="5"/>
    </row>
    <row r="1379" spans="1:20" ht="15.75" hidden="1" x14ac:dyDescent="0.25">
      <c r="A1379" t="s">
        <v>6753</v>
      </c>
      <c r="B1379" s="21" t="s">
        <v>395</v>
      </c>
      <c r="C1379" s="22" t="s">
        <v>2450</v>
      </c>
      <c r="D1379" s="22" t="s">
        <v>6260</v>
      </c>
      <c r="E1379" s="21" t="s">
        <v>0</v>
      </c>
      <c r="F1379" s="21"/>
      <c r="G1379" s="147" t="s">
        <v>2078</v>
      </c>
      <c r="H1379" s="63" t="s">
        <v>7217</v>
      </c>
      <c r="I1379" s="63" t="s">
        <v>8015</v>
      </c>
      <c r="J1379" s="62" t="s">
        <v>4403</v>
      </c>
      <c r="K1379" s="234"/>
      <c r="L1379" s="255"/>
      <c r="M1379" s="256"/>
      <c r="N1379" s="101">
        <v>0</v>
      </c>
      <c r="O1379" s="22" t="s">
        <v>15</v>
      </c>
      <c r="P1379" s="44" t="s">
        <v>19</v>
      </c>
      <c r="Q1379" s="44">
        <f t="shared" si="88"/>
        <v>0</v>
      </c>
      <c r="R1379" s="24">
        <f t="shared" si="89"/>
        <v>0</v>
      </c>
      <c r="S1379" s="5" t="s">
        <v>7218</v>
      </c>
      <c r="T1379" s="5"/>
    </row>
    <row r="1380" spans="1:20" ht="15.75" hidden="1" x14ac:dyDescent="0.25">
      <c r="A1380" t="s">
        <v>6753</v>
      </c>
      <c r="B1380" s="21" t="s">
        <v>395</v>
      </c>
      <c r="C1380" s="22" t="s">
        <v>2450</v>
      </c>
      <c r="D1380" s="22" t="s">
        <v>6260</v>
      </c>
      <c r="E1380" s="21" t="s">
        <v>0</v>
      </c>
      <c r="F1380" s="21"/>
      <c r="G1380" s="147" t="s">
        <v>2078</v>
      </c>
      <c r="H1380" s="63" t="s">
        <v>7217</v>
      </c>
      <c r="I1380" s="63" t="s">
        <v>8015</v>
      </c>
      <c r="J1380" s="62" t="s">
        <v>4404</v>
      </c>
      <c r="K1380" s="234"/>
      <c r="L1380" s="255"/>
      <c r="M1380" s="256"/>
      <c r="N1380" s="101">
        <v>0</v>
      </c>
      <c r="O1380" s="22" t="s">
        <v>15</v>
      </c>
      <c r="P1380" s="44" t="s">
        <v>19</v>
      </c>
      <c r="Q1380" s="44">
        <f t="shared" si="88"/>
        <v>0</v>
      </c>
      <c r="R1380" s="24">
        <f t="shared" si="89"/>
        <v>0</v>
      </c>
      <c r="S1380" s="5" t="s">
        <v>7218</v>
      </c>
      <c r="T1380" s="5"/>
    </row>
    <row r="1381" spans="1:20" ht="15.75" hidden="1" x14ac:dyDescent="0.25">
      <c r="A1381" t="s">
        <v>6753</v>
      </c>
      <c r="B1381" s="21" t="s">
        <v>395</v>
      </c>
      <c r="C1381" s="22" t="s">
        <v>2450</v>
      </c>
      <c r="D1381" s="22" t="s">
        <v>6260</v>
      </c>
      <c r="E1381" s="21" t="s">
        <v>0</v>
      </c>
      <c r="F1381" s="21"/>
      <c r="G1381" s="147" t="s">
        <v>2078</v>
      </c>
      <c r="H1381" s="63" t="s">
        <v>7217</v>
      </c>
      <c r="I1381" s="63" t="s">
        <v>8015</v>
      </c>
      <c r="J1381" s="62" t="s">
        <v>4405</v>
      </c>
      <c r="K1381" s="234"/>
      <c r="L1381" s="255"/>
      <c r="M1381" s="256"/>
      <c r="N1381" s="101">
        <v>0</v>
      </c>
      <c r="O1381" s="22" t="s">
        <v>15</v>
      </c>
      <c r="P1381" s="44" t="s">
        <v>19</v>
      </c>
      <c r="Q1381" s="44">
        <f t="shared" si="88"/>
        <v>0</v>
      </c>
      <c r="R1381" s="24">
        <f t="shared" si="89"/>
        <v>0</v>
      </c>
      <c r="S1381" s="5" t="s">
        <v>7218</v>
      </c>
      <c r="T1381" s="5"/>
    </row>
    <row r="1382" spans="1:20" ht="15.75" hidden="1" x14ac:dyDescent="0.25">
      <c r="A1382" t="s">
        <v>6753</v>
      </c>
      <c r="B1382" s="21" t="s">
        <v>395</v>
      </c>
      <c r="C1382" s="22" t="s">
        <v>2450</v>
      </c>
      <c r="D1382" s="22" t="s">
        <v>6260</v>
      </c>
      <c r="E1382" s="21" t="s">
        <v>0</v>
      </c>
      <c r="F1382" s="21"/>
      <c r="G1382" s="147" t="s">
        <v>2078</v>
      </c>
      <c r="H1382" s="71" t="s">
        <v>4888</v>
      </c>
      <c r="I1382" s="71" t="s">
        <v>8030</v>
      </c>
      <c r="J1382" s="70" t="s">
        <v>4890</v>
      </c>
      <c r="K1382" s="70"/>
      <c r="L1382" s="70" t="s">
        <v>4976</v>
      </c>
      <c r="M1382" s="213">
        <v>44329</v>
      </c>
      <c r="N1382" s="103">
        <v>12399</v>
      </c>
      <c r="O1382" s="22" t="s">
        <v>15</v>
      </c>
      <c r="P1382" s="44" t="s">
        <v>19</v>
      </c>
      <c r="Q1382" s="44">
        <f t="shared" si="88"/>
        <v>0</v>
      </c>
      <c r="R1382" s="24">
        <f t="shared" si="89"/>
        <v>12399</v>
      </c>
      <c r="S1382" s="5"/>
      <c r="T1382" s="5"/>
    </row>
    <row r="1383" spans="1:20" ht="15.75" hidden="1" x14ac:dyDescent="0.25">
      <c r="A1383" t="s">
        <v>6753</v>
      </c>
      <c r="B1383" s="21" t="s">
        <v>395</v>
      </c>
      <c r="C1383" s="22" t="s">
        <v>2450</v>
      </c>
      <c r="D1383" s="22" t="s">
        <v>6260</v>
      </c>
      <c r="E1383" s="21" t="s">
        <v>0</v>
      </c>
      <c r="F1383" s="21"/>
      <c r="G1383" s="147" t="s">
        <v>2078</v>
      </c>
      <c r="H1383" s="71" t="s">
        <v>4888</v>
      </c>
      <c r="I1383" s="71" t="s">
        <v>8030</v>
      </c>
      <c r="J1383" s="70" t="s">
        <v>4892</v>
      </c>
      <c r="K1383" s="70"/>
      <c r="L1383" s="70" t="s">
        <v>4976</v>
      </c>
      <c r="M1383" s="213">
        <v>44329</v>
      </c>
      <c r="N1383" s="103">
        <v>11236</v>
      </c>
      <c r="O1383" s="22" t="s">
        <v>15</v>
      </c>
      <c r="P1383" s="44" t="s">
        <v>19</v>
      </c>
      <c r="Q1383" s="44">
        <f t="shared" si="88"/>
        <v>0</v>
      </c>
      <c r="R1383" s="24">
        <f t="shared" si="89"/>
        <v>11236</v>
      </c>
      <c r="S1383" s="5"/>
      <c r="T1383" s="5"/>
    </row>
    <row r="1384" spans="1:20" ht="15.75" hidden="1" x14ac:dyDescent="0.25">
      <c r="A1384" t="s">
        <v>6753</v>
      </c>
      <c r="B1384" s="21" t="s">
        <v>395</v>
      </c>
      <c r="C1384" s="22" t="s">
        <v>2450</v>
      </c>
      <c r="D1384" s="22" t="s">
        <v>6260</v>
      </c>
      <c r="E1384" s="21" t="s">
        <v>0</v>
      </c>
      <c r="F1384" s="21"/>
      <c r="G1384" s="147" t="s">
        <v>2078</v>
      </c>
      <c r="H1384" s="71" t="s">
        <v>4888</v>
      </c>
      <c r="I1384" s="71" t="s">
        <v>8030</v>
      </c>
      <c r="J1384" s="70" t="s">
        <v>4889</v>
      </c>
      <c r="K1384" s="70"/>
      <c r="L1384" s="70" t="s">
        <v>5092</v>
      </c>
      <c r="M1384" s="213">
        <v>44347</v>
      </c>
      <c r="N1384" s="103">
        <v>22832</v>
      </c>
      <c r="O1384" s="22" t="s">
        <v>15</v>
      </c>
      <c r="P1384" s="44" t="s">
        <v>19</v>
      </c>
      <c r="Q1384" s="44">
        <f t="shared" si="88"/>
        <v>0</v>
      </c>
      <c r="R1384" s="24">
        <f t="shared" si="89"/>
        <v>22832</v>
      </c>
      <c r="S1384" s="5"/>
      <c r="T1384" s="5"/>
    </row>
    <row r="1385" spans="1:20" ht="15.75" hidden="1" x14ac:dyDescent="0.25">
      <c r="A1385" t="s">
        <v>6753</v>
      </c>
      <c r="B1385" s="21" t="s">
        <v>395</v>
      </c>
      <c r="C1385" s="22" t="s">
        <v>2450</v>
      </c>
      <c r="D1385" s="22" t="s">
        <v>6260</v>
      </c>
      <c r="E1385" s="21" t="s">
        <v>0</v>
      </c>
      <c r="F1385" s="21"/>
      <c r="G1385" s="147" t="s">
        <v>2078</v>
      </c>
      <c r="H1385" s="71" t="s">
        <v>4888</v>
      </c>
      <c r="I1385" s="71" t="s">
        <v>8030</v>
      </c>
      <c r="J1385" s="70" t="s">
        <v>4891</v>
      </c>
      <c r="K1385" s="70"/>
      <c r="L1385" s="70" t="s">
        <v>5521</v>
      </c>
      <c r="M1385" s="213" t="s">
        <v>5522</v>
      </c>
      <c r="N1385" s="103">
        <v>15179</v>
      </c>
      <c r="O1385" s="22" t="s">
        <v>15</v>
      </c>
      <c r="P1385" s="44" t="s">
        <v>19</v>
      </c>
      <c r="Q1385" s="44">
        <f t="shared" si="88"/>
        <v>0</v>
      </c>
      <c r="R1385" s="24">
        <f t="shared" si="89"/>
        <v>15179</v>
      </c>
      <c r="S1385" s="5"/>
      <c r="T1385" s="5"/>
    </row>
    <row r="1386" spans="1:20" ht="15.75" hidden="1" x14ac:dyDescent="0.25">
      <c r="A1386" t="s">
        <v>6753</v>
      </c>
      <c r="B1386" s="21" t="s">
        <v>395</v>
      </c>
      <c r="C1386" s="22" t="s">
        <v>2450</v>
      </c>
      <c r="D1386" s="22" t="s">
        <v>6260</v>
      </c>
      <c r="E1386" s="21" t="s">
        <v>0</v>
      </c>
      <c r="F1386" s="21"/>
      <c r="G1386" s="147" t="s">
        <v>2078</v>
      </c>
      <c r="H1386" s="71" t="s">
        <v>4888</v>
      </c>
      <c r="I1386" s="71" t="s">
        <v>8030</v>
      </c>
      <c r="J1386" s="70" t="s">
        <v>4893</v>
      </c>
      <c r="K1386" s="70"/>
      <c r="L1386" s="70" t="s">
        <v>5520</v>
      </c>
      <c r="M1386" s="213">
        <v>44407</v>
      </c>
      <c r="N1386" s="103">
        <v>15179</v>
      </c>
      <c r="O1386" s="22" t="s">
        <v>15</v>
      </c>
      <c r="P1386" s="44" t="s">
        <v>19</v>
      </c>
      <c r="Q1386" s="44">
        <f t="shared" si="88"/>
        <v>0</v>
      </c>
      <c r="R1386" s="24">
        <f t="shared" si="89"/>
        <v>15179</v>
      </c>
      <c r="S1386" s="5"/>
      <c r="T1386" s="5"/>
    </row>
    <row r="1387" spans="1:20" ht="15.75" hidden="1" x14ac:dyDescent="0.25">
      <c r="A1387" t="s">
        <v>6753</v>
      </c>
      <c r="B1387" s="21" t="s">
        <v>395</v>
      </c>
      <c r="C1387" s="22" t="s">
        <v>2450</v>
      </c>
      <c r="D1387" s="22" t="s">
        <v>6260</v>
      </c>
      <c r="E1387" s="21" t="s">
        <v>0</v>
      </c>
      <c r="F1387" s="21"/>
      <c r="G1387" s="147" t="s">
        <v>2078</v>
      </c>
      <c r="H1387" s="71" t="s">
        <v>4888</v>
      </c>
      <c r="I1387" s="71" t="s">
        <v>8030</v>
      </c>
      <c r="J1387" s="70" t="s">
        <v>4894</v>
      </c>
      <c r="K1387" s="70"/>
      <c r="L1387" s="70" t="s">
        <v>6158</v>
      </c>
      <c r="M1387" s="213">
        <v>44529</v>
      </c>
      <c r="N1387" s="103">
        <v>16295</v>
      </c>
      <c r="O1387" s="22" t="s">
        <v>15</v>
      </c>
      <c r="P1387" s="44" t="s">
        <v>19</v>
      </c>
      <c r="Q1387" s="44">
        <f t="shared" si="88"/>
        <v>0</v>
      </c>
      <c r="R1387" s="24">
        <f t="shared" si="89"/>
        <v>16295</v>
      </c>
      <c r="S1387" s="5"/>
      <c r="T1387" s="5"/>
    </row>
    <row r="1388" spans="1:20" ht="15.75" hidden="1" x14ac:dyDescent="0.25">
      <c r="A1388" t="s">
        <v>6753</v>
      </c>
      <c r="B1388" s="21" t="s">
        <v>395</v>
      </c>
      <c r="C1388" s="22" t="s">
        <v>2450</v>
      </c>
      <c r="D1388" s="22" t="s">
        <v>6260</v>
      </c>
      <c r="E1388" s="21" t="s">
        <v>0</v>
      </c>
      <c r="F1388" s="21"/>
      <c r="G1388" s="147" t="s">
        <v>2078</v>
      </c>
      <c r="H1388" s="71" t="s">
        <v>4888</v>
      </c>
      <c r="I1388" s="71" t="s">
        <v>8030</v>
      </c>
      <c r="J1388" s="70" t="s">
        <v>4895</v>
      </c>
      <c r="K1388" s="70"/>
      <c r="L1388" s="70" t="s">
        <v>6384</v>
      </c>
      <c r="M1388" s="213">
        <v>44592</v>
      </c>
      <c r="N1388" s="103">
        <v>10726</v>
      </c>
      <c r="O1388" s="22" t="s">
        <v>15</v>
      </c>
      <c r="P1388" s="44" t="s">
        <v>19</v>
      </c>
      <c r="Q1388" s="44">
        <f t="shared" si="88"/>
        <v>0</v>
      </c>
      <c r="R1388" s="24">
        <f t="shared" si="89"/>
        <v>10726</v>
      </c>
      <c r="S1388" s="5"/>
      <c r="T1388" s="5"/>
    </row>
    <row r="1389" spans="1:20" ht="15.75" hidden="1" x14ac:dyDescent="0.25">
      <c r="A1389" t="s">
        <v>6753</v>
      </c>
      <c r="B1389" s="21" t="s">
        <v>395</v>
      </c>
      <c r="C1389" s="22" t="s">
        <v>2450</v>
      </c>
      <c r="D1389" s="22" t="s">
        <v>6260</v>
      </c>
      <c r="E1389" s="21" t="s">
        <v>0</v>
      </c>
      <c r="F1389" s="21"/>
      <c r="G1389" s="147" t="s">
        <v>2078</v>
      </c>
      <c r="H1389" s="71" t="s">
        <v>4888</v>
      </c>
      <c r="I1389" s="71" t="s">
        <v>8030</v>
      </c>
      <c r="J1389" s="70" t="s">
        <v>4896</v>
      </c>
      <c r="K1389" s="70"/>
      <c r="L1389" s="70" t="s">
        <v>6707</v>
      </c>
      <c r="M1389" s="213">
        <v>44680</v>
      </c>
      <c r="N1389" s="103">
        <v>11653</v>
      </c>
      <c r="O1389" s="22" t="s">
        <v>15</v>
      </c>
      <c r="P1389" s="44" t="s">
        <v>19</v>
      </c>
      <c r="Q1389" s="44">
        <f t="shared" si="88"/>
        <v>0</v>
      </c>
      <c r="R1389" s="24">
        <f t="shared" si="89"/>
        <v>11653</v>
      </c>
      <c r="S1389" s="5"/>
      <c r="T1389" s="5"/>
    </row>
    <row r="1390" spans="1:20" ht="15.75" hidden="1" x14ac:dyDescent="0.25">
      <c r="A1390" t="s">
        <v>6753</v>
      </c>
      <c r="B1390" s="21" t="s">
        <v>395</v>
      </c>
      <c r="C1390" s="22" t="s">
        <v>2450</v>
      </c>
      <c r="D1390" s="22" t="s">
        <v>6260</v>
      </c>
      <c r="E1390" s="21" t="s">
        <v>0</v>
      </c>
      <c r="F1390" s="21"/>
      <c r="G1390" s="147" t="s">
        <v>2078</v>
      </c>
      <c r="H1390" s="71" t="s">
        <v>4888</v>
      </c>
      <c r="I1390" s="71" t="s">
        <v>8030</v>
      </c>
      <c r="J1390" s="70" t="s">
        <v>4897</v>
      </c>
      <c r="K1390" s="70"/>
      <c r="L1390" s="70" t="s">
        <v>7309</v>
      </c>
      <c r="M1390" s="213">
        <v>44895</v>
      </c>
      <c r="N1390" s="103">
        <v>10726</v>
      </c>
      <c r="O1390" s="22" t="s">
        <v>15</v>
      </c>
      <c r="P1390" s="44">
        <v>10726</v>
      </c>
      <c r="Q1390" s="44">
        <f t="shared" si="88"/>
        <v>0</v>
      </c>
      <c r="R1390" s="24">
        <f t="shared" si="89"/>
        <v>10726</v>
      </c>
      <c r="S1390" s="5"/>
      <c r="T1390" s="5"/>
    </row>
    <row r="1391" spans="1:20" ht="16.5" hidden="1" customHeight="1" x14ac:dyDescent="0.25">
      <c r="A1391" t="s">
        <v>6753</v>
      </c>
      <c r="B1391" s="21" t="s">
        <v>395</v>
      </c>
      <c r="C1391" s="22" t="s">
        <v>2450</v>
      </c>
      <c r="D1391" s="22"/>
      <c r="E1391" s="21" t="s">
        <v>0</v>
      </c>
      <c r="F1391" s="21"/>
      <c r="G1391" s="147" t="s">
        <v>2078</v>
      </c>
      <c r="H1391" s="71" t="s">
        <v>4888</v>
      </c>
      <c r="I1391" s="71" t="s">
        <v>8030</v>
      </c>
      <c r="J1391" s="70" t="s">
        <v>4898</v>
      </c>
      <c r="K1391" s="70"/>
      <c r="L1391" s="70" t="s">
        <v>8816</v>
      </c>
      <c r="M1391" s="213">
        <v>45169</v>
      </c>
      <c r="N1391" s="261">
        <v>12234</v>
      </c>
      <c r="O1391" s="22" t="s">
        <v>15</v>
      </c>
      <c r="P1391" s="44">
        <v>12234</v>
      </c>
      <c r="Q1391" s="44">
        <f t="shared" si="88"/>
        <v>0</v>
      </c>
      <c r="R1391" s="24">
        <f t="shared" si="89"/>
        <v>12234</v>
      </c>
      <c r="S1391" s="5"/>
      <c r="T1391" s="5"/>
    </row>
    <row r="1392" spans="1:20" ht="15.75" hidden="1" x14ac:dyDescent="0.25">
      <c r="A1392" t="s">
        <v>6753</v>
      </c>
      <c r="B1392" s="21" t="s">
        <v>395</v>
      </c>
      <c r="C1392" s="22" t="s">
        <v>2450</v>
      </c>
      <c r="D1392" s="22" t="s">
        <v>6260</v>
      </c>
      <c r="E1392" s="21" t="s">
        <v>0</v>
      </c>
      <c r="F1392" s="21"/>
      <c r="G1392" s="147" t="s">
        <v>2078</v>
      </c>
      <c r="H1392" s="60" t="s">
        <v>5000</v>
      </c>
      <c r="I1392" s="60" t="s">
        <v>8041</v>
      </c>
      <c r="J1392" s="59" t="s">
        <v>4999</v>
      </c>
      <c r="K1392" s="59"/>
      <c r="L1392" s="59"/>
      <c r="M1392" s="60"/>
      <c r="N1392" s="99">
        <v>7138</v>
      </c>
      <c r="O1392" s="22" t="s">
        <v>15</v>
      </c>
      <c r="P1392" s="44" t="s">
        <v>19</v>
      </c>
      <c r="Q1392" s="44">
        <f t="shared" si="88"/>
        <v>0</v>
      </c>
      <c r="R1392" s="24">
        <f t="shared" si="89"/>
        <v>7138</v>
      </c>
      <c r="S1392" s="5" t="s">
        <v>5506</v>
      </c>
      <c r="T1392" s="5"/>
    </row>
    <row r="1393" spans="1:20" ht="15.75" hidden="1" x14ac:dyDescent="0.25">
      <c r="A1393" t="s">
        <v>6753</v>
      </c>
      <c r="B1393" s="21" t="s">
        <v>395</v>
      </c>
      <c r="C1393" s="22" t="s">
        <v>2450</v>
      </c>
      <c r="D1393" s="22" t="s">
        <v>6260</v>
      </c>
      <c r="E1393" s="21" t="s">
        <v>0</v>
      </c>
      <c r="F1393" s="21"/>
      <c r="G1393" s="147" t="s">
        <v>2078</v>
      </c>
      <c r="H1393" s="313" t="s">
        <v>5488</v>
      </c>
      <c r="I1393" s="313" t="s">
        <v>8082</v>
      </c>
      <c r="J1393" s="314" t="s">
        <v>5496</v>
      </c>
      <c r="K1393" s="316"/>
      <c r="L1393" s="314" t="s">
        <v>5507</v>
      </c>
      <c r="M1393" s="315">
        <v>44406</v>
      </c>
      <c r="N1393" s="318">
        <v>31126</v>
      </c>
      <c r="O1393" s="22" t="s">
        <v>15</v>
      </c>
      <c r="P1393" s="44" t="s">
        <v>19</v>
      </c>
      <c r="Q1393" s="44">
        <f t="shared" si="88"/>
        <v>0</v>
      </c>
      <c r="R1393" s="24">
        <f t="shared" si="89"/>
        <v>31126</v>
      </c>
      <c r="S1393" s="5"/>
      <c r="T1393" s="5"/>
    </row>
    <row r="1394" spans="1:20" ht="15.75" hidden="1" x14ac:dyDescent="0.25">
      <c r="A1394" t="s">
        <v>6753</v>
      </c>
      <c r="B1394" s="21" t="s">
        <v>395</v>
      </c>
      <c r="C1394" s="22" t="s">
        <v>2450</v>
      </c>
      <c r="D1394" s="22" t="s">
        <v>6260</v>
      </c>
      <c r="E1394" s="21" t="s">
        <v>0</v>
      </c>
      <c r="F1394" s="21"/>
      <c r="G1394" s="147" t="s">
        <v>2078</v>
      </c>
      <c r="H1394" s="313" t="s">
        <v>5488</v>
      </c>
      <c r="I1394" s="313" t="s">
        <v>8082</v>
      </c>
      <c r="J1394" s="314" t="s">
        <v>5497</v>
      </c>
      <c r="K1394" s="316"/>
      <c r="L1394" s="314" t="s">
        <v>5507</v>
      </c>
      <c r="M1394" s="315">
        <v>44406</v>
      </c>
      <c r="N1394" s="318">
        <v>75715</v>
      </c>
      <c r="O1394" s="22" t="s">
        <v>15</v>
      </c>
      <c r="P1394" s="44" t="s">
        <v>19</v>
      </c>
      <c r="Q1394" s="44">
        <f t="shared" si="88"/>
        <v>0</v>
      </c>
      <c r="R1394" s="24">
        <f t="shared" si="89"/>
        <v>75715</v>
      </c>
      <c r="S1394" s="5"/>
      <c r="T1394" s="5"/>
    </row>
    <row r="1395" spans="1:20" ht="15.75" hidden="1" x14ac:dyDescent="0.25">
      <c r="A1395" t="s">
        <v>6753</v>
      </c>
      <c r="B1395" s="21" t="s">
        <v>395</v>
      </c>
      <c r="C1395" s="22" t="s">
        <v>2450</v>
      </c>
      <c r="D1395" s="22" t="s">
        <v>6260</v>
      </c>
      <c r="E1395" s="21" t="s">
        <v>0</v>
      </c>
      <c r="F1395" s="21"/>
      <c r="G1395" s="147" t="s">
        <v>2078</v>
      </c>
      <c r="H1395" s="313" t="s">
        <v>5488</v>
      </c>
      <c r="I1395" s="313" t="s">
        <v>8082</v>
      </c>
      <c r="J1395" s="314" t="s">
        <v>5498</v>
      </c>
      <c r="K1395" s="316"/>
      <c r="L1395" s="314" t="s">
        <v>6011</v>
      </c>
      <c r="M1395" s="315">
        <v>44498</v>
      </c>
      <c r="N1395" s="318">
        <f>13583</f>
        <v>13583</v>
      </c>
      <c r="O1395" s="22" t="s">
        <v>15</v>
      </c>
      <c r="P1395" s="44" t="s">
        <v>19</v>
      </c>
      <c r="Q1395" s="44">
        <f t="shared" si="88"/>
        <v>0</v>
      </c>
      <c r="R1395" s="24">
        <f t="shared" si="89"/>
        <v>13583</v>
      </c>
      <c r="S1395" s="5"/>
      <c r="T1395" s="5"/>
    </row>
    <row r="1396" spans="1:20" ht="15.75" hidden="1" x14ac:dyDescent="0.25">
      <c r="A1396" t="s">
        <v>6753</v>
      </c>
      <c r="B1396" s="21" t="s">
        <v>395</v>
      </c>
      <c r="C1396" s="22" t="s">
        <v>2450</v>
      </c>
      <c r="D1396" s="22" t="s">
        <v>6260</v>
      </c>
      <c r="E1396" s="21" t="s">
        <v>0</v>
      </c>
      <c r="F1396" s="21"/>
      <c r="G1396" s="147" t="s">
        <v>2078</v>
      </c>
      <c r="H1396" s="313" t="s">
        <v>5488</v>
      </c>
      <c r="I1396" s="313" t="s">
        <v>8082</v>
      </c>
      <c r="J1396" s="314" t="s">
        <v>5499</v>
      </c>
      <c r="K1396" s="316"/>
      <c r="L1396" s="314" t="s">
        <v>5943</v>
      </c>
      <c r="M1396" s="315">
        <v>44421</v>
      </c>
      <c r="N1396" s="318">
        <v>5725</v>
      </c>
      <c r="O1396" s="22" t="s">
        <v>15</v>
      </c>
      <c r="P1396" s="44" t="s">
        <v>19</v>
      </c>
      <c r="Q1396" s="44">
        <f t="shared" si="88"/>
        <v>0</v>
      </c>
      <c r="R1396" s="24">
        <f t="shared" si="89"/>
        <v>5725</v>
      </c>
      <c r="S1396" s="5"/>
      <c r="T1396" s="5"/>
    </row>
    <row r="1397" spans="1:20" ht="15.75" hidden="1" x14ac:dyDescent="0.25">
      <c r="A1397" t="s">
        <v>6753</v>
      </c>
      <c r="B1397" s="21" t="s">
        <v>395</v>
      </c>
      <c r="C1397" s="22" t="s">
        <v>2450</v>
      </c>
      <c r="D1397" s="22" t="s">
        <v>6260</v>
      </c>
      <c r="E1397" s="21" t="s">
        <v>0</v>
      </c>
      <c r="F1397" s="21"/>
      <c r="G1397" s="147" t="s">
        <v>2078</v>
      </c>
      <c r="H1397" s="313" t="s">
        <v>5488</v>
      </c>
      <c r="I1397" s="313" t="s">
        <v>8082</v>
      </c>
      <c r="J1397" s="314" t="s">
        <v>5500</v>
      </c>
      <c r="K1397" s="316"/>
      <c r="L1397" s="314" t="s">
        <v>5870</v>
      </c>
      <c r="M1397" s="315">
        <v>44469</v>
      </c>
      <c r="N1397" s="318">
        <v>5859</v>
      </c>
      <c r="O1397" s="22" t="s">
        <v>15</v>
      </c>
      <c r="P1397" s="44" t="s">
        <v>19</v>
      </c>
      <c r="Q1397" s="44">
        <f t="shared" si="88"/>
        <v>0</v>
      </c>
      <c r="R1397" s="24">
        <f t="shared" si="89"/>
        <v>5859</v>
      </c>
      <c r="S1397" s="5"/>
      <c r="T1397" s="5"/>
    </row>
    <row r="1398" spans="1:20" ht="15.75" hidden="1" x14ac:dyDescent="0.25">
      <c r="A1398" t="s">
        <v>6753</v>
      </c>
      <c r="B1398" s="21" t="s">
        <v>395</v>
      </c>
      <c r="C1398" s="22" t="s">
        <v>2450</v>
      </c>
      <c r="D1398" s="22" t="s">
        <v>6260</v>
      </c>
      <c r="E1398" s="21" t="s">
        <v>0</v>
      </c>
      <c r="F1398" s="21"/>
      <c r="G1398" s="147" t="s">
        <v>2078</v>
      </c>
      <c r="H1398" s="313" t="s">
        <v>5488</v>
      </c>
      <c r="I1398" s="313" t="s">
        <v>8082</v>
      </c>
      <c r="J1398" s="314" t="s">
        <v>5501</v>
      </c>
      <c r="K1398" s="316"/>
      <c r="L1398" s="314" t="s">
        <v>6449</v>
      </c>
      <c r="M1398" s="315">
        <v>44600</v>
      </c>
      <c r="N1398" s="318">
        <v>5859</v>
      </c>
      <c r="O1398" s="22" t="s">
        <v>15</v>
      </c>
      <c r="P1398" s="44">
        <v>5859</v>
      </c>
      <c r="Q1398" s="44">
        <f t="shared" si="88"/>
        <v>0</v>
      </c>
      <c r="R1398" s="24">
        <f t="shared" si="89"/>
        <v>5859</v>
      </c>
      <c r="S1398" s="5"/>
      <c r="T1398" s="5"/>
    </row>
    <row r="1399" spans="1:20" ht="15.75" hidden="1" x14ac:dyDescent="0.25">
      <c r="A1399" t="s">
        <v>6753</v>
      </c>
      <c r="B1399" s="21" t="s">
        <v>395</v>
      </c>
      <c r="C1399" s="22" t="s">
        <v>2450</v>
      </c>
      <c r="D1399" s="22" t="s">
        <v>6260</v>
      </c>
      <c r="E1399" s="21" t="s">
        <v>0</v>
      </c>
      <c r="F1399" s="21"/>
      <c r="G1399" s="147" t="s">
        <v>2078</v>
      </c>
      <c r="H1399" s="313" t="s">
        <v>5488</v>
      </c>
      <c r="I1399" s="313" t="s">
        <v>8082</v>
      </c>
      <c r="J1399" s="314" t="s">
        <v>5502</v>
      </c>
      <c r="K1399" s="316"/>
      <c r="L1399" s="314" t="s">
        <v>7061</v>
      </c>
      <c r="M1399" s="315">
        <v>44804</v>
      </c>
      <c r="N1399" s="318">
        <v>7563</v>
      </c>
      <c r="O1399" s="22" t="s">
        <v>15</v>
      </c>
      <c r="P1399" s="44">
        <v>7563</v>
      </c>
      <c r="Q1399" s="44">
        <f t="shared" si="88"/>
        <v>0</v>
      </c>
      <c r="R1399" s="24">
        <f t="shared" si="89"/>
        <v>7563</v>
      </c>
      <c r="S1399" s="5"/>
      <c r="T1399" s="5"/>
    </row>
    <row r="1400" spans="1:20" ht="15.75" hidden="1" x14ac:dyDescent="0.25">
      <c r="A1400" t="s">
        <v>6753</v>
      </c>
      <c r="B1400" s="21" t="s">
        <v>395</v>
      </c>
      <c r="C1400" s="22" t="s">
        <v>2450</v>
      </c>
      <c r="D1400" s="22"/>
      <c r="E1400" s="21" t="s">
        <v>0</v>
      </c>
      <c r="F1400" s="21"/>
      <c r="G1400" s="147" t="s">
        <v>2078</v>
      </c>
      <c r="H1400" s="313" t="s">
        <v>5488</v>
      </c>
      <c r="I1400" s="313" t="s">
        <v>8082</v>
      </c>
      <c r="J1400" s="314" t="s">
        <v>5503</v>
      </c>
      <c r="K1400" s="316"/>
      <c r="L1400" s="314" t="s">
        <v>8817</v>
      </c>
      <c r="M1400" s="315">
        <v>45169</v>
      </c>
      <c r="N1400" s="317">
        <v>8121</v>
      </c>
      <c r="O1400" s="22" t="s">
        <v>15</v>
      </c>
      <c r="P1400" s="44">
        <v>8121</v>
      </c>
      <c r="Q1400" s="44">
        <f t="shared" si="88"/>
        <v>0</v>
      </c>
      <c r="R1400" s="24">
        <f t="shared" si="89"/>
        <v>8121</v>
      </c>
      <c r="S1400" s="5"/>
      <c r="T1400" s="5"/>
    </row>
    <row r="1401" spans="1:20" ht="15.75" hidden="1" x14ac:dyDescent="0.25">
      <c r="A1401" t="s">
        <v>6753</v>
      </c>
      <c r="B1401" s="21" t="s">
        <v>395</v>
      </c>
      <c r="C1401" s="22" t="s">
        <v>2450</v>
      </c>
      <c r="D1401" s="22" t="s">
        <v>6260</v>
      </c>
      <c r="E1401" s="21" t="s">
        <v>0</v>
      </c>
      <c r="F1401" s="21"/>
      <c r="G1401" s="147" t="s">
        <v>2078</v>
      </c>
      <c r="H1401" s="313" t="s">
        <v>5488</v>
      </c>
      <c r="I1401" s="313" t="s">
        <v>8082</v>
      </c>
      <c r="J1401" s="314" t="s">
        <v>5504</v>
      </c>
      <c r="K1401" s="316"/>
      <c r="L1401" s="314" t="s">
        <v>6156</v>
      </c>
      <c r="M1401" s="315">
        <v>44530</v>
      </c>
      <c r="N1401" s="318">
        <v>4157</v>
      </c>
      <c r="O1401" s="22" t="s">
        <v>15</v>
      </c>
      <c r="P1401" s="44" t="s">
        <v>19</v>
      </c>
      <c r="Q1401" s="44">
        <f t="shared" si="88"/>
        <v>0</v>
      </c>
      <c r="R1401" s="24">
        <f t="shared" si="89"/>
        <v>4157</v>
      </c>
      <c r="S1401" s="5"/>
      <c r="T1401" s="5"/>
    </row>
    <row r="1402" spans="1:20" ht="15.75" hidden="1" x14ac:dyDescent="0.25">
      <c r="A1402" t="s">
        <v>6753</v>
      </c>
      <c r="B1402" s="21" t="s">
        <v>395</v>
      </c>
      <c r="C1402" s="22" t="s">
        <v>2450</v>
      </c>
      <c r="D1402" s="22" t="s">
        <v>6260</v>
      </c>
      <c r="E1402" s="21" t="s">
        <v>0</v>
      </c>
      <c r="F1402" s="21"/>
      <c r="G1402" s="147" t="s">
        <v>2078</v>
      </c>
      <c r="H1402" s="313" t="s">
        <v>5488</v>
      </c>
      <c r="I1402" s="313" t="s">
        <v>8082</v>
      </c>
      <c r="J1402" s="314" t="s">
        <v>5505</v>
      </c>
      <c r="K1402" s="316"/>
      <c r="L1402" s="314"/>
      <c r="M1402" s="315"/>
      <c r="N1402" s="318">
        <v>-7138</v>
      </c>
      <c r="O1402" s="22" t="s">
        <v>15</v>
      </c>
      <c r="P1402" s="44" t="s">
        <v>19</v>
      </c>
      <c r="Q1402" s="44">
        <f t="shared" si="88"/>
        <v>0</v>
      </c>
      <c r="R1402" s="24">
        <f t="shared" si="89"/>
        <v>-7138</v>
      </c>
      <c r="S1402" s="5" t="s">
        <v>5506</v>
      </c>
      <c r="T1402" s="5"/>
    </row>
    <row r="1403" spans="1:20" ht="15.75" hidden="1" x14ac:dyDescent="0.25">
      <c r="A1403" t="s">
        <v>6753</v>
      </c>
      <c r="B1403" s="21" t="s">
        <v>395</v>
      </c>
      <c r="C1403" s="22" t="s">
        <v>2450</v>
      </c>
      <c r="D1403" s="22" t="s">
        <v>6260</v>
      </c>
      <c r="E1403" s="21" t="s">
        <v>0</v>
      </c>
      <c r="F1403" s="21"/>
      <c r="G1403" s="147" t="s">
        <v>2078</v>
      </c>
      <c r="H1403" s="66" t="s">
        <v>6087</v>
      </c>
      <c r="I1403" s="66" t="s">
        <v>8112</v>
      </c>
      <c r="J1403" s="65" t="s">
        <v>6088</v>
      </c>
      <c r="K1403" s="65"/>
      <c r="L1403" s="173" t="s">
        <v>6449</v>
      </c>
      <c r="M1403" s="167">
        <v>44600</v>
      </c>
      <c r="N1403" s="96">
        <v>6660</v>
      </c>
      <c r="O1403" s="22" t="s">
        <v>15</v>
      </c>
      <c r="P1403" s="44">
        <v>6660</v>
      </c>
      <c r="Q1403" s="44">
        <f t="shared" si="88"/>
        <v>0</v>
      </c>
      <c r="R1403" s="24">
        <f t="shared" si="89"/>
        <v>6660</v>
      </c>
      <c r="S1403" s="5"/>
      <c r="T1403" s="5"/>
    </row>
    <row r="1404" spans="1:20" ht="15.75" hidden="1" x14ac:dyDescent="0.25">
      <c r="A1404" t="s">
        <v>6753</v>
      </c>
      <c r="B1404" s="21" t="s">
        <v>395</v>
      </c>
      <c r="C1404" s="22" t="s">
        <v>2450</v>
      </c>
      <c r="D1404" s="22" t="s">
        <v>6260</v>
      </c>
      <c r="E1404" s="21" t="s">
        <v>0</v>
      </c>
      <c r="F1404" s="21"/>
      <c r="G1404" s="147" t="s">
        <v>2078</v>
      </c>
      <c r="H1404" s="63" t="s">
        <v>6337</v>
      </c>
      <c r="I1404" s="63" t="s">
        <v>8134</v>
      </c>
      <c r="J1404" s="62" t="s">
        <v>6338</v>
      </c>
      <c r="K1404" s="62"/>
      <c r="L1404" s="171" t="s">
        <v>6383</v>
      </c>
      <c r="M1404" s="211">
        <v>44589</v>
      </c>
      <c r="N1404" s="101">
        <v>1080</v>
      </c>
      <c r="O1404" s="22" t="s">
        <v>15</v>
      </c>
      <c r="P1404" s="44" t="s">
        <v>19</v>
      </c>
      <c r="Q1404" s="44">
        <f t="shared" si="88"/>
        <v>0</v>
      </c>
      <c r="R1404" s="24">
        <f t="shared" si="89"/>
        <v>1080</v>
      </c>
      <c r="S1404" s="5"/>
      <c r="T1404" s="5"/>
    </row>
    <row r="1405" spans="1:20" ht="15.75" hidden="1" x14ac:dyDescent="0.25">
      <c r="A1405" t="s">
        <v>6753</v>
      </c>
      <c r="B1405" s="21" t="s">
        <v>395</v>
      </c>
      <c r="C1405" s="22" t="s">
        <v>2450</v>
      </c>
      <c r="D1405" s="22" t="s">
        <v>6260</v>
      </c>
      <c r="E1405" s="21" t="s">
        <v>0</v>
      </c>
      <c r="F1405" s="21"/>
      <c r="G1405" s="147" t="s">
        <v>2078</v>
      </c>
      <c r="H1405" s="23" t="s">
        <v>7214</v>
      </c>
      <c r="I1405" s="23" t="s">
        <v>8015</v>
      </c>
      <c r="J1405" s="21" t="s">
        <v>7215</v>
      </c>
      <c r="K1405" s="21"/>
      <c r="L1405" s="165"/>
      <c r="M1405" s="26"/>
      <c r="N1405" s="44">
        <v>0</v>
      </c>
      <c r="O1405" s="22" t="s">
        <v>15</v>
      </c>
      <c r="P1405" s="44" t="s">
        <v>19</v>
      </c>
      <c r="Q1405" s="44">
        <f>N1405</f>
        <v>0</v>
      </c>
      <c r="R1405" s="24">
        <f t="shared" si="89"/>
        <v>0</v>
      </c>
      <c r="S1405" s="5"/>
      <c r="T1405" s="5"/>
    </row>
    <row r="1406" spans="1:20" ht="15.75" hidden="1" x14ac:dyDescent="0.25">
      <c r="A1406" t="s">
        <v>6753</v>
      </c>
      <c r="B1406" s="21" t="s">
        <v>395</v>
      </c>
      <c r="C1406" s="22" t="s">
        <v>2450</v>
      </c>
      <c r="D1406" s="22" t="s">
        <v>6260</v>
      </c>
      <c r="E1406" s="21" t="s">
        <v>0</v>
      </c>
      <c r="F1406" s="21"/>
      <c r="G1406" s="147" t="s">
        <v>2078</v>
      </c>
      <c r="H1406" s="23" t="s">
        <v>7214</v>
      </c>
      <c r="I1406" s="23" t="s">
        <v>8015</v>
      </c>
      <c r="J1406" s="21" t="s">
        <v>7216</v>
      </c>
      <c r="K1406" s="21"/>
      <c r="L1406" s="165"/>
      <c r="M1406" s="26"/>
      <c r="N1406" s="44">
        <v>0</v>
      </c>
      <c r="O1406" s="22" t="s">
        <v>15</v>
      </c>
      <c r="P1406" s="44" t="s">
        <v>19</v>
      </c>
      <c r="Q1406" s="44">
        <f>N1406</f>
        <v>0</v>
      </c>
      <c r="R1406" s="24">
        <f t="shared" si="89"/>
        <v>0</v>
      </c>
      <c r="S1406" s="5"/>
      <c r="T1406" s="5"/>
    </row>
    <row r="1407" spans="1:20" ht="15.75" hidden="1" x14ac:dyDescent="0.25">
      <c r="A1407" t="s">
        <v>6753</v>
      </c>
      <c r="B1407" s="21" t="s">
        <v>395</v>
      </c>
      <c r="C1407" s="22" t="s">
        <v>2450</v>
      </c>
      <c r="D1407" s="22" t="s">
        <v>6260</v>
      </c>
      <c r="E1407" s="21" t="s">
        <v>0</v>
      </c>
      <c r="F1407" s="21"/>
      <c r="G1407" s="147" t="s">
        <v>2078</v>
      </c>
      <c r="H1407" s="23" t="s">
        <v>9636</v>
      </c>
      <c r="I1407" s="23" t="s">
        <v>9637</v>
      </c>
      <c r="J1407" s="21" t="s">
        <v>9638</v>
      </c>
      <c r="K1407" s="21"/>
      <c r="L1407" s="165" t="s">
        <v>10147</v>
      </c>
      <c r="M1407" s="26">
        <v>45425</v>
      </c>
      <c r="N1407" s="44">
        <v>17970</v>
      </c>
      <c r="O1407" s="22" t="s">
        <v>15</v>
      </c>
      <c r="P1407" s="44">
        <v>17970</v>
      </c>
      <c r="Q1407" s="24">
        <f t="shared" ref="Q1407:Q1454" si="90">IF(P1407="en cours",N1407,IF(P1407="OK",0,IF(N1407-P1407&lt;0,0,N1407-P1407)))</f>
        <v>0</v>
      </c>
      <c r="R1407" s="24">
        <f t="shared" si="89"/>
        <v>17970</v>
      </c>
      <c r="S1407" s="5"/>
      <c r="T1407" s="5"/>
    </row>
    <row r="1408" spans="1:20" ht="15.75" hidden="1" x14ac:dyDescent="0.25">
      <c r="A1408" t="s">
        <v>6753</v>
      </c>
      <c r="B1408" s="21" t="s">
        <v>395</v>
      </c>
      <c r="C1408" s="22" t="s">
        <v>2450</v>
      </c>
      <c r="D1408" s="22"/>
      <c r="E1408" s="21" t="s">
        <v>0</v>
      </c>
      <c r="F1408" s="21"/>
      <c r="G1408" s="147" t="s">
        <v>5780</v>
      </c>
      <c r="H1408" s="23" t="s">
        <v>4360</v>
      </c>
      <c r="I1408" s="23" t="s">
        <v>7978</v>
      </c>
      <c r="J1408" s="21" t="s">
        <v>4601</v>
      </c>
      <c r="K1408" s="120"/>
      <c r="L1408" s="21" t="s">
        <v>4600</v>
      </c>
      <c r="M1408" s="26">
        <v>44210</v>
      </c>
      <c r="N1408" s="44">
        <v>10755</v>
      </c>
      <c r="O1408" s="22" t="s">
        <v>341</v>
      </c>
      <c r="P1408" s="22" t="s">
        <v>19</v>
      </c>
      <c r="Q1408" s="24">
        <f t="shared" si="90"/>
        <v>0</v>
      </c>
      <c r="R1408" s="24">
        <f t="shared" ref="R1408:R1428" si="91">IF(P1408="OK",N1408-Q1408,IF(P1408="en cours",M1408-Q1408,P1408))</f>
        <v>10755</v>
      </c>
      <c r="S1408" s="5"/>
      <c r="T1408" s="5"/>
    </row>
    <row r="1409" spans="1:20" ht="15.75" hidden="1" x14ac:dyDescent="0.25">
      <c r="A1409" t="s">
        <v>6753</v>
      </c>
      <c r="B1409" s="21" t="s">
        <v>395</v>
      </c>
      <c r="C1409" s="22" t="s">
        <v>2450</v>
      </c>
      <c r="D1409" s="22"/>
      <c r="E1409" s="21" t="s">
        <v>0</v>
      </c>
      <c r="F1409" s="21"/>
      <c r="G1409" s="147" t="s">
        <v>5780</v>
      </c>
      <c r="H1409" s="23" t="s">
        <v>4360</v>
      </c>
      <c r="I1409" s="23" t="s">
        <v>7978</v>
      </c>
      <c r="J1409" s="21" t="s">
        <v>4602</v>
      </c>
      <c r="K1409" s="120"/>
      <c r="L1409" s="21" t="s">
        <v>4600</v>
      </c>
      <c r="M1409" s="26">
        <v>44210</v>
      </c>
      <c r="N1409" s="44">
        <v>14890</v>
      </c>
      <c r="O1409" s="22" t="s">
        <v>341</v>
      </c>
      <c r="P1409" s="22" t="s">
        <v>19</v>
      </c>
      <c r="Q1409" s="24">
        <f t="shared" si="90"/>
        <v>0</v>
      </c>
      <c r="R1409" s="24">
        <f t="shared" si="91"/>
        <v>14890</v>
      </c>
      <c r="S1409" s="5"/>
      <c r="T1409" s="5"/>
    </row>
    <row r="1410" spans="1:20" ht="15.75" hidden="1" x14ac:dyDescent="0.25">
      <c r="A1410" t="s">
        <v>6753</v>
      </c>
      <c r="B1410" s="21" t="s">
        <v>395</v>
      </c>
      <c r="C1410" s="22" t="s">
        <v>2450</v>
      </c>
      <c r="D1410" s="22"/>
      <c r="E1410" s="21" t="s">
        <v>0</v>
      </c>
      <c r="F1410" s="21"/>
      <c r="G1410" s="147" t="s">
        <v>5780</v>
      </c>
      <c r="H1410" s="23" t="s">
        <v>4360</v>
      </c>
      <c r="I1410" s="23" t="s">
        <v>7978</v>
      </c>
      <c r="J1410" s="21" t="s">
        <v>4610</v>
      </c>
      <c r="K1410" s="120"/>
      <c r="L1410" s="21" t="s">
        <v>4611</v>
      </c>
      <c r="M1410" s="26">
        <v>44266</v>
      </c>
      <c r="N1410" s="44">
        <v>2320</v>
      </c>
      <c r="O1410" s="22" t="s">
        <v>341</v>
      </c>
      <c r="P1410" s="22" t="s">
        <v>19</v>
      </c>
      <c r="Q1410" s="24">
        <f t="shared" si="90"/>
        <v>0</v>
      </c>
      <c r="R1410" s="24">
        <f t="shared" si="91"/>
        <v>2320</v>
      </c>
      <c r="S1410" s="5"/>
      <c r="T1410" s="5"/>
    </row>
    <row r="1411" spans="1:20" ht="15.75" hidden="1" x14ac:dyDescent="0.25">
      <c r="A1411" t="s">
        <v>6753</v>
      </c>
      <c r="B1411" s="21" t="s">
        <v>395</v>
      </c>
      <c r="C1411" s="22" t="s">
        <v>2450</v>
      </c>
      <c r="D1411" s="22"/>
      <c r="E1411" s="21" t="s">
        <v>0</v>
      </c>
      <c r="F1411" s="21"/>
      <c r="G1411" s="147" t="s">
        <v>5780</v>
      </c>
      <c r="H1411" s="23" t="s">
        <v>4360</v>
      </c>
      <c r="I1411" s="23" t="s">
        <v>7978</v>
      </c>
      <c r="J1411" s="21" t="s">
        <v>4603</v>
      </c>
      <c r="K1411" s="120"/>
      <c r="L1411" s="21" t="s">
        <v>4669</v>
      </c>
      <c r="M1411" s="26">
        <v>44278</v>
      </c>
      <c r="N1411" s="44">
        <v>3541</v>
      </c>
      <c r="O1411" s="22" t="s">
        <v>341</v>
      </c>
      <c r="P1411" s="22" t="s">
        <v>19</v>
      </c>
      <c r="Q1411" s="24">
        <f t="shared" si="90"/>
        <v>0</v>
      </c>
      <c r="R1411" s="24">
        <f t="shared" si="91"/>
        <v>3541</v>
      </c>
      <c r="S1411" s="5"/>
      <c r="T1411" s="5"/>
    </row>
    <row r="1412" spans="1:20" ht="15.75" hidden="1" x14ac:dyDescent="0.25">
      <c r="A1412" t="s">
        <v>6753</v>
      </c>
      <c r="B1412" s="21" t="s">
        <v>395</v>
      </c>
      <c r="C1412" s="22" t="s">
        <v>2450</v>
      </c>
      <c r="D1412" s="22"/>
      <c r="E1412" s="21" t="s">
        <v>0</v>
      </c>
      <c r="F1412" s="21"/>
      <c r="G1412" s="147" t="s">
        <v>5780</v>
      </c>
      <c r="H1412" s="23" t="s">
        <v>4360</v>
      </c>
      <c r="I1412" s="23" t="s">
        <v>7978</v>
      </c>
      <c r="J1412" s="21" t="s">
        <v>4604</v>
      </c>
      <c r="K1412" s="120"/>
      <c r="L1412" s="21" t="s">
        <v>4612</v>
      </c>
      <c r="M1412" s="26">
        <v>44267</v>
      </c>
      <c r="N1412" s="44">
        <v>10378</v>
      </c>
      <c r="O1412" s="22" t="s">
        <v>341</v>
      </c>
      <c r="P1412" s="22" t="s">
        <v>19</v>
      </c>
      <c r="Q1412" s="24">
        <f t="shared" si="90"/>
        <v>0</v>
      </c>
      <c r="R1412" s="24">
        <f t="shared" si="91"/>
        <v>10378</v>
      </c>
      <c r="S1412" s="5"/>
      <c r="T1412" s="5"/>
    </row>
    <row r="1413" spans="1:20" ht="15.75" hidden="1" x14ac:dyDescent="0.25">
      <c r="A1413" t="s">
        <v>6753</v>
      </c>
      <c r="B1413" s="21" t="s">
        <v>395</v>
      </c>
      <c r="C1413" s="22" t="s">
        <v>2450</v>
      </c>
      <c r="D1413" s="22"/>
      <c r="E1413" s="21" t="s">
        <v>0</v>
      </c>
      <c r="F1413" s="21"/>
      <c r="G1413" s="147" t="s">
        <v>5780</v>
      </c>
      <c r="H1413" s="23" t="s">
        <v>4360</v>
      </c>
      <c r="I1413" s="23" t="s">
        <v>7978</v>
      </c>
      <c r="J1413" s="21" t="s">
        <v>4605</v>
      </c>
      <c r="K1413" s="120"/>
      <c r="L1413" s="21" t="s">
        <v>4612</v>
      </c>
      <c r="M1413" s="26">
        <v>44267</v>
      </c>
      <c r="N1413" s="44">
        <v>10287</v>
      </c>
      <c r="O1413" s="22" t="s">
        <v>341</v>
      </c>
      <c r="P1413" s="22" t="s">
        <v>19</v>
      </c>
      <c r="Q1413" s="24">
        <f t="shared" si="90"/>
        <v>0</v>
      </c>
      <c r="R1413" s="24">
        <f t="shared" si="91"/>
        <v>10287</v>
      </c>
      <c r="S1413" s="5"/>
      <c r="T1413" s="5"/>
    </row>
    <row r="1414" spans="1:20" ht="15.75" hidden="1" x14ac:dyDescent="0.25">
      <c r="A1414" t="s">
        <v>6753</v>
      </c>
      <c r="B1414" s="21" t="s">
        <v>395</v>
      </c>
      <c r="C1414" s="22" t="s">
        <v>2450</v>
      </c>
      <c r="D1414" s="22"/>
      <c r="E1414" s="21" t="s">
        <v>0</v>
      </c>
      <c r="F1414" s="21"/>
      <c r="G1414" s="147" t="s">
        <v>5780</v>
      </c>
      <c r="H1414" s="23" t="s">
        <v>4360</v>
      </c>
      <c r="I1414" s="23" t="s">
        <v>7978</v>
      </c>
      <c r="J1414" s="21" t="s">
        <v>4605</v>
      </c>
      <c r="K1414" s="120"/>
      <c r="L1414" s="21" t="s">
        <v>4612</v>
      </c>
      <c r="M1414" s="26">
        <v>44267</v>
      </c>
      <c r="N1414" s="44">
        <v>10287</v>
      </c>
      <c r="O1414" s="22" t="s">
        <v>341</v>
      </c>
      <c r="P1414" s="22" t="s">
        <v>19</v>
      </c>
      <c r="Q1414" s="24">
        <f t="shared" si="90"/>
        <v>0</v>
      </c>
      <c r="R1414" s="24">
        <f t="shared" si="91"/>
        <v>10287</v>
      </c>
      <c r="S1414" s="5"/>
      <c r="T1414" s="5"/>
    </row>
    <row r="1415" spans="1:20" ht="15.75" hidden="1" x14ac:dyDescent="0.25">
      <c r="A1415" t="s">
        <v>6753</v>
      </c>
      <c r="B1415" s="21" t="s">
        <v>395</v>
      </c>
      <c r="C1415" s="22" t="s">
        <v>2450</v>
      </c>
      <c r="D1415" s="22"/>
      <c r="E1415" s="21" t="s">
        <v>0</v>
      </c>
      <c r="F1415" s="21"/>
      <c r="G1415" s="147" t="s">
        <v>5780</v>
      </c>
      <c r="H1415" s="23" t="s">
        <v>4357</v>
      </c>
      <c r="I1415" s="23" t="s">
        <v>7979</v>
      </c>
      <c r="J1415" s="21" t="s">
        <v>4358</v>
      </c>
      <c r="K1415" s="120"/>
      <c r="L1415" s="21" t="s">
        <v>4359</v>
      </c>
      <c r="M1415" s="26">
        <v>44235</v>
      </c>
      <c r="N1415" s="44">
        <v>6090</v>
      </c>
      <c r="O1415" s="22" t="s">
        <v>341</v>
      </c>
      <c r="P1415" s="22" t="s">
        <v>19</v>
      </c>
      <c r="Q1415" s="24">
        <f t="shared" si="90"/>
        <v>0</v>
      </c>
      <c r="R1415" s="24">
        <f t="shared" si="91"/>
        <v>6090</v>
      </c>
      <c r="S1415" s="5"/>
      <c r="T1415" s="5"/>
    </row>
    <row r="1416" spans="1:20" ht="15.75" hidden="1" x14ac:dyDescent="0.25">
      <c r="A1416" t="s">
        <v>6753</v>
      </c>
      <c r="B1416" s="21" t="s">
        <v>395</v>
      </c>
      <c r="C1416" s="22" t="s">
        <v>2450</v>
      </c>
      <c r="D1416" s="22"/>
      <c r="E1416" s="21" t="s">
        <v>0</v>
      </c>
      <c r="F1416" s="21"/>
      <c r="G1416" s="147" t="s">
        <v>5780</v>
      </c>
      <c r="H1416" s="23" t="s">
        <v>3869</v>
      </c>
      <c r="I1416" s="23" t="s">
        <v>7977</v>
      </c>
      <c r="J1416" s="21" t="s">
        <v>3870</v>
      </c>
      <c r="K1416" s="120"/>
      <c r="L1416" s="21" t="s">
        <v>3913</v>
      </c>
      <c r="M1416" s="26">
        <v>44131</v>
      </c>
      <c r="N1416" s="44">
        <v>49508</v>
      </c>
      <c r="O1416" s="22" t="s">
        <v>341</v>
      </c>
      <c r="P1416" s="22" t="s">
        <v>19</v>
      </c>
      <c r="Q1416" s="24">
        <f t="shared" si="90"/>
        <v>0</v>
      </c>
      <c r="R1416" s="24">
        <f t="shared" si="91"/>
        <v>49508</v>
      </c>
      <c r="S1416" s="5"/>
      <c r="T1416" s="5"/>
    </row>
    <row r="1417" spans="1:20" ht="15.75" hidden="1" x14ac:dyDescent="0.25">
      <c r="A1417" t="s">
        <v>6753</v>
      </c>
      <c r="B1417" s="21" t="s">
        <v>395</v>
      </c>
      <c r="C1417" s="22" t="s">
        <v>2450</v>
      </c>
      <c r="D1417" s="22"/>
      <c r="E1417" s="21" t="s">
        <v>0</v>
      </c>
      <c r="F1417" s="21"/>
      <c r="G1417" s="147" t="s">
        <v>5780</v>
      </c>
      <c r="H1417" s="23" t="s">
        <v>3869</v>
      </c>
      <c r="I1417" s="23" t="s">
        <v>7977</v>
      </c>
      <c r="J1417" s="21" t="s">
        <v>3876</v>
      </c>
      <c r="K1417" s="120"/>
      <c r="L1417" s="21" t="s">
        <v>3912</v>
      </c>
      <c r="M1417" s="26">
        <v>44134</v>
      </c>
      <c r="N1417" s="44">
        <v>18870</v>
      </c>
      <c r="O1417" s="22" t="s">
        <v>341</v>
      </c>
      <c r="P1417" s="22" t="s">
        <v>19</v>
      </c>
      <c r="Q1417" s="24">
        <f t="shared" si="90"/>
        <v>0</v>
      </c>
      <c r="R1417" s="24">
        <f t="shared" si="91"/>
        <v>18870</v>
      </c>
      <c r="S1417" s="5"/>
      <c r="T1417" s="5"/>
    </row>
    <row r="1418" spans="1:20" ht="15.75" hidden="1" x14ac:dyDescent="0.25">
      <c r="A1418" t="s">
        <v>6753</v>
      </c>
      <c r="B1418" s="21" t="s">
        <v>395</v>
      </c>
      <c r="C1418" s="22" t="s">
        <v>2450</v>
      </c>
      <c r="D1418" s="22"/>
      <c r="E1418" s="21" t="s">
        <v>0</v>
      </c>
      <c r="F1418" s="21"/>
      <c r="G1418" s="147" t="s">
        <v>5780</v>
      </c>
      <c r="H1418" s="23" t="s">
        <v>3869</v>
      </c>
      <c r="I1418" s="23" t="s">
        <v>7977</v>
      </c>
      <c r="J1418" s="21" t="s">
        <v>3871</v>
      </c>
      <c r="K1418" s="120"/>
      <c r="L1418" s="21" t="s">
        <v>4669</v>
      </c>
      <c r="M1418" s="26">
        <v>44278</v>
      </c>
      <c r="N1418" s="44">
        <v>8027</v>
      </c>
      <c r="O1418" s="22" t="s">
        <v>341</v>
      </c>
      <c r="P1418" s="22" t="s">
        <v>19</v>
      </c>
      <c r="Q1418" s="24">
        <f t="shared" si="90"/>
        <v>0</v>
      </c>
      <c r="R1418" s="24">
        <f t="shared" si="91"/>
        <v>8027</v>
      </c>
      <c r="S1418" s="5"/>
      <c r="T1418" s="5"/>
    </row>
    <row r="1419" spans="1:20" ht="15.75" hidden="1" x14ac:dyDescent="0.25">
      <c r="A1419" t="s">
        <v>6753</v>
      </c>
      <c r="B1419" s="21" t="s">
        <v>395</v>
      </c>
      <c r="C1419" s="22" t="s">
        <v>2450</v>
      </c>
      <c r="D1419" s="22"/>
      <c r="E1419" s="21" t="s">
        <v>0</v>
      </c>
      <c r="F1419" s="21"/>
      <c r="G1419" s="147" t="s">
        <v>5780</v>
      </c>
      <c r="H1419" s="23" t="s">
        <v>3869</v>
      </c>
      <c r="I1419" s="23" t="s">
        <v>7977</v>
      </c>
      <c r="J1419" s="21" t="s">
        <v>3872</v>
      </c>
      <c r="K1419" s="120"/>
      <c r="L1419" s="21" t="s">
        <v>4279</v>
      </c>
      <c r="M1419" s="26">
        <v>44214</v>
      </c>
      <c r="N1419" s="44">
        <v>21478</v>
      </c>
      <c r="O1419" s="22" t="s">
        <v>341</v>
      </c>
      <c r="P1419" s="22" t="s">
        <v>19</v>
      </c>
      <c r="Q1419" s="24">
        <f t="shared" si="90"/>
        <v>0</v>
      </c>
      <c r="R1419" s="24">
        <f t="shared" si="91"/>
        <v>21478</v>
      </c>
      <c r="S1419" s="5"/>
      <c r="T1419" s="5"/>
    </row>
    <row r="1420" spans="1:20" ht="15.75" hidden="1" x14ac:dyDescent="0.25">
      <c r="A1420" t="s">
        <v>6753</v>
      </c>
      <c r="B1420" s="21" t="s">
        <v>395</v>
      </c>
      <c r="C1420" s="22" t="s">
        <v>2450</v>
      </c>
      <c r="D1420" s="22"/>
      <c r="E1420" s="21" t="s">
        <v>0</v>
      </c>
      <c r="F1420" s="21"/>
      <c r="G1420" s="147" t="s">
        <v>5780</v>
      </c>
      <c r="H1420" s="23" t="s">
        <v>3869</v>
      </c>
      <c r="I1420" s="23" t="s">
        <v>7977</v>
      </c>
      <c r="J1420" s="21" t="s">
        <v>3880</v>
      </c>
      <c r="K1420" s="120"/>
      <c r="L1420" s="21" t="s">
        <v>4491</v>
      </c>
      <c r="M1420" s="26">
        <v>44253</v>
      </c>
      <c r="N1420" s="192">
        <v>33583</v>
      </c>
      <c r="O1420" s="22" t="s">
        <v>341</v>
      </c>
      <c r="P1420" s="22" t="s">
        <v>19</v>
      </c>
      <c r="Q1420" s="24">
        <f t="shared" si="90"/>
        <v>0</v>
      </c>
      <c r="R1420" s="24">
        <f t="shared" si="91"/>
        <v>33583</v>
      </c>
      <c r="S1420" s="5"/>
      <c r="T1420" s="5"/>
    </row>
    <row r="1421" spans="1:20" ht="15.75" hidden="1" x14ac:dyDescent="0.25">
      <c r="A1421" t="s">
        <v>6753</v>
      </c>
      <c r="B1421" s="21" t="s">
        <v>395</v>
      </c>
      <c r="C1421" s="22" t="s">
        <v>2450</v>
      </c>
      <c r="D1421" s="22"/>
      <c r="E1421" s="21" t="s">
        <v>0</v>
      </c>
      <c r="F1421" s="21"/>
      <c r="G1421" s="147" t="s">
        <v>5780</v>
      </c>
      <c r="H1421" s="23" t="s">
        <v>3869</v>
      </c>
      <c r="I1421" s="23" t="s">
        <v>7977</v>
      </c>
      <c r="J1421" s="21" t="s">
        <v>3873</v>
      </c>
      <c r="K1421" s="120"/>
      <c r="L1421" s="21" t="s">
        <v>5781</v>
      </c>
      <c r="M1421" s="26">
        <v>44449</v>
      </c>
      <c r="N1421" s="192">
        <v>11804</v>
      </c>
      <c r="O1421" s="22" t="s">
        <v>341</v>
      </c>
      <c r="P1421" s="22" t="s">
        <v>19</v>
      </c>
      <c r="Q1421" s="24">
        <f t="shared" si="90"/>
        <v>0</v>
      </c>
      <c r="R1421" s="24">
        <f t="shared" si="91"/>
        <v>11804</v>
      </c>
      <c r="S1421" s="5"/>
      <c r="T1421" s="5"/>
    </row>
    <row r="1422" spans="1:20" ht="15.75" hidden="1" x14ac:dyDescent="0.25">
      <c r="A1422" t="s">
        <v>6753</v>
      </c>
      <c r="B1422" s="21" t="s">
        <v>395</v>
      </c>
      <c r="C1422" s="22" t="s">
        <v>2450</v>
      </c>
      <c r="D1422" s="22"/>
      <c r="E1422" s="21" t="s">
        <v>0</v>
      </c>
      <c r="F1422" s="21"/>
      <c r="G1422" s="147" t="s">
        <v>5780</v>
      </c>
      <c r="H1422" s="23" t="s">
        <v>3869</v>
      </c>
      <c r="I1422" s="23" t="s">
        <v>7977</v>
      </c>
      <c r="J1422" s="21" t="s">
        <v>3874</v>
      </c>
      <c r="K1422" s="120"/>
      <c r="L1422" s="21" t="s">
        <v>4246</v>
      </c>
      <c r="M1422" s="26">
        <v>44183</v>
      </c>
      <c r="N1422" s="44">
        <v>9573</v>
      </c>
      <c r="O1422" s="22" t="s">
        <v>341</v>
      </c>
      <c r="P1422" s="22" t="s">
        <v>19</v>
      </c>
      <c r="Q1422" s="24">
        <f t="shared" si="90"/>
        <v>0</v>
      </c>
      <c r="R1422" s="24">
        <f t="shared" si="91"/>
        <v>9573</v>
      </c>
      <c r="S1422" s="5"/>
      <c r="T1422" s="5"/>
    </row>
    <row r="1423" spans="1:20" ht="15.75" hidden="1" x14ac:dyDescent="0.25">
      <c r="A1423" t="s">
        <v>6753</v>
      </c>
      <c r="B1423" s="21" t="s">
        <v>395</v>
      </c>
      <c r="C1423" s="22" t="s">
        <v>2450</v>
      </c>
      <c r="D1423" s="22"/>
      <c r="E1423" s="21" t="s">
        <v>0</v>
      </c>
      <c r="F1423" s="21"/>
      <c r="G1423" s="147" t="s">
        <v>5780</v>
      </c>
      <c r="H1423" s="23" t="s">
        <v>3869</v>
      </c>
      <c r="I1423" s="23" t="s">
        <v>7977</v>
      </c>
      <c r="J1423" s="21" t="s">
        <v>3875</v>
      </c>
      <c r="K1423" s="120"/>
      <c r="L1423" s="21" t="s">
        <v>4490</v>
      </c>
      <c r="M1423" s="26">
        <v>44250</v>
      </c>
      <c r="N1423" s="192">
        <v>23571</v>
      </c>
      <c r="O1423" s="22" t="s">
        <v>341</v>
      </c>
      <c r="P1423" s="22" t="s">
        <v>19</v>
      </c>
      <c r="Q1423" s="24">
        <f t="shared" si="90"/>
        <v>0</v>
      </c>
      <c r="R1423" s="24">
        <f t="shared" si="91"/>
        <v>23571</v>
      </c>
      <c r="S1423" s="5"/>
      <c r="T1423" s="5"/>
    </row>
    <row r="1424" spans="1:20" ht="15.75" hidden="1" x14ac:dyDescent="0.25">
      <c r="A1424" t="s">
        <v>6753</v>
      </c>
      <c r="B1424" s="21" t="s">
        <v>395</v>
      </c>
      <c r="C1424" s="22" t="s">
        <v>2450</v>
      </c>
      <c r="D1424" s="22"/>
      <c r="E1424" s="21" t="s">
        <v>0</v>
      </c>
      <c r="F1424" s="21"/>
      <c r="G1424" s="147" t="s">
        <v>5780</v>
      </c>
      <c r="H1424" s="23" t="s">
        <v>3869</v>
      </c>
      <c r="I1424" s="23" t="s">
        <v>7977</v>
      </c>
      <c r="J1424" s="21" t="s">
        <v>3871</v>
      </c>
      <c r="K1424" s="120"/>
      <c r="L1424" s="21" t="s">
        <v>4710</v>
      </c>
      <c r="M1424" s="26">
        <v>44281</v>
      </c>
      <c r="N1424" s="192">
        <v>5502</v>
      </c>
      <c r="O1424" s="22" t="s">
        <v>341</v>
      </c>
      <c r="P1424" s="22" t="s">
        <v>19</v>
      </c>
      <c r="Q1424" s="24">
        <f t="shared" si="90"/>
        <v>0</v>
      </c>
      <c r="R1424" s="24">
        <f t="shared" si="91"/>
        <v>5502</v>
      </c>
      <c r="S1424" s="5"/>
      <c r="T1424" s="5"/>
    </row>
    <row r="1425" spans="1:20" ht="15.75" hidden="1" x14ac:dyDescent="0.25">
      <c r="A1425" t="s">
        <v>6753</v>
      </c>
      <c r="B1425" s="21" t="s">
        <v>395</v>
      </c>
      <c r="C1425" s="22" t="s">
        <v>2450</v>
      </c>
      <c r="D1425" s="22"/>
      <c r="E1425" s="21" t="s">
        <v>0</v>
      </c>
      <c r="F1425" s="21"/>
      <c r="G1425" s="147" t="s">
        <v>5780</v>
      </c>
      <c r="H1425" s="23" t="s">
        <v>3869</v>
      </c>
      <c r="I1425" s="23" t="s">
        <v>7977</v>
      </c>
      <c r="J1425" s="21" t="s">
        <v>3877</v>
      </c>
      <c r="K1425" s="120"/>
      <c r="L1425" s="21" t="s">
        <v>5198</v>
      </c>
      <c r="M1425" s="26">
        <v>44361</v>
      </c>
      <c r="N1425" s="192">
        <v>25749</v>
      </c>
      <c r="O1425" s="22" t="s">
        <v>341</v>
      </c>
      <c r="P1425" s="22" t="s">
        <v>19</v>
      </c>
      <c r="Q1425" s="24">
        <f t="shared" si="90"/>
        <v>0</v>
      </c>
      <c r="R1425" s="24">
        <f t="shared" si="91"/>
        <v>25749</v>
      </c>
      <c r="S1425" s="5"/>
      <c r="T1425" s="5"/>
    </row>
    <row r="1426" spans="1:20" ht="15.75" hidden="1" x14ac:dyDescent="0.25">
      <c r="A1426" t="s">
        <v>6753</v>
      </c>
      <c r="B1426" s="21" t="s">
        <v>1541</v>
      </c>
      <c r="C1426" s="22" t="s">
        <v>2450</v>
      </c>
      <c r="D1426" s="22"/>
      <c r="E1426" s="21" t="s">
        <v>0</v>
      </c>
      <c r="F1426" s="21"/>
      <c r="G1426" s="147" t="s">
        <v>5780</v>
      </c>
      <c r="H1426" s="23" t="s">
        <v>3869</v>
      </c>
      <c r="I1426" s="23" t="s">
        <v>7977</v>
      </c>
      <c r="J1426" s="21" t="s">
        <v>4606</v>
      </c>
      <c r="K1426" s="120"/>
      <c r="L1426" s="21"/>
      <c r="M1426" s="26"/>
      <c r="N1426" s="204">
        <v>0</v>
      </c>
      <c r="O1426" s="22" t="s">
        <v>341</v>
      </c>
      <c r="P1426" s="22"/>
      <c r="Q1426" s="24">
        <f t="shared" si="90"/>
        <v>0</v>
      </c>
      <c r="R1426" s="24">
        <f t="shared" si="91"/>
        <v>0</v>
      </c>
      <c r="S1426" s="5"/>
      <c r="T1426" s="5"/>
    </row>
    <row r="1427" spans="1:20" ht="15.75" hidden="1" x14ac:dyDescent="0.25">
      <c r="A1427" t="s">
        <v>6753</v>
      </c>
      <c r="B1427" s="21" t="s">
        <v>1541</v>
      </c>
      <c r="C1427" s="22" t="s">
        <v>2450</v>
      </c>
      <c r="D1427" s="22"/>
      <c r="E1427" s="21" t="s">
        <v>0</v>
      </c>
      <c r="F1427" s="21"/>
      <c r="G1427" s="147" t="s">
        <v>5780</v>
      </c>
      <c r="H1427" s="23" t="s">
        <v>3869</v>
      </c>
      <c r="I1427" s="23" t="s">
        <v>7977</v>
      </c>
      <c r="J1427" s="21" t="s">
        <v>3881</v>
      </c>
      <c r="K1427" s="120"/>
      <c r="L1427" s="21"/>
      <c r="M1427" s="26"/>
      <c r="N1427" s="204">
        <v>0</v>
      </c>
      <c r="O1427" s="22" t="s">
        <v>341</v>
      </c>
      <c r="P1427" s="22"/>
      <c r="Q1427" s="24">
        <f t="shared" si="90"/>
        <v>0</v>
      </c>
      <c r="R1427" s="24">
        <f t="shared" si="91"/>
        <v>0</v>
      </c>
      <c r="S1427" s="5"/>
      <c r="T1427" s="5"/>
    </row>
    <row r="1428" spans="1:20" ht="15.75" hidden="1" x14ac:dyDescent="0.25">
      <c r="A1428" t="s">
        <v>6753</v>
      </c>
      <c r="B1428" s="21" t="s">
        <v>395</v>
      </c>
      <c r="C1428" s="22" t="s">
        <v>2450</v>
      </c>
      <c r="D1428" s="22"/>
      <c r="E1428" s="21" t="s">
        <v>0</v>
      </c>
      <c r="F1428" s="21"/>
      <c r="G1428" s="147" t="s">
        <v>5780</v>
      </c>
      <c r="H1428" s="23" t="s">
        <v>3869</v>
      </c>
      <c r="I1428" s="23" t="s">
        <v>7977</v>
      </c>
      <c r="J1428" s="21" t="s">
        <v>4607</v>
      </c>
      <c r="K1428" s="120"/>
      <c r="L1428" s="21" t="s">
        <v>5529</v>
      </c>
      <c r="M1428" s="26">
        <v>44407</v>
      </c>
      <c r="N1428" s="192">
        <v>30519</v>
      </c>
      <c r="O1428" s="22" t="s">
        <v>341</v>
      </c>
      <c r="P1428" s="22" t="s">
        <v>19</v>
      </c>
      <c r="Q1428" s="24">
        <f t="shared" si="90"/>
        <v>0</v>
      </c>
      <c r="R1428" s="24">
        <f t="shared" si="91"/>
        <v>30519</v>
      </c>
      <c r="S1428" s="5"/>
      <c r="T1428" s="5"/>
    </row>
    <row r="1429" spans="1:20" ht="15.75" hidden="1" x14ac:dyDescent="0.25">
      <c r="A1429" t="s">
        <v>6753</v>
      </c>
      <c r="B1429" s="21" t="s">
        <v>395</v>
      </c>
      <c r="C1429" s="22" t="s">
        <v>2450</v>
      </c>
      <c r="D1429" s="22"/>
      <c r="E1429" s="21" t="s">
        <v>0</v>
      </c>
      <c r="F1429" s="21" t="s">
        <v>9766</v>
      </c>
      <c r="G1429" s="147" t="s">
        <v>92</v>
      </c>
      <c r="H1429" s="23" t="s">
        <v>10026</v>
      </c>
      <c r="I1429" s="23" t="s">
        <v>10027</v>
      </c>
      <c r="J1429" s="21" t="s">
        <v>10028</v>
      </c>
      <c r="K1429" s="21"/>
      <c r="L1429" s="21" t="s">
        <v>10078</v>
      </c>
      <c r="M1429" s="26">
        <v>45467</v>
      </c>
      <c r="N1429" s="44">
        <v>970</v>
      </c>
      <c r="O1429" s="22" t="s">
        <v>15</v>
      </c>
      <c r="P1429" s="44">
        <v>970</v>
      </c>
      <c r="Q1429" s="44">
        <f t="shared" si="90"/>
        <v>0</v>
      </c>
      <c r="R1429" s="24">
        <f t="shared" ref="R1429:R1492" si="92">IF(P1429="OK",N1429-Q1429,IF(P1429="en cours",N1429-Q1429,P1429))</f>
        <v>970</v>
      </c>
      <c r="S1429" s="5"/>
      <c r="T1429" s="5"/>
    </row>
    <row r="1430" spans="1:20" ht="15.75" hidden="1" x14ac:dyDescent="0.25">
      <c r="A1430" t="s">
        <v>6753</v>
      </c>
      <c r="B1430" s="21" t="s">
        <v>395</v>
      </c>
      <c r="C1430" s="22" t="s">
        <v>2450</v>
      </c>
      <c r="D1430" s="22"/>
      <c r="E1430" s="21" t="s">
        <v>0</v>
      </c>
      <c r="F1430" s="21" t="s">
        <v>9823</v>
      </c>
      <c r="G1430" s="147" t="s">
        <v>92</v>
      </c>
      <c r="H1430" s="23" t="s">
        <v>10621</v>
      </c>
      <c r="I1430" s="23" t="s">
        <v>10622</v>
      </c>
      <c r="J1430" s="21" t="s">
        <v>10623</v>
      </c>
      <c r="K1430" s="21"/>
      <c r="L1430" s="21" t="s">
        <v>10782</v>
      </c>
      <c r="M1430" s="26">
        <v>45573</v>
      </c>
      <c r="N1430" s="44">
        <v>550</v>
      </c>
      <c r="O1430" s="22" t="s">
        <v>15</v>
      </c>
      <c r="P1430" s="44">
        <v>550</v>
      </c>
      <c r="Q1430" s="44">
        <f t="shared" si="90"/>
        <v>0</v>
      </c>
      <c r="R1430" s="24">
        <f t="shared" si="92"/>
        <v>550</v>
      </c>
      <c r="S1430" s="5"/>
      <c r="T1430" s="5"/>
    </row>
    <row r="1431" spans="1:20" ht="15.75" hidden="1" x14ac:dyDescent="0.25">
      <c r="A1431" t="s">
        <v>6386</v>
      </c>
      <c r="B1431" s="21" t="s">
        <v>395</v>
      </c>
      <c r="C1431" s="22" t="s">
        <v>2450</v>
      </c>
      <c r="D1431" s="22"/>
      <c r="E1431" s="21" t="s">
        <v>10</v>
      </c>
      <c r="F1431" s="21"/>
      <c r="G1431" s="147" t="s">
        <v>102</v>
      </c>
      <c r="H1431" s="23" t="s">
        <v>1660</v>
      </c>
      <c r="I1431" s="23" t="s">
        <v>7859</v>
      </c>
      <c r="J1431" s="21" t="s">
        <v>1664</v>
      </c>
      <c r="K1431" s="120"/>
      <c r="L1431" s="21" t="s">
        <v>2000</v>
      </c>
      <c r="M1431" s="26">
        <v>43637</v>
      </c>
      <c r="N1431" s="44">
        <f>0.4*43440</f>
        <v>17376</v>
      </c>
      <c r="O1431" s="22" t="s">
        <v>15</v>
      </c>
      <c r="P1431" s="22" t="s">
        <v>19</v>
      </c>
      <c r="Q1431" s="24">
        <f t="shared" si="90"/>
        <v>0</v>
      </c>
      <c r="R1431" s="24">
        <f t="shared" si="92"/>
        <v>17376</v>
      </c>
      <c r="S1431" s="5"/>
      <c r="T1431" s="5"/>
    </row>
    <row r="1432" spans="1:20" ht="15.75" hidden="1" x14ac:dyDescent="0.25">
      <c r="A1432" t="s">
        <v>6386</v>
      </c>
      <c r="B1432" s="21" t="s">
        <v>395</v>
      </c>
      <c r="C1432" s="22" t="s">
        <v>2450</v>
      </c>
      <c r="D1432" s="22"/>
      <c r="E1432" s="21" t="s">
        <v>10</v>
      </c>
      <c r="F1432" s="21"/>
      <c r="G1432" s="147" t="s">
        <v>102</v>
      </c>
      <c r="H1432" s="23" t="s">
        <v>1660</v>
      </c>
      <c r="I1432" s="23" t="s">
        <v>7859</v>
      </c>
      <c r="J1432" s="21" t="s">
        <v>1665</v>
      </c>
      <c r="K1432" s="120"/>
      <c r="L1432" s="21" t="s">
        <v>3183</v>
      </c>
      <c r="M1432" s="26">
        <v>43971</v>
      </c>
      <c r="N1432" s="44">
        <f>0.5*43440</f>
        <v>21720</v>
      </c>
      <c r="O1432" s="22" t="s">
        <v>15</v>
      </c>
      <c r="P1432" s="22" t="s">
        <v>19</v>
      </c>
      <c r="Q1432" s="24">
        <f t="shared" si="90"/>
        <v>0</v>
      </c>
      <c r="R1432" s="24">
        <f t="shared" si="92"/>
        <v>21720</v>
      </c>
      <c r="S1432" s="5"/>
      <c r="T1432" s="5"/>
    </row>
    <row r="1433" spans="1:20" ht="15.75" hidden="1" x14ac:dyDescent="0.25">
      <c r="A1433" t="s">
        <v>6386</v>
      </c>
      <c r="B1433" s="21" t="s">
        <v>395</v>
      </c>
      <c r="C1433" s="22" t="s">
        <v>2450</v>
      </c>
      <c r="D1433" s="22"/>
      <c r="E1433" s="21" t="s">
        <v>10</v>
      </c>
      <c r="F1433" s="21"/>
      <c r="G1433" s="147" t="s">
        <v>102</v>
      </c>
      <c r="H1433" s="23" t="s">
        <v>1660</v>
      </c>
      <c r="I1433" s="23" t="s">
        <v>7859</v>
      </c>
      <c r="J1433" s="21" t="s">
        <v>1666</v>
      </c>
      <c r="K1433" s="120"/>
      <c r="L1433" s="21" t="s">
        <v>3644</v>
      </c>
      <c r="M1433" s="26">
        <v>44057</v>
      </c>
      <c r="N1433" s="44">
        <f>0.1*43440</f>
        <v>4344</v>
      </c>
      <c r="O1433" s="22" t="s">
        <v>15</v>
      </c>
      <c r="P1433" s="22" t="s">
        <v>19</v>
      </c>
      <c r="Q1433" s="24">
        <f t="shared" si="90"/>
        <v>0</v>
      </c>
      <c r="R1433" s="24">
        <f t="shared" si="92"/>
        <v>4344</v>
      </c>
      <c r="S1433" s="5"/>
      <c r="T1433" s="5"/>
    </row>
    <row r="1434" spans="1:20" ht="15.75" hidden="1" x14ac:dyDescent="0.25">
      <c r="A1434" t="s">
        <v>6386</v>
      </c>
      <c r="B1434" s="21" t="s">
        <v>395</v>
      </c>
      <c r="C1434" s="22" t="s">
        <v>2450</v>
      </c>
      <c r="D1434" s="22"/>
      <c r="E1434" s="21" t="s">
        <v>10</v>
      </c>
      <c r="F1434" s="21"/>
      <c r="G1434" s="147" t="s">
        <v>102</v>
      </c>
      <c r="H1434" s="23" t="s">
        <v>1659</v>
      </c>
      <c r="I1434" s="23" t="s">
        <v>7858</v>
      </c>
      <c r="J1434" s="21" t="s">
        <v>1661</v>
      </c>
      <c r="K1434" s="120"/>
      <c r="L1434" s="21" t="s">
        <v>2001</v>
      </c>
      <c r="M1434" s="26">
        <v>43637</v>
      </c>
      <c r="N1434" s="44">
        <f>0.6*38500</f>
        <v>23100</v>
      </c>
      <c r="O1434" s="22" t="s">
        <v>15</v>
      </c>
      <c r="P1434" s="22" t="s">
        <v>19</v>
      </c>
      <c r="Q1434" s="24">
        <f t="shared" si="90"/>
        <v>0</v>
      </c>
      <c r="R1434" s="24">
        <f t="shared" si="92"/>
        <v>23100</v>
      </c>
      <c r="S1434" s="5"/>
      <c r="T1434" s="5"/>
    </row>
    <row r="1435" spans="1:20" ht="15.75" hidden="1" x14ac:dyDescent="0.25">
      <c r="A1435" t="s">
        <v>6386</v>
      </c>
      <c r="B1435" s="21" t="s">
        <v>395</v>
      </c>
      <c r="C1435" s="22" t="s">
        <v>2450</v>
      </c>
      <c r="D1435" s="22"/>
      <c r="E1435" s="21" t="s">
        <v>10</v>
      </c>
      <c r="F1435" s="21"/>
      <c r="G1435" s="147" t="s">
        <v>102</v>
      </c>
      <c r="H1435" s="23" t="s">
        <v>1659</v>
      </c>
      <c r="I1435" s="23" t="s">
        <v>7858</v>
      </c>
      <c r="J1435" s="21" t="s">
        <v>1662</v>
      </c>
      <c r="K1435" s="120"/>
      <c r="L1435" s="21" t="s">
        <v>3622</v>
      </c>
      <c r="M1435" s="26">
        <v>44057</v>
      </c>
      <c r="N1435" s="44">
        <f>0.35*38500</f>
        <v>13475</v>
      </c>
      <c r="O1435" s="22" t="s">
        <v>15</v>
      </c>
      <c r="P1435" s="22" t="s">
        <v>19</v>
      </c>
      <c r="Q1435" s="24">
        <f t="shared" si="90"/>
        <v>0</v>
      </c>
      <c r="R1435" s="24">
        <f t="shared" si="92"/>
        <v>13475</v>
      </c>
      <c r="S1435" s="5"/>
      <c r="T1435" s="5"/>
    </row>
    <row r="1436" spans="1:20" ht="15.75" hidden="1" x14ac:dyDescent="0.25">
      <c r="A1436" t="s">
        <v>6386</v>
      </c>
      <c r="B1436" s="21" t="s">
        <v>395</v>
      </c>
      <c r="C1436" s="22" t="s">
        <v>2450</v>
      </c>
      <c r="D1436" s="22"/>
      <c r="E1436" s="21" t="s">
        <v>10</v>
      </c>
      <c r="F1436" s="21"/>
      <c r="G1436" s="147" t="s">
        <v>102</v>
      </c>
      <c r="H1436" s="23" t="s">
        <v>1659</v>
      </c>
      <c r="I1436" s="23" t="s">
        <v>7858</v>
      </c>
      <c r="J1436" s="21" t="s">
        <v>1663</v>
      </c>
      <c r="K1436" s="120"/>
      <c r="L1436" s="21" t="s">
        <v>3643</v>
      </c>
      <c r="M1436" s="26">
        <v>44057</v>
      </c>
      <c r="N1436" s="44">
        <f>0.05*38500</f>
        <v>1925</v>
      </c>
      <c r="O1436" s="22" t="s">
        <v>15</v>
      </c>
      <c r="P1436" s="22" t="s">
        <v>19</v>
      </c>
      <c r="Q1436" s="24">
        <f t="shared" si="90"/>
        <v>0</v>
      </c>
      <c r="R1436" s="24">
        <f t="shared" si="92"/>
        <v>1925</v>
      </c>
      <c r="S1436" s="5"/>
      <c r="T1436" s="5"/>
    </row>
    <row r="1437" spans="1:20" ht="15.75" hidden="1" x14ac:dyDescent="0.25">
      <c r="A1437" t="s">
        <v>6386</v>
      </c>
      <c r="B1437" s="21" t="s">
        <v>395</v>
      </c>
      <c r="C1437" s="22" t="s">
        <v>2450</v>
      </c>
      <c r="D1437" s="22"/>
      <c r="E1437" s="21" t="s">
        <v>10</v>
      </c>
      <c r="F1437" s="21"/>
      <c r="G1437" s="147" t="s">
        <v>102</v>
      </c>
      <c r="H1437" s="23" t="s">
        <v>1694</v>
      </c>
      <c r="I1437" s="23" t="s">
        <v>7865</v>
      </c>
      <c r="J1437" s="21" t="s">
        <v>1695</v>
      </c>
      <c r="K1437" s="120"/>
      <c r="L1437" s="21" t="s">
        <v>2250</v>
      </c>
      <c r="M1437" s="26">
        <v>43647</v>
      </c>
      <c r="N1437" s="44">
        <f>0.45*40862</f>
        <v>18387.900000000001</v>
      </c>
      <c r="O1437" s="22" t="s">
        <v>15</v>
      </c>
      <c r="P1437" s="22" t="s">
        <v>19</v>
      </c>
      <c r="Q1437" s="24">
        <f t="shared" si="90"/>
        <v>0</v>
      </c>
      <c r="R1437" s="24">
        <f t="shared" si="92"/>
        <v>18387.900000000001</v>
      </c>
      <c r="S1437" s="5" t="s">
        <v>1739</v>
      </c>
      <c r="T1437" s="5" t="s">
        <v>1730</v>
      </c>
    </row>
    <row r="1438" spans="1:20" ht="15.75" hidden="1" x14ac:dyDescent="0.25">
      <c r="A1438" t="s">
        <v>6386</v>
      </c>
      <c r="B1438" s="21" t="s">
        <v>395</v>
      </c>
      <c r="C1438" s="22" t="s">
        <v>2450</v>
      </c>
      <c r="D1438" s="22"/>
      <c r="E1438" s="21" t="s">
        <v>10</v>
      </c>
      <c r="F1438" s="21"/>
      <c r="G1438" s="147" t="s">
        <v>102</v>
      </c>
      <c r="H1438" s="23" t="s">
        <v>1694</v>
      </c>
      <c r="I1438" s="23" t="s">
        <v>7865</v>
      </c>
      <c r="J1438" s="21" t="s">
        <v>1696</v>
      </c>
      <c r="K1438" s="120"/>
      <c r="L1438" s="21" t="s">
        <v>2255</v>
      </c>
      <c r="M1438" s="26">
        <v>43747</v>
      </c>
      <c r="N1438" s="44">
        <f>0.5*40862</f>
        <v>20431</v>
      </c>
      <c r="O1438" s="22" t="s">
        <v>15</v>
      </c>
      <c r="P1438" s="22" t="s">
        <v>19</v>
      </c>
      <c r="Q1438" s="24">
        <f t="shared" si="90"/>
        <v>0</v>
      </c>
      <c r="R1438" s="24">
        <f t="shared" si="92"/>
        <v>20431</v>
      </c>
      <c r="S1438" s="5"/>
      <c r="T1438" s="5"/>
    </row>
    <row r="1439" spans="1:20" ht="15.75" hidden="1" x14ac:dyDescent="0.25">
      <c r="A1439" t="s">
        <v>6386</v>
      </c>
      <c r="B1439" s="21" t="s">
        <v>395</v>
      </c>
      <c r="C1439" s="22" t="s">
        <v>2450</v>
      </c>
      <c r="D1439" s="22"/>
      <c r="E1439" s="21" t="s">
        <v>10</v>
      </c>
      <c r="F1439" s="21"/>
      <c r="G1439" s="147" t="s">
        <v>102</v>
      </c>
      <c r="H1439" s="23" t="s">
        <v>1694</v>
      </c>
      <c r="I1439" s="23" t="s">
        <v>7865</v>
      </c>
      <c r="J1439" s="21" t="s">
        <v>1697</v>
      </c>
      <c r="K1439" s="120"/>
      <c r="L1439" s="21" t="s">
        <v>2613</v>
      </c>
      <c r="M1439" s="26">
        <v>43809</v>
      </c>
      <c r="N1439" s="44">
        <f>0.05*40862</f>
        <v>2043.1000000000001</v>
      </c>
      <c r="O1439" s="22" t="s">
        <v>15</v>
      </c>
      <c r="P1439" s="22" t="s">
        <v>19</v>
      </c>
      <c r="Q1439" s="24">
        <f t="shared" si="90"/>
        <v>0</v>
      </c>
      <c r="R1439" s="24">
        <f t="shared" si="92"/>
        <v>2043.1000000000001</v>
      </c>
      <c r="S1439" s="5"/>
      <c r="T1439" s="5"/>
    </row>
    <row r="1440" spans="1:20" ht="15.75" hidden="1" x14ac:dyDescent="0.25">
      <c r="A1440" t="s">
        <v>6386</v>
      </c>
      <c r="B1440" s="21" t="s">
        <v>395</v>
      </c>
      <c r="C1440" s="22" t="s">
        <v>2450</v>
      </c>
      <c r="D1440" s="22"/>
      <c r="E1440" s="21" t="s">
        <v>10</v>
      </c>
      <c r="F1440" s="21"/>
      <c r="G1440" s="147" t="s">
        <v>102</v>
      </c>
      <c r="H1440" s="23" t="s">
        <v>1686</v>
      </c>
      <c r="I1440" s="23" t="s">
        <v>7863</v>
      </c>
      <c r="J1440" s="21" t="s">
        <v>1687</v>
      </c>
      <c r="K1440" s="120"/>
      <c r="L1440" s="21" t="s">
        <v>1999</v>
      </c>
      <c r="M1440" s="26">
        <v>43635</v>
      </c>
      <c r="N1440" s="44">
        <f>0.5*17500</f>
        <v>8750</v>
      </c>
      <c r="O1440" s="22" t="s">
        <v>15</v>
      </c>
      <c r="P1440" s="22" t="s">
        <v>19</v>
      </c>
      <c r="Q1440" s="24">
        <f t="shared" si="90"/>
        <v>0</v>
      </c>
      <c r="R1440" s="24">
        <f t="shared" si="92"/>
        <v>8750</v>
      </c>
      <c r="S1440" s="5"/>
      <c r="T1440" s="5"/>
    </row>
    <row r="1441" spans="1:20" ht="15.75" hidden="1" x14ac:dyDescent="0.25">
      <c r="A1441" t="s">
        <v>6386</v>
      </c>
      <c r="B1441" s="21" t="s">
        <v>395</v>
      </c>
      <c r="C1441" s="22" t="s">
        <v>2450</v>
      </c>
      <c r="D1441" s="22"/>
      <c r="E1441" s="21" t="s">
        <v>10</v>
      </c>
      <c r="F1441" s="21"/>
      <c r="G1441" s="147" t="s">
        <v>102</v>
      </c>
      <c r="H1441" s="23" t="s">
        <v>1686</v>
      </c>
      <c r="I1441" s="23" t="s">
        <v>7863</v>
      </c>
      <c r="J1441" s="21" t="s">
        <v>1688</v>
      </c>
      <c r="K1441" s="120"/>
      <c r="L1441" s="21" t="s">
        <v>1957</v>
      </c>
      <c r="M1441" s="26">
        <v>43724</v>
      </c>
      <c r="N1441" s="44">
        <f>0.4*17500</f>
        <v>7000</v>
      </c>
      <c r="O1441" s="22" t="s">
        <v>15</v>
      </c>
      <c r="P1441" s="22" t="s">
        <v>19</v>
      </c>
      <c r="Q1441" s="24">
        <f t="shared" si="90"/>
        <v>0</v>
      </c>
      <c r="R1441" s="24">
        <f t="shared" si="92"/>
        <v>7000</v>
      </c>
      <c r="S1441" s="5"/>
      <c r="T1441" s="5"/>
    </row>
    <row r="1442" spans="1:20" ht="15.75" hidden="1" x14ac:dyDescent="0.25">
      <c r="A1442" t="s">
        <v>6386</v>
      </c>
      <c r="B1442" s="21" t="s">
        <v>395</v>
      </c>
      <c r="C1442" s="22" t="s">
        <v>2450</v>
      </c>
      <c r="D1442" s="22"/>
      <c r="E1442" s="21" t="s">
        <v>10</v>
      </c>
      <c r="F1442" s="21"/>
      <c r="G1442" s="147" t="s">
        <v>102</v>
      </c>
      <c r="H1442" s="23" t="s">
        <v>1686</v>
      </c>
      <c r="I1442" s="23" t="s">
        <v>7863</v>
      </c>
      <c r="J1442" s="21" t="s">
        <v>1689</v>
      </c>
      <c r="K1442" s="120"/>
      <c r="L1442" s="21" t="s">
        <v>2587</v>
      </c>
      <c r="M1442" s="26">
        <v>43802</v>
      </c>
      <c r="N1442" s="44">
        <f>0.1*17500</f>
        <v>1750</v>
      </c>
      <c r="O1442" s="22" t="s">
        <v>15</v>
      </c>
      <c r="P1442" s="22" t="s">
        <v>19</v>
      </c>
      <c r="Q1442" s="24">
        <f t="shared" si="90"/>
        <v>0</v>
      </c>
      <c r="R1442" s="24">
        <f t="shared" si="92"/>
        <v>1750</v>
      </c>
      <c r="S1442" s="5"/>
      <c r="T1442" s="5"/>
    </row>
    <row r="1443" spans="1:20" ht="15.75" hidden="1" x14ac:dyDescent="0.25">
      <c r="A1443" t="s">
        <v>6386</v>
      </c>
      <c r="B1443" s="21" t="s">
        <v>395</v>
      </c>
      <c r="C1443" s="22" t="s">
        <v>2450</v>
      </c>
      <c r="D1443" s="22"/>
      <c r="E1443" s="21" t="s">
        <v>10</v>
      </c>
      <c r="F1443" s="21"/>
      <c r="G1443" s="147" t="s">
        <v>102</v>
      </c>
      <c r="H1443" s="23" t="s">
        <v>1693</v>
      </c>
      <c r="I1443" s="23" t="s">
        <v>7864</v>
      </c>
      <c r="J1443" s="21" t="s">
        <v>1691</v>
      </c>
      <c r="K1443" s="120"/>
      <c r="L1443" s="21" t="s">
        <v>1998</v>
      </c>
      <c r="M1443" s="26">
        <v>43635</v>
      </c>
      <c r="N1443" s="44">
        <f>0.5*14000</f>
        <v>7000</v>
      </c>
      <c r="O1443" s="22" t="s">
        <v>15</v>
      </c>
      <c r="P1443" s="22" t="s">
        <v>19</v>
      </c>
      <c r="Q1443" s="24">
        <f t="shared" si="90"/>
        <v>0</v>
      </c>
      <c r="R1443" s="24">
        <f t="shared" si="92"/>
        <v>7000</v>
      </c>
      <c r="S1443" s="5"/>
      <c r="T1443" s="5"/>
    </row>
    <row r="1444" spans="1:20" ht="15.75" hidden="1" x14ac:dyDescent="0.25">
      <c r="A1444" t="s">
        <v>6386</v>
      </c>
      <c r="B1444" s="21" t="s">
        <v>395</v>
      </c>
      <c r="C1444" s="22" t="s">
        <v>2450</v>
      </c>
      <c r="D1444" s="22"/>
      <c r="E1444" s="21" t="s">
        <v>10</v>
      </c>
      <c r="F1444" s="21"/>
      <c r="G1444" s="147" t="s">
        <v>102</v>
      </c>
      <c r="H1444" s="23" t="s">
        <v>1693</v>
      </c>
      <c r="I1444" s="23" t="s">
        <v>7864</v>
      </c>
      <c r="J1444" s="21" t="s">
        <v>1692</v>
      </c>
      <c r="K1444" s="120"/>
      <c r="L1444" s="47" t="s">
        <v>1997</v>
      </c>
      <c r="M1444" s="26">
        <v>43699</v>
      </c>
      <c r="N1444" s="44">
        <f>0.4*14000</f>
        <v>5600</v>
      </c>
      <c r="O1444" s="22" t="s">
        <v>15</v>
      </c>
      <c r="P1444" s="22" t="s">
        <v>19</v>
      </c>
      <c r="Q1444" s="24">
        <f t="shared" si="90"/>
        <v>0</v>
      </c>
      <c r="R1444" s="24">
        <f t="shared" si="92"/>
        <v>5600</v>
      </c>
      <c r="S1444" s="5"/>
      <c r="T1444" s="5"/>
    </row>
    <row r="1445" spans="1:20" ht="15.75" hidden="1" x14ac:dyDescent="0.25">
      <c r="A1445" t="s">
        <v>6386</v>
      </c>
      <c r="B1445" s="21" t="s">
        <v>395</v>
      </c>
      <c r="C1445" s="22" t="s">
        <v>2450</v>
      </c>
      <c r="D1445" s="22"/>
      <c r="E1445" s="21" t="s">
        <v>10</v>
      </c>
      <c r="F1445" s="21"/>
      <c r="G1445" s="147" t="s">
        <v>102</v>
      </c>
      <c r="H1445" s="23" t="s">
        <v>1693</v>
      </c>
      <c r="I1445" s="23" t="s">
        <v>7864</v>
      </c>
      <c r="J1445" s="21" t="s">
        <v>1690</v>
      </c>
      <c r="K1445" s="120"/>
      <c r="L1445" s="47" t="s">
        <v>2614</v>
      </c>
      <c r="M1445" s="26">
        <v>43809</v>
      </c>
      <c r="N1445" s="44">
        <f>0.1*14000</f>
        <v>1400</v>
      </c>
      <c r="O1445" s="22" t="s">
        <v>15</v>
      </c>
      <c r="P1445" s="22" t="s">
        <v>19</v>
      </c>
      <c r="Q1445" s="24">
        <f t="shared" si="90"/>
        <v>0</v>
      </c>
      <c r="R1445" s="24">
        <f t="shared" si="92"/>
        <v>1400</v>
      </c>
      <c r="S1445" s="5"/>
      <c r="T1445" s="5"/>
    </row>
    <row r="1446" spans="1:20" ht="15.75" hidden="1" x14ac:dyDescent="0.25">
      <c r="A1446" t="s">
        <v>6386</v>
      </c>
      <c r="B1446" s="21" t="s">
        <v>395</v>
      </c>
      <c r="C1446" s="22" t="s">
        <v>2450</v>
      </c>
      <c r="D1446" s="22"/>
      <c r="E1446" s="21" t="s">
        <v>10</v>
      </c>
      <c r="F1446" s="21"/>
      <c r="G1446" s="147" t="s">
        <v>102</v>
      </c>
      <c r="H1446" s="23" t="s">
        <v>1712</v>
      </c>
      <c r="I1446" s="23" t="s">
        <v>7870</v>
      </c>
      <c r="J1446" s="21" t="s">
        <v>1713</v>
      </c>
      <c r="K1446" s="120"/>
      <c r="L1446" s="21" t="s">
        <v>2251</v>
      </c>
      <c r="M1446" s="26">
        <v>43647</v>
      </c>
      <c r="N1446" s="44">
        <f>0.5*22966</f>
        <v>11483</v>
      </c>
      <c r="O1446" s="22" t="s">
        <v>15</v>
      </c>
      <c r="P1446" s="22" t="s">
        <v>19</v>
      </c>
      <c r="Q1446" s="24">
        <f t="shared" si="90"/>
        <v>0</v>
      </c>
      <c r="R1446" s="24">
        <f t="shared" si="92"/>
        <v>11483</v>
      </c>
      <c r="S1446" s="5" t="s">
        <v>1739</v>
      </c>
      <c r="T1446" s="5" t="s">
        <v>1730</v>
      </c>
    </row>
    <row r="1447" spans="1:20" ht="15.75" hidden="1" x14ac:dyDescent="0.25">
      <c r="A1447" t="s">
        <v>6386</v>
      </c>
      <c r="B1447" s="21" t="s">
        <v>395</v>
      </c>
      <c r="C1447" s="22" t="s">
        <v>2450</v>
      </c>
      <c r="D1447" s="22"/>
      <c r="E1447" s="21" t="s">
        <v>10</v>
      </c>
      <c r="F1447" s="21"/>
      <c r="G1447" s="147" t="s">
        <v>102</v>
      </c>
      <c r="H1447" s="23" t="s">
        <v>1712</v>
      </c>
      <c r="I1447" s="23" t="s">
        <v>7870</v>
      </c>
      <c r="J1447" s="21" t="s">
        <v>1714</v>
      </c>
      <c r="K1447" s="120"/>
      <c r="L1447" s="21" t="s">
        <v>2252</v>
      </c>
      <c r="M1447" s="26">
        <v>43665</v>
      </c>
      <c r="N1447" s="44">
        <f>0.5*22966</f>
        <v>11483</v>
      </c>
      <c r="O1447" s="22" t="s">
        <v>15</v>
      </c>
      <c r="P1447" s="22" t="s">
        <v>19</v>
      </c>
      <c r="Q1447" s="24">
        <f t="shared" si="90"/>
        <v>0</v>
      </c>
      <c r="R1447" s="24">
        <f t="shared" si="92"/>
        <v>11483</v>
      </c>
      <c r="S1447" s="5"/>
      <c r="T1447" s="5"/>
    </row>
    <row r="1448" spans="1:20" ht="15.75" hidden="1" x14ac:dyDescent="0.25">
      <c r="A1448" t="s">
        <v>6386</v>
      </c>
      <c r="B1448" s="21" t="s">
        <v>395</v>
      </c>
      <c r="C1448" s="22" t="s">
        <v>2450</v>
      </c>
      <c r="D1448" s="22"/>
      <c r="E1448" s="21" t="s">
        <v>10</v>
      </c>
      <c r="F1448" s="21"/>
      <c r="G1448" s="147" t="s">
        <v>2416</v>
      </c>
      <c r="H1448" s="23" t="s">
        <v>3814</v>
      </c>
      <c r="I1448" s="23" t="s">
        <v>7973</v>
      </c>
      <c r="J1448" s="21" t="s">
        <v>3815</v>
      </c>
      <c r="K1448" s="120"/>
      <c r="L1448" s="21" t="s">
        <v>3842</v>
      </c>
      <c r="M1448" s="26">
        <v>44119</v>
      </c>
      <c r="N1448" s="44">
        <v>7500</v>
      </c>
      <c r="O1448" s="22" t="s">
        <v>15</v>
      </c>
      <c r="P1448" s="22" t="s">
        <v>19</v>
      </c>
      <c r="Q1448" s="24">
        <f t="shared" si="90"/>
        <v>0</v>
      </c>
      <c r="R1448" s="24">
        <f t="shared" si="92"/>
        <v>7500</v>
      </c>
      <c r="S1448" s="5"/>
      <c r="T1448" s="5"/>
    </row>
    <row r="1449" spans="1:20" ht="15.75" hidden="1" x14ac:dyDescent="0.25">
      <c r="A1449" t="s">
        <v>6386</v>
      </c>
      <c r="B1449" s="21" t="s">
        <v>395</v>
      </c>
      <c r="C1449" s="22" t="s">
        <v>2450</v>
      </c>
      <c r="D1449" s="22" t="s">
        <v>1451</v>
      </c>
      <c r="E1449" s="21" t="s">
        <v>10</v>
      </c>
      <c r="F1449" s="21"/>
      <c r="G1449" s="147" t="s">
        <v>2416</v>
      </c>
      <c r="H1449" s="23" t="s">
        <v>3649</v>
      </c>
      <c r="I1449" s="23" t="s">
        <v>7951</v>
      </c>
      <c r="J1449" s="21" t="s">
        <v>3650</v>
      </c>
      <c r="K1449" s="120"/>
      <c r="L1449" s="21" t="s">
        <v>3668</v>
      </c>
      <c r="M1449" s="26">
        <v>44076</v>
      </c>
      <c r="N1449" s="44">
        <v>26154</v>
      </c>
      <c r="O1449" s="22" t="s">
        <v>15</v>
      </c>
      <c r="P1449" s="22" t="s">
        <v>19</v>
      </c>
      <c r="Q1449" s="24">
        <f t="shared" si="90"/>
        <v>0</v>
      </c>
      <c r="R1449" s="24">
        <f t="shared" si="92"/>
        <v>26154</v>
      </c>
      <c r="S1449" s="5"/>
      <c r="T1449" s="5"/>
    </row>
    <row r="1450" spans="1:20" ht="15.75" hidden="1" x14ac:dyDescent="0.25">
      <c r="A1450" t="s">
        <v>6386</v>
      </c>
      <c r="B1450" s="21" t="s">
        <v>395</v>
      </c>
      <c r="C1450" s="22" t="s">
        <v>2450</v>
      </c>
      <c r="D1450" s="22" t="s">
        <v>1451</v>
      </c>
      <c r="E1450" s="21" t="s">
        <v>10</v>
      </c>
      <c r="F1450" s="21"/>
      <c r="G1450" s="147" t="s">
        <v>2416</v>
      </c>
      <c r="H1450" s="23" t="s">
        <v>3656</v>
      </c>
      <c r="I1450" s="23" t="s">
        <v>7952</v>
      </c>
      <c r="J1450" s="21" t="s">
        <v>3657</v>
      </c>
      <c r="K1450" s="26"/>
      <c r="L1450" s="21" t="s">
        <v>4025</v>
      </c>
      <c r="M1450" s="26">
        <v>44151</v>
      </c>
      <c r="N1450" s="44">
        <v>8300</v>
      </c>
      <c r="O1450" s="22" t="s">
        <v>15</v>
      </c>
      <c r="P1450" s="22">
        <v>8300</v>
      </c>
      <c r="Q1450" s="44">
        <f t="shared" si="90"/>
        <v>0</v>
      </c>
      <c r="R1450" s="24">
        <f t="shared" si="92"/>
        <v>8300</v>
      </c>
      <c r="S1450" s="5"/>
      <c r="T1450" s="5"/>
    </row>
    <row r="1451" spans="1:20" ht="15.75" hidden="1" x14ac:dyDescent="0.25">
      <c r="A1451" t="s">
        <v>6386</v>
      </c>
      <c r="B1451" s="21" t="s">
        <v>395</v>
      </c>
      <c r="C1451" s="22" t="s">
        <v>2450</v>
      </c>
      <c r="D1451" s="22"/>
      <c r="E1451" s="21" t="s">
        <v>10</v>
      </c>
      <c r="F1451" s="21"/>
      <c r="G1451" s="147" t="s">
        <v>2416</v>
      </c>
      <c r="H1451" s="23" t="s">
        <v>4024</v>
      </c>
      <c r="I1451" s="23" t="s">
        <v>7962</v>
      </c>
      <c r="J1451" s="21" t="s">
        <v>3657</v>
      </c>
      <c r="K1451" s="120"/>
      <c r="L1451" s="21" t="s">
        <v>3827</v>
      </c>
      <c r="M1451" s="26">
        <v>44111</v>
      </c>
      <c r="N1451" s="44">
        <v>8000</v>
      </c>
      <c r="O1451" s="22" t="s">
        <v>15</v>
      </c>
      <c r="P1451" s="22">
        <v>8000</v>
      </c>
      <c r="Q1451" s="24">
        <f t="shared" si="90"/>
        <v>0</v>
      </c>
      <c r="R1451" s="24">
        <f t="shared" si="92"/>
        <v>8000</v>
      </c>
      <c r="S1451" s="5"/>
      <c r="T1451" s="5"/>
    </row>
    <row r="1452" spans="1:20" ht="15.75" hidden="1" x14ac:dyDescent="0.25">
      <c r="A1452" t="s">
        <v>6386</v>
      </c>
      <c r="B1452" s="21" t="s">
        <v>395</v>
      </c>
      <c r="C1452" s="22" t="s">
        <v>3536</v>
      </c>
      <c r="D1452" s="22"/>
      <c r="E1452" s="21" t="s">
        <v>75</v>
      </c>
      <c r="F1452" s="21"/>
      <c r="G1452" s="147" t="s">
        <v>2416</v>
      </c>
      <c r="H1452" s="23" t="s">
        <v>5636</v>
      </c>
      <c r="I1452" s="23" t="s">
        <v>7957</v>
      </c>
      <c r="J1452" s="21" t="s">
        <v>3706</v>
      </c>
      <c r="K1452" s="120"/>
      <c r="L1452" s="21" t="s">
        <v>5225</v>
      </c>
      <c r="M1452" s="26">
        <v>44355</v>
      </c>
      <c r="N1452" s="44">
        <v>1000</v>
      </c>
      <c r="O1452" s="22" t="s">
        <v>15</v>
      </c>
      <c r="P1452" s="22">
        <f>500+500</f>
        <v>1000</v>
      </c>
      <c r="Q1452" s="24">
        <f t="shared" si="90"/>
        <v>0</v>
      </c>
      <c r="R1452" s="24">
        <f t="shared" si="92"/>
        <v>1000</v>
      </c>
      <c r="S1452" s="5"/>
      <c r="T1452" s="5"/>
    </row>
    <row r="1453" spans="1:20" ht="15.75" hidden="1" x14ac:dyDescent="0.25">
      <c r="A1453" t="s">
        <v>6386</v>
      </c>
      <c r="B1453" s="21" t="s">
        <v>395</v>
      </c>
      <c r="C1453" s="22" t="s">
        <v>3536</v>
      </c>
      <c r="D1453" s="22"/>
      <c r="E1453" s="21" t="s">
        <v>75</v>
      </c>
      <c r="F1453" s="21"/>
      <c r="G1453" s="147" t="s">
        <v>2416</v>
      </c>
      <c r="H1453" s="23" t="s">
        <v>5636</v>
      </c>
      <c r="I1453" s="23" t="s">
        <v>7957</v>
      </c>
      <c r="J1453" s="21" t="s">
        <v>3707</v>
      </c>
      <c r="K1453" s="120"/>
      <c r="L1453" s="21" t="s">
        <v>6235</v>
      </c>
      <c r="M1453" s="26" t="s">
        <v>6238</v>
      </c>
      <c r="N1453" s="44">
        <v>7000</v>
      </c>
      <c r="O1453" s="22" t="s">
        <v>15</v>
      </c>
      <c r="P1453" s="22">
        <f>3500+3500</f>
        <v>7000</v>
      </c>
      <c r="Q1453" s="24">
        <f t="shared" si="90"/>
        <v>0</v>
      </c>
      <c r="R1453" s="24">
        <f t="shared" si="92"/>
        <v>7000</v>
      </c>
      <c r="S1453" s="5"/>
      <c r="T1453" s="5"/>
    </row>
    <row r="1454" spans="1:20" ht="15.75" hidden="1" x14ac:dyDescent="0.25">
      <c r="A1454" t="s">
        <v>6386</v>
      </c>
      <c r="B1454" s="21" t="s">
        <v>395</v>
      </c>
      <c r="C1454" s="22" t="s">
        <v>3536</v>
      </c>
      <c r="D1454" s="22"/>
      <c r="E1454" s="21" t="s">
        <v>75</v>
      </c>
      <c r="F1454" s="21"/>
      <c r="G1454" s="147" t="s">
        <v>2416</v>
      </c>
      <c r="H1454" s="23" t="s">
        <v>5636</v>
      </c>
      <c r="I1454" s="23" t="s">
        <v>7957</v>
      </c>
      <c r="J1454" s="21" t="s">
        <v>3708</v>
      </c>
      <c r="K1454" s="120"/>
      <c r="L1454" s="21" t="s">
        <v>6234</v>
      </c>
      <c r="M1454" s="26">
        <v>44537</v>
      </c>
      <c r="N1454" s="44">
        <f>2300*2</f>
        <v>4600</v>
      </c>
      <c r="O1454" s="22" t="s">
        <v>15</v>
      </c>
      <c r="P1454" s="22">
        <v>4600</v>
      </c>
      <c r="Q1454" s="24">
        <f t="shared" si="90"/>
        <v>0</v>
      </c>
      <c r="R1454" s="24">
        <f t="shared" si="92"/>
        <v>4600</v>
      </c>
      <c r="S1454" s="5" t="s">
        <v>3713</v>
      </c>
      <c r="T1454" s="5"/>
    </row>
    <row r="1455" spans="1:20" ht="15.75" hidden="1" x14ac:dyDescent="0.25">
      <c r="A1455" t="s">
        <v>6386</v>
      </c>
      <c r="B1455" s="21" t="s">
        <v>395</v>
      </c>
      <c r="C1455" s="22" t="s">
        <v>3536</v>
      </c>
      <c r="D1455" s="22"/>
      <c r="E1455" s="21" t="s">
        <v>75</v>
      </c>
      <c r="F1455" s="21"/>
      <c r="G1455" s="147" t="s">
        <v>2416</v>
      </c>
      <c r="H1455" s="23" t="s">
        <v>5636</v>
      </c>
      <c r="I1455" s="23" t="s">
        <v>7957</v>
      </c>
      <c r="J1455" s="21" t="s">
        <v>3708</v>
      </c>
      <c r="K1455" s="120"/>
      <c r="L1455" s="21" t="s">
        <v>6234</v>
      </c>
      <c r="M1455" s="26">
        <v>44537</v>
      </c>
      <c r="N1455" s="44">
        <f>2300*2</f>
        <v>4600</v>
      </c>
      <c r="O1455" s="22" t="s">
        <v>15</v>
      </c>
      <c r="P1455" s="22">
        <v>926</v>
      </c>
      <c r="Q1455" s="24">
        <v>0</v>
      </c>
      <c r="R1455" s="24">
        <f t="shared" si="92"/>
        <v>926</v>
      </c>
      <c r="S1455" s="5" t="s">
        <v>3713</v>
      </c>
      <c r="T1455" s="5"/>
    </row>
    <row r="1456" spans="1:20" ht="15.75" hidden="1" x14ac:dyDescent="0.25">
      <c r="A1456" t="s">
        <v>6386</v>
      </c>
      <c r="B1456" s="21" t="s">
        <v>395</v>
      </c>
      <c r="C1456" s="22" t="s">
        <v>3536</v>
      </c>
      <c r="D1456" s="22"/>
      <c r="E1456" s="21" t="s">
        <v>75</v>
      </c>
      <c r="F1456" s="21"/>
      <c r="G1456" s="147" t="s">
        <v>2416</v>
      </c>
      <c r="H1456" s="23" t="s">
        <v>5636</v>
      </c>
      <c r="I1456" s="23" t="s">
        <v>7957</v>
      </c>
      <c r="J1456" s="21" t="s">
        <v>3709</v>
      </c>
      <c r="K1456" s="120"/>
      <c r="L1456" s="21" t="s">
        <v>6236</v>
      </c>
      <c r="M1456" s="26" t="s">
        <v>6239</v>
      </c>
      <c r="N1456" s="44">
        <v>41400</v>
      </c>
      <c r="O1456" s="22" t="s">
        <v>15</v>
      </c>
      <c r="P1456" s="22">
        <f>17940+4370+19090</f>
        <v>41400</v>
      </c>
      <c r="Q1456" s="24">
        <f t="shared" ref="Q1456:Q1470" si="93">IF(P1456="en cours",N1456,IF(P1456="OK",0,IF(N1456-P1456&lt;0,0,N1456-P1456)))</f>
        <v>0</v>
      </c>
      <c r="R1456" s="24">
        <f t="shared" si="92"/>
        <v>41400</v>
      </c>
      <c r="S1456" s="5"/>
      <c r="T1456" s="5"/>
    </row>
    <row r="1457" spans="1:20" ht="15.75" hidden="1" x14ac:dyDescent="0.25">
      <c r="A1457" t="s">
        <v>6386</v>
      </c>
      <c r="B1457" s="21" t="s">
        <v>395</v>
      </c>
      <c r="C1457" s="22" t="s">
        <v>3536</v>
      </c>
      <c r="D1457" s="22"/>
      <c r="E1457" s="21" t="s">
        <v>75</v>
      </c>
      <c r="F1457" s="21"/>
      <c r="G1457" s="147" t="s">
        <v>2416</v>
      </c>
      <c r="H1457" s="23" t="s">
        <v>5636</v>
      </c>
      <c r="I1457" s="23" t="s">
        <v>7957</v>
      </c>
      <c r="J1457" s="21" t="s">
        <v>3710</v>
      </c>
      <c r="K1457" s="120"/>
      <c r="L1457" s="21" t="s">
        <v>6237</v>
      </c>
      <c r="M1457" s="26" t="s">
        <v>6240</v>
      </c>
      <c r="N1457" s="44">
        <v>19350</v>
      </c>
      <c r="O1457" s="22" t="s">
        <v>15</v>
      </c>
      <c r="P1457" s="22">
        <f>4922+14428</f>
        <v>19350</v>
      </c>
      <c r="Q1457" s="24">
        <f t="shared" si="93"/>
        <v>0</v>
      </c>
      <c r="R1457" s="24">
        <f t="shared" si="92"/>
        <v>19350</v>
      </c>
      <c r="S1457" s="5"/>
      <c r="T1457" s="5"/>
    </row>
    <row r="1458" spans="1:20" ht="15.75" hidden="1" x14ac:dyDescent="0.25">
      <c r="A1458" t="s">
        <v>6386</v>
      </c>
      <c r="B1458" s="21" t="s">
        <v>395</v>
      </c>
      <c r="C1458" s="22" t="s">
        <v>3536</v>
      </c>
      <c r="D1458" s="22"/>
      <c r="E1458" s="21" t="s">
        <v>75</v>
      </c>
      <c r="F1458" s="21"/>
      <c r="G1458" s="147" t="s">
        <v>2416</v>
      </c>
      <c r="H1458" s="23" t="s">
        <v>5636</v>
      </c>
      <c r="I1458" s="23" t="s">
        <v>7957</v>
      </c>
      <c r="J1458" s="21" t="s">
        <v>3711</v>
      </c>
      <c r="K1458" s="120"/>
      <c r="L1458" s="21" t="s">
        <v>6234</v>
      </c>
      <c r="M1458" s="26">
        <v>44537</v>
      </c>
      <c r="N1458" s="44">
        <v>4140</v>
      </c>
      <c r="O1458" s="22" t="s">
        <v>15</v>
      </c>
      <c r="P1458" s="22">
        <v>4140</v>
      </c>
      <c r="Q1458" s="24">
        <f t="shared" si="93"/>
        <v>0</v>
      </c>
      <c r="R1458" s="24">
        <f t="shared" si="92"/>
        <v>4140</v>
      </c>
      <c r="S1458" s="5"/>
      <c r="T1458" s="5"/>
    </row>
    <row r="1459" spans="1:20" ht="15.75" hidden="1" x14ac:dyDescent="0.25">
      <c r="A1459" t="s">
        <v>6386</v>
      </c>
      <c r="B1459" s="21" t="s">
        <v>395</v>
      </c>
      <c r="C1459" s="22" t="s">
        <v>3536</v>
      </c>
      <c r="D1459" s="22"/>
      <c r="E1459" s="21" t="s">
        <v>75</v>
      </c>
      <c r="F1459" s="21"/>
      <c r="G1459" s="147" t="s">
        <v>2416</v>
      </c>
      <c r="H1459" s="23" t="s">
        <v>5636</v>
      </c>
      <c r="I1459" s="23" t="s">
        <v>7957</v>
      </c>
      <c r="J1459" s="21" t="s">
        <v>3712</v>
      </c>
      <c r="K1459" s="120"/>
      <c r="L1459" s="21" t="s">
        <v>4675</v>
      </c>
      <c r="M1459" s="26">
        <v>44281</v>
      </c>
      <c r="N1459" s="44">
        <v>2300</v>
      </c>
      <c r="O1459" s="22" t="s">
        <v>15</v>
      </c>
      <c r="P1459" s="22" t="s">
        <v>19</v>
      </c>
      <c r="Q1459" s="24">
        <f t="shared" si="93"/>
        <v>0</v>
      </c>
      <c r="R1459" s="24">
        <f t="shared" si="92"/>
        <v>2300</v>
      </c>
      <c r="S1459" s="5"/>
      <c r="T1459" s="5"/>
    </row>
    <row r="1460" spans="1:20" ht="15.75" hidden="1" x14ac:dyDescent="0.25">
      <c r="A1460" t="s">
        <v>6386</v>
      </c>
      <c r="B1460" s="21" t="s">
        <v>395</v>
      </c>
      <c r="C1460" s="22" t="s">
        <v>3536</v>
      </c>
      <c r="D1460" s="22"/>
      <c r="E1460" s="21" t="s">
        <v>75</v>
      </c>
      <c r="F1460" s="21"/>
      <c r="G1460" s="147" t="s">
        <v>2416</v>
      </c>
      <c r="H1460" s="23" t="s">
        <v>6139</v>
      </c>
      <c r="I1460" s="23" t="s">
        <v>7958</v>
      </c>
      <c r="J1460" s="21" t="s">
        <v>3695</v>
      </c>
      <c r="K1460" s="120"/>
      <c r="L1460" s="21" t="s">
        <v>4803</v>
      </c>
      <c r="M1460" s="23" t="s">
        <v>4804</v>
      </c>
      <c r="N1460" s="44">
        <f>1500+16000+4000+13000</f>
        <v>34500</v>
      </c>
      <c r="O1460" s="22" t="s">
        <v>15</v>
      </c>
      <c r="P1460" s="22">
        <f>17500+8500+8500</f>
        <v>34500</v>
      </c>
      <c r="Q1460" s="24">
        <f t="shared" si="93"/>
        <v>0</v>
      </c>
      <c r="R1460" s="24">
        <f t="shared" si="92"/>
        <v>34500</v>
      </c>
      <c r="S1460" s="5" t="s">
        <v>4035</v>
      </c>
      <c r="T1460" s="5"/>
    </row>
    <row r="1461" spans="1:20" ht="15.75" hidden="1" x14ac:dyDescent="0.25">
      <c r="A1461" t="s">
        <v>6386</v>
      </c>
      <c r="B1461" s="21" t="s">
        <v>395</v>
      </c>
      <c r="C1461" s="22" t="s">
        <v>2459</v>
      </c>
      <c r="D1461" s="22"/>
      <c r="E1461" s="21" t="s">
        <v>75</v>
      </c>
      <c r="F1461" s="21"/>
      <c r="G1461" s="147" t="s">
        <v>2416</v>
      </c>
      <c r="H1461" s="23" t="s">
        <v>5130</v>
      </c>
      <c r="I1461" s="23" t="s">
        <v>7908</v>
      </c>
      <c r="J1461" s="21" t="s">
        <v>2700</v>
      </c>
      <c r="K1461" s="120"/>
      <c r="L1461" s="21" t="s">
        <v>4174</v>
      </c>
      <c r="M1461" s="26" t="s">
        <v>4175</v>
      </c>
      <c r="N1461" s="44">
        <f>15000+3100+6750+(132704/3)+(8844/3)</f>
        <v>72032.666666666657</v>
      </c>
      <c r="O1461" s="22" t="s">
        <v>15</v>
      </c>
      <c r="P1461" s="44">
        <f>18516+21610+28203.47</f>
        <v>68329.47</v>
      </c>
      <c r="Q1461" s="44">
        <f t="shared" si="93"/>
        <v>3703.1966666666558</v>
      </c>
      <c r="R1461" s="24">
        <f t="shared" si="92"/>
        <v>68329.47</v>
      </c>
      <c r="S1461" s="5" t="s">
        <v>2699</v>
      </c>
      <c r="T1461" s="5"/>
    </row>
    <row r="1462" spans="1:20" ht="15.75" hidden="1" x14ac:dyDescent="0.25">
      <c r="A1462" t="s">
        <v>6386</v>
      </c>
      <c r="B1462" s="21" t="s">
        <v>395</v>
      </c>
      <c r="C1462" s="22" t="s">
        <v>2459</v>
      </c>
      <c r="D1462" s="22"/>
      <c r="E1462" s="21" t="s">
        <v>75</v>
      </c>
      <c r="F1462" s="21"/>
      <c r="G1462" s="147" t="s">
        <v>2416</v>
      </c>
      <c r="H1462" s="23" t="s">
        <v>5130</v>
      </c>
      <c r="I1462" s="23" t="s">
        <v>7908</v>
      </c>
      <c r="J1462" s="21" t="s">
        <v>2701</v>
      </c>
      <c r="K1462" s="120"/>
      <c r="L1462" s="21" t="s">
        <v>5096</v>
      </c>
      <c r="M1462" s="26" t="s">
        <v>5097</v>
      </c>
      <c r="N1462" s="44">
        <f>(132704/3)+(8844/3)</f>
        <v>47182.666666666664</v>
      </c>
      <c r="O1462" s="22" t="s">
        <v>15</v>
      </c>
      <c r="P1462" s="44">
        <f>(41322-28203.47)+18524+7006+8534.14</f>
        <v>47182.67</v>
      </c>
      <c r="Q1462" s="44">
        <f t="shared" si="93"/>
        <v>0</v>
      </c>
      <c r="R1462" s="24">
        <f t="shared" si="92"/>
        <v>47182.67</v>
      </c>
      <c r="S1462" s="5" t="s">
        <v>2699</v>
      </c>
      <c r="T1462" s="5"/>
    </row>
    <row r="1463" spans="1:20" ht="15.75" hidden="1" x14ac:dyDescent="0.25">
      <c r="A1463" t="s">
        <v>6386</v>
      </c>
      <c r="B1463" s="21" t="s">
        <v>395</v>
      </c>
      <c r="C1463" s="22" t="s">
        <v>2450</v>
      </c>
      <c r="D1463" s="22"/>
      <c r="E1463" s="21" t="s">
        <v>10</v>
      </c>
      <c r="F1463" s="21"/>
      <c r="G1463" s="147" t="s">
        <v>2416</v>
      </c>
      <c r="H1463" s="23" t="s">
        <v>4794</v>
      </c>
      <c r="I1463" s="23" t="s">
        <v>7963</v>
      </c>
      <c r="J1463" s="21" t="s">
        <v>3848</v>
      </c>
      <c r="K1463" s="120"/>
      <c r="L1463" s="21" t="s">
        <v>3849</v>
      </c>
      <c r="M1463" s="26">
        <v>44124</v>
      </c>
      <c r="N1463" s="44">
        <v>10950</v>
      </c>
      <c r="O1463" s="22" t="s">
        <v>15</v>
      </c>
      <c r="P1463" s="22" t="s">
        <v>19</v>
      </c>
      <c r="Q1463" s="24">
        <f t="shared" si="93"/>
        <v>0</v>
      </c>
      <c r="R1463" s="24">
        <f t="shared" si="92"/>
        <v>10950</v>
      </c>
      <c r="S1463" s="5"/>
      <c r="T1463" s="5"/>
    </row>
    <row r="1464" spans="1:20" ht="15.75" hidden="1" x14ac:dyDescent="0.25">
      <c r="A1464" t="s">
        <v>6386</v>
      </c>
      <c r="B1464" s="21" t="s">
        <v>395</v>
      </c>
      <c r="C1464" s="22" t="s">
        <v>2450</v>
      </c>
      <c r="D1464" s="22"/>
      <c r="E1464" s="21" t="s">
        <v>10</v>
      </c>
      <c r="F1464" s="21"/>
      <c r="G1464" s="147" t="s">
        <v>2416</v>
      </c>
      <c r="H1464" s="23" t="s">
        <v>4793</v>
      </c>
      <c r="I1464" s="23" t="s">
        <v>7963</v>
      </c>
      <c r="J1464" s="21" t="s">
        <v>3846</v>
      </c>
      <c r="K1464" s="120"/>
      <c r="L1464" s="21" t="s">
        <v>5408</v>
      </c>
      <c r="M1464" s="23" t="s">
        <v>5409</v>
      </c>
      <c r="N1464" s="44">
        <v>11200</v>
      </c>
      <c r="O1464" s="22" t="s">
        <v>15</v>
      </c>
      <c r="P1464" s="22" t="s">
        <v>19</v>
      </c>
      <c r="Q1464" s="24">
        <f t="shared" si="93"/>
        <v>0</v>
      </c>
      <c r="R1464" s="24">
        <f t="shared" si="92"/>
        <v>11200</v>
      </c>
      <c r="S1464" s="5" t="s">
        <v>4797</v>
      </c>
      <c r="T1464" s="5"/>
    </row>
    <row r="1465" spans="1:20" ht="15.75" hidden="1" x14ac:dyDescent="0.25">
      <c r="A1465" t="s">
        <v>6386</v>
      </c>
      <c r="B1465" s="21" t="s">
        <v>395</v>
      </c>
      <c r="C1465" s="22" t="s">
        <v>3484</v>
      </c>
      <c r="D1465" s="22"/>
      <c r="E1465" s="21" t="s">
        <v>75</v>
      </c>
      <c r="F1465" s="21"/>
      <c r="G1465" s="147" t="s">
        <v>2416</v>
      </c>
      <c r="H1465" s="23" t="s">
        <v>3753</v>
      </c>
      <c r="I1465" s="23" t="s">
        <v>7960</v>
      </c>
      <c r="J1465" s="21" t="s">
        <v>4026</v>
      </c>
      <c r="K1465" s="120"/>
      <c r="L1465" s="21" t="s">
        <v>4027</v>
      </c>
      <c r="M1465" s="26">
        <v>44151</v>
      </c>
      <c r="N1465" s="44">
        <v>12300</v>
      </c>
      <c r="O1465" s="22" t="s">
        <v>15</v>
      </c>
      <c r="P1465" s="22" t="s">
        <v>19</v>
      </c>
      <c r="Q1465" s="24">
        <f t="shared" si="93"/>
        <v>0</v>
      </c>
      <c r="R1465" s="24">
        <f t="shared" si="92"/>
        <v>12300</v>
      </c>
      <c r="S1465" s="5" t="s">
        <v>4044</v>
      </c>
      <c r="T1465" s="5"/>
    </row>
    <row r="1466" spans="1:20" ht="15.75" hidden="1" x14ac:dyDescent="0.25">
      <c r="A1466" t="s">
        <v>6386</v>
      </c>
      <c r="B1466" s="21" t="s">
        <v>395</v>
      </c>
      <c r="C1466" s="22" t="s">
        <v>3484</v>
      </c>
      <c r="D1466" s="22"/>
      <c r="E1466" s="21" t="s">
        <v>75</v>
      </c>
      <c r="F1466" s="21"/>
      <c r="G1466" s="147" t="s">
        <v>2416</v>
      </c>
      <c r="H1466" s="23" t="s">
        <v>3753</v>
      </c>
      <c r="I1466" s="23" t="s">
        <v>7960</v>
      </c>
      <c r="J1466" s="21" t="s">
        <v>4026</v>
      </c>
      <c r="K1466" s="120"/>
      <c r="L1466" s="21" t="s">
        <v>4176</v>
      </c>
      <c r="M1466" s="26">
        <v>44176</v>
      </c>
      <c r="N1466" s="44">
        <f>0.5*17100</f>
        <v>8550</v>
      </c>
      <c r="O1466" s="22" t="s">
        <v>15</v>
      </c>
      <c r="P1466" s="22" t="s">
        <v>19</v>
      </c>
      <c r="Q1466" s="24">
        <f t="shared" si="93"/>
        <v>0</v>
      </c>
      <c r="R1466" s="24">
        <f t="shared" si="92"/>
        <v>8550</v>
      </c>
      <c r="S1466" s="5" t="s">
        <v>3783</v>
      </c>
      <c r="T1466" s="5"/>
    </row>
    <row r="1467" spans="1:20" ht="15.75" hidden="1" x14ac:dyDescent="0.25">
      <c r="A1467" t="s">
        <v>6386</v>
      </c>
      <c r="B1467" s="21" t="s">
        <v>395</v>
      </c>
      <c r="C1467" s="22" t="s">
        <v>3484</v>
      </c>
      <c r="D1467" s="22"/>
      <c r="E1467" s="21" t="s">
        <v>75</v>
      </c>
      <c r="F1467" s="21"/>
      <c r="G1467" s="147" t="s">
        <v>2416</v>
      </c>
      <c r="H1467" s="23" t="s">
        <v>3753</v>
      </c>
      <c r="I1467" s="23" t="s">
        <v>7960</v>
      </c>
      <c r="J1467" s="21" t="s">
        <v>4026</v>
      </c>
      <c r="K1467" s="120"/>
      <c r="L1467" s="21" t="s">
        <v>6273</v>
      </c>
      <c r="M1467" s="26">
        <v>44546</v>
      </c>
      <c r="N1467" s="44">
        <f>0.5*17100</f>
        <v>8550</v>
      </c>
      <c r="O1467" s="22" t="s">
        <v>15</v>
      </c>
      <c r="P1467" s="22" t="s">
        <v>19</v>
      </c>
      <c r="Q1467" s="24">
        <f t="shared" si="93"/>
        <v>0</v>
      </c>
      <c r="R1467" s="24">
        <f t="shared" si="92"/>
        <v>8550</v>
      </c>
      <c r="S1467" s="5" t="s">
        <v>3783</v>
      </c>
      <c r="T1467" s="5"/>
    </row>
    <row r="1468" spans="1:20" ht="15.75" hidden="1" x14ac:dyDescent="0.25">
      <c r="A1468" t="s">
        <v>6386</v>
      </c>
      <c r="B1468" s="21" t="s">
        <v>395</v>
      </c>
      <c r="C1468" s="22" t="s">
        <v>3484</v>
      </c>
      <c r="D1468" s="22"/>
      <c r="E1468" s="21" t="s">
        <v>75</v>
      </c>
      <c r="F1468" s="21"/>
      <c r="G1468" s="147" t="s">
        <v>2416</v>
      </c>
      <c r="H1468" s="23" t="s">
        <v>4801</v>
      </c>
      <c r="I1468" s="23" t="s">
        <v>7961</v>
      </c>
      <c r="J1468" s="21" t="s">
        <v>5224</v>
      </c>
      <c r="K1468" s="120"/>
      <c r="L1468" s="21" t="s">
        <v>4802</v>
      </c>
      <c r="M1468" s="26">
        <v>44300</v>
      </c>
      <c r="N1468" s="44">
        <v>65464</v>
      </c>
      <c r="O1468" s="22" t="s">
        <v>15</v>
      </c>
      <c r="P1468" s="22" t="s">
        <v>19</v>
      </c>
      <c r="Q1468" s="24">
        <f t="shared" si="93"/>
        <v>0</v>
      </c>
      <c r="R1468" s="24">
        <f t="shared" si="92"/>
        <v>65464</v>
      </c>
      <c r="S1468" s="5" t="s">
        <v>3783</v>
      </c>
      <c r="T1468" s="5"/>
    </row>
    <row r="1469" spans="1:20" ht="15.75" hidden="1" x14ac:dyDescent="0.25">
      <c r="A1469" t="s">
        <v>6386</v>
      </c>
      <c r="B1469" s="21" t="s">
        <v>395</v>
      </c>
      <c r="C1469" s="22" t="s">
        <v>2450</v>
      </c>
      <c r="D1469" s="22"/>
      <c r="E1469" s="21" t="s">
        <v>0</v>
      </c>
      <c r="F1469" s="21"/>
      <c r="G1469" s="147" t="s">
        <v>8407</v>
      </c>
      <c r="H1469" s="23" t="s">
        <v>8408</v>
      </c>
      <c r="I1469" s="23" t="s">
        <v>8409</v>
      </c>
      <c r="J1469" s="21" t="s">
        <v>8410</v>
      </c>
      <c r="K1469" s="21"/>
      <c r="L1469" s="21" t="s">
        <v>8464</v>
      </c>
      <c r="M1469" s="26">
        <v>45084</v>
      </c>
      <c r="N1469" s="44">
        <v>400</v>
      </c>
      <c r="O1469" s="22" t="s">
        <v>15</v>
      </c>
      <c r="P1469" s="44">
        <v>400</v>
      </c>
      <c r="Q1469" s="44">
        <f t="shared" si="93"/>
        <v>0</v>
      </c>
      <c r="R1469" s="116">
        <f t="shared" si="92"/>
        <v>400</v>
      </c>
      <c r="S1469" s="5"/>
      <c r="T1469" s="5"/>
    </row>
    <row r="1470" spans="1:20" ht="15.75" hidden="1" x14ac:dyDescent="0.25">
      <c r="A1470" t="s">
        <v>6386</v>
      </c>
      <c r="B1470" s="21" t="s">
        <v>395</v>
      </c>
      <c r="C1470" s="22" t="s">
        <v>2450</v>
      </c>
      <c r="D1470" s="22"/>
      <c r="E1470" s="21" t="s">
        <v>0</v>
      </c>
      <c r="F1470" s="21" t="s">
        <v>9766</v>
      </c>
      <c r="G1470" s="147" t="s">
        <v>8407</v>
      </c>
      <c r="H1470" s="23" t="s">
        <v>10020</v>
      </c>
      <c r="I1470" s="23" t="s">
        <v>10021</v>
      </c>
      <c r="J1470" s="21" t="s">
        <v>10022</v>
      </c>
      <c r="K1470" s="21"/>
      <c r="L1470" s="21" t="s">
        <v>10079</v>
      </c>
      <c r="M1470" s="26">
        <v>45457</v>
      </c>
      <c r="N1470" s="44">
        <v>800</v>
      </c>
      <c r="O1470" s="22" t="s">
        <v>15</v>
      </c>
      <c r="P1470" s="44">
        <v>800</v>
      </c>
      <c r="Q1470" s="44">
        <f t="shared" si="93"/>
        <v>0</v>
      </c>
      <c r="R1470" s="24">
        <f t="shared" si="92"/>
        <v>800</v>
      </c>
      <c r="S1470" s="5"/>
      <c r="T1470" s="5"/>
    </row>
    <row r="1471" spans="1:20" ht="15.75" hidden="1" x14ac:dyDescent="0.25">
      <c r="B1471" s="21" t="s">
        <v>395</v>
      </c>
      <c r="C1471" s="22" t="s">
        <v>2450</v>
      </c>
      <c r="D1471" s="22"/>
      <c r="E1471" s="21" t="s">
        <v>7137</v>
      </c>
      <c r="F1471" s="21"/>
      <c r="G1471" s="147" t="s">
        <v>8491</v>
      </c>
      <c r="H1471" s="23" t="s">
        <v>8492</v>
      </c>
      <c r="I1471" s="23" t="s">
        <v>8493</v>
      </c>
      <c r="J1471" s="21" t="s">
        <v>8494</v>
      </c>
      <c r="K1471" s="21"/>
      <c r="L1471" s="21" t="s">
        <v>8822</v>
      </c>
      <c r="M1471" s="23" t="s">
        <v>8823</v>
      </c>
      <c r="N1471" s="44">
        <v>5900</v>
      </c>
      <c r="O1471" s="22" t="s">
        <v>15</v>
      </c>
      <c r="P1471" s="44">
        <f>8592.97-8592.97+6816.97</f>
        <v>6816.97</v>
      </c>
      <c r="Q1471" s="44">
        <v>0</v>
      </c>
      <c r="R1471" s="116">
        <f t="shared" si="92"/>
        <v>6816.97</v>
      </c>
      <c r="S1471" s="5"/>
      <c r="T1471" s="5"/>
    </row>
    <row r="1472" spans="1:20" ht="15.75" hidden="1" x14ac:dyDescent="0.25">
      <c r="B1472" s="21" t="s">
        <v>395</v>
      </c>
      <c r="C1472" s="22" t="s">
        <v>158</v>
      </c>
      <c r="D1472" s="22"/>
      <c r="E1472" s="21" t="s">
        <v>7137</v>
      </c>
      <c r="F1472" s="21"/>
      <c r="G1472" s="147" t="s">
        <v>9338</v>
      </c>
      <c r="H1472" s="23" t="s">
        <v>9339</v>
      </c>
      <c r="I1472" s="23" t="s">
        <v>9340</v>
      </c>
      <c r="J1472" s="21" t="s">
        <v>9341</v>
      </c>
      <c r="K1472" s="21"/>
      <c r="L1472" s="21" t="s">
        <v>10888</v>
      </c>
      <c r="M1472" s="26">
        <v>45625</v>
      </c>
      <c r="N1472" s="44">
        <v>10680</v>
      </c>
      <c r="O1472" s="22" t="s">
        <v>15</v>
      </c>
      <c r="P1472" s="44">
        <v>10715.1</v>
      </c>
      <c r="Q1472" s="44">
        <f t="shared" ref="Q1472:Q1487" si="94">IF(P1472="en cours",N1472,IF(P1472="OK",0,IF(N1472-P1472&lt;0,0,N1472-P1472)))</f>
        <v>0</v>
      </c>
      <c r="R1472" s="24">
        <f t="shared" si="92"/>
        <v>10715.1</v>
      </c>
      <c r="S1472" s="5"/>
      <c r="T1472" s="5"/>
    </row>
    <row r="1473" spans="1:20" ht="15.75" hidden="1" x14ac:dyDescent="0.25">
      <c r="B1473" s="21" t="s">
        <v>395</v>
      </c>
      <c r="C1473" s="22" t="s">
        <v>4542</v>
      </c>
      <c r="D1473" s="22"/>
      <c r="E1473" s="21" t="s">
        <v>75</v>
      </c>
      <c r="F1473" s="21" t="s">
        <v>11253</v>
      </c>
      <c r="G1473" s="147" t="s">
        <v>9970</v>
      </c>
      <c r="H1473" s="23" t="s">
        <v>9972</v>
      </c>
      <c r="I1473" s="23"/>
      <c r="J1473" s="21" t="s">
        <v>9971</v>
      </c>
      <c r="K1473" s="21"/>
      <c r="L1473" s="21" t="s">
        <v>11352</v>
      </c>
      <c r="M1473" s="26" t="s">
        <v>11353</v>
      </c>
      <c r="N1473" s="44">
        <v>7500</v>
      </c>
      <c r="O1473" s="22" t="s">
        <v>15</v>
      </c>
      <c r="P1473" s="44">
        <f>4350+3600</f>
        <v>7950</v>
      </c>
      <c r="Q1473" s="44">
        <f t="shared" si="94"/>
        <v>0</v>
      </c>
      <c r="R1473" s="24">
        <f t="shared" si="92"/>
        <v>7950</v>
      </c>
      <c r="S1473" s="5"/>
      <c r="T1473" s="5"/>
    </row>
    <row r="1474" spans="1:20" ht="15.75" hidden="1" x14ac:dyDescent="0.25">
      <c r="B1474" s="21" t="s">
        <v>395</v>
      </c>
      <c r="C1474" s="22" t="s">
        <v>2450</v>
      </c>
      <c r="D1474" s="22"/>
      <c r="E1474" s="21" t="s">
        <v>10</v>
      </c>
      <c r="F1474" s="21" t="s">
        <v>9721</v>
      </c>
      <c r="G1474" s="147" t="s">
        <v>10340</v>
      </c>
      <c r="H1474" s="107" t="s">
        <v>10341</v>
      </c>
      <c r="I1474" s="23" t="s">
        <v>10341</v>
      </c>
      <c r="J1474" s="21" t="s">
        <v>9090</v>
      </c>
      <c r="K1474" s="21"/>
      <c r="L1474" s="21" t="s">
        <v>10569</v>
      </c>
      <c r="M1474" s="26">
        <v>45534</v>
      </c>
      <c r="N1474" s="44">
        <v>685</v>
      </c>
      <c r="O1474" s="22" t="s">
        <v>15</v>
      </c>
      <c r="P1474" s="44">
        <v>720</v>
      </c>
      <c r="Q1474" s="44">
        <f t="shared" si="94"/>
        <v>0</v>
      </c>
      <c r="R1474" s="24">
        <f t="shared" si="92"/>
        <v>720</v>
      </c>
      <c r="S1474" s="5"/>
      <c r="T1474" s="5"/>
    </row>
    <row r="1475" spans="1:20" ht="15.75" hidden="1" x14ac:dyDescent="0.25">
      <c r="B1475" s="21" t="s">
        <v>395</v>
      </c>
      <c r="C1475" s="22" t="s">
        <v>2450</v>
      </c>
      <c r="D1475" s="22"/>
      <c r="E1475" s="21" t="s">
        <v>10</v>
      </c>
      <c r="F1475" s="21" t="s">
        <v>9721</v>
      </c>
      <c r="G1475" s="147" t="s">
        <v>10340</v>
      </c>
      <c r="H1475" s="23" t="s">
        <v>11123</v>
      </c>
      <c r="I1475" s="23" t="s">
        <v>11124</v>
      </c>
      <c r="J1475" s="21" t="s">
        <v>6557</v>
      </c>
      <c r="K1475" s="21"/>
      <c r="L1475" s="21" t="s">
        <v>11268</v>
      </c>
      <c r="M1475" s="26">
        <v>45706</v>
      </c>
      <c r="N1475" s="44">
        <v>600</v>
      </c>
      <c r="O1475" s="22" t="s">
        <v>15</v>
      </c>
      <c r="P1475" s="44">
        <v>600</v>
      </c>
      <c r="Q1475" s="44">
        <f t="shared" si="94"/>
        <v>0</v>
      </c>
      <c r="R1475" s="24">
        <f t="shared" si="92"/>
        <v>600</v>
      </c>
      <c r="S1475" s="5"/>
      <c r="T1475" s="5"/>
    </row>
    <row r="1476" spans="1:20" ht="15.75" hidden="1" x14ac:dyDescent="0.25">
      <c r="B1476" s="21" t="s">
        <v>395</v>
      </c>
      <c r="C1476" s="22" t="s">
        <v>3916</v>
      </c>
      <c r="D1476" s="22"/>
      <c r="E1476" s="21" t="s">
        <v>10</v>
      </c>
      <c r="F1476" s="21"/>
      <c r="G1476" s="147" t="s">
        <v>3129</v>
      </c>
      <c r="H1476" s="23" t="s">
        <v>3186</v>
      </c>
      <c r="I1476" s="23" t="s">
        <v>7922</v>
      </c>
      <c r="J1476" s="21" t="s">
        <v>3187</v>
      </c>
      <c r="K1476" s="120"/>
      <c r="L1476" s="21" t="s">
        <v>3247</v>
      </c>
      <c r="M1476" s="26">
        <v>43980</v>
      </c>
      <c r="N1476" s="44">
        <v>24200</v>
      </c>
      <c r="O1476" s="22" t="s">
        <v>15</v>
      </c>
      <c r="P1476" s="22" t="s">
        <v>19</v>
      </c>
      <c r="Q1476" s="24">
        <f t="shared" si="94"/>
        <v>0</v>
      </c>
      <c r="R1476" s="24">
        <f t="shared" si="92"/>
        <v>24200</v>
      </c>
      <c r="S1476" s="5"/>
      <c r="T1476" s="5"/>
    </row>
    <row r="1477" spans="1:20" ht="15.75" hidden="1" x14ac:dyDescent="0.25">
      <c r="B1477" s="21" t="s">
        <v>395</v>
      </c>
      <c r="C1477" s="22" t="s">
        <v>3916</v>
      </c>
      <c r="D1477" s="22"/>
      <c r="E1477" s="21" t="s">
        <v>10</v>
      </c>
      <c r="F1477" s="21"/>
      <c r="G1477" s="147" t="s">
        <v>3129</v>
      </c>
      <c r="H1477" s="23" t="s">
        <v>3186</v>
      </c>
      <c r="I1477" s="23" t="s">
        <v>7922</v>
      </c>
      <c r="J1477" s="21" t="s">
        <v>3188</v>
      </c>
      <c r="K1477" s="120"/>
      <c r="L1477" s="21" t="s">
        <v>3600</v>
      </c>
      <c r="M1477" s="26" t="s">
        <v>3599</v>
      </c>
      <c r="N1477" s="44">
        <f>38680-N1476</f>
        <v>14480</v>
      </c>
      <c r="O1477" s="22" t="s">
        <v>15</v>
      </c>
      <c r="P1477" s="24">
        <f>280+13485+1500</f>
        <v>15265</v>
      </c>
      <c r="Q1477" s="24">
        <f t="shared" si="94"/>
        <v>0</v>
      </c>
      <c r="R1477" s="24">
        <f t="shared" si="92"/>
        <v>15265</v>
      </c>
      <c r="S1477" s="5"/>
      <c r="T1477" s="5"/>
    </row>
    <row r="1478" spans="1:20" ht="15.75" hidden="1" x14ac:dyDescent="0.25">
      <c r="B1478" s="21" t="s">
        <v>747</v>
      </c>
      <c r="C1478" s="22" t="s">
        <v>2450</v>
      </c>
      <c r="D1478" s="22"/>
      <c r="E1478" s="21" t="s">
        <v>75</v>
      </c>
      <c r="F1478" s="21"/>
      <c r="G1478" s="147" t="s">
        <v>239</v>
      </c>
      <c r="H1478" s="23" t="s">
        <v>746</v>
      </c>
      <c r="I1478" s="23"/>
      <c r="J1478" s="21" t="s">
        <v>240</v>
      </c>
      <c r="K1478" s="21"/>
      <c r="L1478" s="21"/>
      <c r="M1478" s="26" t="s">
        <v>748</v>
      </c>
      <c r="N1478" s="44">
        <v>0</v>
      </c>
      <c r="O1478" s="22" t="s">
        <v>15</v>
      </c>
      <c r="P1478" s="22" t="s">
        <v>19</v>
      </c>
      <c r="Q1478" s="24">
        <f t="shared" si="94"/>
        <v>0</v>
      </c>
      <c r="R1478" s="24">
        <f t="shared" si="92"/>
        <v>0</v>
      </c>
      <c r="S1478" s="5" t="s">
        <v>201</v>
      </c>
      <c r="T1478" s="5"/>
    </row>
    <row r="1479" spans="1:20" ht="15.75" hidden="1" x14ac:dyDescent="0.25">
      <c r="B1479" s="21" t="s">
        <v>747</v>
      </c>
      <c r="C1479" s="22" t="s">
        <v>2450</v>
      </c>
      <c r="D1479" s="22"/>
      <c r="E1479" s="21" t="s">
        <v>75</v>
      </c>
      <c r="F1479" s="21"/>
      <c r="G1479" s="147" t="s">
        <v>239</v>
      </c>
      <c r="H1479" s="23" t="s">
        <v>746</v>
      </c>
      <c r="I1479" s="23"/>
      <c r="J1479" s="21" t="s">
        <v>241</v>
      </c>
      <c r="K1479" s="21"/>
      <c r="L1479" s="21"/>
      <c r="M1479" s="26" t="s">
        <v>749</v>
      </c>
      <c r="N1479" s="44">
        <v>0</v>
      </c>
      <c r="O1479" s="22" t="s">
        <v>15</v>
      </c>
      <c r="P1479" s="22" t="s">
        <v>19</v>
      </c>
      <c r="Q1479" s="24">
        <f t="shared" si="94"/>
        <v>0</v>
      </c>
      <c r="R1479" s="24">
        <f t="shared" si="92"/>
        <v>0</v>
      </c>
      <c r="S1479" s="5" t="s">
        <v>201</v>
      </c>
      <c r="T1479" s="5"/>
    </row>
    <row r="1480" spans="1:20" ht="15.75" hidden="1" x14ac:dyDescent="0.25">
      <c r="B1480" s="21" t="s">
        <v>747</v>
      </c>
      <c r="C1480" s="22" t="s">
        <v>2450</v>
      </c>
      <c r="D1480" s="22"/>
      <c r="E1480" s="21" t="s">
        <v>75</v>
      </c>
      <c r="F1480" s="21"/>
      <c r="G1480" s="147" t="s">
        <v>239</v>
      </c>
      <c r="H1480" s="23" t="s">
        <v>746</v>
      </c>
      <c r="I1480" s="23"/>
      <c r="J1480" s="21" t="s">
        <v>242</v>
      </c>
      <c r="K1480" s="21"/>
      <c r="L1480" s="21"/>
      <c r="M1480" s="26" t="s">
        <v>750</v>
      </c>
      <c r="N1480" s="44">
        <v>0</v>
      </c>
      <c r="O1480" s="22" t="s">
        <v>15</v>
      </c>
      <c r="P1480" s="22" t="s">
        <v>19</v>
      </c>
      <c r="Q1480" s="24">
        <f t="shared" si="94"/>
        <v>0</v>
      </c>
      <c r="R1480" s="24">
        <f t="shared" si="92"/>
        <v>0</v>
      </c>
      <c r="S1480" s="5" t="s">
        <v>201</v>
      </c>
      <c r="T1480" s="5"/>
    </row>
    <row r="1481" spans="1:20" ht="15.75" hidden="1" x14ac:dyDescent="0.25">
      <c r="B1481" s="21" t="s">
        <v>747</v>
      </c>
      <c r="C1481" s="22" t="s">
        <v>2450</v>
      </c>
      <c r="D1481" s="22"/>
      <c r="E1481" s="21" t="s">
        <v>75</v>
      </c>
      <c r="F1481" s="21"/>
      <c r="G1481" s="147" t="s">
        <v>239</v>
      </c>
      <c r="H1481" s="23" t="s">
        <v>746</v>
      </c>
      <c r="I1481" s="23"/>
      <c r="J1481" s="21" t="s">
        <v>243</v>
      </c>
      <c r="K1481" s="21"/>
      <c r="L1481" s="21"/>
      <c r="M1481" s="26" t="s">
        <v>751</v>
      </c>
      <c r="N1481" s="44">
        <v>0</v>
      </c>
      <c r="O1481" s="22" t="s">
        <v>15</v>
      </c>
      <c r="P1481" s="22" t="s">
        <v>19</v>
      </c>
      <c r="Q1481" s="24">
        <f t="shared" si="94"/>
        <v>0</v>
      </c>
      <c r="R1481" s="24">
        <f t="shared" si="92"/>
        <v>0</v>
      </c>
      <c r="S1481" s="5" t="s">
        <v>201</v>
      </c>
      <c r="T1481" s="5"/>
    </row>
    <row r="1482" spans="1:20" ht="15.75" hidden="1" x14ac:dyDescent="0.25">
      <c r="B1482" s="21" t="s">
        <v>395</v>
      </c>
      <c r="C1482" s="22" t="s">
        <v>2457</v>
      </c>
      <c r="D1482" s="22"/>
      <c r="E1482" s="21" t="s">
        <v>75</v>
      </c>
      <c r="F1482" s="21"/>
      <c r="G1482" s="147" t="s">
        <v>239</v>
      </c>
      <c r="H1482" s="23" t="s">
        <v>1826</v>
      </c>
      <c r="I1482" s="23" t="s">
        <v>7878</v>
      </c>
      <c r="J1482" s="21" t="s">
        <v>1827</v>
      </c>
      <c r="K1482" s="120"/>
      <c r="L1482" s="21" t="s">
        <v>1921</v>
      </c>
      <c r="M1482" s="26">
        <v>43714</v>
      </c>
      <c r="N1482" s="44">
        <f>0.5*41310</f>
        <v>20655</v>
      </c>
      <c r="O1482" s="22" t="s">
        <v>15</v>
      </c>
      <c r="P1482" s="22" t="s">
        <v>19</v>
      </c>
      <c r="Q1482" s="24">
        <f t="shared" si="94"/>
        <v>0</v>
      </c>
      <c r="R1482" s="24">
        <f t="shared" si="92"/>
        <v>20655</v>
      </c>
      <c r="S1482" s="5"/>
      <c r="T1482" s="5"/>
    </row>
    <row r="1483" spans="1:20" ht="15.75" hidden="1" x14ac:dyDescent="0.25">
      <c r="B1483" s="21" t="s">
        <v>395</v>
      </c>
      <c r="C1483" s="22" t="s">
        <v>2457</v>
      </c>
      <c r="D1483" s="22"/>
      <c r="E1483" s="21" t="s">
        <v>75</v>
      </c>
      <c r="F1483" s="21"/>
      <c r="G1483" s="147" t="s">
        <v>239</v>
      </c>
      <c r="H1483" s="23" t="s">
        <v>1826</v>
      </c>
      <c r="I1483" s="23" t="s">
        <v>7878</v>
      </c>
      <c r="J1483" s="21" t="s">
        <v>1828</v>
      </c>
      <c r="K1483" s="120"/>
      <c r="L1483" s="21" t="s">
        <v>1921</v>
      </c>
      <c r="M1483" s="26">
        <v>43714</v>
      </c>
      <c r="N1483" s="44">
        <f>0.5*41310</f>
        <v>20655</v>
      </c>
      <c r="O1483" s="22" t="s">
        <v>15</v>
      </c>
      <c r="P1483" s="22" t="s">
        <v>19</v>
      </c>
      <c r="Q1483" s="24">
        <f t="shared" si="94"/>
        <v>0</v>
      </c>
      <c r="R1483" s="24">
        <f t="shared" si="92"/>
        <v>20655</v>
      </c>
      <c r="S1483" s="5"/>
      <c r="T1483" s="5"/>
    </row>
    <row r="1484" spans="1:20" ht="15.75" hidden="1" x14ac:dyDescent="0.25">
      <c r="B1484" s="21" t="s">
        <v>395</v>
      </c>
      <c r="C1484" s="22" t="s">
        <v>2450</v>
      </c>
      <c r="D1484" s="22"/>
      <c r="E1484" s="21" t="s">
        <v>10</v>
      </c>
      <c r="F1484" s="21"/>
      <c r="G1484" s="147" t="s">
        <v>239</v>
      </c>
      <c r="H1484" s="23" t="s">
        <v>7041</v>
      </c>
      <c r="I1484" s="23" t="s">
        <v>8188</v>
      </c>
      <c r="J1484" s="21" t="s">
        <v>7042</v>
      </c>
      <c r="K1484" s="21"/>
      <c r="L1484" s="21" t="s">
        <v>7125</v>
      </c>
      <c r="M1484" s="26">
        <v>44834</v>
      </c>
      <c r="N1484" s="44">
        <v>24900</v>
      </c>
      <c r="O1484" s="22" t="s">
        <v>15</v>
      </c>
      <c r="P1484" s="44">
        <v>24900</v>
      </c>
      <c r="Q1484" s="24">
        <f t="shared" si="94"/>
        <v>0</v>
      </c>
      <c r="R1484" s="24">
        <f t="shared" si="92"/>
        <v>24900</v>
      </c>
      <c r="S1484" s="5"/>
      <c r="T1484" s="5"/>
    </row>
    <row r="1485" spans="1:20" ht="15.75" hidden="1" x14ac:dyDescent="0.25">
      <c r="B1485" s="21" t="s">
        <v>395</v>
      </c>
      <c r="C1485" s="22" t="s">
        <v>2450</v>
      </c>
      <c r="D1485" s="22"/>
      <c r="E1485" s="21" t="s">
        <v>10</v>
      </c>
      <c r="F1485" s="21"/>
      <c r="G1485" s="147" t="s">
        <v>239</v>
      </c>
      <c r="H1485" s="23" t="s">
        <v>8947</v>
      </c>
      <c r="I1485" s="23" t="s">
        <v>8948</v>
      </c>
      <c r="J1485" s="21" t="s">
        <v>8949</v>
      </c>
      <c r="K1485" s="21"/>
      <c r="L1485" s="21" t="s">
        <v>9119</v>
      </c>
      <c r="M1485" s="26">
        <v>45239</v>
      </c>
      <c r="N1485" s="44">
        <v>10650</v>
      </c>
      <c r="O1485" s="22" t="s">
        <v>15</v>
      </c>
      <c r="P1485" s="44">
        <v>10650</v>
      </c>
      <c r="Q1485" s="44">
        <f t="shared" si="94"/>
        <v>0</v>
      </c>
      <c r="R1485" s="24">
        <f t="shared" si="92"/>
        <v>10650</v>
      </c>
      <c r="S1485" s="5"/>
      <c r="T1485" s="5"/>
    </row>
    <row r="1486" spans="1:20" ht="15.75" hidden="1" x14ac:dyDescent="0.25">
      <c r="B1486" s="21" t="s">
        <v>395</v>
      </c>
      <c r="C1486" s="22" t="s">
        <v>2450</v>
      </c>
      <c r="D1486" s="22"/>
      <c r="E1486" s="21" t="s">
        <v>10</v>
      </c>
      <c r="F1486" s="21"/>
      <c r="G1486" s="147" t="s">
        <v>239</v>
      </c>
      <c r="H1486" s="23" t="s">
        <v>9129</v>
      </c>
      <c r="I1486" s="23" t="s">
        <v>9130</v>
      </c>
      <c r="J1486" s="21" t="s">
        <v>9090</v>
      </c>
      <c r="K1486" s="21"/>
      <c r="L1486" s="21" t="s">
        <v>12229</v>
      </c>
      <c r="M1486" s="26" t="s">
        <v>12230</v>
      </c>
      <c r="N1486" s="44">
        <v>49784</v>
      </c>
      <c r="O1486" s="22" t="s">
        <v>15</v>
      </c>
      <c r="P1486" s="44">
        <f>24892+24892</f>
        <v>49784</v>
      </c>
      <c r="Q1486" s="44">
        <f t="shared" si="94"/>
        <v>0</v>
      </c>
      <c r="R1486" s="24">
        <f t="shared" si="92"/>
        <v>49784</v>
      </c>
      <c r="S1486" s="5"/>
      <c r="T1486" s="5"/>
    </row>
    <row r="1487" spans="1:20" ht="15.75" hidden="1" x14ac:dyDescent="0.25">
      <c r="A1487" t="s">
        <v>6753</v>
      </c>
      <c r="B1487" s="21" t="s">
        <v>395</v>
      </c>
      <c r="C1487" s="22" t="s">
        <v>2450</v>
      </c>
      <c r="D1487" s="22"/>
      <c r="E1487" s="21" t="s">
        <v>0</v>
      </c>
      <c r="F1487" s="21"/>
      <c r="G1487" s="147" t="s">
        <v>92</v>
      </c>
      <c r="H1487" s="23" t="s">
        <v>7255</v>
      </c>
      <c r="I1487" s="23" t="s">
        <v>8205</v>
      </c>
      <c r="J1487" s="21" t="s">
        <v>7254</v>
      </c>
      <c r="K1487" s="21"/>
      <c r="L1487" s="21" t="s">
        <v>8392</v>
      </c>
      <c r="M1487" s="26" t="s">
        <v>8393</v>
      </c>
      <c r="N1487" s="44">
        <v>33780</v>
      </c>
      <c r="O1487" s="22" t="s">
        <v>15</v>
      </c>
      <c r="P1487" s="44">
        <f>10110+10110+13560</f>
        <v>33780</v>
      </c>
      <c r="Q1487" s="24">
        <f t="shared" si="94"/>
        <v>0</v>
      </c>
      <c r="R1487" s="24">
        <f t="shared" si="92"/>
        <v>33780</v>
      </c>
      <c r="S1487" s="5"/>
      <c r="T1487" s="5"/>
    </row>
    <row r="1488" spans="1:20" ht="15.75" hidden="1" x14ac:dyDescent="0.25">
      <c r="A1488" t="s">
        <v>6753</v>
      </c>
      <c r="B1488" s="21" t="s">
        <v>395</v>
      </c>
      <c r="C1488" s="22" t="s">
        <v>2450</v>
      </c>
      <c r="D1488" s="22"/>
      <c r="E1488" s="21" t="s">
        <v>0</v>
      </c>
      <c r="F1488" s="21"/>
      <c r="G1488" s="147" t="s">
        <v>92</v>
      </c>
      <c r="H1488" s="23" t="s">
        <v>8782</v>
      </c>
      <c r="I1488" s="23" t="s">
        <v>8783</v>
      </c>
      <c r="J1488" s="21" t="s">
        <v>8784</v>
      </c>
      <c r="K1488" s="21"/>
      <c r="L1488" s="21" t="s">
        <v>12276</v>
      </c>
      <c r="M1488" s="26" t="s">
        <v>12277</v>
      </c>
      <c r="N1488" s="44">
        <v>59635</v>
      </c>
      <c r="O1488" s="22" t="s">
        <v>15</v>
      </c>
      <c r="P1488" s="44">
        <f>17865+17865+23820</f>
        <v>59550</v>
      </c>
      <c r="Q1488" s="44">
        <v>0</v>
      </c>
      <c r="R1488" s="116">
        <f t="shared" si="92"/>
        <v>59550</v>
      </c>
      <c r="S1488" s="5"/>
      <c r="T1488" s="5"/>
    </row>
    <row r="1489" spans="1:20" ht="15.75" hidden="1" x14ac:dyDescent="0.25">
      <c r="B1489" s="21" t="s">
        <v>395</v>
      </c>
      <c r="C1489" s="22" t="s">
        <v>2450</v>
      </c>
      <c r="D1489" s="22"/>
      <c r="E1489" s="21" t="s">
        <v>0</v>
      </c>
      <c r="F1489" s="21"/>
      <c r="G1489" s="147" t="s">
        <v>92</v>
      </c>
      <c r="H1489" s="23" t="s">
        <v>9591</v>
      </c>
      <c r="I1489" s="23" t="s">
        <v>9592</v>
      </c>
      <c r="J1489" s="21" t="s">
        <v>9593</v>
      </c>
      <c r="K1489" s="21"/>
      <c r="L1489" s="21" t="s">
        <v>9621</v>
      </c>
      <c r="M1489" s="26">
        <v>45369</v>
      </c>
      <c r="N1489" s="44">
        <v>1900</v>
      </c>
      <c r="O1489" s="22" t="s">
        <v>15</v>
      </c>
      <c r="P1489" s="44">
        <f>1900</f>
        <v>1900</v>
      </c>
      <c r="Q1489" s="24">
        <f t="shared" ref="Q1489:Q1513" si="95">IF(P1489="en cours",N1489,IF(P1489="OK",0,IF(N1489-P1489&lt;0,0,N1489-P1489)))</f>
        <v>0</v>
      </c>
      <c r="R1489" s="24">
        <f t="shared" si="92"/>
        <v>1900</v>
      </c>
      <c r="S1489" s="5"/>
      <c r="T1489" s="5"/>
    </row>
    <row r="1490" spans="1:20" ht="15.75" hidden="1" x14ac:dyDescent="0.25">
      <c r="A1490" t="s">
        <v>6753</v>
      </c>
      <c r="B1490" s="21" t="s">
        <v>395</v>
      </c>
      <c r="C1490" s="22" t="s">
        <v>2450</v>
      </c>
      <c r="D1490" s="22"/>
      <c r="E1490" s="21" t="s">
        <v>10</v>
      </c>
      <c r="F1490" s="21"/>
      <c r="G1490" s="147" t="s">
        <v>8512</v>
      </c>
      <c r="H1490" s="107" t="s">
        <v>8513</v>
      </c>
      <c r="I1490" s="23" t="s">
        <v>8513</v>
      </c>
      <c r="J1490" s="21" t="s">
        <v>8476</v>
      </c>
      <c r="K1490" s="21"/>
      <c r="L1490" s="21" t="s">
        <v>8614</v>
      </c>
      <c r="M1490" s="26">
        <v>45119</v>
      </c>
      <c r="N1490" s="44">
        <v>2072</v>
      </c>
      <c r="O1490" s="22" t="s">
        <v>15</v>
      </c>
      <c r="P1490" s="44">
        <f>2072</f>
        <v>2072</v>
      </c>
      <c r="Q1490" s="44">
        <f t="shared" si="95"/>
        <v>0</v>
      </c>
      <c r="R1490" s="116">
        <f t="shared" si="92"/>
        <v>2072</v>
      </c>
      <c r="S1490" s="5"/>
      <c r="T1490" s="5"/>
    </row>
    <row r="1491" spans="1:20" ht="15.75" hidden="1" x14ac:dyDescent="0.25">
      <c r="A1491" t="s">
        <v>6753</v>
      </c>
      <c r="B1491" s="21" t="s">
        <v>395</v>
      </c>
      <c r="C1491" s="22" t="s">
        <v>2450</v>
      </c>
      <c r="D1491" s="22"/>
      <c r="E1491" s="21" t="s">
        <v>10</v>
      </c>
      <c r="F1491" s="21" t="s">
        <v>9721</v>
      </c>
      <c r="G1491" s="147" t="s">
        <v>11121</v>
      </c>
      <c r="H1491" s="107" t="s">
        <v>11122</v>
      </c>
      <c r="I1491" s="23" t="s">
        <v>11122</v>
      </c>
      <c r="J1491" s="21" t="s">
        <v>6557</v>
      </c>
      <c r="K1491" s="21"/>
      <c r="L1491" s="21" t="s">
        <v>11188</v>
      </c>
      <c r="M1491" s="26">
        <v>45691</v>
      </c>
      <c r="N1491" s="44">
        <v>944</v>
      </c>
      <c r="O1491" s="22" t="s">
        <v>15</v>
      </c>
      <c r="P1491" s="44">
        <v>944</v>
      </c>
      <c r="Q1491" s="44">
        <f t="shared" si="95"/>
        <v>0</v>
      </c>
      <c r="R1491" s="24">
        <f t="shared" si="92"/>
        <v>944</v>
      </c>
      <c r="S1491" s="5"/>
      <c r="T1491" s="5"/>
    </row>
    <row r="1492" spans="1:20" ht="15.75" hidden="1" x14ac:dyDescent="0.25">
      <c r="A1492" t="s">
        <v>6753</v>
      </c>
      <c r="B1492" s="21" t="s">
        <v>395</v>
      </c>
      <c r="C1492" s="22" t="s">
        <v>2459</v>
      </c>
      <c r="D1492" s="22"/>
      <c r="E1492" s="21" t="s">
        <v>75</v>
      </c>
      <c r="F1492" s="21"/>
      <c r="G1492" s="147" t="s">
        <v>805</v>
      </c>
      <c r="H1492" s="23" t="s">
        <v>2824</v>
      </c>
      <c r="I1492" s="23" t="s">
        <v>7911</v>
      </c>
      <c r="J1492" s="21" t="s">
        <v>2769</v>
      </c>
      <c r="K1492" s="120"/>
      <c r="L1492" s="47" t="s">
        <v>3181</v>
      </c>
      <c r="M1492" s="26" t="s">
        <v>3182</v>
      </c>
      <c r="N1492" s="44">
        <f>0.3*80000</f>
        <v>24000</v>
      </c>
      <c r="O1492" s="22" t="s">
        <v>15</v>
      </c>
      <c r="P1492" s="22" t="s">
        <v>19</v>
      </c>
      <c r="Q1492" s="24">
        <f t="shared" si="95"/>
        <v>0</v>
      </c>
      <c r="R1492" s="24">
        <f t="shared" si="92"/>
        <v>24000</v>
      </c>
      <c r="S1492" s="5" t="s">
        <v>2775</v>
      </c>
      <c r="T1492" s="5"/>
    </row>
    <row r="1493" spans="1:20" ht="15.75" hidden="1" x14ac:dyDescent="0.25">
      <c r="A1493" t="s">
        <v>6753</v>
      </c>
      <c r="B1493" s="21" t="s">
        <v>395</v>
      </c>
      <c r="C1493" s="22" t="s">
        <v>2459</v>
      </c>
      <c r="D1493" s="22"/>
      <c r="E1493" s="21" t="s">
        <v>75</v>
      </c>
      <c r="F1493" s="21"/>
      <c r="G1493" s="147" t="s">
        <v>805</v>
      </c>
      <c r="H1493" s="169" t="s">
        <v>4920</v>
      </c>
      <c r="I1493" s="169" t="s">
        <v>7911</v>
      </c>
      <c r="J1493" s="208" t="s">
        <v>2770</v>
      </c>
      <c r="K1493" s="120"/>
      <c r="L1493" s="47" t="s">
        <v>4204</v>
      </c>
      <c r="M1493" s="26">
        <v>44186</v>
      </c>
      <c r="N1493" s="44">
        <v>0</v>
      </c>
      <c r="O1493" s="22" t="s">
        <v>15</v>
      </c>
      <c r="P1493" s="22" t="s">
        <v>19</v>
      </c>
      <c r="Q1493" s="24">
        <f t="shared" si="95"/>
        <v>0</v>
      </c>
      <c r="R1493" s="24">
        <f t="shared" ref="R1493:R1506" si="96">IF(P1493="OK",N1493-Q1493,IF(P1493="en cours",N1493-Q1493,P1493))</f>
        <v>0</v>
      </c>
      <c r="S1493" s="5" t="s">
        <v>2775</v>
      </c>
      <c r="T1493" s="5"/>
    </row>
    <row r="1494" spans="1:20" ht="15.75" hidden="1" x14ac:dyDescent="0.25">
      <c r="A1494" t="s">
        <v>6753</v>
      </c>
      <c r="B1494" s="21" t="s">
        <v>395</v>
      </c>
      <c r="C1494" s="22" t="s">
        <v>2459</v>
      </c>
      <c r="D1494" s="22"/>
      <c r="E1494" s="21" t="s">
        <v>75</v>
      </c>
      <c r="F1494" s="21"/>
      <c r="G1494" s="147" t="s">
        <v>805</v>
      </c>
      <c r="H1494" s="23" t="s">
        <v>4910</v>
      </c>
      <c r="I1494" s="23" t="s">
        <v>8036</v>
      </c>
      <c r="J1494" s="21" t="s">
        <v>4919</v>
      </c>
      <c r="K1494" s="120"/>
      <c r="L1494" s="21" t="s">
        <v>4204</v>
      </c>
      <c r="M1494" s="26">
        <v>44186</v>
      </c>
      <c r="N1494" s="44">
        <v>38600</v>
      </c>
      <c r="O1494" s="22" t="s">
        <v>15</v>
      </c>
      <c r="P1494" s="24">
        <v>38600</v>
      </c>
      <c r="Q1494" s="24">
        <f t="shared" si="95"/>
        <v>0</v>
      </c>
      <c r="R1494" s="24">
        <f t="shared" si="96"/>
        <v>38600</v>
      </c>
      <c r="S1494" s="5"/>
      <c r="T1494" s="5"/>
    </row>
    <row r="1495" spans="1:20" ht="15.75" hidden="1" x14ac:dyDescent="0.25">
      <c r="A1495" t="s">
        <v>6753</v>
      </c>
      <c r="B1495" s="21" t="s">
        <v>395</v>
      </c>
      <c r="C1495" s="22" t="s">
        <v>2459</v>
      </c>
      <c r="D1495" s="22"/>
      <c r="E1495" s="21" t="s">
        <v>75</v>
      </c>
      <c r="F1495" s="21"/>
      <c r="G1495" s="147" t="s">
        <v>805</v>
      </c>
      <c r="H1495" s="23" t="s">
        <v>4910</v>
      </c>
      <c r="I1495" s="23" t="s">
        <v>8036</v>
      </c>
      <c r="J1495" s="21" t="s">
        <v>4911</v>
      </c>
      <c r="K1495" s="120"/>
      <c r="L1495" s="21" t="s">
        <v>4918</v>
      </c>
      <c r="M1495" s="26" t="s">
        <v>4917</v>
      </c>
      <c r="N1495" s="44">
        <v>6000</v>
      </c>
      <c r="O1495" s="22" t="s">
        <v>15</v>
      </c>
      <c r="P1495" s="24">
        <f>5550+450</f>
        <v>6000</v>
      </c>
      <c r="Q1495" s="24">
        <f t="shared" si="95"/>
        <v>0</v>
      </c>
      <c r="R1495" s="24">
        <f t="shared" si="96"/>
        <v>6000</v>
      </c>
      <c r="S1495" s="5"/>
      <c r="T1495" s="5"/>
    </row>
    <row r="1496" spans="1:20" ht="14.25" hidden="1" customHeight="1" x14ac:dyDescent="0.25">
      <c r="A1496" t="s">
        <v>6753</v>
      </c>
      <c r="B1496" s="21" t="s">
        <v>395</v>
      </c>
      <c r="C1496" s="22" t="s">
        <v>2459</v>
      </c>
      <c r="D1496" s="22"/>
      <c r="E1496" s="21" t="s">
        <v>75</v>
      </c>
      <c r="F1496" s="21"/>
      <c r="G1496" s="147" t="s">
        <v>805</v>
      </c>
      <c r="H1496" s="23" t="s">
        <v>4910</v>
      </c>
      <c r="I1496" s="23" t="s">
        <v>8036</v>
      </c>
      <c r="J1496" s="21" t="s">
        <v>4912</v>
      </c>
      <c r="K1496" s="120"/>
      <c r="L1496" s="21" t="s">
        <v>4204</v>
      </c>
      <c r="M1496" s="26">
        <v>44186</v>
      </c>
      <c r="N1496" s="44">
        <v>12500</v>
      </c>
      <c r="O1496" s="22" t="s">
        <v>15</v>
      </c>
      <c r="P1496" s="24">
        <v>12500</v>
      </c>
      <c r="Q1496" s="24">
        <f t="shared" si="95"/>
        <v>0</v>
      </c>
      <c r="R1496" s="24">
        <f t="shared" si="96"/>
        <v>12500</v>
      </c>
      <c r="S1496" s="5"/>
      <c r="T1496" s="5"/>
    </row>
    <row r="1497" spans="1:20" ht="15.75" hidden="1" x14ac:dyDescent="0.25">
      <c r="A1497" t="s">
        <v>6753</v>
      </c>
      <c r="B1497" s="21" t="s">
        <v>395</v>
      </c>
      <c r="C1497" s="22" t="s">
        <v>2459</v>
      </c>
      <c r="D1497" s="22"/>
      <c r="E1497" s="21" t="s">
        <v>75</v>
      </c>
      <c r="F1497" s="21"/>
      <c r="G1497" s="147" t="s">
        <v>805</v>
      </c>
      <c r="H1497" s="23" t="s">
        <v>4910</v>
      </c>
      <c r="I1497" s="23" t="s">
        <v>8036</v>
      </c>
      <c r="J1497" s="21" t="s">
        <v>4913</v>
      </c>
      <c r="K1497" s="120"/>
      <c r="L1497" s="21" t="s">
        <v>4204</v>
      </c>
      <c r="M1497" s="26">
        <v>44186</v>
      </c>
      <c r="N1497" s="44">
        <v>3000</v>
      </c>
      <c r="O1497" s="22" t="s">
        <v>15</v>
      </c>
      <c r="P1497" s="24">
        <v>3000</v>
      </c>
      <c r="Q1497" s="24">
        <f t="shared" si="95"/>
        <v>0</v>
      </c>
      <c r="R1497" s="24">
        <f t="shared" si="96"/>
        <v>3000</v>
      </c>
      <c r="S1497" s="5"/>
      <c r="T1497" s="5"/>
    </row>
    <row r="1498" spans="1:20" ht="15.75" hidden="1" x14ac:dyDescent="0.25">
      <c r="A1498" t="s">
        <v>6753</v>
      </c>
      <c r="B1498" s="21" t="s">
        <v>395</v>
      </c>
      <c r="C1498" s="22" t="s">
        <v>2459</v>
      </c>
      <c r="D1498" s="22"/>
      <c r="E1498" s="21" t="s">
        <v>75</v>
      </c>
      <c r="F1498" s="21"/>
      <c r="G1498" s="147" t="s">
        <v>805</v>
      </c>
      <c r="H1498" s="23" t="s">
        <v>5519</v>
      </c>
      <c r="I1498" s="23" t="s">
        <v>8036</v>
      </c>
      <c r="J1498" s="21" t="s">
        <v>4914</v>
      </c>
      <c r="K1498" s="120"/>
      <c r="L1498" s="21" t="s">
        <v>6353</v>
      </c>
      <c r="M1498" s="26" t="s">
        <v>6354</v>
      </c>
      <c r="N1498" s="44">
        <v>586800</v>
      </c>
      <c r="O1498" s="22" t="s">
        <v>15</v>
      </c>
      <c r="P1498" s="24">
        <f>1450+38600+15950+48900+97800+97800+97800+97800+146700</f>
        <v>642800</v>
      </c>
      <c r="Q1498" s="24">
        <f t="shared" si="95"/>
        <v>0</v>
      </c>
      <c r="R1498" s="24">
        <f t="shared" si="96"/>
        <v>642800</v>
      </c>
      <c r="S1498" s="5"/>
      <c r="T1498" s="5"/>
    </row>
    <row r="1499" spans="1:20" ht="15.75" hidden="1" x14ac:dyDescent="0.25">
      <c r="A1499" t="s">
        <v>6753</v>
      </c>
      <c r="B1499" s="21" t="s">
        <v>395</v>
      </c>
      <c r="C1499" s="22" t="s">
        <v>2459</v>
      </c>
      <c r="D1499" s="22"/>
      <c r="E1499" s="21" t="s">
        <v>75</v>
      </c>
      <c r="F1499" s="21"/>
      <c r="G1499" s="147" t="s">
        <v>805</v>
      </c>
      <c r="H1499" s="23" t="s">
        <v>5519</v>
      </c>
      <c r="I1499" s="23" t="s">
        <v>8036</v>
      </c>
      <c r="J1499" s="21" t="s">
        <v>4915</v>
      </c>
      <c r="K1499" s="120"/>
      <c r="L1499" s="21" t="s">
        <v>6862</v>
      </c>
      <c r="M1499" s="26">
        <v>44742</v>
      </c>
      <c r="N1499" s="44">
        <v>6000</v>
      </c>
      <c r="O1499" s="22" t="s">
        <v>15</v>
      </c>
      <c r="P1499" s="24">
        <v>6000</v>
      </c>
      <c r="Q1499" s="24">
        <f t="shared" si="95"/>
        <v>0</v>
      </c>
      <c r="R1499" s="24">
        <f t="shared" si="96"/>
        <v>6000</v>
      </c>
      <c r="S1499" s="5"/>
      <c r="T1499" s="5"/>
    </row>
    <row r="1500" spans="1:20" ht="15.75" hidden="1" x14ac:dyDescent="0.25">
      <c r="A1500" t="s">
        <v>6753</v>
      </c>
      <c r="B1500" s="21" t="s">
        <v>395</v>
      </c>
      <c r="C1500" s="22" t="s">
        <v>2459</v>
      </c>
      <c r="D1500" s="22"/>
      <c r="E1500" s="21" t="s">
        <v>75</v>
      </c>
      <c r="F1500" s="21"/>
      <c r="G1500" s="147" t="s">
        <v>805</v>
      </c>
      <c r="H1500" s="23" t="s">
        <v>5724</v>
      </c>
      <c r="I1500" s="23" t="s">
        <v>8037</v>
      </c>
      <c r="J1500" s="21" t="s">
        <v>5608</v>
      </c>
      <c r="K1500" s="21"/>
      <c r="L1500" s="21" t="s">
        <v>5832</v>
      </c>
      <c r="M1500" s="26">
        <v>44468</v>
      </c>
      <c r="N1500" s="44">
        <v>23500</v>
      </c>
      <c r="O1500" s="22" t="s">
        <v>15</v>
      </c>
      <c r="P1500" s="24">
        <v>23500</v>
      </c>
      <c r="Q1500" s="24">
        <f t="shared" si="95"/>
        <v>0</v>
      </c>
      <c r="R1500" s="24">
        <f t="shared" si="96"/>
        <v>23500</v>
      </c>
      <c r="S1500" s="5"/>
      <c r="T1500" s="5"/>
    </row>
    <row r="1501" spans="1:20" ht="15.75" hidden="1" x14ac:dyDescent="0.25">
      <c r="A1501" t="s">
        <v>6753</v>
      </c>
      <c r="B1501" s="21" t="s">
        <v>395</v>
      </c>
      <c r="C1501" s="22" t="s">
        <v>2459</v>
      </c>
      <c r="D1501" s="22"/>
      <c r="E1501" s="21" t="s">
        <v>75</v>
      </c>
      <c r="F1501" s="21"/>
      <c r="G1501" s="147" t="s">
        <v>805</v>
      </c>
      <c r="H1501" s="23" t="s">
        <v>5724</v>
      </c>
      <c r="I1501" s="23" t="s">
        <v>8037</v>
      </c>
      <c r="J1501" s="21" t="s">
        <v>5609</v>
      </c>
      <c r="K1501" s="21"/>
      <c r="L1501" s="21" t="s">
        <v>5832</v>
      </c>
      <c r="M1501" s="26">
        <v>44468</v>
      </c>
      <c r="N1501" s="44">
        <v>6000</v>
      </c>
      <c r="O1501" s="22" t="s">
        <v>15</v>
      </c>
      <c r="P1501" s="24">
        <v>6000</v>
      </c>
      <c r="Q1501" s="24">
        <f t="shared" si="95"/>
        <v>0</v>
      </c>
      <c r="R1501" s="24">
        <f t="shared" si="96"/>
        <v>6000</v>
      </c>
      <c r="S1501" s="5"/>
      <c r="T1501" s="5"/>
    </row>
    <row r="1502" spans="1:20" ht="16.5" hidden="1" customHeight="1" x14ac:dyDescent="0.25">
      <c r="B1502" s="21" t="s">
        <v>395</v>
      </c>
      <c r="C1502" s="22" t="s">
        <v>6047</v>
      </c>
      <c r="D1502" s="22" t="s">
        <v>7016</v>
      </c>
      <c r="E1502" s="21" t="s">
        <v>75</v>
      </c>
      <c r="F1502" s="21"/>
      <c r="G1502" s="147" t="s">
        <v>805</v>
      </c>
      <c r="H1502" s="23" t="s">
        <v>8815</v>
      </c>
      <c r="I1502" s="23" t="s">
        <v>8814</v>
      </c>
      <c r="J1502" s="21" t="s">
        <v>7089</v>
      </c>
      <c r="K1502" s="120"/>
      <c r="L1502" s="21" t="s">
        <v>8830</v>
      </c>
      <c r="M1502" s="26" t="s">
        <v>8831</v>
      </c>
      <c r="N1502" s="44">
        <v>61190</v>
      </c>
      <c r="O1502" s="22" t="s">
        <v>15</v>
      </c>
      <c r="P1502" s="114">
        <f>32590+31600</f>
        <v>64190</v>
      </c>
      <c r="Q1502" s="24">
        <f t="shared" si="95"/>
        <v>0</v>
      </c>
      <c r="R1502" s="24">
        <f t="shared" si="96"/>
        <v>64190</v>
      </c>
      <c r="S1502" s="5"/>
      <c r="T1502" s="5"/>
    </row>
    <row r="1503" spans="1:20" ht="15.75" hidden="1" x14ac:dyDescent="0.25">
      <c r="B1503" s="21" t="s">
        <v>395</v>
      </c>
      <c r="C1503" s="22" t="s">
        <v>2450</v>
      </c>
      <c r="D1503" s="22"/>
      <c r="E1503" s="21" t="s">
        <v>10</v>
      </c>
      <c r="F1503" s="21"/>
      <c r="G1503" s="147" t="s">
        <v>7043</v>
      </c>
      <c r="H1503" s="23" t="s">
        <v>7656</v>
      </c>
      <c r="I1503" s="23" t="s">
        <v>8275</v>
      </c>
      <c r="J1503" s="21" t="s">
        <v>6557</v>
      </c>
      <c r="K1503" s="21"/>
      <c r="L1503" s="21" t="s">
        <v>7668</v>
      </c>
      <c r="M1503" s="26" t="s">
        <v>7669</v>
      </c>
      <c r="N1503" s="44">
        <v>7153.6</v>
      </c>
      <c r="O1503" s="22" t="s">
        <v>15</v>
      </c>
      <c r="P1503" s="44">
        <f>3772+3381.6</f>
        <v>7153.6</v>
      </c>
      <c r="Q1503" s="44">
        <f t="shared" si="95"/>
        <v>0</v>
      </c>
      <c r="R1503" s="24">
        <f t="shared" si="96"/>
        <v>7153.6</v>
      </c>
      <c r="S1503" s="5"/>
      <c r="T1503" s="5"/>
    </row>
    <row r="1504" spans="1:20" ht="15.75" hidden="1" x14ac:dyDescent="0.25">
      <c r="B1504" s="21" t="s">
        <v>395</v>
      </c>
      <c r="C1504" s="22" t="s">
        <v>2450</v>
      </c>
      <c r="D1504" s="22"/>
      <c r="E1504" s="21" t="s">
        <v>10</v>
      </c>
      <c r="F1504" s="21"/>
      <c r="G1504" s="147" t="s">
        <v>7043</v>
      </c>
      <c r="H1504" s="23" t="s">
        <v>9658</v>
      </c>
      <c r="I1504" s="23" t="s">
        <v>9659</v>
      </c>
      <c r="J1504" s="21" t="s">
        <v>6557</v>
      </c>
      <c r="K1504" s="21"/>
      <c r="L1504" s="21" t="s">
        <v>12232</v>
      </c>
      <c r="M1504" s="26">
        <v>45377</v>
      </c>
      <c r="N1504" s="44">
        <v>2254.4</v>
      </c>
      <c r="O1504" s="22" t="s">
        <v>15</v>
      </c>
      <c r="P1504" s="44">
        <v>2254.4</v>
      </c>
      <c r="Q1504" s="24">
        <f t="shared" si="95"/>
        <v>0</v>
      </c>
      <c r="R1504" s="24">
        <f t="shared" si="96"/>
        <v>2254.4</v>
      </c>
      <c r="S1504" s="5"/>
      <c r="T1504" s="5"/>
    </row>
    <row r="1505" spans="1:20" ht="15.75" hidden="1" x14ac:dyDescent="0.25">
      <c r="B1505" s="21" t="s">
        <v>395</v>
      </c>
      <c r="C1505" s="22" t="s">
        <v>2450</v>
      </c>
      <c r="D1505" s="22"/>
      <c r="E1505" s="21" t="s">
        <v>10</v>
      </c>
      <c r="F1505" s="21" t="s">
        <v>9721</v>
      </c>
      <c r="G1505" s="147" t="s">
        <v>7043</v>
      </c>
      <c r="H1505" s="23" t="s">
        <v>10593</v>
      </c>
      <c r="I1505" s="23" t="s">
        <v>10594</v>
      </c>
      <c r="J1505" s="21" t="s">
        <v>6557</v>
      </c>
      <c r="K1505" s="21"/>
      <c r="L1505" s="21" t="s">
        <v>10653</v>
      </c>
      <c r="M1505" s="26">
        <v>45588</v>
      </c>
      <c r="N1505" s="44">
        <v>3945.2</v>
      </c>
      <c r="O1505" s="22" t="s">
        <v>15</v>
      </c>
      <c r="P1505" s="44">
        <v>3945.2</v>
      </c>
      <c r="Q1505" s="44">
        <f t="shared" si="95"/>
        <v>0</v>
      </c>
      <c r="R1505" s="24">
        <f t="shared" si="96"/>
        <v>3945.2</v>
      </c>
      <c r="S1505" s="5"/>
      <c r="T1505" s="5"/>
    </row>
    <row r="1506" spans="1:20" ht="15.75" hidden="1" x14ac:dyDescent="0.25">
      <c r="B1506" s="21" t="s">
        <v>395</v>
      </c>
      <c r="C1506" s="22" t="s">
        <v>2450</v>
      </c>
      <c r="D1506" s="22"/>
      <c r="E1506" s="21" t="s">
        <v>10</v>
      </c>
      <c r="F1506" s="21" t="s">
        <v>9721</v>
      </c>
      <c r="G1506" s="147" t="s">
        <v>7043</v>
      </c>
      <c r="H1506" s="23" t="s">
        <v>10637</v>
      </c>
      <c r="I1506" s="23" t="s">
        <v>10638</v>
      </c>
      <c r="J1506" s="21" t="s">
        <v>6557</v>
      </c>
      <c r="K1506" s="21"/>
      <c r="L1506" s="21" t="s">
        <v>10646</v>
      </c>
      <c r="M1506" s="26">
        <v>45572</v>
      </c>
      <c r="N1506" s="44">
        <v>2314.1999999999998</v>
      </c>
      <c r="O1506" s="22" t="s">
        <v>15</v>
      </c>
      <c r="P1506" s="44">
        <v>2324.1999999999998</v>
      </c>
      <c r="Q1506" s="44">
        <f t="shared" si="95"/>
        <v>0</v>
      </c>
      <c r="R1506" s="24">
        <f t="shared" si="96"/>
        <v>2324.1999999999998</v>
      </c>
      <c r="S1506" s="5"/>
      <c r="T1506" s="5"/>
    </row>
    <row r="1507" spans="1:20" ht="15.75" hidden="1" x14ac:dyDescent="0.25">
      <c r="B1507" s="21" t="s">
        <v>395</v>
      </c>
      <c r="C1507" s="22" t="s">
        <v>2450</v>
      </c>
      <c r="D1507" s="22"/>
      <c r="E1507" s="21" t="s">
        <v>10</v>
      </c>
      <c r="F1507" s="21" t="s">
        <v>9721</v>
      </c>
      <c r="G1507" s="147" t="s">
        <v>7043</v>
      </c>
      <c r="H1507" s="23" t="s">
        <v>10826</v>
      </c>
      <c r="I1507" s="23" t="s">
        <v>10827</v>
      </c>
      <c r="J1507" s="21" t="s">
        <v>6557</v>
      </c>
      <c r="K1507" s="21"/>
      <c r="L1507" s="21" t="s">
        <v>10891</v>
      </c>
      <c r="M1507" s="26">
        <v>45631</v>
      </c>
      <c r="N1507" s="44">
        <v>5917.8</v>
      </c>
      <c r="O1507" s="22" t="s">
        <v>15</v>
      </c>
      <c r="P1507" s="44">
        <f>5917.8</f>
        <v>5917.8</v>
      </c>
      <c r="Q1507" s="24">
        <f t="shared" si="95"/>
        <v>0</v>
      </c>
      <c r="R1507" s="24">
        <f>IF(P1507="OK",N1507-Q1507,IF(P1507="en cours",M1507-Q1507,P1507))</f>
        <v>5917.8</v>
      </c>
      <c r="S1507" s="5"/>
      <c r="T1507" s="5"/>
    </row>
    <row r="1508" spans="1:20" ht="15.75" hidden="1" x14ac:dyDescent="0.25">
      <c r="A1508" t="s">
        <v>6753</v>
      </c>
      <c r="B1508" s="21" t="s">
        <v>395</v>
      </c>
      <c r="C1508" s="22" t="s">
        <v>2421</v>
      </c>
      <c r="D1508" s="22"/>
      <c r="E1508" s="21" t="s">
        <v>75</v>
      </c>
      <c r="F1508" s="21"/>
      <c r="G1508" s="147" t="s">
        <v>1473</v>
      </c>
      <c r="H1508" s="23" t="s">
        <v>1475</v>
      </c>
      <c r="I1508" s="23"/>
      <c r="J1508" s="21" t="s">
        <v>1474</v>
      </c>
      <c r="K1508" s="21"/>
      <c r="L1508" s="21" t="s">
        <v>2038</v>
      </c>
      <c r="M1508" s="26">
        <v>43557</v>
      </c>
      <c r="N1508" s="44">
        <v>126782</v>
      </c>
      <c r="O1508" s="22" t="s">
        <v>276</v>
      </c>
      <c r="P1508" s="22" t="s">
        <v>19</v>
      </c>
      <c r="Q1508" s="24">
        <f t="shared" si="95"/>
        <v>0</v>
      </c>
      <c r="R1508" s="24">
        <f t="shared" ref="R1508:R1513" si="97">IF(P1508="OK",N1508-Q1508,IF(P1508="en cours",N1508-Q1508,P1508))</f>
        <v>126782</v>
      </c>
      <c r="S1508" s="5" t="s">
        <v>5568</v>
      </c>
      <c r="T1508" s="5"/>
    </row>
    <row r="1509" spans="1:20" ht="15.75" hidden="1" x14ac:dyDescent="0.25">
      <c r="A1509" t="s">
        <v>6753</v>
      </c>
      <c r="B1509" s="21" t="s">
        <v>395</v>
      </c>
      <c r="C1509" s="22" t="s">
        <v>2421</v>
      </c>
      <c r="D1509" s="22"/>
      <c r="E1509" s="21" t="s">
        <v>75</v>
      </c>
      <c r="F1509" s="21"/>
      <c r="G1509" s="147" t="s">
        <v>1473</v>
      </c>
      <c r="H1509" s="23" t="s">
        <v>1475</v>
      </c>
      <c r="I1509" s="23"/>
      <c r="J1509" s="21" t="s">
        <v>1798</v>
      </c>
      <c r="K1509" s="21"/>
      <c r="L1509" s="21" t="s">
        <v>2039</v>
      </c>
      <c r="M1509" s="26">
        <v>43595</v>
      </c>
      <c r="N1509" s="44">
        <v>42261</v>
      </c>
      <c r="O1509" s="22" t="s">
        <v>276</v>
      </c>
      <c r="P1509" s="22" t="s">
        <v>19</v>
      </c>
      <c r="Q1509" s="24">
        <f t="shared" si="95"/>
        <v>0</v>
      </c>
      <c r="R1509" s="24">
        <f t="shared" si="97"/>
        <v>42261</v>
      </c>
      <c r="S1509" s="5" t="s">
        <v>5568</v>
      </c>
      <c r="T1509" s="5"/>
    </row>
    <row r="1510" spans="1:20" ht="15.75" hidden="1" x14ac:dyDescent="0.25">
      <c r="A1510" t="s">
        <v>6753</v>
      </c>
      <c r="B1510" s="21" t="s">
        <v>395</v>
      </c>
      <c r="C1510" s="22" t="s">
        <v>2421</v>
      </c>
      <c r="D1510" s="22"/>
      <c r="E1510" s="21" t="s">
        <v>75</v>
      </c>
      <c r="F1510" s="21"/>
      <c r="G1510" s="147" t="s">
        <v>1473</v>
      </c>
      <c r="H1510" s="23" t="s">
        <v>1475</v>
      </c>
      <c r="I1510" s="23"/>
      <c r="J1510" s="21" t="s">
        <v>1799</v>
      </c>
      <c r="K1510" s="21"/>
      <c r="L1510" s="21" t="s">
        <v>2040</v>
      </c>
      <c r="M1510" s="26">
        <v>43622</v>
      </c>
      <c r="N1510" s="44">
        <v>42261</v>
      </c>
      <c r="O1510" s="22" t="s">
        <v>276</v>
      </c>
      <c r="P1510" s="22" t="s">
        <v>19</v>
      </c>
      <c r="Q1510" s="24">
        <f t="shared" si="95"/>
        <v>0</v>
      </c>
      <c r="R1510" s="24">
        <f t="shared" si="97"/>
        <v>42261</v>
      </c>
      <c r="S1510" s="5" t="s">
        <v>5568</v>
      </c>
      <c r="T1510" s="5"/>
    </row>
    <row r="1511" spans="1:20" ht="15.75" hidden="1" x14ac:dyDescent="0.25">
      <c r="A1511" t="s">
        <v>6753</v>
      </c>
      <c r="B1511" s="21" t="s">
        <v>395</v>
      </c>
      <c r="C1511" s="22" t="s">
        <v>2421</v>
      </c>
      <c r="D1511" s="22"/>
      <c r="E1511" s="21" t="s">
        <v>75</v>
      </c>
      <c r="F1511" s="21"/>
      <c r="G1511" s="147" t="s">
        <v>1473</v>
      </c>
      <c r="H1511" s="23" t="s">
        <v>1475</v>
      </c>
      <c r="I1511" s="23"/>
      <c r="J1511" s="21" t="s">
        <v>1800</v>
      </c>
      <c r="K1511" s="21"/>
      <c r="L1511" s="21" t="s">
        <v>2041</v>
      </c>
      <c r="M1511" s="26">
        <v>43655</v>
      </c>
      <c r="N1511" s="44">
        <v>42261</v>
      </c>
      <c r="O1511" s="22" t="s">
        <v>276</v>
      </c>
      <c r="P1511" s="22" t="s">
        <v>19</v>
      </c>
      <c r="Q1511" s="24">
        <f t="shared" si="95"/>
        <v>0</v>
      </c>
      <c r="R1511" s="24">
        <f t="shared" si="97"/>
        <v>42261</v>
      </c>
      <c r="S1511" s="5" t="s">
        <v>5568</v>
      </c>
      <c r="T1511" s="5"/>
    </row>
    <row r="1512" spans="1:20" ht="15.75" hidden="1" x14ac:dyDescent="0.25">
      <c r="B1512" s="21" t="s">
        <v>395</v>
      </c>
      <c r="C1512" s="22" t="s">
        <v>158</v>
      </c>
      <c r="D1512" s="22"/>
      <c r="E1512" s="21" t="s">
        <v>7137</v>
      </c>
      <c r="F1512" s="21"/>
      <c r="G1512" s="147" t="s">
        <v>8950</v>
      </c>
      <c r="H1512" s="23" t="s">
        <v>8951</v>
      </c>
      <c r="I1512" s="23" t="s">
        <v>8952</v>
      </c>
      <c r="J1512" s="21" t="s">
        <v>8953</v>
      </c>
      <c r="K1512" s="21"/>
      <c r="L1512" s="21" t="s">
        <v>9986</v>
      </c>
      <c r="M1512" s="26" t="s">
        <v>9987</v>
      </c>
      <c r="N1512" s="44">
        <v>20160</v>
      </c>
      <c r="O1512" s="22" t="s">
        <v>276</v>
      </c>
      <c r="P1512" s="44">
        <f>2425+5486.25+8830.41+71.25+3187.49+8830.41+1425</f>
        <v>30255.81</v>
      </c>
      <c r="Q1512" s="44">
        <f t="shared" si="95"/>
        <v>0</v>
      </c>
      <c r="R1512" s="24">
        <f t="shared" si="97"/>
        <v>30255.81</v>
      </c>
      <c r="S1512" s="5"/>
      <c r="T1512" s="5"/>
    </row>
    <row r="1513" spans="1:20" ht="15.75" hidden="1" x14ac:dyDescent="0.25">
      <c r="B1513" s="21" t="s">
        <v>395</v>
      </c>
      <c r="C1513" s="22" t="s">
        <v>158</v>
      </c>
      <c r="D1513" s="22"/>
      <c r="E1513" s="21" t="s">
        <v>7137</v>
      </c>
      <c r="F1513" s="21"/>
      <c r="G1513" s="147" t="s">
        <v>8950</v>
      </c>
      <c r="H1513" s="23" t="s">
        <v>9335</v>
      </c>
      <c r="I1513" s="23" t="s">
        <v>9336</v>
      </c>
      <c r="J1513" s="21" t="s">
        <v>9337</v>
      </c>
      <c r="K1513" s="21"/>
      <c r="L1513" s="21" t="s">
        <v>10499</v>
      </c>
      <c r="M1513" s="26" t="s">
        <v>9988</v>
      </c>
      <c r="N1513" s="44">
        <v>18680</v>
      </c>
      <c r="O1513" s="22" t="s">
        <v>276</v>
      </c>
      <c r="P1513" s="44">
        <f>2380+340+10596.52+6800+680</f>
        <v>20796.52</v>
      </c>
      <c r="Q1513" s="44">
        <f t="shared" si="95"/>
        <v>0</v>
      </c>
      <c r="R1513" s="24">
        <f t="shared" si="97"/>
        <v>20796.52</v>
      </c>
      <c r="S1513" s="5"/>
      <c r="T1513" s="5"/>
    </row>
    <row r="1514" spans="1:20" ht="15.75" hidden="1" x14ac:dyDescent="0.25">
      <c r="B1514" s="21" t="s">
        <v>395</v>
      </c>
      <c r="C1514" s="22" t="s">
        <v>158</v>
      </c>
      <c r="D1514" s="22"/>
      <c r="E1514" s="21" t="s">
        <v>7137</v>
      </c>
      <c r="F1514" s="21" t="s">
        <v>10013</v>
      </c>
      <c r="G1514" s="147" t="s">
        <v>8950</v>
      </c>
      <c r="H1514" s="23" t="s">
        <v>10136</v>
      </c>
      <c r="I1514" s="23" t="s">
        <v>10137</v>
      </c>
      <c r="J1514" s="21" t="s">
        <v>10138</v>
      </c>
      <c r="K1514" s="21"/>
      <c r="L1514" s="21" t="s">
        <v>10500</v>
      </c>
      <c r="M1514" s="26" t="s">
        <v>10501</v>
      </c>
      <c r="N1514" s="44">
        <v>18680</v>
      </c>
      <c r="O1514" s="22" t="s">
        <v>276</v>
      </c>
      <c r="P1514" s="44">
        <f>16130+1360</f>
        <v>17490</v>
      </c>
      <c r="Q1514" s="44">
        <v>0</v>
      </c>
      <c r="R1514" s="24">
        <f>IF(P1514="OK",N1514-Q1514,IF(P1514="en cours",M1514-Q1514,P1514))</f>
        <v>17490</v>
      </c>
      <c r="S1514" s="5" t="s">
        <v>11195</v>
      </c>
      <c r="T1514" s="5"/>
    </row>
    <row r="1515" spans="1:20" ht="15.75" hidden="1" x14ac:dyDescent="0.25">
      <c r="A1515" t="s">
        <v>6753</v>
      </c>
      <c r="B1515" s="21" t="s">
        <v>395</v>
      </c>
      <c r="C1515" s="22" t="s">
        <v>2450</v>
      </c>
      <c r="D1515" s="22"/>
      <c r="E1515" s="21" t="s">
        <v>10</v>
      </c>
      <c r="F1515" s="21"/>
      <c r="G1515" s="147" t="s">
        <v>169</v>
      </c>
      <c r="H1515" s="23" t="s">
        <v>1458</v>
      </c>
      <c r="I1515" s="23"/>
      <c r="J1515" s="21" t="s">
        <v>1457</v>
      </c>
      <c r="K1515" s="21"/>
      <c r="L1515" s="21" t="s">
        <v>2267</v>
      </c>
      <c r="M1515" s="26">
        <v>43483</v>
      </c>
      <c r="N1515" s="44">
        <f>5000-3000</f>
        <v>2000</v>
      </c>
      <c r="O1515" s="22" t="s">
        <v>15</v>
      </c>
      <c r="P1515" s="22">
        <v>2000</v>
      </c>
      <c r="Q1515" s="24">
        <f>N1515-P1515</f>
        <v>0</v>
      </c>
      <c r="R1515" s="24">
        <f t="shared" ref="R1515:R1578" si="98">IF(P1515="OK",N1515-Q1515,IF(P1515="en cours",N1515-Q1515,P1515))</f>
        <v>2000</v>
      </c>
      <c r="S1515" s="5" t="s">
        <v>1788</v>
      </c>
      <c r="T1515" s="5"/>
    </row>
    <row r="1516" spans="1:20" ht="15.75" hidden="1" x14ac:dyDescent="0.25">
      <c r="A1516" t="s">
        <v>6753</v>
      </c>
      <c r="B1516" s="21" t="s">
        <v>395</v>
      </c>
      <c r="C1516" s="22" t="s">
        <v>2450</v>
      </c>
      <c r="D1516" s="22"/>
      <c r="E1516" s="21" t="s">
        <v>10</v>
      </c>
      <c r="F1516" s="21"/>
      <c r="G1516" s="147" t="s">
        <v>169</v>
      </c>
      <c r="H1516" s="23" t="s">
        <v>1295</v>
      </c>
      <c r="I1516" s="23" t="s">
        <v>7840</v>
      </c>
      <c r="J1516" s="21" t="s">
        <v>1294</v>
      </c>
      <c r="K1516" s="21"/>
      <c r="L1516" s="21" t="s">
        <v>2273</v>
      </c>
      <c r="M1516" s="26" t="s">
        <v>2272</v>
      </c>
      <c r="N1516" s="44">
        <v>10000</v>
      </c>
      <c r="O1516" s="22" t="s">
        <v>15</v>
      </c>
      <c r="P1516" s="22">
        <f>2000+8000</f>
        <v>10000</v>
      </c>
      <c r="Q1516" s="24">
        <f t="shared" ref="Q1516:Q1530" si="99">IF(P1516="en cours",N1516,IF(P1516="OK",0,IF(N1516-P1516&lt;0,0,N1516-P1516)))</f>
        <v>0</v>
      </c>
      <c r="R1516" s="24">
        <f t="shared" si="98"/>
        <v>10000</v>
      </c>
      <c r="S1516" s="5"/>
      <c r="T1516" s="5"/>
    </row>
    <row r="1517" spans="1:20" ht="15.75" hidden="1" x14ac:dyDescent="0.25">
      <c r="A1517" t="s">
        <v>6753</v>
      </c>
      <c r="B1517" s="21" t="s">
        <v>395</v>
      </c>
      <c r="C1517" s="22" t="s">
        <v>2450</v>
      </c>
      <c r="D1517" s="22"/>
      <c r="E1517" s="21" t="s">
        <v>10</v>
      </c>
      <c r="F1517" s="21"/>
      <c r="G1517" s="147" t="s">
        <v>169</v>
      </c>
      <c r="H1517" s="23" t="s">
        <v>1438</v>
      </c>
      <c r="I1517" s="23" t="s">
        <v>7848</v>
      </c>
      <c r="J1517" s="21" t="s">
        <v>1430</v>
      </c>
      <c r="K1517" s="21"/>
      <c r="L1517" s="21" t="s">
        <v>4923</v>
      </c>
      <c r="M1517" s="26">
        <v>44319</v>
      </c>
      <c r="N1517" s="44">
        <v>5000</v>
      </c>
      <c r="O1517" s="22" t="s">
        <v>15</v>
      </c>
      <c r="P1517" s="22" t="s">
        <v>19</v>
      </c>
      <c r="Q1517" s="24">
        <f t="shared" si="99"/>
        <v>0</v>
      </c>
      <c r="R1517" s="24">
        <f t="shared" si="98"/>
        <v>5000</v>
      </c>
      <c r="S1517" s="5"/>
      <c r="T1517" s="5"/>
    </row>
    <row r="1518" spans="1:20" ht="15.75" hidden="1" x14ac:dyDescent="0.25">
      <c r="A1518" t="s">
        <v>6753</v>
      </c>
      <c r="B1518" s="21" t="s">
        <v>395</v>
      </c>
      <c r="C1518" s="22" t="s">
        <v>2450</v>
      </c>
      <c r="D1518" s="22"/>
      <c r="E1518" s="21" t="s">
        <v>10</v>
      </c>
      <c r="F1518" s="21"/>
      <c r="G1518" s="147" t="s">
        <v>169</v>
      </c>
      <c r="H1518" s="23" t="s">
        <v>1435</v>
      </c>
      <c r="I1518" s="23" t="s">
        <v>7845</v>
      </c>
      <c r="J1518" s="21" t="s">
        <v>1427</v>
      </c>
      <c r="K1518" s="21"/>
      <c r="L1518" s="21" t="s">
        <v>2270</v>
      </c>
      <c r="M1518" s="26">
        <v>43678</v>
      </c>
      <c r="N1518" s="44">
        <v>5000</v>
      </c>
      <c r="O1518" s="22" t="s">
        <v>15</v>
      </c>
      <c r="P1518" s="22" t="s">
        <v>19</v>
      </c>
      <c r="Q1518" s="24">
        <f t="shared" si="99"/>
        <v>0</v>
      </c>
      <c r="R1518" s="24">
        <f t="shared" si="98"/>
        <v>5000</v>
      </c>
      <c r="S1518" s="5"/>
      <c r="T1518" s="5"/>
    </row>
    <row r="1519" spans="1:20" ht="15.75" hidden="1" x14ac:dyDescent="0.25">
      <c r="A1519" t="s">
        <v>6753</v>
      </c>
      <c r="B1519" s="21" t="s">
        <v>395</v>
      </c>
      <c r="C1519" s="22" t="s">
        <v>2450</v>
      </c>
      <c r="D1519" s="22"/>
      <c r="E1519" s="21" t="s">
        <v>10</v>
      </c>
      <c r="F1519" s="21"/>
      <c r="G1519" s="147" t="s">
        <v>169</v>
      </c>
      <c r="H1519" s="23" t="s">
        <v>1439</v>
      </c>
      <c r="I1519" s="23" t="s">
        <v>7849</v>
      </c>
      <c r="J1519" s="21" t="s">
        <v>1431</v>
      </c>
      <c r="K1519" s="21"/>
      <c r="L1519" s="21" t="s">
        <v>2268</v>
      </c>
      <c r="M1519" s="26">
        <v>43678</v>
      </c>
      <c r="N1519" s="44">
        <v>5000</v>
      </c>
      <c r="O1519" s="22" t="s">
        <v>15</v>
      </c>
      <c r="P1519" s="22" t="s">
        <v>19</v>
      </c>
      <c r="Q1519" s="24">
        <f t="shared" si="99"/>
        <v>0</v>
      </c>
      <c r="R1519" s="24">
        <f t="shared" si="98"/>
        <v>5000</v>
      </c>
      <c r="S1519" s="5"/>
      <c r="T1519" s="5"/>
    </row>
    <row r="1520" spans="1:20" ht="15.75" hidden="1" x14ac:dyDescent="0.25">
      <c r="A1520" t="s">
        <v>6753</v>
      </c>
      <c r="B1520" s="21" t="s">
        <v>395</v>
      </c>
      <c r="C1520" s="22" t="s">
        <v>2450</v>
      </c>
      <c r="D1520" s="22"/>
      <c r="E1520" s="21" t="s">
        <v>10</v>
      </c>
      <c r="F1520" s="21"/>
      <c r="G1520" s="147" t="s">
        <v>169</v>
      </c>
      <c r="H1520" s="23" t="s">
        <v>1437</v>
      </c>
      <c r="I1520" s="23" t="s">
        <v>7847</v>
      </c>
      <c r="J1520" s="21" t="s">
        <v>1429</v>
      </c>
      <c r="K1520" s="21"/>
      <c r="L1520" s="21" t="s">
        <v>4922</v>
      </c>
      <c r="M1520" s="26">
        <v>44319</v>
      </c>
      <c r="N1520" s="44">
        <v>5000</v>
      </c>
      <c r="O1520" s="22" t="s">
        <v>15</v>
      </c>
      <c r="P1520" s="22" t="s">
        <v>19</v>
      </c>
      <c r="Q1520" s="24">
        <f t="shared" si="99"/>
        <v>0</v>
      </c>
      <c r="R1520" s="24">
        <f t="shared" si="98"/>
        <v>5000</v>
      </c>
      <c r="S1520" s="5"/>
      <c r="T1520" s="5"/>
    </row>
    <row r="1521" spans="1:20" ht="15.75" hidden="1" x14ac:dyDescent="0.25">
      <c r="A1521" t="s">
        <v>6753</v>
      </c>
      <c r="B1521" s="21" t="s">
        <v>395</v>
      </c>
      <c r="C1521" s="22" t="s">
        <v>2450</v>
      </c>
      <c r="D1521" s="22"/>
      <c r="E1521" s="21" t="s">
        <v>10</v>
      </c>
      <c r="F1521" s="21"/>
      <c r="G1521" s="147" t="s">
        <v>169</v>
      </c>
      <c r="H1521" s="23" t="s">
        <v>1436</v>
      </c>
      <c r="I1521" s="23" t="s">
        <v>7846</v>
      </c>
      <c r="J1521" s="21" t="s">
        <v>1428</v>
      </c>
      <c r="K1521" s="21"/>
      <c r="L1521" s="21" t="s">
        <v>2269</v>
      </c>
      <c r="M1521" s="26">
        <v>43585</v>
      </c>
      <c r="N1521" s="44">
        <v>5000</v>
      </c>
      <c r="O1521" s="22" t="s">
        <v>15</v>
      </c>
      <c r="P1521" s="22" t="s">
        <v>19</v>
      </c>
      <c r="Q1521" s="24">
        <f t="shared" si="99"/>
        <v>0</v>
      </c>
      <c r="R1521" s="24">
        <f t="shared" si="98"/>
        <v>5000</v>
      </c>
      <c r="S1521" s="5"/>
      <c r="T1521" s="5"/>
    </row>
    <row r="1522" spans="1:20" ht="15.75" hidden="1" x14ac:dyDescent="0.25">
      <c r="A1522" t="s">
        <v>6753</v>
      </c>
      <c r="B1522" s="21" t="s">
        <v>395</v>
      </c>
      <c r="C1522" s="22" t="s">
        <v>2450</v>
      </c>
      <c r="D1522" s="22"/>
      <c r="E1522" s="21" t="s">
        <v>10</v>
      </c>
      <c r="F1522" s="21"/>
      <c r="G1522" s="147" t="s">
        <v>169</v>
      </c>
      <c r="H1522" s="23" t="s">
        <v>1740</v>
      </c>
      <c r="I1522" s="23"/>
      <c r="J1522" s="21" t="s">
        <v>1741</v>
      </c>
      <c r="K1522" s="120"/>
      <c r="L1522" s="21" t="s">
        <v>4930</v>
      </c>
      <c r="M1522" s="26" t="s">
        <v>4929</v>
      </c>
      <c r="N1522" s="44">
        <v>10000</v>
      </c>
      <c r="O1522" s="22" t="s">
        <v>15</v>
      </c>
      <c r="P1522" s="22">
        <f>2000+2000+6000</f>
        <v>10000</v>
      </c>
      <c r="Q1522" s="24">
        <f t="shared" si="99"/>
        <v>0</v>
      </c>
      <c r="R1522" s="24">
        <f t="shared" si="98"/>
        <v>10000</v>
      </c>
      <c r="S1522" s="5" t="s">
        <v>1838</v>
      </c>
      <c r="T1522" s="5"/>
    </row>
    <row r="1523" spans="1:20" ht="15.75" hidden="1" x14ac:dyDescent="0.25">
      <c r="A1523" t="s">
        <v>6753</v>
      </c>
      <c r="B1523" s="21" t="s">
        <v>395</v>
      </c>
      <c r="C1523" s="22" t="s">
        <v>2450</v>
      </c>
      <c r="D1523" s="22"/>
      <c r="E1523" s="21" t="s">
        <v>10</v>
      </c>
      <c r="F1523" s="21"/>
      <c r="G1523" s="147" t="s">
        <v>169</v>
      </c>
      <c r="H1523" s="23" t="s">
        <v>1620</v>
      </c>
      <c r="I1523" s="23" t="s">
        <v>7856</v>
      </c>
      <c r="J1523" s="21" t="s">
        <v>1621</v>
      </c>
      <c r="K1523" s="120"/>
      <c r="L1523" s="21" t="s">
        <v>4933</v>
      </c>
      <c r="M1523" s="26" t="s">
        <v>4934</v>
      </c>
      <c r="N1523" s="44">
        <v>4000</v>
      </c>
      <c r="O1523" s="22" t="s">
        <v>15</v>
      </c>
      <c r="P1523" s="22">
        <f>2000+2000</f>
        <v>4000</v>
      </c>
      <c r="Q1523" s="24">
        <f t="shared" si="99"/>
        <v>0</v>
      </c>
      <c r="R1523" s="24">
        <f t="shared" si="98"/>
        <v>4000</v>
      </c>
      <c r="S1523" s="5" t="s">
        <v>1789</v>
      </c>
      <c r="T1523" s="5"/>
    </row>
    <row r="1524" spans="1:20" ht="15.75" hidden="1" x14ac:dyDescent="0.25">
      <c r="A1524" t="s">
        <v>6753</v>
      </c>
      <c r="B1524" s="21" t="s">
        <v>395</v>
      </c>
      <c r="C1524" s="22" t="s">
        <v>2450</v>
      </c>
      <c r="D1524" s="22"/>
      <c r="E1524" s="21" t="s">
        <v>10</v>
      </c>
      <c r="F1524" s="21"/>
      <c r="G1524" s="147" t="s">
        <v>169</v>
      </c>
      <c r="H1524" s="23" t="s">
        <v>1569</v>
      </c>
      <c r="I1524" s="23"/>
      <c r="J1524" s="21" t="s">
        <v>1570</v>
      </c>
      <c r="K1524" s="120"/>
      <c r="L1524" s="21" t="s">
        <v>2265</v>
      </c>
      <c r="M1524" s="26">
        <v>43748</v>
      </c>
      <c r="N1524" s="44">
        <f>0.5*8300</f>
        <v>4150</v>
      </c>
      <c r="O1524" s="22" t="s">
        <v>15</v>
      </c>
      <c r="P1524" s="22" t="s">
        <v>19</v>
      </c>
      <c r="Q1524" s="24">
        <f t="shared" si="99"/>
        <v>0</v>
      </c>
      <c r="R1524" s="24">
        <f t="shared" si="98"/>
        <v>4150</v>
      </c>
      <c r="S1524" s="5"/>
      <c r="T1524" s="5"/>
    </row>
    <row r="1525" spans="1:20" ht="15.75" hidden="1" x14ac:dyDescent="0.25">
      <c r="A1525" t="s">
        <v>6753</v>
      </c>
      <c r="B1525" s="21" t="s">
        <v>395</v>
      </c>
      <c r="C1525" s="22" t="s">
        <v>2450</v>
      </c>
      <c r="D1525" s="22"/>
      <c r="E1525" s="21" t="s">
        <v>10</v>
      </c>
      <c r="F1525" s="21"/>
      <c r="G1525" s="147" t="s">
        <v>169</v>
      </c>
      <c r="H1525" s="23" t="s">
        <v>1569</v>
      </c>
      <c r="I1525" s="23"/>
      <c r="J1525" s="21" t="s">
        <v>1571</v>
      </c>
      <c r="K1525" s="120"/>
      <c r="L1525" s="21" t="s">
        <v>2265</v>
      </c>
      <c r="M1525" s="26">
        <v>43748</v>
      </c>
      <c r="N1525" s="44">
        <f>0.5*8300</f>
        <v>4150</v>
      </c>
      <c r="O1525" s="22" t="s">
        <v>15</v>
      </c>
      <c r="P1525" s="22" t="s">
        <v>19</v>
      </c>
      <c r="Q1525" s="24">
        <f t="shared" si="99"/>
        <v>0</v>
      </c>
      <c r="R1525" s="24">
        <f t="shared" si="98"/>
        <v>4150</v>
      </c>
      <c r="S1525" s="5"/>
      <c r="T1525" s="5"/>
    </row>
    <row r="1526" spans="1:20" ht="15.75" hidden="1" x14ac:dyDescent="0.25">
      <c r="A1526" t="s">
        <v>6753</v>
      </c>
      <c r="B1526" s="21" t="s">
        <v>395</v>
      </c>
      <c r="C1526" s="22" t="s">
        <v>2450</v>
      </c>
      <c r="D1526" s="22"/>
      <c r="E1526" s="21" t="s">
        <v>10</v>
      </c>
      <c r="F1526" s="21"/>
      <c r="G1526" s="147" t="s">
        <v>169</v>
      </c>
      <c r="H1526" s="23" t="s">
        <v>1715</v>
      </c>
      <c r="I1526" s="23" t="s">
        <v>7861</v>
      </c>
      <c r="J1526" s="21" t="s">
        <v>1681</v>
      </c>
      <c r="K1526" s="120"/>
      <c r="L1526" s="21" t="s">
        <v>4931</v>
      </c>
      <c r="M1526" s="26" t="s">
        <v>4932</v>
      </c>
      <c r="N1526" s="44">
        <v>4000</v>
      </c>
      <c r="O1526" s="22" t="s">
        <v>15</v>
      </c>
      <c r="P1526" s="22">
        <f>2000+2000</f>
        <v>4000</v>
      </c>
      <c r="Q1526" s="24">
        <f t="shared" si="99"/>
        <v>0</v>
      </c>
      <c r="R1526" s="24">
        <f t="shared" si="98"/>
        <v>4000</v>
      </c>
      <c r="S1526" s="5"/>
      <c r="T1526" s="5"/>
    </row>
    <row r="1527" spans="1:20" ht="15.75" hidden="1" x14ac:dyDescent="0.25">
      <c r="A1527" t="s">
        <v>6753</v>
      </c>
      <c r="B1527" s="21" t="s">
        <v>395</v>
      </c>
      <c r="C1527" s="22" t="s">
        <v>2450</v>
      </c>
      <c r="D1527" s="22"/>
      <c r="E1527" s="21" t="s">
        <v>10</v>
      </c>
      <c r="F1527" s="21"/>
      <c r="G1527" s="147" t="s">
        <v>169</v>
      </c>
      <c r="H1527" s="23" t="s">
        <v>1716</v>
      </c>
      <c r="I1527" s="23" t="s">
        <v>7862</v>
      </c>
      <c r="J1527" s="21" t="s">
        <v>1683</v>
      </c>
      <c r="K1527" s="120"/>
      <c r="L1527" s="21" t="s">
        <v>1916</v>
      </c>
      <c r="M1527" s="26" t="s">
        <v>1917</v>
      </c>
      <c r="N1527" s="44">
        <v>4000</v>
      </c>
      <c r="O1527" s="22" t="s">
        <v>15</v>
      </c>
      <c r="P1527" s="22">
        <f>2000+2000</f>
        <v>4000</v>
      </c>
      <c r="Q1527" s="24">
        <f t="shared" si="99"/>
        <v>0</v>
      </c>
      <c r="R1527" s="24">
        <f t="shared" si="98"/>
        <v>4000</v>
      </c>
      <c r="S1527" s="5"/>
      <c r="T1527" s="5"/>
    </row>
    <row r="1528" spans="1:20" ht="15.75" hidden="1" x14ac:dyDescent="0.25">
      <c r="A1528" t="s">
        <v>6753</v>
      </c>
      <c r="B1528" s="21" t="s">
        <v>395</v>
      </c>
      <c r="C1528" s="22" t="s">
        <v>2450</v>
      </c>
      <c r="D1528" s="22"/>
      <c r="E1528" s="21" t="s">
        <v>10</v>
      </c>
      <c r="F1528" s="21"/>
      <c r="G1528" s="147" t="s">
        <v>169</v>
      </c>
      <c r="H1528" s="23" t="s">
        <v>1823</v>
      </c>
      <c r="I1528" s="23" t="s">
        <v>7876</v>
      </c>
      <c r="J1528" s="21" t="s">
        <v>1824</v>
      </c>
      <c r="K1528" s="120"/>
      <c r="L1528" s="21"/>
      <c r="M1528" s="26" t="s">
        <v>1829</v>
      </c>
      <c r="N1528" s="44">
        <v>5000</v>
      </c>
      <c r="O1528" s="22" t="s">
        <v>15</v>
      </c>
      <c r="P1528" s="22" t="s">
        <v>19</v>
      </c>
      <c r="Q1528" s="24">
        <f t="shared" si="99"/>
        <v>0</v>
      </c>
      <c r="R1528" s="24">
        <f t="shared" si="98"/>
        <v>5000</v>
      </c>
      <c r="S1528" s="5"/>
      <c r="T1528" s="5"/>
    </row>
    <row r="1529" spans="1:20" ht="15.75" hidden="1" x14ac:dyDescent="0.25">
      <c r="A1529" t="s">
        <v>6753</v>
      </c>
      <c r="B1529" s="21" t="s">
        <v>395</v>
      </c>
      <c r="C1529" s="22" t="s">
        <v>2450</v>
      </c>
      <c r="D1529" s="22"/>
      <c r="E1529" s="21" t="s">
        <v>10</v>
      </c>
      <c r="F1529" s="21"/>
      <c r="G1529" s="147" t="s">
        <v>169</v>
      </c>
      <c r="H1529" s="23" t="s">
        <v>4924</v>
      </c>
      <c r="I1529" s="23"/>
      <c r="J1529" s="21" t="s">
        <v>1831</v>
      </c>
      <c r="K1529" s="120"/>
      <c r="L1529" s="21" t="s">
        <v>4925</v>
      </c>
      <c r="M1529" s="26">
        <v>44319</v>
      </c>
      <c r="N1529" s="44">
        <v>5000</v>
      </c>
      <c r="O1529" s="22" t="s">
        <v>15</v>
      </c>
      <c r="P1529" s="22" t="s">
        <v>19</v>
      </c>
      <c r="Q1529" s="24">
        <f t="shared" si="99"/>
        <v>0</v>
      </c>
      <c r="R1529" s="24">
        <f t="shared" si="98"/>
        <v>5000</v>
      </c>
      <c r="S1529" s="5"/>
      <c r="T1529" s="5"/>
    </row>
    <row r="1530" spans="1:20" ht="15.75" hidden="1" x14ac:dyDescent="0.25">
      <c r="A1530" t="s">
        <v>6753</v>
      </c>
      <c r="B1530" s="21" t="s">
        <v>395</v>
      </c>
      <c r="C1530" s="22" t="s">
        <v>2450</v>
      </c>
      <c r="D1530" s="22"/>
      <c r="E1530" s="21" t="s">
        <v>10</v>
      </c>
      <c r="F1530" s="21"/>
      <c r="G1530" s="147" t="s">
        <v>169</v>
      </c>
      <c r="H1530" s="23" t="s">
        <v>1872</v>
      </c>
      <c r="I1530" s="23" t="s">
        <v>7888</v>
      </c>
      <c r="J1530" s="21" t="s">
        <v>1873</v>
      </c>
      <c r="K1530" s="120"/>
      <c r="L1530" s="21" t="s">
        <v>2266</v>
      </c>
      <c r="M1530" s="26">
        <v>43710</v>
      </c>
      <c r="N1530" s="44">
        <v>2500</v>
      </c>
      <c r="O1530" s="22" t="s">
        <v>15</v>
      </c>
      <c r="P1530" s="22" t="s">
        <v>19</v>
      </c>
      <c r="Q1530" s="24">
        <f t="shared" si="99"/>
        <v>0</v>
      </c>
      <c r="R1530" s="24">
        <f t="shared" si="98"/>
        <v>2500</v>
      </c>
      <c r="S1530" s="5"/>
      <c r="T1530" s="5"/>
    </row>
    <row r="1531" spans="1:20" ht="15.75" hidden="1" x14ac:dyDescent="0.25">
      <c r="A1531" t="s">
        <v>6753</v>
      </c>
      <c r="B1531" s="21" t="s">
        <v>395</v>
      </c>
      <c r="C1531" s="22" t="s">
        <v>2450</v>
      </c>
      <c r="D1531" s="22"/>
      <c r="E1531" s="21" t="s">
        <v>10</v>
      </c>
      <c r="F1531" s="21"/>
      <c r="G1531" s="147" t="s">
        <v>169</v>
      </c>
      <c r="H1531" s="23" t="s">
        <v>2257</v>
      </c>
      <c r="I1531" s="23" t="s">
        <v>7890</v>
      </c>
      <c r="J1531" s="21" t="s">
        <v>2066</v>
      </c>
      <c r="K1531" s="120"/>
      <c r="L1531" s="21" t="s">
        <v>4498</v>
      </c>
      <c r="M1531" s="26" t="s">
        <v>4499</v>
      </c>
      <c r="N1531" s="44">
        <v>4000</v>
      </c>
      <c r="O1531" s="22" t="s">
        <v>15</v>
      </c>
      <c r="P1531" s="44">
        <f>2000+2000</f>
        <v>4000</v>
      </c>
      <c r="Q1531" s="24">
        <v>0</v>
      </c>
      <c r="R1531" s="116">
        <f t="shared" si="98"/>
        <v>4000</v>
      </c>
      <c r="S1531" s="5"/>
      <c r="T1531" s="5"/>
    </row>
    <row r="1532" spans="1:20" ht="15.75" hidden="1" x14ac:dyDescent="0.25">
      <c r="A1532" t="s">
        <v>6753</v>
      </c>
      <c r="B1532" s="21" t="s">
        <v>395</v>
      </c>
      <c r="C1532" s="22" t="s">
        <v>2450</v>
      </c>
      <c r="D1532" s="22"/>
      <c r="E1532" s="21" t="s">
        <v>10</v>
      </c>
      <c r="F1532" s="21"/>
      <c r="G1532" s="147" t="s">
        <v>169</v>
      </c>
      <c r="H1532" s="23" t="s">
        <v>2257</v>
      </c>
      <c r="I1532" s="23" t="s">
        <v>7890</v>
      </c>
      <c r="J1532" s="21" t="s">
        <v>2067</v>
      </c>
      <c r="K1532" s="120"/>
      <c r="L1532" s="21" t="s">
        <v>3384</v>
      </c>
      <c r="M1532" s="26" t="s">
        <v>3385</v>
      </c>
      <c r="N1532" s="44">
        <v>4000</v>
      </c>
      <c r="O1532" s="22" t="s">
        <v>15</v>
      </c>
      <c r="P1532" s="44">
        <f>2000+2000</f>
        <v>4000</v>
      </c>
      <c r="Q1532" s="24">
        <f t="shared" ref="Q1532:Q1586" si="100">IF(P1532="en cours",N1532,IF(P1532="OK",0,IF(N1532-P1532&lt;0,0,N1532-P1532)))</f>
        <v>0</v>
      </c>
      <c r="R1532" s="116">
        <f t="shared" si="98"/>
        <v>4000</v>
      </c>
      <c r="S1532" s="5"/>
      <c r="T1532" s="5"/>
    </row>
    <row r="1533" spans="1:20" ht="15.75" hidden="1" x14ac:dyDescent="0.25">
      <c r="A1533" t="s">
        <v>6753</v>
      </c>
      <c r="B1533" s="21" t="s">
        <v>395</v>
      </c>
      <c r="C1533" s="22" t="s">
        <v>2450</v>
      </c>
      <c r="D1533" s="22"/>
      <c r="E1533" s="21" t="s">
        <v>10</v>
      </c>
      <c r="F1533" s="21"/>
      <c r="G1533" s="147" t="s">
        <v>169</v>
      </c>
      <c r="H1533" s="23" t="s">
        <v>2257</v>
      </c>
      <c r="I1533" s="23" t="s">
        <v>7890</v>
      </c>
      <c r="J1533" s="21" t="s">
        <v>2068</v>
      </c>
      <c r="K1533" s="120"/>
      <c r="L1533" s="21" t="s">
        <v>3560</v>
      </c>
      <c r="M1533" s="26" t="s">
        <v>3561</v>
      </c>
      <c r="N1533" s="44">
        <v>4000</v>
      </c>
      <c r="O1533" s="22" t="s">
        <v>15</v>
      </c>
      <c r="P1533" s="44">
        <f>2000+2000</f>
        <v>4000</v>
      </c>
      <c r="Q1533" s="24">
        <f t="shared" si="100"/>
        <v>0</v>
      </c>
      <c r="R1533" s="116">
        <f t="shared" si="98"/>
        <v>4000</v>
      </c>
      <c r="S1533" s="5"/>
      <c r="T1533" s="5"/>
    </row>
    <row r="1534" spans="1:20" ht="15.75" hidden="1" x14ac:dyDescent="0.25">
      <c r="A1534" t="s">
        <v>6753</v>
      </c>
      <c r="B1534" s="21" t="s">
        <v>395</v>
      </c>
      <c r="C1534" s="22" t="s">
        <v>2450</v>
      </c>
      <c r="D1534" s="22"/>
      <c r="E1534" s="21" t="s">
        <v>10</v>
      </c>
      <c r="F1534" s="21"/>
      <c r="G1534" s="147" t="s">
        <v>169</v>
      </c>
      <c r="H1534" s="23" t="s">
        <v>2287</v>
      </c>
      <c r="I1534" s="23"/>
      <c r="J1534" s="21" t="s">
        <v>2288</v>
      </c>
      <c r="K1534" s="120"/>
      <c r="L1534" s="21" t="s">
        <v>2265</v>
      </c>
      <c r="M1534" s="26">
        <v>43748</v>
      </c>
      <c r="N1534" s="44">
        <v>348</v>
      </c>
      <c r="O1534" s="22" t="s">
        <v>15</v>
      </c>
      <c r="P1534" s="22" t="s">
        <v>19</v>
      </c>
      <c r="Q1534" s="24">
        <f t="shared" si="100"/>
        <v>0</v>
      </c>
      <c r="R1534" s="24">
        <f t="shared" si="98"/>
        <v>348</v>
      </c>
      <c r="S1534" s="5"/>
      <c r="T1534" s="5"/>
    </row>
    <row r="1535" spans="1:20" ht="15.75" hidden="1" x14ac:dyDescent="0.25">
      <c r="A1535" t="s">
        <v>6753</v>
      </c>
      <c r="B1535" s="21" t="s">
        <v>395</v>
      </c>
      <c r="C1535" s="22" t="s">
        <v>2450</v>
      </c>
      <c r="D1535" s="22"/>
      <c r="E1535" s="21" t="s">
        <v>10</v>
      </c>
      <c r="F1535" s="21"/>
      <c r="G1535" s="147" t="s">
        <v>169</v>
      </c>
      <c r="H1535" s="23" t="s">
        <v>2113</v>
      </c>
      <c r="I1535" s="23" t="s">
        <v>7892</v>
      </c>
      <c r="J1535" s="21" t="s">
        <v>2114</v>
      </c>
      <c r="K1535" s="120"/>
      <c r="L1535" s="21" t="s">
        <v>4926</v>
      </c>
      <c r="M1535" s="26">
        <v>44319</v>
      </c>
      <c r="N1535" s="44">
        <v>3000</v>
      </c>
      <c r="O1535" s="22" t="s">
        <v>15</v>
      </c>
      <c r="P1535" s="22" t="s">
        <v>19</v>
      </c>
      <c r="Q1535" s="24">
        <f t="shared" si="100"/>
        <v>0</v>
      </c>
      <c r="R1535" s="24">
        <f t="shared" si="98"/>
        <v>3000</v>
      </c>
      <c r="S1535" s="5"/>
      <c r="T1535" s="5"/>
    </row>
    <row r="1536" spans="1:20" ht="15.75" hidden="1" x14ac:dyDescent="0.25">
      <c r="A1536" t="s">
        <v>6753</v>
      </c>
      <c r="B1536" s="21" t="s">
        <v>395</v>
      </c>
      <c r="C1536" s="22" t="s">
        <v>2450</v>
      </c>
      <c r="D1536" s="22"/>
      <c r="E1536" s="21" t="s">
        <v>10</v>
      </c>
      <c r="F1536" s="21"/>
      <c r="G1536" s="147" t="s">
        <v>169</v>
      </c>
      <c r="H1536" s="23" t="s">
        <v>2258</v>
      </c>
      <c r="I1536" s="23" t="s">
        <v>7894</v>
      </c>
      <c r="J1536" s="21" t="s">
        <v>2259</v>
      </c>
      <c r="K1536" s="120"/>
      <c r="L1536" s="21" t="s">
        <v>2265</v>
      </c>
      <c r="M1536" s="26">
        <v>43748</v>
      </c>
      <c r="N1536" s="44">
        <v>1170</v>
      </c>
      <c r="O1536" s="22" t="s">
        <v>15</v>
      </c>
      <c r="P1536" s="22" t="s">
        <v>19</v>
      </c>
      <c r="Q1536" s="24">
        <f t="shared" si="100"/>
        <v>0</v>
      </c>
      <c r="R1536" s="24">
        <f t="shared" si="98"/>
        <v>1170</v>
      </c>
      <c r="S1536" s="5"/>
      <c r="T1536" s="5"/>
    </row>
    <row r="1537" spans="1:20" ht="15.75" hidden="1" x14ac:dyDescent="0.25">
      <c r="A1537" t="s">
        <v>6753</v>
      </c>
      <c r="B1537" s="21" t="s">
        <v>395</v>
      </c>
      <c r="C1537" s="22" t="s">
        <v>2450</v>
      </c>
      <c r="D1537" s="22"/>
      <c r="E1537" s="21" t="s">
        <v>10</v>
      </c>
      <c r="F1537" s="21"/>
      <c r="G1537" s="147" t="s">
        <v>169</v>
      </c>
      <c r="H1537" s="23" t="s">
        <v>4921</v>
      </c>
      <c r="I1537" s="23"/>
      <c r="J1537" s="208" t="s">
        <v>2289</v>
      </c>
      <c r="K1537" s="120"/>
      <c r="L1537" s="21"/>
      <c r="M1537" s="26"/>
      <c r="N1537" s="44">
        <v>0</v>
      </c>
      <c r="O1537" s="22" t="s">
        <v>15</v>
      </c>
      <c r="P1537" s="22" t="s">
        <v>19</v>
      </c>
      <c r="Q1537" s="44">
        <f t="shared" si="100"/>
        <v>0</v>
      </c>
      <c r="R1537" s="116">
        <f t="shared" si="98"/>
        <v>0</v>
      </c>
      <c r="S1537" s="5" t="s">
        <v>4937</v>
      </c>
      <c r="T1537" s="5"/>
    </row>
    <row r="1538" spans="1:20" ht="15.75" hidden="1" x14ac:dyDescent="0.25">
      <c r="A1538" t="s">
        <v>6753</v>
      </c>
      <c r="B1538" s="21" t="s">
        <v>395</v>
      </c>
      <c r="C1538" s="22" t="s">
        <v>2450</v>
      </c>
      <c r="D1538" s="22"/>
      <c r="E1538" s="21" t="s">
        <v>10</v>
      </c>
      <c r="F1538" s="21"/>
      <c r="G1538" s="147" t="s">
        <v>169</v>
      </c>
      <c r="H1538" s="23" t="s">
        <v>2260</v>
      </c>
      <c r="I1538" s="23" t="s">
        <v>7895</v>
      </c>
      <c r="J1538" s="21" t="s">
        <v>2564</v>
      </c>
      <c r="K1538" s="120"/>
      <c r="L1538" s="21" t="s">
        <v>2565</v>
      </c>
      <c r="M1538" s="26">
        <v>43795</v>
      </c>
      <c r="N1538" s="44">
        <v>6000</v>
      </c>
      <c r="O1538" s="22" t="s">
        <v>15</v>
      </c>
      <c r="P1538" s="22" t="s">
        <v>19</v>
      </c>
      <c r="Q1538" s="24">
        <f t="shared" si="100"/>
        <v>0</v>
      </c>
      <c r="R1538" s="24">
        <f t="shared" si="98"/>
        <v>6000</v>
      </c>
      <c r="S1538" s="5"/>
      <c r="T1538" s="5"/>
    </row>
    <row r="1539" spans="1:20" ht="15.75" hidden="1" x14ac:dyDescent="0.25">
      <c r="A1539" t="s">
        <v>6753</v>
      </c>
      <c r="B1539" s="21" t="s">
        <v>395</v>
      </c>
      <c r="C1539" s="22" t="s">
        <v>2450</v>
      </c>
      <c r="D1539" s="22"/>
      <c r="E1539" s="21" t="s">
        <v>10</v>
      </c>
      <c r="F1539" s="21"/>
      <c r="G1539" s="147" t="s">
        <v>169</v>
      </c>
      <c r="H1539" s="23" t="s">
        <v>2261</v>
      </c>
      <c r="I1539" s="23" t="s">
        <v>7896</v>
      </c>
      <c r="J1539" s="21" t="s">
        <v>2289</v>
      </c>
      <c r="K1539" s="120"/>
      <c r="L1539" s="21" t="s">
        <v>3614</v>
      </c>
      <c r="M1539" s="26">
        <v>44069</v>
      </c>
      <c r="N1539" s="44">
        <v>6000</v>
      </c>
      <c r="O1539" s="22" t="s">
        <v>15</v>
      </c>
      <c r="P1539" s="22" t="s">
        <v>19</v>
      </c>
      <c r="Q1539" s="44">
        <f t="shared" si="100"/>
        <v>0</v>
      </c>
      <c r="R1539" s="116">
        <f t="shared" si="98"/>
        <v>6000</v>
      </c>
      <c r="S1539" s="5"/>
      <c r="T1539" s="5"/>
    </row>
    <row r="1540" spans="1:20" ht="15.75" hidden="1" x14ac:dyDescent="0.25">
      <c r="A1540" t="s">
        <v>6753</v>
      </c>
      <c r="B1540" s="21" t="s">
        <v>395</v>
      </c>
      <c r="C1540" s="22" t="s">
        <v>2450</v>
      </c>
      <c r="D1540" s="22"/>
      <c r="E1540" s="21" t="s">
        <v>10</v>
      </c>
      <c r="F1540" s="21"/>
      <c r="G1540" s="147" t="s">
        <v>169</v>
      </c>
      <c r="H1540" s="23" t="s">
        <v>2546</v>
      </c>
      <c r="I1540" s="23" t="s">
        <v>7897</v>
      </c>
      <c r="J1540" s="21" t="s">
        <v>2290</v>
      </c>
      <c r="K1540" s="120"/>
      <c r="L1540" s="21" t="s">
        <v>2548</v>
      </c>
      <c r="M1540" s="26">
        <v>43775</v>
      </c>
      <c r="N1540" s="44">
        <v>3500</v>
      </c>
      <c r="O1540" s="22" t="s">
        <v>15</v>
      </c>
      <c r="P1540" s="22" t="s">
        <v>19</v>
      </c>
      <c r="Q1540" s="24">
        <f t="shared" si="100"/>
        <v>0</v>
      </c>
      <c r="R1540" s="24">
        <f t="shared" si="98"/>
        <v>3500</v>
      </c>
      <c r="S1540" s="5"/>
      <c r="T1540" s="5"/>
    </row>
    <row r="1541" spans="1:20" ht="15.75" hidden="1" x14ac:dyDescent="0.25">
      <c r="A1541" t="s">
        <v>6753</v>
      </c>
      <c r="B1541" s="21" t="s">
        <v>395</v>
      </c>
      <c r="C1541" s="22" t="s">
        <v>2450</v>
      </c>
      <c r="D1541" s="22"/>
      <c r="E1541" s="21" t="s">
        <v>10</v>
      </c>
      <c r="F1541" s="21"/>
      <c r="G1541" s="147" t="s">
        <v>169</v>
      </c>
      <c r="H1541" s="23" t="s">
        <v>2410</v>
      </c>
      <c r="I1541" s="23"/>
      <c r="J1541" s="21" t="s">
        <v>2343</v>
      </c>
      <c r="K1541" s="120"/>
      <c r="L1541" s="21" t="s">
        <v>4309</v>
      </c>
      <c r="M1541" s="26">
        <v>44200</v>
      </c>
      <c r="N1541" s="44">
        <v>7500</v>
      </c>
      <c r="O1541" s="22" t="s">
        <v>15</v>
      </c>
      <c r="P1541" s="22" t="s">
        <v>19</v>
      </c>
      <c r="Q1541" s="44">
        <f t="shared" si="100"/>
        <v>0</v>
      </c>
      <c r="R1541" s="116">
        <f t="shared" si="98"/>
        <v>7500</v>
      </c>
      <c r="S1541" s="5"/>
      <c r="T1541" s="5"/>
    </row>
    <row r="1542" spans="1:20" ht="15.75" hidden="1" x14ac:dyDescent="0.25">
      <c r="A1542" t="s">
        <v>6753</v>
      </c>
      <c r="B1542" s="21" t="s">
        <v>395</v>
      </c>
      <c r="C1542" s="22" t="s">
        <v>2450</v>
      </c>
      <c r="D1542" s="22"/>
      <c r="E1542" s="21" t="s">
        <v>10</v>
      </c>
      <c r="F1542" s="21"/>
      <c r="G1542" s="147" t="s">
        <v>169</v>
      </c>
      <c r="H1542" s="23" t="s">
        <v>2547</v>
      </c>
      <c r="I1542" s="23" t="s">
        <v>7899</v>
      </c>
      <c r="J1542" s="484" t="s">
        <v>2344</v>
      </c>
      <c r="K1542" s="120"/>
      <c r="L1542" s="128" t="s">
        <v>2549</v>
      </c>
      <c r="M1542" s="131">
        <v>43775</v>
      </c>
      <c r="N1542" s="132">
        <v>6000</v>
      </c>
      <c r="O1542" s="22" t="s">
        <v>15</v>
      </c>
      <c r="P1542" s="22" t="s">
        <v>19</v>
      </c>
      <c r="Q1542" s="24">
        <f t="shared" si="100"/>
        <v>0</v>
      </c>
      <c r="R1542" s="24">
        <f t="shared" si="98"/>
        <v>6000</v>
      </c>
      <c r="S1542" s="5"/>
      <c r="T1542" s="5"/>
    </row>
    <row r="1543" spans="1:20" ht="15.75" hidden="1" x14ac:dyDescent="0.25">
      <c r="A1543" t="s">
        <v>6753</v>
      </c>
      <c r="B1543" s="21" t="s">
        <v>395</v>
      </c>
      <c r="C1543" s="22" t="s">
        <v>2450</v>
      </c>
      <c r="D1543" s="22"/>
      <c r="E1543" s="21" t="s">
        <v>10</v>
      </c>
      <c r="F1543" s="21"/>
      <c r="G1543" s="147" t="s">
        <v>169</v>
      </c>
      <c r="H1543" s="23" t="s">
        <v>2476</v>
      </c>
      <c r="I1543" s="23" t="s">
        <v>7900</v>
      </c>
      <c r="J1543" s="484" t="s">
        <v>2477</v>
      </c>
      <c r="K1543" s="120"/>
      <c r="L1543" s="128" t="s">
        <v>2478</v>
      </c>
      <c r="M1543" s="131">
        <v>43784</v>
      </c>
      <c r="N1543" s="493">
        <v>1800</v>
      </c>
      <c r="O1543" s="22" t="s">
        <v>15</v>
      </c>
      <c r="P1543" s="22" t="s">
        <v>19</v>
      </c>
      <c r="Q1543" s="24">
        <f t="shared" si="100"/>
        <v>0</v>
      </c>
      <c r="R1543" s="24">
        <f t="shared" si="98"/>
        <v>1800</v>
      </c>
      <c r="S1543" s="5"/>
      <c r="T1543" s="5"/>
    </row>
    <row r="1544" spans="1:20" ht="15.75" hidden="1" x14ac:dyDescent="0.25">
      <c r="A1544" t="s">
        <v>6753</v>
      </c>
      <c r="B1544" s="21" t="s">
        <v>395</v>
      </c>
      <c r="C1544" s="22" t="s">
        <v>2450</v>
      </c>
      <c r="D1544" s="22"/>
      <c r="E1544" s="21" t="s">
        <v>10</v>
      </c>
      <c r="F1544" s="21"/>
      <c r="G1544" s="147" t="s">
        <v>169</v>
      </c>
      <c r="H1544" s="23" t="s">
        <v>2687</v>
      </c>
      <c r="I1544" s="23" t="s">
        <v>7906</v>
      </c>
      <c r="J1544" s="484" t="s">
        <v>2688</v>
      </c>
      <c r="K1544" s="120"/>
      <c r="L1544" s="128" t="s">
        <v>3030</v>
      </c>
      <c r="M1544" s="131" t="s">
        <v>3031</v>
      </c>
      <c r="N1544" s="490">
        <v>6000</v>
      </c>
      <c r="O1544" s="22" t="s">
        <v>15</v>
      </c>
      <c r="P1544" s="44">
        <f>2000+6000</f>
        <v>8000</v>
      </c>
      <c r="Q1544" s="44">
        <f t="shared" si="100"/>
        <v>0</v>
      </c>
      <c r="R1544" s="116">
        <f t="shared" si="98"/>
        <v>8000</v>
      </c>
      <c r="S1544" s="5"/>
      <c r="T1544" s="5"/>
    </row>
    <row r="1545" spans="1:20" ht="15.75" hidden="1" x14ac:dyDescent="0.25">
      <c r="A1545" t="s">
        <v>6753</v>
      </c>
      <c r="B1545" s="21" t="s">
        <v>395</v>
      </c>
      <c r="C1545" s="22" t="s">
        <v>2450</v>
      </c>
      <c r="D1545" s="22"/>
      <c r="E1545" s="21" t="s">
        <v>10</v>
      </c>
      <c r="F1545" s="21"/>
      <c r="G1545" s="147" t="s">
        <v>169</v>
      </c>
      <c r="H1545" s="23" t="s">
        <v>2689</v>
      </c>
      <c r="I1545" s="23" t="s">
        <v>7907</v>
      </c>
      <c r="J1545" s="484" t="s">
        <v>2690</v>
      </c>
      <c r="K1545" s="120"/>
      <c r="L1545" s="484" t="s">
        <v>2880</v>
      </c>
      <c r="M1545" s="488">
        <v>43830</v>
      </c>
      <c r="N1545" s="490">
        <f>0.5*13500</f>
        <v>6750</v>
      </c>
      <c r="O1545" s="22" t="s">
        <v>15</v>
      </c>
      <c r="P1545" s="22" t="s">
        <v>19</v>
      </c>
      <c r="Q1545" s="24">
        <f t="shared" si="100"/>
        <v>0</v>
      </c>
      <c r="R1545" s="24">
        <f t="shared" si="98"/>
        <v>6750</v>
      </c>
      <c r="S1545" s="5"/>
      <c r="T1545" s="5"/>
    </row>
    <row r="1546" spans="1:20" ht="15.75" hidden="1" x14ac:dyDescent="0.25">
      <c r="A1546" t="s">
        <v>6753</v>
      </c>
      <c r="B1546" s="21" t="s">
        <v>395</v>
      </c>
      <c r="C1546" s="22" t="s">
        <v>2450</v>
      </c>
      <c r="D1546" s="22"/>
      <c r="E1546" s="21" t="s">
        <v>10</v>
      </c>
      <c r="F1546" s="21"/>
      <c r="G1546" s="147" t="s">
        <v>169</v>
      </c>
      <c r="H1546" s="23" t="s">
        <v>2689</v>
      </c>
      <c r="I1546" s="23" t="s">
        <v>7907</v>
      </c>
      <c r="J1546" s="484" t="s">
        <v>2691</v>
      </c>
      <c r="K1546" s="120"/>
      <c r="L1546" s="484" t="s">
        <v>3460</v>
      </c>
      <c r="M1546" s="488">
        <v>44025</v>
      </c>
      <c r="N1546" s="490">
        <f>0.5*13500</f>
        <v>6750</v>
      </c>
      <c r="O1546" s="22" t="s">
        <v>15</v>
      </c>
      <c r="P1546" s="22" t="s">
        <v>19</v>
      </c>
      <c r="Q1546" s="24">
        <f t="shared" si="100"/>
        <v>0</v>
      </c>
      <c r="R1546" s="24">
        <f t="shared" si="98"/>
        <v>6750</v>
      </c>
      <c r="S1546" s="5"/>
      <c r="T1546" s="5"/>
    </row>
    <row r="1547" spans="1:20" ht="15.75" hidden="1" x14ac:dyDescent="0.25">
      <c r="A1547" t="s">
        <v>6753</v>
      </c>
      <c r="B1547" s="21" t="s">
        <v>395</v>
      </c>
      <c r="C1547" s="22" t="s">
        <v>2450</v>
      </c>
      <c r="D1547" s="22"/>
      <c r="E1547" s="21" t="s">
        <v>10</v>
      </c>
      <c r="F1547" s="21"/>
      <c r="G1547" s="147" t="s">
        <v>169</v>
      </c>
      <c r="H1547" s="23" t="s">
        <v>2806</v>
      </c>
      <c r="I1547" s="23"/>
      <c r="J1547" s="21" t="s">
        <v>2807</v>
      </c>
      <c r="K1547" s="120"/>
      <c r="L1547" s="21" t="s">
        <v>2881</v>
      </c>
      <c r="M1547" s="26" t="s">
        <v>2882</v>
      </c>
      <c r="N1547" s="44">
        <v>4000</v>
      </c>
      <c r="O1547" s="22" t="s">
        <v>15</v>
      </c>
      <c r="P1547" s="44">
        <f>2000+2000</f>
        <v>4000</v>
      </c>
      <c r="Q1547" s="24">
        <f t="shared" si="100"/>
        <v>0</v>
      </c>
      <c r="R1547" s="24">
        <f t="shared" si="98"/>
        <v>4000</v>
      </c>
      <c r="S1547" s="5"/>
      <c r="T1547" s="5"/>
    </row>
    <row r="1548" spans="1:20" ht="15.75" hidden="1" x14ac:dyDescent="0.25">
      <c r="A1548" t="s">
        <v>6753</v>
      </c>
      <c r="B1548" s="21" t="s">
        <v>395</v>
      </c>
      <c r="C1548" s="22" t="s">
        <v>2450</v>
      </c>
      <c r="D1548" s="22"/>
      <c r="E1548" s="21" t="s">
        <v>10</v>
      </c>
      <c r="F1548" s="21"/>
      <c r="G1548" s="147" t="s">
        <v>169</v>
      </c>
      <c r="H1548" s="23" t="s">
        <v>2797</v>
      </c>
      <c r="I1548" s="23"/>
      <c r="J1548" s="21" t="s">
        <v>2798</v>
      </c>
      <c r="K1548" s="120"/>
      <c r="L1548" s="21" t="s">
        <v>2799</v>
      </c>
      <c r="M1548" s="26"/>
      <c r="N1548" s="44">
        <v>4000</v>
      </c>
      <c r="O1548" s="22" t="s">
        <v>15</v>
      </c>
      <c r="P1548" s="22" t="s">
        <v>19</v>
      </c>
      <c r="Q1548" s="24">
        <f t="shared" si="100"/>
        <v>0</v>
      </c>
      <c r="R1548" s="24">
        <f t="shared" si="98"/>
        <v>4000</v>
      </c>
      <c r="S1548" s="5"/>
      <c r="T1548" s="5"/>
    </row>
    <row r="1549" spans="1:20" ht="15.75" hidden="1" x14ac:dyDescent="0.25">
      <c r="A1549" t="s">
        <v>6753</v>
      </c>
      <c r="B1549" s="21" t="s">
        <v>395</v>
      </c>
      <c r="C1549" s="22" t="s">
        <v>2450</v>
      </c>
      <c r="D1549" s="22"/>
      <c r="E1549" s="21" t="s">
        <v>10</v>
      </c>
      <c r="F1549" s="21"/>
      <c r="G1549" s="147" t="s">
        <v>169</v>
      </c>
      <c r="H1549" s="23" t="s">
        <v>2890</v>
      </c>
      <c r="I1549" s="23"/>
      <c r="J1549" s="21" t="s">
        <v>2891</v>
      </c>
      <c r="K1549" s="120"/>
      <c r="L1549" s="21" t="s">
        <v>2892</v>
      </c>
      <c r="M1549" s="26">
        <v>43875</v>
      </c>
      <c r="N1549" s="44">
        <v>4000</v>
      </c>
      <c r="O1549" s="22" t="s">
        <v>15</v>
      </c>
      <c r="P1549" s="22" t="s">
        <v>19</v>
      </c>
      <c r="Q1549" s="24">
        <f t="shared" si="100"/>
        <v>0</v>
      </c>
      <c r="R1549" s="24">
        <f t="shared" si="98"/>
        <v>4000</v>
      </c>
      <c r="S1549" s="5"/>
      <c r="T1549" s="5"/>
    </row>
    <row r="1550" spans="1:20" ht="15.75" hidden="1" x14ac:dyDescent="0.25">
      <c r="A1550" t="s">
        <v>6753</v>
      </c>
      <c r="B1550" s="21" t="s">
        <v>395</v>
      </c>
      <c r="C1550" s="22" t="s">
        <v>2450</v>
      </c>
      <c r="D1550" s="22"/>
      <c r="E1550" s="21" t="s">
        <v>10</v>
      </c>
      <c r="F1550" s="21"/>
      <c r="G1550" s="147" t="s">
        <v>169</v>
      </c>
      <c r="H1550" s="23" t="s">
        <v>2926</v>
      </c>
      <c r="I1550" s="23"/>
      <c r="J1550" s="21" t="s">
        <v>2927</v>
      </c>
      <c r="K1550" s="120"/>
      <c r="L1550" s="21" t="s">
        <v>2928</v>
      </c>
      <c r="M1550" s="26">
        <v>43880</v>
      </c>
      <c r="N1550" s="44">
        <v>3000</v>
      </c>
      <c r="O1550" s="22" t="s">
        <v>15</v>
      </c>
      <c r="P1550" s="22" t="s">
        <v>19</v>
      </c>
      <c r="Q1550" s="24">
        <f t="shared" si="100"/>
        <v>0</v>
      </c>
      <c r="R1550" s="24">
        <f t="shared" si="98"/>
        <v>3000</v>
      </c>
      <c r="S1550" s="5"/>
      <c r="T1550" s="5"/>
    </row>
    <row r="1551" spans="1:20" ht="15.75" hidden="1" x14ac:dyDescent="0.25">
      <c r="A1551" t="s">
        <v>6753</v>
      </c>
      <c r="B1551" s="21" t="s">
        <v>395</v>
      </c>
      <c r="C1551" s="22" t="s">
        <v>2450</v>
      </c>
      <c r="D1551" s="22"/>
      <c r="E1551" s="21" t="s">
        <v>10</v>
      </c>
      <c r="F1551" s="21"/>
      <c r="G1551" s="147" t="s">
        <v>169</v>
      </c>
      <c r="H1551" s="23" t="s">
        <v>3050</v>
      </c>
      <c r="I1551" s="23"/>
      <c r="J1551" s="21" t="s">
        <v>4928</v>
      </c>
      <c r="K1551" s="120"/>
      <c r="L1551" s="21" t="s">
        <v>4927</v>
      </c>
      <c r="M1551" s="26">
        <v>44319</v>
      </c>
      <c r="N1551" s="44">
        <v>2000</v>
      </c>
      <c r="O1551" s="22" t="s">
        <v>15</v>
      </c>
      <c r="P1551" s="22" t="s">
        <v>19</v>
      </c>
      <c r="Q1551" s="24">
        <f t="shared" si="100"/>
        <v>0</v>
      </c>
      <c r="R1551" s="24">
        <f t="shared" si="98"/>
        <v>2000</v>
      </c>
      <c r="S1551" s="5"/>
      <c r="T1551" s="5"/>
    </row>
    <row r="1552" spans="1:20" ht="15.75" hidden="1" x14ac:dyDescent="0.25">
      <c r="A1552" t="s">
        <v>6753</v>
      </c>
      <c r="B1552" s="21" t="s">
        <v>395</v>
      </c>
      <c r="C1552" s="22" t="s">
        <v>2450</v>
      </c>
      <c r="D1552" s="22"/>
      <c r="E1552" s="21" t="s">
        <v>10</v>
      </c>
      <c r="F1552" s="21"/>
      <c r="G1552" s="147" t="s">
        <v>169</v>
      </c>
      <c r="H1552" s="23" t="s">
        <v>3077</v>
      </c>
      <c r="I1552" s="23"/>
      <c r="J1552" s="21" t="s">
        <v>3080</v>
      </c>
      <c r="K1552" s="120"/>
      <c r="L1552" s="21" t="s">
        <v>3145</v>
      </c>
      <c r="M1552" s="47">
        <v>43956</v>
      </c>
      <c r="N1552" s="44">
        <v>2000</v>
      </c>
      <c r="O1552" s="22" t="s">
        <v>15</v>
      </c>
      <c r="P1552" s="22" t="s">
        <v>19</v>
      </c>
      <c r="Q1552" s="44">
        <f t="shared" si="100"/>
        <v>0</v>
      </c>
      <c r="R1552" s="116">
        <f t="shared" si="98"/>
        <v>2000</v>
      </c>
      <c r="S1552" s="5"/>
      <c r="T1552" s="5"/>
    </row>
    <row r="1553" spans="1:20" ht="15.75" hidden="1" x14ac:dyDescent="0.25">
      <c r="A1553" t="s">
        <v>6753</v>
      </c>
      <c r="B1553" s="21" t="s">
        <v>395</v>
      </c>
      <c r="C1553" s="22" t="s">
        <v>2450</v>
      </c>
      <c r="D1553" s="22"/>
      <c r="E1553" s="21" t="s">
        <v>10</v>
      </c>
      <c r="F1553" s="21"/>
      <c r="G1553" s="147" t="s">
        <v>169</v>
      </c>
      <c r="H1553" s="23" t="s">
        <v>3078</v>
      </c>
      <c r="I1553" s="23"/>
      <c r="J1553" s="21" t="s">
        <v>3079</v>
      </c>
      <c r="K1553" s="120"/>
      <c r="L1553" s="21" t="s">
        <v>3144</v>
      </c>
      <c r="M1553" s="47">
        <v>43956</v>
      </c>
      <c r="N1553" s="44">
        <v>2000</v>
      </c>
      <c r="O1553" s="22" t="s">
        <v>15</v>
      </c>
      <c r="P1553" s="22" t="s">
        <v>19</v>
      </c>
      <c r="Q1553" s="44">
        <f t="shared" si="100"/>
        <v>0</v>
      </c>
      <c r="R1553" s="116">
        <f t="shared" si="98"/>
        <v>2000</v>
      </c>
      <c r="S1553" s="5"/>
      <c r="T1553" s="5"/>
    </row>
    <row r="1554" spans="1:20" ht="15.75" hidden="1" x14ac:dyDescent="0.25">
      <c r="A1554" t="s">
        <v>6753</v>
      </c>
      <c r="B1554" s="21" t="s">
        <v>395</v>
      </c>
      <c r="C1554" s="22" t="s">
        <v>2450</v>
      </c>
      <c r="D1554" s="22"/>
      <c r="E1554" s="21" t="s">
        <v>10</v>
      </c>
      <c r="F1554" s="21"/>
      <c r="G1554" s="147" t="s">
        <v>169</v>
      </c>
      <c r="H1554" s="23" t="s">
        <v>3259</v>
      </c>
      <c r="I1554" s="23"/>
      <c r="J1554" s="21" t="s">
        <v>3233</v>
      </c>
      <c r="K1554" s="120"/>
      <c r="L1554" s="21" t="s">
        <v>3329</v>
      </c>
      <c r="M1554" s="26">
        <v>43985</v>
      </c>
      <c r="N1554" s="44">
        <v>3500</v>
      </c>
      <c r="O1554" s="22" t="s">
        <v>15</v>
      </c>
      <c r="P1554" s="22" t="s">
        <v>19</v>
      </c>
      <c r="Q1554" s="44">
        <f t="shared" si="100"/>
        <v>0</v>
      </c>
      <c r="R1554" s="116">
        <f t="shared" si="98"/>
        <v>3500</v>
      </c>
      <c r="S1554" s="5"/>
      <c r="T1554" s="5"/>
    </row>
    <row r="1555" spans="1:20" ht="15.75" hidden="1" x14ac:dyDescent="0.25">
      <c r="A1555" t="s">
        <v>6753</v>
      </c>
      <c r="B1555" s="21" t="s">
        <v>395</v>
      </c>
      <c r="C1555" s="22" t="s">
        <v>2450</v>
      </c>
      <c r="D1555" s="22"/>
      <c r="E1555" s="21" t="s">
        <v>10</v>
      </c>
      <c r="F1555" s="21"/>
      <c r="G1555" s="147" t="s">
        <v>169</v>
      </c>
      <c r="H1555" s="23" t="s">
        <v>3382</v>
      </c>
      <c r="I1555" s="23"/>
      <c r="J1555" s="21" t="s">
        <v>3383</v>
      </c>
      <c r="K1555" s="120"/>
      <c r="L1555" s="47" t="s">
        <v>3845</v>
      </c>
      <c r="M1555" s="26">
        <v>44124</v>
      </c>
      <c r="N1555" s="44">
        <v>5000</v>
      </c>
      <c r="O1555" s="22" t="s">
        <v>15</v>
      </c>
      <c r="P1555" s="22" t="s">
        <v>19</v>
      </c>
      <c r="Q1555" s="44">
        <f t="shared" si="100"/>
        <v>0</v>
      </c>
      <c r="R1555" s="116">
        <f t="shared" si="98"/>
        <v>5000</v>
      </c>
      <c r="S1555" s="5"/>
      <c r="T1555" s="5"/>
    </row>
    <row r="1556" spans="1:20" ht="15.75" hidden="1" x14ac:dyDescent="0.25">
      <c r="A1556" t="s">
        <v>6753</v>
      </c>
      <c r="B1556" s="21" t="s">
        <v>395</v>
      </c>
      <c r="C1556" s="22" t="s">
        <v>2450</v>
      </c>
      <c r="D1556" s="22"/>
      <c r="E1556" s="21" t="s">
        <v>10</v>
      </c>
      <c r="F1556" s="21"/>
      <c r="G1556" s="147" t="s">
        <v>169</v>
      </c>
      <c r="H1556" s="23" t="s">
        <v>3372</v>
      </c>
      <c r="I1556" s="23" t="s">
        <v>7927</v>
      </c>
      <c r="J1556" s="21" t="s">
        <v>3370</v>
      </c>
      <c r="K1556" s="120"/>
      <c r="L1556" s="47" t="s">
        <v>3844</v>
      </c>
      <c r="M1556" s="26">
        <v>44124</v>
      </c>
      <c r="N1556" s="44">
        <v>5000</v>
      </c>
      <c r="O1556" s="22" t="s">
        <v>15</v>
      </c>
      <c r="P1556" s="22" t="s">
        <v>19</v>
      </c>
      <c r="Q1556" s="44">
        <f t="shared" si="100"/>
        <v>0</v>
      </c>
      <c r="R1556" s="116">
        <f t="shared" si="98"/>
        <v>5000</v>
      </c>
      <c r="S1556" s="5"/>
      <c r="T1556" s="5"/>
    </row>
    <row r="1557" spans="1:20" ht="15.75" hidden="1" x14ac:dyDescent="0.25">
      <c r="A1557" t="s">
        <v>6753</v>
      </c>
      <c r="B1557" s="21" t="s">
        <v>395</v>
      </c>
      <c r="C1557" s="22" t="s">
        <v>2450</v>
      </c>
      <c r="D1557" s="22"/>
      <c r="E1557" s="21" t="s">
        <v>10</v>
      </c>
      <c r="F1557" s="21"/>
      <c r="G1557" s="147" t="s">
        <v>169</v>
      </c>
      <c r="H1557" s="23" t="s">
        <v>3373</v>
      </c>
      <c r="I1557" s="23" t="s">
        <v>7928</v>
      </c>
      <c r="J1557" s="21" t="s">
        <v>3371</v>
      </c>
      <c r="K1557" s="120"/>
      <c r="L1557" s="47" t="s">
        <v>4492</v>
      </c>
      <c r="M1557" s="26">
        <v>44250</v>
      </c>
      <c r="N1557" s="44">
        <v>5000</v>
      </c>
      <c r="O1557" s="22" t="s">
        <v>15</v>
      </c>
      <c r="P1557" s="22" t="s">
        <v>19</v>
      </c>
      <c r="Q1557" s="44">
        <f t="shared" si="100"/>
        <v>0</v>
      </c>
      <c r="R1557" s="116">
        <f t="shared" si="98"/>
        <v>5000</v>
      </c>
      <c r="S1557" s="5"/>
      <c r="T1557" s="5"/>
    </row>
    <row r="1558" spans="1:20" ht="15.75" hidden="1" x14ac:dyDescent="0.25">
      <c r="A1558" t="s">
        <v>6753</v>
      </c>
      <c r="B1558" s="21" t="s">
        <v>395</v>
      </c>
      <c r="C1558" s="22" t="s">
        <v>2450</v>
      </c>
      <c r="D1558" s="22"/>
      <c r="E1558" s="21" t="s">
        <v>10</v>
      </c>
      <c r="F1558" s="21"/>
      <c r="G1558" s="147" t="s">
        <v>169</v>
      </c>
      <c r="H1558" s="23" t="s">
        <v>3651</v>
      </c>
      <c r="I1558" s="23" t="s">
        <v>7946</v>
      </c>
      <c r="J1558" s="21" t="s">
        <v>3654</v>
      </c>
      <c r="K1558" s="120"/>
      <c r="L1558" s="21" t="s">
        <v>3896</v>
      </c>
      <c r="M1558" s="26">
        <v>44132</v>
      </c>
      <c r="N1558" s="44">
        <v>5000</v>
      </c>
      <c r="O1558" s="22" t="s">
        <v>15</v>
      </c>
      <c r="P1558" s="22" t="s">
        <v>19</v>
      </c>
      <c r="Q1558" s="44">
        <f t="shared" si="100"/>
        <v>0</v>
      </c>
      <c r="R1558" s="24">
        <f t="shared" si="98"/>
        <v>5000</v>
      </c>
      <c r="S1558" s="5"/>
      <c r="T1558" s="5"/>
    </row>
    <row r="1559" spans="1:20" ht="15.75" hidden="1" x14ac:dyDescent="0.25">
      <c r="A1559" t="s">
        <v>6753</v>
      </c>
      <c r="B1559" s="21" t="s">
        <v>395</v>
      </c>
      <c r="C1559" s="22" t="s">
        <v>2450</v>
      </c>
      <c r="D1559" s="22"/>
      <c r="E1559" s="21" t="s">
        <v>10</v>
      </c>
      <c r="F1559" s="21"/>
      <c r="G1559" s="147" t="s">
        <v>169</v>
      </c>
      <c r="H1559" s="23" t="s">
        <v>3653</v>
      </c>
      <c r="I1559" s="23" t="s">
        <v>7947</v>
      </c>
      <c r="J1559" s="21" t="s">
        <v>3652</v>
      </c>
      <c r="K1559" s="120"/>
      <c r="L1559" s="21" t="s">
        <v>6468</v>
      </c>
      <c r="M1559" s="26">
        <v>44603</v>
      </c>
      <c r="N1559" s="44">
        <v>5000</v>
      </c>
      <c r="O1559" s="22" t="s">
        <v>15</v>
      </c>
      <c r="P1559" s="44">
        <v>5000</v>
      </c>
      <c r="Q1559" s="44">
        <f t="shared" si="100"/>
        <v>0</v>
      </c>
      <c r="R1559" s="24">
        <f t="shared" si="98"/>
        <v>5000</v>
      </c>
      <c r="S1559" s="5"/>
      <c r="T1559" s="5"/>
    </row>
    <row r="1560" spans="1:20" ht="15.75" hidden="1" x14ac:dyDescent="0.25">
      <c r="A1560" t="s">
        <v>6753</v>
      </c>
      <c r="B1560" s="21" t="s">
        <v>395</v>
      </c>
      <c r="C1560" s="22" t="s">
        <v>2450</v>
      </c>
      <c r="D1560" s="22"/>
      <c r="E1560" s="21" t="s">
        <v>10</v>
      </c>
      <c r="F1560" s="21"/>
      <c r="G1560" s="147" t="s">
        <v>169</v>
      </c>
      <c r="H1560" s="23" t="s">
        <v>3667</v>
      </c>
      <c r="I1560" s="23" t="s">
        <v>7948</v>
      </c>
      <c r="J1560" s="21" t="s">
        <v>3655</v>
      </c>
      <c r="K1560" s="120"/>
      <c r="L1560" s="21" t="s">
        <v>6579</v>
      </c>
      <c r="M1560" s="26">
        <v>44842</v>
      </c>
      <c r="N1560" s="44">
        <v>5000</v>
      </c>
      <c r="O1560" s="22" t="s">
        <v>15</v>
      </c>
      <c r="P1560" s="44">
        <v>5000</v>
      </c>
      <c r="Q1560" s="44">
        <f t="shared" si="100"/>
        <v>0</v>
      </c>
      <c r="R1560" s="24">
        <f t="shared" si="98"/>
        <v>5000</v>
      </c>
      <c r="S1560" s="5"/>
      <c r="T1560" s="5"/>
    </row>
    <row r="1561" spans="1:20" ht="15.75" hidden="1" x14ac:dyDescent="0.25">
      <c r="A1561" t="s">
        <v>6753</v>
      </c>
      <c r="B1561" s="21" t="s">
        <v>395</v>
      </c>
      <c r="C1561" s="22" t="s">
        <v>2450</v>
      </c>
      <c r="D1561" s="22"/>
      <c r="E1561" s="21" t="s">
        <v>10</v>
      </c>
      <c r="F1561" s="21"/>
      <c r="G1561" s="147" t="s">
        <v>169</v>
      </c>
      <c r="H1561" s="23" t="s">
        <v>4654</v>
      </c>
      <c r="I1561" s="23" t="s">
        <v>7949</v>
      </c>
      <c r="J1561" s="21" t="s">
        <v>4655</v>
      </c>
      <c r="K1561" s="120"/>
      <c r="L1561" s="21" t="s">
        <v>4656</v>
      </c>
      <c r="M1561" s="26">
        <v>44277</v>
      </c>
      <c r="N1561" s="44">
        <v>5000</v>
      </c>
      <c r="O1561" s="22" t="s">
        <v>15</v>
      </c>
      <c r="P1561" s="22" t="s">
        <v>19</v>
      </c>
      <c r="Q1561" s="44">
        <f t="shared" si="100"/>
        <v>0</v>
      </c>
      <c r="R1561" s="24">
        <f t="shared" si="98"/>
        <v>5000</v>
      </c>
      <c r="S1561" s="5"/>
      <c r="T1561" s="5"/>
    </row>
    <row r="1562" spans="1:20" ht="15.75" hidden="1" x14ac:dyDescent="0.25">
      <c r="A1562" t="s">
        <v>6753</v>
      </c>
      <c r="B1562" s="21" t="s">
        <v>395</v>
      </c>
      <c r="C1562" s="22" t="s">
        <v>2450</v>
      </c>
      <c r="D1562" s="22"/>
      <c r="E1562" s="21" t="s">
        <v>10</v>
      </c>
      <c r="F1562" s="21"/>
      <c r="G1562" s="147" t="s">
        <v>169</v>
      </c>
      <c r="H1562" s="23" t="s">
        <v>5419</v>
      </c>
      <c r="I1562" s="23"/>
      <c r="J1562" s="21" t="s">
        <v>5422</v>
      </c>
      <c r="K1562" s="21"/>
      <c r="L1562" s="21" t="s">
        <v>5649</v>
      </c>
      <c r="M1562" s="26" t="s">
        <v>5650</v>
      </c>
      <c r="N1562" s="44">
        <f>4*2000</f>
        <v>8000</v>
      </c>
      <c r="O1562" s="22" t="s">
        <v>15</v>
      </c>
      <c r="P1562" s="44">
        <f>2000+2000+2000+2000</f>
        <v>8000</v>
      </c>
      <c r="Q1562" s="44">
        <f t="shared" si="100"/>
        <v>0</v>
      </c>
      <c r="R1562" s="24">
        <f t="shared" si="98"/>
        <v>8000</v>
      </c>
      <c r="S1562" s="5"/>
      <c r="T1562" s="5"/>
    </row>
    <row r="1563" spans="1:20" ht="15.75" hidden="1" x14ac:dyDescent="0.25">
      <c r="A1563" t="s">
        <v>6753</v>
      </c>
      <c r="B1563" s="21" t="s">
        <v>395</v>
      </c>
      <c r="C1563" s="22" t="s">
        <v>2450</v>
      </c>
      <c r="D1563" s="22"/>
      <c r="E1563" s="21" t="s">
        <v>10</v>
      </c>
      <c r="F1563" s="21"/>
      <c r="G1563" s="147" t="s">
        <v>169</v>
      </c>
      <c r="H1563" s="23" t="s">
        <v>5420</v>
      </c>
      <c r="I1563" s="23"/>
      <c r="J1563" s="21" t="s">
        <v>5421</v>
      </c>
      <c r="K1563" s="21"/>
      <c r="L1563" s="21" t="s">
        <v>5651</v>
      </c>
      <c r="M1563" s="26" t="s">
        <v>5650</v>
      </c>
      <c r="N1563" s="44">
        <f>4*2000</f>
        <v>8000</v>
      </c>
      <c r="O1563" s="22" t="s">
        <v>15</v>
      </c>
      <c r="P1563" s="44">
        <f>2000+2000+2000+2000</f>
        <v>8000</v>
      </c>
      <c r="Q1563" s="44">
        <f t="shared" si="100"/>
        <v>0</v>
      </c>
      <c r="R1563" s="24">
        <f t="shared" si="98"/>
        <v>8000</v>
      </c>
      <c r="S1563" s="5"/>
      <c r="T1563" s="5"/>
    </row>
    <row r="1564" spans="1:20" ht="15.75" hidden="1" x14ac:dyDescent="0.25">
      <c r="A1564" t="s">
        <v>6753</v>
      </c>
      <c r="B1564" s="21" t="s">
        <v>395</v>
      </c>
      <c r="C1564" s="22" t="s">
        <v>2450</v>
      </c>
      <c r="D1564" s="22"/>
      <c r="E1564" s="21" t="s">
        <v>10</v>
      </c>
      <c r="F1564" s="21"/>
      <c r="G1564" s="147" t="s">
        <v>169</v>
      </c>
      <c r="H1564" s="23" t="s">
        <v>5082</v>
      </c>
      <c r="I1564" s="23"/>
      <c r="J1564" s="21" t="s">
        <v>5083</v>
      </c>
      <c r="K1564" s="21"/>
      <c r="L1564" s="21" t="s">
        <v>7299</v>
      </c>
      <c r="M1564" s="23" t="s">
        <v>7300</v>
      </c>
      <c r="N1564" s="44">
        <v>20000</v>
      </c>
      <c r="O1564" s="22" t="s">
        <v>15</v>
      </c>
      <c r="P1564" s="44">
        <f>4000+4000+2000+2000+4000+4000</f>
        <v>20000</v>
      </c>
      <c r="Q1564" s="44">
        <f t="shared" si="100"/>
        <v>0</v>
      </c>
      <c r="R1564" s="24">
        <f t="shared" si="98"/>
        <v>20000</v>
      </c>
      <c r="S1564" s="5"/>
      <c r="T1564" s="5"/>
    </row>
    <row r="1565" spans="1:20" ht="15.75" hidden="1" x14ac:dyDescent="0.25">
      <c r="A1565" t="s">
        <v>6753</v>
      </c>
      <c r="B1565" s="21" t="s">
        <v>395</v>
      </c>
      <c r="C1565" s="22" t="s">
        <v>2450</v>
      </c>
      <c r="D1565" s="22"/>
      <c r="E1565" s="21" t="s">
        <v>10</v>
      </c>
      <c r="F1565" s="21"/>
      <c r="G1565" s="147" t="s">
        <v>169</v>
      </c>
      <c r="H1565" s="23" t="s">
        <v>3615</v>
      </c>
      <c r="I1565" s="23" t="s">
        <v>7950</v>
      </c>
      <c r="J1565" s="21" t="s">
        <v>3669</v>
      </c>
      <c r="K1565" s="120"/>
      <c r="L1565" s="47" t="s">
        <v>3670</v>
      </c>
      <c r="M1565" s="26" t="s">
        <v>3671</v>
      </c>
      <c r="N1565" s="44">
        <v>4000</v>
      </c>
      <c r="O1565" s="22" t="s">
        <v>15</v>
      </c>
      <c r="P1565" s="44">
        <f>2000+2000</f>
        <v>4000</v>
      </c>
      <c r="Q1565" s="44">
        <f t="shared" si="100"/>
        <v>0</v>
      </c>
      <c r="R1565" s="24">
        <f t="shared" si="98"/>
        <v>4000</v>
      </c>
      <c r="S1565" s="5"/>
      <c r="T1565" s="5"/>
    </row>
    <row r="1566" spans="1:20" ht="15.75" hidden="1" x14ac:dyDescent="0.25">
      <c r="A1566" t="s">
        <v>6753</v>
      </c>
      <c r="B1566" s="21" t="s">
        <v>395</v>
      </c>
      <c r="C1566" s="22" t="s">
        <v>2450</v>
      </c>
      <c r="D1566" s="22"/>
      <c r="E1566" s="21" t="s">
        <v>10</v>
      </c>
      <c r="F1566" s="21"/>
      <c r="G1566" s="147" t="s">
        <v>169</v>
      </c>
      <c r="H1566" s="23" t="s">
        <v>3781</v>
      </c>
      <c r="I1566" s="23" t="s">
        <v>7968</v>
      </c>
      <c r="J1566" s="21" t="s">
        <v>3782</v>
      </c>
      <c r="K1566" s="120"/>
      <c r="L1566" s="21" t="s">
        <v>5087</v>
      </c>
      <c r="M1566" s="26">
        <v>44344</v>
      </c>
      <c r="N1566" s="44">
        <v>5000</v>
      </c>
      <c r="O1566" s="22" t="s">
        <v>15</v>
      </c>
      <c r="P1566" s="22" t="s">
        <v>19</v>
      </c>
      <c r="Q1566" s="24">
        <f t="shared" si="100"/>
        <v>0</v>
      </c>
      <c r="R1566" s="24">
        <f t="shared" si="98"/>
        <v>5000</v>
      </c>
      <c r="S1566" s="5"/>
      <c r="T1566" s="5"/>
    </row>
    <row r="1567" spans="1:20" ht="15.75" hidden="1" x14ac:dyDescent="0.25">
      <c r="A1567" t="s">
        <v>6753</v>
      </c>
      <c r="B1567" s="21" t="s">
        <v>395</v>
      </c>
      <c r="C1567" s="22" t="s">
        <v>2450</v>
      </c>
      <c r="D1567" s="22"/>
      <c r="E1567" s="21" t="s">
        <v>10</v>
      </c>
      <c r="F1567" s="21"/>
      <c r="G1567" s="147" t="s">
        <v>169</v>
      </c>
      <c r="H1567" s="23" t="s">
        <v>3854</v>
      </c>
      <c r="I1567" s="23" t="s">
        <v>7974</v>
      </c>
      <c r="J1567" s="21" t="s">
        <v>3852</v>
      </c>
      <c r="K1567" s="120"/>
      <c r="L1567" s="21" t="s">
        <v>3853</v>
      </c>
      <c r="M1567" s="26">
        <v>44124</v>
      </c>
      <c r="N1567" s="44">
        <v>3000</v>
      </c>
      <c r="O1567" s="22" t="s">
        <v>15</v>
      </c>
      <c r="P1567" s="22" t="s">
        <v>19</v>
      </c>
      <c r="Q1567" s="24">
        <f t="shared" si="100"/>
        <v>0</v>
      </c>
      <c r="R1567" s="24">
        <f t="shared" si="98"/>
        <v>3000</v>
      </c>
      <c r="S1567" s="5"/>
      <c r="T1567" s="5"/>
    </row>
    <row r="1568" spans="1:20" ht="15.75" hidden="1" x14ac:dyDescent="0.25">
      <c r="A1568" t="s">
        <v>6753</v>
      </c>
      <c r="B1568" s="21" t="s">
        <v>395</v>
      </c>
      <c r="C1568" s="22" t="s">
        <v>2450</v>
      </c>
      <c r="D1568" s="22"/>
      <c r="E1568" s="21" t="s">
        <v>10</v>
      </c>
      <c r="F1568" s="21"/>
      <c r="G1568" s="147" t="s">
        <v>169</v>
      </c>
      <c r="H1568" s="23" t="s">
        <v>4313</v>
      </c>
      <c r="I1568" s="23" t="s">
        <v>8009</v>
      </c>
      <c r="J1568" s="21" t="s">
        <v>4311</v>
      </c>
      <c r="K1568" s="21"/>
      <c r="L1568" s="21" t="s">
        <v>4312</v>
      </c>
      <c r="M1568" s="26">
        <v>44216</v>
      </c>
      <c r="N1568" s="44">
        <v>3500</v>
      </c>
      <c r="O1568" s="22" t="s">
        <v>15</v>
      </c>
      <c r="P1568" s="22" t="s">
        <v>19</v>
      </c>
      <c r="Q1568" s="44">
        <f t="shared" si="100"/>
        <v>0</v>
      </c>
      <c r="R1568" s="24">
        <f t="shared" si="98"/>
        <v>3500</v>
      </c>
      <c r="S1568" s="5"/>
      <c r="T1568" s="5"/>
    </row>
    <row r="1569" spans="1:20" ht="15.75" hidden="1" x14ac:dyDescent="0.25">
      <c r="A1569" t="s">
        <v>6753</v>
      </c>
      <c r="B1569" s="21" t="s">
        <v>395</v>
      </c>
      <c r="C1569" s="22" t="s">
        <v>2450</v>
      </c>
      <c r="D1569" s="22"/>
      <c r="E1569" s="21" t="s">
        <v>10</v>
      </c>
      <c r="F1569" s="21"/>
      <c r="G1569" s="147" t="s">
        <v>169</v>
      </c>
      <c r="H1569" s="23" t="s">
        <v>5729</v>
      </c>
      <c r="I1569" s="23" t="s">
        <v>8095</v>
      </c>
      <c r="J1569" s="21" t="s">
        <v>5727</v>
      </c>
      <c r="K1569" s="21"/>
      <c r="L1569" s="21" t="s">
        <v>5908</v>
      </c>
      <c r="M1569" s="26" t="s">
        <v>5909</v>
      </c>
      <c r="N1569" s="44">
        <v>4000</v>
      </c>
      <c r="O1569" s="22" t="s">
        <v>15</v>
      </c>
      <c r="P1569" s="44">
        <f>2000+2000</f>
        <v>4000</v>
      </c>
      <c r="Q1569" s="44">
        <f t="shared" si="100"/>
        <v>0</v>
      </c>
      <c r="R1569" s="24">
        <f t="shared" si="98"/>
        <v>4000</v>
      </c>
      <c r="S1569" s="5"/>
      <c r="T1569" s="5"/>
    </row>
    <row r="1570" spans="1:20" ht="15.75" hidden="1" x14ac:dyDescent="0.25">
      <c r="A1570" t="s">
        <v>6753</v>
      </c>
      <c r="B1570" s="21" t="s">
        <v>395</v>
      </c>
      <c r="C1570" s="22" t="s">
        <v>2450</v>
      </c>
      <c r="D1570" s="22"/>
      <c r="E1570" s="21" t="s">
        <v>10</v>
      </c>
      <c r="F1570" s="21"/>
      <c r="G1570" s="147" t="s">
        <v>169</v>
      </c>
      <c r="H1570" s="23" t="s">
        <v>5730</v>
      </c>
      <c r="I1570" s="23" t="s">
        <v>8096</v>
      </c>
      <c r="J1570" s="21" t="s">
        <v>5728</v>
      </c>
      <c r="K1570" s="21"/>
      <c r="L1570" s="21" t="s">
        <v>5967</v>
      </c>
      <c r="M1570" s="26" t="s">
        <v>5968</v>
      </c>
      <c r="N1570" s="44">
        <v>4000</v>
      </c>
      <c r="O1570" s="22" t="s">
        <v>15</v>
      </c>
      <c r="P1570" s="44">
        <f>2000+2000</f>
        <v>4000</v>
      </c>
      <c r="Q1570" s="44">
        <f t="shared" si="100"/>
        <v>0</v>
      </c>
      <c r="R1570" s="24">
        <f t="shared" si="98"/>
        <v>4000</v>
      </c>
      <c r="S1570" s="5"/>
      <c r="T1570" s="5"/>
    </row>
    <row r="1571" spans="1:20" ht="15.75" hidden="1" x14ac:dyDescent="0.25">
      <c r="A1571" t="s">
        <v>6753</v>
      </c>
      <c r="B1571" s="21" t="s">
        <v>395</v>
      </c>
      <c r="C1571" s="22" t="s">
        <v>2450</v>
      </c>
      <c r="D1571" s="22"/>
      <c r="E1571" s="21" t="s">
        <v>10</v>
      </c>
      <c r="F1571" s="21"/>
      <c r="G1571" s="147" t="s">
        <v>169</v>
      </c>
      <c r="H1571" s="23" t="s">
        <v>6085</v>
      </c>
      <c r="I1571" s="23" t="s">
        <v>8111</v>
      </c>
      <c r="J1571" s="21" t="s">
        <v>6086</v>
      </c>
      <c r="K1571" s="21"/>
      <c r="L1571" s="21" t="s">
        <v>6274</v>
      </c>
      <c r="M1571" s="26" t="s">
        <v>6275</v>
      </c>
      <c r="N1571" s="44">
        <v>4000</v>
      </c>
      <c r="O1571" s="22" t="s">
        <v>15</v>
      </c>
      <c r="P1571" s="44">
        <f>2000+2000</f>
        <v>4000</v>
      </c>
      <c r="Q1571" s="24">
        <f t="shared" si="100"/>
        <v>0</v>
      </c>
      <c r="R1571" s="24">
        <f t="shared" si="98"/>
        <v>4000</v>
      </c>
      <c r="S1571" s="5"/>
      <c r="T1571" s="5"/>
    </row>
    <row r="1572" spans="1:20" ht="15.75" hidden="1" x14ac:dyDescent="0.25">
      <c r="A1572" t="s">
        <v>6753</v>
      </c>
      <c r="B1572" s="21" t="s">
        <v>395</v>
      </c>
      <c r="C1572" s="22" t="s">
        <v>2450</v>
      </c>
      <c r="D1572" s="22"/>
      <c r="E1572" s="21" t="s">
        <v>10</v>
      </c>
      <c r="F1572" s="21"/>
      <c r="G1572" s="147" t="s">
        <v>169</v>
      </c>
      <c r="H1572" s="23" t="s">
        <v>6339</v>
      </c>
      <c r="I1572" s="23"/>
      <c r="J1572" s="21" t="s">
        <v>6340</v>
      </c>
      <c r="K1572" s="21"/>
      <c r="L1572" s="21" t="s">
        <v>6525</v>
      </c>
      <c r="M1572" s="26" t="s">
        <v>6526</v>
      </c>
      <c r="N1572" s="44">
        <v>4000</v>
      </c>
      <c r="O1572" s="22" t="s">
        <v>15</v>
      </c>
      <c r="P1572" s="44">
        <f>2000+2000</f>
        <v>4000</v>
      </c>
      <c r="Q1572" s="24">
        <f t="shared" si="100"/>
        <v>0</v>
      </c>
      <c r="R1572" s="24">
        <f t="shared" si="98"/>
        <v>4000</v>
      </c>
      <c r="S1572" s="5"/>
      <c r="T1572" s="5"/>
    </row>
    <row r="1573" spans="1:20" ht="15.75" hidden="1" x14ac:dyDescent="0.25">
      <c r="A1573" t="s">
        <v>6753</v>
      </c>
      <c r="B1573" s="21" t="s">
        <v>395</v>
      </c>
      <c r="C1573" s="22" t="s">
        <v>2450</v>
      </c>
      <c r="D1573" s="22"/>
      <c r="E1573" s="21" t="s">
        <v>10</v>
      </c>
      <c r="F1573" s="21"/>
      <c r="G1573" s="147" t="s">
        <v>169</v>
      </c>
      <c r="H1573" s="23" t="s">
        <v>6469</v>
      </c>
      <c r="I1573" s="23"/>
      <c r="J1573" s="21" t="s">
        <v>6470</v>
      </c>
      <c r="K1573" s="21"/>
      <c r="L1573" s="21" t="s">
        <v>6517</v>
      </c>
      <c r="M1573" s="26">
        <v>44613</v>
      </c>
      <c r="N1573" s="44">
        <v>5000</v>
      </c>
      <c r="O1573" s="22" t="s">
        <v>15</v>
      </c>
      <c r="P1573" s="44">
        <v>5000</v>
      </c>
      <c r="Q1573" s="24">
        <f t="shared" si="100"/>
        <v>0</v>
      </c>
      <c r="R1573" s="24">
        <f t="shared" si="98"/>
        <v>5000</v>
      </c>
      <c r="S1573" s="5"/>
      <c r="T1573" s="5"/>
    </row>
    <row r="1574" spans="1:20" ht="15.75" hidden="1" x14ac:dyDescent="0.25">
      <c r="A1574" t="s">
        <v>6753</v>
      </c>
      <c r="B1574" s="21" t="s">
        <v>395</v>
      </c>
      <c r="C1574" s="22" t="s">
        <v>2450</v>
      </c>
      <c r="D1574" s="22"/>
      <c r="E1574" s="21" t="s">
        <v>10</v>
      </c>
      <c r="F1574" s="21"/>
      <c r="G1574" s="147" t="s">
        <v>169</v>
      </c>
      <c r="H1574" s="23" t="s">
        <v>6543</v>
      </c>
      <c r="I1574" s="23"/>
      <c r="J1574" s="21" t="s">
        <v>6544</v>
      </c>
      <c r="K1574" s="21"/>
      <c r="L1574" s="21" t="s">
        <v>6559</v>
      </c>
      <c r="M1574" s="26">
        <v>44623</v>
      </c>
      <c r="N1574" s="44">
        <v>5000</v>
      </c>
      <c r="O1574" s="22" t="s">
        <v>15</v>
      </c>
      <c r="P1574" s="44">
        <v>5000</v>
      </c>
      <c r="Q1574" s="24">
        <f t="shared" si="100"/>
        <v>0</v>
      </c>
      <c r="R1574" s="24">
        <f t="shared" si="98"/>
        <v>5000</v>
      </c>
      <c r="S1574" s="5"/>
      <c r="T1574" s="5"/>
    </row>
    <row r="1575" spans="1:20" ht="15.75" hidden="1" x14ac:dyDescent="0.25">
      <c r="A1575" t="s">
        <v>6753</v>
      </c>
      <c r="B1575" s="21" t="s">
        <v>395</v>
      </c>
      <c r="C1575" s="22" t="s">
        <v>2450</v>
      </c>
      <c r="D1575" s="22"/>
      <c r="E1575" s="21" t="s">
        <v>10</v>
      </c>
      <c r="F1575" s="21"/>
      <c r="G1575" s="147" t="s">
        <v>169</v>
      </c>
      <c r="H1575" s="23" t="s">
        <v>6580</v>
      </c>
      <c r="I1575" s="23" t="s">
        <v>8146</v>
      </c>
      <c r="J1575" s="21" t="s">
        <v>6545</v>
      </c>
      <c r="K1575" s="21"/>
      <c r="L1575" s="21" t="s">
        <v>6601</v>
      </c>
      <c r="M1575" s="26">
        <v>44638</v>
      </c>
      <c r="N1575" s="44">
        <v>5000</v>
      </c>
      <c r="O1575" s="22" t="s">
        <v>15</v>
      </c>
      <c r="P1575" s="44">
        <v>5000</v>
      </c>
      <c r="Q1575" s="24">
        <f t="shared" si="100"/>
        <v>0</v>
      </c>
      <c r="R1575" s="24">
        <f t="shared" si="98"/>
        <v>5000</v>
      </c>
      <c r="S1575" s="5"/>
      <c r="T1575" s="5"/>
    </row>
    <row r="1576" spans="1:20" ht="15.75" hidden="1" x14ac:dyDescent="0.25">
      <c r="A1576" t="s">
        <v>6753</v>
      </c>
      <c r="B1576" s="21" t="s">
        <v>395</v>
      </c>
      <c r="C1576" s="22" t="s">
        <v>2450</v>
      </c>
      <c r="D1576" s="22"/>
      <c r="E1576" s="21" t="s">
        <v>10</v>
      </c>
      <c r="F1576" s="21"/>
      <c r="G1576" s="147" t="s">
        <v>169</v>
      </c>
      <c r="H1576" s="23" t="s">
        <v>6581</v>
      </c>
      <c r="I1576" s="23" t="s">
        <v>8148</v>
      </c>
      <c r="J1576" s="21" t="s">
        <v>6582</v>
      </c>
      <c r="K1576" s="21"/>
      <c r="L1576" s="21" t="s">
        <v>6737</v>
      </c>
      <c r="M1576" s="26">
        <v>44690</v>
      </c>
      <c r="N1576" s="44">
        <v>5000</v>
      </c>
      <c r="O1576" s="22" t="s">
        <v>15</v>
      </c>
      <c r="P1576" s="44">
        <v>5000</v>
      </c>
      <c r="Q1576" s="24">
        <f t="shared" si="100"/>
        <v>0</v>
      </c>
      <c r="R1576" s="24">
        <f t="shared" si="98"/>
        <v>5000</v>
      </c>
      <c r="S1576" s="5"/>
      <c r="T1576" s="5"/>
    </row>
    <row r="1577" spans="1:20" ht="15.75" hidden="1" x14ac:dyDescent="0.25">
      <c r="A1577" t="s">
        <v>6753</v>
      </c>
      <c r="B1577" s="21" t="s">
        <v>395</v>
      </c>
      <c r="C1577" s="22" t="s">
        <v>2450</v>
      </c>
      <c r="D1577" s="22"/>
      <c r="E1577" s="21" t="s">
        <v>10</v>
      </c>
      <c r="F1577" s="21"/>
      <c r="G1577" s="147" t="s">
        <v>169</v>
      </c>
      <c r="H1577" s="23" t="s">
        <v>6831</v>
      </c>
      <c r="I1577" s="23" t="s">
        <v>8173</v>
      </c>
      <c r="J1577" s="21" t="s">
        <v>6901</v>
      </c>
      <c r="K1577" s="21"/>
      <c r="L1577" s="21" t="s">
        <v>6910</v>
      </c>
      <c r="M1577" s="26" t="s">
        <v>6911</v>
      </c>
      <c r="N1577" s="44">
        <v>4000</v>
      </c>
      <c r="O1577" s="22" t="s">
        <v>15</v>
      </c>
      <c r="P1577" s="44">
        <f>2000+2000</f>
        <v>4000</v>
      </c>
      <c r="Q1577" s="24">
        <f t="shared" si="100"/>
        <v>0</v>
      </c>
      <c r="R1577" s="24">
        <f t="shared" si="98"/>
        <v>4000</v>
      </c>
      <c r="S1577" s="5"/>
      <c r="T1577" s="5"/>
    </row>
    <row r="1578" spans="1:20" ht="15.75" hidden="1" x14ac:dyDescent="0.25">
      <c r="A1578" t="s">
        <v>6753</v>
      </c>
      <c r="B1578" s="21" t="s">
        <v>395</v>
      </c>
      <c r="C1578" s="22" t="s">
        <v>2450</v>
      </c>
      <c r="D1578" s="22"/>
      <c r="E1578" s="21" t="s">
        <v>10</v>
      </c>
      <c r="F1578" s="21"/>
      <c r="G1578" s="147" t="s">
        <v>169</v>
      </c>
      <c r="H1578" s="23" t="s">
        <v>6929</v>
      </c>
      <c r="I1578" s="23" t="s">
        <v>8182</v>
      </c>
      <c r="J1578" s="21" t="s">
        <v>6930</v>
      </c>
      <c r="K1578" s="21"/>
      <c r="L1578" s="21" t="s">
        <v>7251</v>
      </c>
      <c r="M1578" s="26">
        <v>44869</v>
      </c>
      <c r="N1578" s="44">
        <v>5000</v>
      </c>
      <c r="O1578" s="22" t="s">
        <v>15</v>
      </c>
      <c r="P1578" s="44">
        <v>5000</v>
      </c>
      <c r="Q1578" s="24">
        <f t="shared" si="100"/>
        <v>0</v>
      </c>
      <c r="R1578" s="24">
        <f t="shared" si="98"/>
        <v>5000</v>
      </c>
      <c r="S1578" s="5"/>
      <c r="T1578" s="5"/>
    </row>
    <row r="1579" spans="1:20" ht="15.75" hidden="1" x14ac:dyDescent="0.25">
      <c r="A1579" t="s">
        <v>6753</v>
      </c>
      <c r="B1579" s="21" t="s">
        <v>395</v>
      </c>
      <c r="C1579" s="22" t="s">
        <v>2450</v>
      </c>
      <c r="D1579" s="22"/>
      <c r="E1579" s="21" t="s">
        <v>10</v>
      </c>
      <c r="F1579" s="21"/>
      <c r="G1579" s="147" t="s">
        <v>169</v>
      </c>
      <c r="H1579" s="23" t="s">
        <v>7098</v>
      </c>
      <c r="I1579" s="23" t="s">
        <v>8186</v>
      </c>
      <c r="J1579" s="21" t="s">
        <v>7037</v>
      </c>
      <c r="K1579" s="21"/>
      <c r="L1579" s="21" t="s">
        <v>7167</v>
      </c>
      <c r="M1579" s="26" t="s">
        <v>7168</v>
      </c>
      <c r="N1579" s="44">
        <v>14000</v>
      </c>
      <c r="O1579" s="22" t="s">
        <v>15</v>
      </c>
      <c r="P1579" s="44">
        <f>7000+7000</f>
        <v>14000</v>
      </c>
      <c r="Q1579" s="44">
        <f t="shared" si="100"/>
        <v>0</v>
      </c>
      <c r="R1579" s="24">
        <f t="shared" ref="R1579:R1604" si="101">IF(P1579="OK",N1579-Q1579,IF(P1579="en cours",N1579-Q1579,P1579))</f>
        <v>14000</v>
      </c>
      <c r="S1579" s="5"/>
      <c r="T1579" s="5"/>
    </row>
    <row r="1580" spans="1:20" ht="15.75" hidden="1" x14ac:dyDescent="0.25">
      <c r="A1580" t="s">
        <v>6753</v>
      </c>
      <c r="B1580" s="21" t="s">
        <v>395</v>
      </c>
      <c r="C1580" s="22" t="s">
        <v>2450</v>
      </c>
      <c r="D1580" s="22"/>
      <c r="E1580" s="21" t="s">
        <v>10</v>
      </c>
      <c r="F1580" s="21"/>
      <c r="G1580" s="147" t="s">
        <v>169</v>
      </c>
      <c r="H1580" s="23" t="s">
        <v>7116</v>
      </c>
      <c r="I1580" s="23" t="s">
        <v>8194</v>
      </c>
      <c r="J1580" s="21" t="s">
        <v>7117</v>
      </c>
      <c r="K1580" s="21"/>
      <c r="L1580" s="21" t="s">
        <v>7118</v>
      </c>
      <c r="M1580" s="26">
        <v>44831</v>
      </c>
      <c r="N1580" s="44">
        <v>2700</v>
      </c>
      <c r="O1580" s="22" t="s">
        <v>15</v>
      </c>
      <c r="P1580" s="44">
        <v>2700</v>
      </c>
      <c r="Q1580" s="44">
        <f t="shared" si="100"/>
        <v>0</v>
      </c>
      <c r="R1580" s="24">
        <f t="shared" si="101"/>
        <v>2700</v>
      </c>
      <c r="S1580" s="5"/>
      <c r="T1580" s="5"/>
    </row>
    <row r="1581" spans="1:20" ht="15.75" hidden="1" x14ac:dyDescent="0.25">
      <c r="A1581" t="s">
        <v>6753</v>
      </c>
      <c r="B1581" s="21" t="s">
        <v>395</v>
      </c>
      <c r="C1581" s="22" t="s">
        <v>2450</v>
      </c>
      <c r="D1581" s="22"/>
      <c r="E1581" s="21" t="s">
        <v>10</v>
      </c>
      <c r="F1581" s="21"/>
      <c r="G1581" s="147" t="s">
        <v>169</v>
      </c>
      <c r="H1581" s="23" t="s">
        <v>7449</v>
      </c>
      <c r="I1581" s="23" t="s">
        <v>8237</v>
      </c>
      <c r="J1581" s="21" t="s">
        <v>7450</v>
      </c>
      <c r="K1581" s="21"/>
      <c r="L1581" s="21" t="s">
        <v>7630</v>
      </c>
      <c r="M1581" s="26">
        <v>44977</v>
      </c>
      <c r="N1581" s="44">
        <v>5500</v>
      </c>
      <c r="O1581" s="22" t="s">
        <v>15</v>
      </c>
      <c r="P1581" s="44">
        <v>5500</v>
      </c>
      <c r="Q1581" s="44">
        <f t="shared" si="100"/>
        <v>0</v>
      </c>
      <c r="R1581" s="24">
        <f t="shared" si="101"/>
        <v>5500</v>
      </c>
      <c r="S1581" s="5"/>
      <c r="T1581" s="5"/>
    </row>
    <row r="1582" spans="1:20" ht="15.75" hidden="1" x14ac:dyDescent="0.25">
      <c r="A1582" t="s">
        <v>6753</v>
      </c>
      <c r="B1582" s="21" t="s">
        <v>395</v>
      </c>
      <c r="C1582" s="22" t="s">
        <v>2450</v>
      </c>
      <c r="D1582" s="22"/>
      <c r="E1582" s="21" t="s">
        <v>10</v>
      </c>
      <c r="F1582" s="21"/>
      <c r="G1582" s="147" t="s">
        <v>169</v>
      </c>
      <c r="H1582" s="23" t="s">
        <v>7451</v>
      </c>
      <c r="I1582" s="23" t="s">
        <v>8238</v>
      </c>
      <c r="J1582" s="21" t="s">
        <v>7452</v>
      </c>
      <c r="K1582" s="21"/>
      <c r="L1582" s="21" t="s">
        <v>8337</v>
      </c>
      <c r="M1582" s="26">
        <v>45051</v>
      </c>
      <c r="N1582" s="44">
        <v>5500</v>
      </c>
      <c r="O1582" s="22" t="s">
        <v>15</v>
      </c>
      <c r="P1582" s="44">
        <v>5500</v>
      </c>
      <c r="Q1582" s="44">
        <f t="shared" si="100"/>
        <v>0</v>
      </c>
      <c r="R1582" s="24">
        <f t="shared" si="101"/>
        <v>5500</v>
      </c>
      <c r="S1582" s="5"/>
      <c r="T1582" s="5"/>
    </row>
    <row r="1583" spans="1:20" ht="15.75" hidden="1" x14ac:dyDescent="0.25">
      <c r="B1583" s="21" t="s">
        <v>395</v>
      </c>
      <c r="C1583" s="22" t="s">
        <v>2450</v>
      </c>
      <c r="D1583" s="22"/>
      <c r="E1583" s="21" t="s">
        <v>10</v>
      </c>
      <c r="F1583" s="21"/>
      <c r="G1583" s="147" t="s">
        <v>169</v>
      </c>
      <c r="H1583" s="23" t="s">
        <v>8762</v>
      </c>
      <c r="I1583" s="23" t="s">
        <v>8763</v>
      </c>
      <c r="J1583" s="21" t="s">
        <v>8764</v>
      </c>
      <c r="K1583" s="21"/>
      <c r="L1583" s="21" t="s">
        <v>9364</v>
      </c>
      <c r="M1583" s="26" t="s">
        <v>9365</v>
      </c>
      <c r="N1583" s="44">
        <v>4400</v>
      </c>
      <c r="O1583" s="22" t="s">
        <v>15</v>
      </c>
      <c r="P1583" s="44">
        <f>2200+2200+2200</f>
        <v>6600</v>
      </c>
      <c r="Q1583" s="44">
        <f t="shared" si="100"/>
        <v>0</v>
      </c>
      <c r="R1583" s="116">
        <f t="shared" si="101"/>
        <v>6600</v>
      </c>
      <c r="S1583" s="5"/>
      <c r="T1583" s="5"/>
    </row>
    <row r="1584" spans="1:20" ht="15.75" hidden="1" x14ac:dyDescent="0.25">
      <c r="B1584" s="21" t="s">
        <v>395</v>
      </c>
      <c r="C1584" s="22" t="s">
        <v>2450</v>
      </c>
      <c r="D1584" s="22"/>
      <c r="E1584" s="21" t="s">
        <v>10</v>
      </c>
      <c r="F1584" s="21"/>
      <c r="G1584" s="147" t="s">
        <v>169</v>
      </c>
      <c r="H1584" s="23" t="s">
        <v>9305</v>
      </c>
      <c r="I1584" s="23"/>
      <c r="J1584" s="21" t="s">
        <v>9306</v>
      </c>
      <c r="K1584" s="21"/>
      <c r="L1584" s="21" t="s">
        <v>9366</v>
      </c>
      <c r="M1584" s="26">
        <v>45292</v>
      </c>
      <c r="N1584" s="44">
        <v>5500</v>
      </c>
      <c r="O1584" s="22" t="s">
        <v>15</v>
      </c>
      <c r="P1584" s="44">
        <v>5500</v>
      </c>
      <c r="Q1584" s="24">
        <f t="shared" si="100"/>
        <v>0</v>
      </c>
      <c r="R1584" s="24">
        <f t="shared" si="101"/>
        <v>5500</v>
      </c>
      <c r="S1584" s="5"/>
      <c r="T1584" s="5"/>
    </row>
    <row r="1585" spans="1:20" ht="15.75" hidden="1" x14ac:dyDescent="0.25">
      <c r="B1585" s="21" t="s">
        <v>395</v>
      </c>
      <c r="C1585" s="22" t="s">
        <v>2450</v>
      </c>
      <c r="D1585" s="22"/>
      <c r="E1585" s="21" t="s">
        <v>0</v>
      </c>
      <c r="F1585" s="21"/>
      <c r="G1585" s="147" t="s">
        <v>7415</v>
      </c>
      <c r="H1585" s="23" t="s">
        <v>9266</v>
      </c>
      <c r="I1585" s="23" t="s">
        <v>9267</v>
      </c>
      <c r="J1585" s="21" t="s">
        <v>9268</v>
      </c>
      <c r="K1585" s="21"/>
      <c r="L1585" s="21" t="s">
        <v>9456</v>
      </c>
      <c r="M1585" s="26">
        <v>45321</v>
      </c>
      <c r="N1585" s="44">
        <v>4200</v>
      </c>
      <c r="O1585" s="22" t="s">
        <v>15</v>
      </c>
      <c r="P1585" s="44">
        <v>4200</v>
      </c>
      <c r="Q1585" s="44">
        <f t="shared" si="100"/>
        <v>0</v>
      </c>
      <c r="R1585" s="24">
        <f t="shared" si="101"/>
        <v>4200</v>
      </c>
      <c r="S1585" s="5"/>
      <c r="T1585" s="5"/>
    </row>
    <row r="1586" spans="1:20" ht="15.75" hidden="1" x14ac:dyDescent="0.25">
      <c r="B1586" s="21" t="s">
        <v>395</v>
      </c>
      <c r="C1586" s="22" t="s">
        <v>158</v>
      </c>
      <c r="D1586" s="22"/>
      <c r="E1586" s="21" t="s">
        <v>159</v>
      </c>
      <c r="F1586" s="21" t="s">
        <v>9837</v>
      </c>
      <c r="G1586" s="147" t="s">
        <v>9838</v>
      </c>
      <c r="H1586" s="23" t="s">
        <v>9839</v>
      </c>
      <c r="I1586" s="23" t="s">
        <v>9840</v>
      </c>
      <c r="J1586" s="21" t="s">
        <v>9841</v>
      </c>
      <c r="K1586" s="21"/>
      <c r="L1586" s="21" t="s">
        <v>12233</v>
      </c>
      <c r="M1586" s="26">
        <v>45413</v>
      </c>
      <c r="N1586" s="44">
        <v>9000</v>
      </c>
      <c r="O1586" s="22" t="s">
        <v>276</v>
      </c>
      <c r="P1586" s="44">
        <v>9000</v>
      </c>
      <c r="Q1586" s="24">
        <f t="shared" si="100"/>
        <v>0</v>
      </c>
      <c r="R1586" s="24">
        <f t="shared" si="101"/>
        <v>9000</v>
      </c>
      <c r="S1586" s="5"/>
      <c r="T1586" s="5"/>
    </row>
    <row r="1587" spans="1:20" ht="15.75" hidden="1" x14ac:dyDescent="0.25">
      <c r="B1587" s="21" t="s">
        <v>395</v>
      </c>
      <c r="C1587" s="22" t="s">
        <v>2450</v>
      </c>
      <c r="D1587" s="22"/>
      <c r="E1587" s="21" t="s">
        <v>7137</v>
      </c>
      <c r="F1587" s="21"/>
      <c r="G1587" s="147" t="s">
        <v>7740</v>
      </c>
      <c r="H1587" s="23" t="s">
        <v>7741</v>
      </c>
      <c r="I1587" s="23" t="s">
        <v>8288</v>
      </c>
      <c r="J1587" s="21" t="s">
        <v>7742</v>
      </c>
      <c r="K1587" s="21"/>
      <c r="L1587" s="21" t="s">
        <v>8386</v>
      </c>
      <c r="M1587" s="26" t="s">
        <v>8387</v>
      </c>
      <c r="N1587" s="44">
        <v>3200</v>
      </c>
      <c r="O1587" s="22" t="s">
        <v>15</v>
      </c>
      <c r="P1587" s="44">
        <f>2800+34.48</f>
        <v>2834.48</v>
      </c>
      <c r="Q1587" s="44">
        <v>0</v>
      </c>
      <c r="R1587" s="24">
        <f t="shared" si="101"/>
        <v>2834.48</v>
      </c>
      <c r="S1587" s="5"/>
      <c r="T1587" s="5"/>
    </row>
    <row r="1588" spans="1:20" ht="15.75" hidden="1" x14ac:dyDescent="0.25">
      <c r="A1588" t="s">
        <v>6753</v>
      </c>
      <c r="B1588" s="21" t="s">
        <v>395</v>
      </c>
      <c r="C1588" s="22" t="s">
        <v>2450</v>
      </c>
      <c r="D1588" s="22"/>
      <c r="E1588" s="21" t="s">
        <v>7137</v>
      </c>
      <c r="F1588" s="21"/>
      <c r="G1588" s="147" t="s">
        <v>7740</v>
      </c>
      <c r="H1588" s="23" t="s">
        <v>8920</v>
      </c>
      <c r="I1588" s="23" t="s">
        <v>8921</v>
      </c>
      <c r="J1588" s="21" t="s">
        <v>8922</v>
      </c>
      <c r="K1588" s="21"/>
      <c r="L1588" s="21" t="s">
        <v>9120</v>
      </c>
      <c r="M1588" s="23" t="s">
        <v>9121</v>
      </c>
      <c r="N1588" s="44">
        <v>2200</v>
      </c>
      <c r="O1588" s="22" t="s">
        <v>15</v>
      </c>
      <c r="P1588" s="44">
        <f>993.37+993.36</f>
        <v>1986.73</v>
      </c>
      <c r="Q1588" s="44">
        <v>0</v>
      </c>
      <c r="R1588" s="24">
        <f t="shared" si="101"/>
        <v>1986.73</v>
      </c>
      <c r="S1588" s="5"/>
      <c r="T1588" s="5"/>
    </row>
    <row r="1589" spans="1:20" ht="15.75" hidden="1" x14ac:dyDescent="0.25">
      <c r="A1589" t="s">
        <v>6753</v>
      </c>
      <c r="B1589" s="21" t="s">
        <v>395</v>
      </c>
      <c r="C1589" s="22" t="s">
        <v>2450</v>
      </c>
      <c r="D1589" s="22"/>
      <c r="E1589" s="21" t="s">
        <v>10</v>
      </c>
      <c r="F1589" s="21"/>
      <c r="G1589" s="147" t="s">
        <v>3623</v>
      </c>
      <c r="H1589" s="23" t="s">
        <v>3624</v>
      </c>
      <c r="I1589" s="23"/>
      <c r="J1589" s="21" t="s">
        <v>3625</v>
      </c>
      <c r="K1589" s="13"/>
      <c r="L1589" s="21" t="s">
        <v>3631</v>
      </c>
      <c r="M1589" s="26">
        <v>44067</v>
      </c>
      <c r="N1589" s="44">
        <v>7000</v>
      </c>
      <c r="O1589" s="22" t="s">
        <v>276</v>
      </c>
      <c r="P1589" s="22" t="s">
        <v>19</v>
      </c>
      <c r="Q1589" s="44">
        <f t="shared" ref="Q1589:Q1632" si="102">IF(P1589="en cours",N1589,IF(P1589="OK",0,IF(N1589-P1589&lt;0,0,N1589-P1589)))</f>
        <v>0</v>
      </c>
      <c r="R1589" s="24">
        <f t="shared" si="101"/>
        <v>7000</v>
      </c>
      <c r="S1589" s="5"/>
      <c r="T1589" s="5"/>
    </row>
    <row r="1590" spans="1:20" ht="15.75" hidden="1" x14ac:dyDescent="0.25">
      <c r="A1590" t="s">
        <v>6753</v>
      </c>
      <c r="B1590" s="21" t="s">
        <v>395</v>
      </c>
      <c r="C1590" s="22" t="s">
        <v>2450</v>
      </c>
      <c r="D1590" s="22"/>
      <c r="E1590" s="21" t="s">
        <v>10</v>
      </c>
      <c r="F1590" s="21"/>
      <c r="G1590" s="147" t="s">
        <v>3623</v>
      </c>
      <c r="H1590" s="23" t="s">
        <v>3624</v>
      </c>
      <c r="I1590" s="23"/>
      <c r="J1590" s="21" t="s">
        <v>3626</v>
      </c>
      <c r="K1590" s="13"/>
      <c r="L1590" s="21" t="s">
        <v>3631</v>
      </c>
      <c r="M1590" s="26">
        <v>44067</v>
      </c>
      <c r="N1590" s="44">
        <v>1900</v>
      </c>
      <c r="O1590" s="22" t="s">
        <v>276</v>
      </c>
      <c r="P1590" s="22" t="s">
        <v>19</v>
      </c>
      <c r="Q1590" s="44">
        <f t="shared" si="102"/>
        <v>0</v>
      </c>
      <c r="R1590" s="24">
        <f t="shared" si="101"/>
        <v>1900</v>
      </c>
      <c r="S1590" s="5"/>
      <c r="T1590" s="5"/>
    </row>
    <row r="1591" spans="1:20" ht="15.75" hidden="1" x14ac:dyDescent="0.25">
      <c r="A1591" t="s">
        <v>6753</v>
      </c>
      <c r="B1591" s="21" t="s">
        <v>395</v>
      </c>
      <c r="C1591" s="22" t="s">
        <v>2450</v>
      </c>
      <c r="D1591" s="22"/>
      <c r="E1591" s="21" t="s">
        <v>10</v>
      </c>
      <c r="F1591" s="21"/>
      <c r="G1591" s="147" t="s">
        <v>3623</v>
      </c>
      <c r="H1591" s="23" t="s">
        <v>3624</v>
      </c>
      <c r="I1591" s="23"/>
      <c r="J1591" s="21" t="s">
        <v>3627</v>
      </c>
      <c r="K1591" s="13"/>
      <c r="L1591" s="21" t="s">
        <v>3631</v>
      </c>
      <c r="M1591" s="26">
        <v>44067</v>
      </c>
      <c r="N1591" s="44">
        <v>1290</v>
      </c>
      <c r="O1591" s="22" t="s">
        <v>276</v>
      </c>
      <c r="P1591" s="22" t="s">
        <v>19</v>
      </c>
      <c r="Q1591" s="44">
        <f t="shared" si="102"/>
        <v>0</v>
      </c>
      <c r="R1591" s="24">
        <f t="shared" si="101"/>
        <v>1290</v>
      </c>
      <c r="S1591" s="5"/>
      <c r="T1591" s="5"/>
    </row>
    <row r="1592" spans="1:20" ht="15.75" hidden="1" x14ac:dyDescent="0.25">
      <c r="B1592" s="5" t="s">
        <v>12228</v>
      </c>
      <c r="C1592" s="4" t="s">
        <v>2450</v>
      </c>
      <c r="D1592" s="4"/>
      <c r="E1592" s="5" t="s">
        <v>10</v>
      </c>
      <c r="F1592" s="5"/>
      <c r="G1592" s="146" t="s">
        <v>3623</v>
      </c>
      <c r="H1592" s="7" t="s">
        <v>3624</v>
      </c>
      <c r="I1592" s="7"/>
      <c r="J1592" s="5" t="s">
        <v>3628</v>
      </c>
      <c r="K1592" s="13"/>
      <c r="L1592" s="5"/>
      <c r="M1592" s="7"/>
      <c r="N1592" s="45">
        <v>3200</v>
      </c>
      <c r="O1592" s="4" t="s">
        <v>276</v>
      </c>
      <c r="P1592" s="4"/>
      <c r="Q1592" s="45">
        <f t="shared" si="102"/>
        <v>3200</v>
      </c>
      <c r="R1592" s="3">
        <f t="shared" si="101"/>
        <v>0</v>
      </c>
      <c r="S1592" s="5" t="s">
        <v>5377</v>
      </c>
      <c r="T1592" s="401" t="s">
        <v>7406</v>
      </c>
    </row>
    <row r="1593" spans="1:20" ht="15.75" hidden="1" x14ac:dyDescent="0.25">
      <c r="A1593" t="s">
        <v>6753</v>
      </c>
      <c r="B1593" s="21" t="s">
        <v>395</v>
      </c>
      <c r="C1593" s="22" t="s">
        <v>2450</v>
      </c>
      <c r="D1593" s="22"/>
      <c r="E1593" s="21" t="s">
        <v>10</v>
      </c>
      <c r="F1593" s="21"/>
      <c r="G1593" s="147" t="s">
        <v>3623</v>
      </c>
      <c r="H1593" s="23" t="s">
        <v>3624</v>
      </c>
      <c r="I1593" s="23"/>
      <c r="J1593" s="21" t="s">
        <v>3629</v>
      </c>
      <c r="K1593" s="120"/>
      <c r="L1593" s="21"/>
      <c r="M1593" s="23"/>
      <c r="N1593" s="44">
        <v>0</v>
      </c>
      <c r="O1593" s="22" t="s">
        <v>276</v>
      </c>
      <c r="P1593" s="22" t="s">
        <v>19</v>
      </c>
      <c r="Q1593" s="44">
        <f t="shared" si="102"/>
        <v>0</v>
      </c>
      <c r="R1593" s="24">
        <f t="shared" si="101"/>
        <v>0</v>
      </c>
      <c r="S1593" s="5" t="s">
        <v>5378</v>
      </c>
      <c r="T1593" s="5"/>
    </row>
    <row r="1594" spans="1:20" ht="15.75" hidden="1" x14ac:dyDescent="0.25">
      <c r="A1594" t="s">
        <v>6753</v>
      </c>
      <c r="B1594" s="21" t="s">
        <v>395</v>
      </c>
      <c r="C1594" s="22" t="s">
        <v>2450</v>
      </c>
      <c r="D1594" s="22"/>
      <c r="E1594" s="21" t="s">
        <v>10</v>
      </c>
      <c r="F1594" s="21"/>
      <c r="G1594" s="147" t="s">
        <v>3623</v>
      </c>
      <c r="H1594" s="23" t="s">
        <v>3624</v>
      </c>
      <c r="I1594" s="23"/>
      <c r="J1594" s="21" t="s">
        <v>3630</v>
      </c>
      <c r="K1594" s="120"/>
      <c r="L1594" s="21"/>
      <c r="M1594" s="23"/>
      <c r="N1594" s="44">
        <v>0</v>
      </c>
      <c r="O1594" s="22" t="s">
        <v>276</v>
      </c>
      <c r="P1594" s="22" t="s">
        <v>19</v>
      </c>
      <c r="Q1594" s="44">
        <f t="shared" si="102"/>
        <v>0</v>
      </c>
      <c r="R1594" s="24">
        <f t="shared" si="101"/>
        <v>0</v>
      </c>
      <c r="S1594" s="5" t="s">
        <v>5378</v>
      </c>
      <c r="T1594" s="5"/>
    </row>
    <row r="1595" spans="1:20" ht="15.75" hidden="1" x14ac:dyDescent="0.25">
      <c r="A1595" t="s">
        <v>6753</v>
      </c>
      <c r="B1595" s="21" t="s">
        <v>395</v>
      </c>
      <c r="C1595" s="22" t="s">
        <v>2450</v>
      </c>
      <c r="D1595" s="22" t="s">
        <v>1451</v>
      </c>
      <c r="E1595" s="21" t="s">
        <v>10</v>
      </c>
      <c r="F1595" s="21"/>
      <c r="G1595" s="147" t="s">
        <v>3855</v>
      </c>
      <c r="H1595" s="23" t="s">
        <v>3856</v>
      </c>
      <c r="I1595" s="23"/>
      <c r="J1595" s="21" t="s">
        <v>3857</v>
      </c>
      <c r="K1595" s="120"/>
      <c r="L1595" s="21" t="s">
        <v>4277</v>
      </c>
      <c r="M1595" s="26">
        <v>44214</v>
      </c>
      <c r="N1595" s="44">
        <v>2500</v>
      </c>
      <c r="O1595" s="22" t="s">
        <v>341</v>
      </c>
      <c r="P1595" s="22" t="s">
        <v>19</v>
      </c>
      <c r="Q1595" s="24">
        <f t="shared" si="102"/>
        <v>0</v>
      </c>
      <c r="R1595" s="24">
        <f t="shared" si="101"/>
        <v>2500</v>
      </c>
      <c r="S1595" s="5"/>
      <c r="T1595" s="5"/>
    </row>
    <row r="1596" spans="1:20" ht="15.75" hidden="1" x14ac:dyDescent="0.25">
      <c r="A1596" t="s">
        <v>6753</v>
      </c>
      <c r="B1596" s="21" t="s">
        <v>395</v>
      </c>
      <c r="C1596" s="22" t="s">
        <v>2450</v>
      </c>
      <c r="D1596" s="22" t="s">
        <v>1451</v>
      </c>
      <c r="E1596" s="21" t="s">
        <v>10</v>
      </c>
      <c r="F1596" s="21"/>
      <c r="G1596" s="147" t="s">
        <v>3855</v>
      </c>
      <c r="H1596" s="23" t="s">
        <v>3856</v>
      </c>
      <c r="I1596" s="23"/>
      <c r="J1596" s="21" t="s">
        <v>3858</v>
      </c>
      <c r="K1596" s="120"/>
      <c r="L1596" s="21" t="s">
        <v>4220</v>
      </c>
      <c r="M1596" s="26">
        <v>44187</v>
      </c>
      <c r="N1596" s="44">
        <v>3750</v>
      </c>
      <c r="O1596" s="22" t="s">
        <v>341</v>
      </c>
      <c r="P1596" s="22" t="s">
        <v>19</v>
      </c>
      <c r="Q1596" s="24">
        <f t="shared" si="102"/>
        <v>0</v>
      </c>
      <c r="R1596" s="24">
        <f t="shared" si="101"/>
        <v>3750</v>
      </c>
      <c r="S1596" s="5"/>
      <c r="T1596" s="5"/>
    </row>
    <row r="1597" spans="1:20" ht="15.75" hidden="1" x14ac:dyDescent="0.25">
      <c r="A1597" t="s">
        <v>6753</v>
      </c>
      <c r="B1597" s="21" t="s">
        <v>395</v>
      </c>
      <c r="C1597" s="22" t="s">
        <v>2450</v>
      </c>
      <c r="D1597" s="22" t="s">
        <v>1451</v>
      </c>
      <c r="E1597" s="21" t="s">
        <v>10</v>
      </c>
      <c r="F1597" s="21"/>
      <c r="G1597" s="147" t="s">
        <v>3855</v>
      </c>
      <c r="H1597" s="23" t="s">
        <v>3968</v>
      </c>
      <c r="I1597" s="23" t="s">
        <v>7984</v>
      </c>
      <c r="J1597" s="21" t="s">
        <v>3969</v>
      </c>
      <c r="K1597" s="120"/>
      <c r="L1597" s="21" t="s">
        <v>4220</v>
      </c>
      <c r="M1597" s="26">
        <v>44187</v>
      </c>
      <c r="N1597" s="44">
        <v>5000</v>
      </c>
      <c r="O1597" s="22" t="s">
        <v>341</v>
      </c>
      <c r="P1597" s="22" t="s">
        <v>19</v>
      </c>
      <c r="Q1597" s="24">
        <f t="shared" si="102"/>
        <v>0</v>
      </c>
      <c r="R1597" s="24">
        <f t="shared" si="101"/>
        <v>5000</v>
      </c>
      <c r="S1597" s="5"/>
      <c r="T1597" s="5"/>
    </row>
    <row r="1598" spans="1:20" ht="15.75" hidden="1" x14ac:dyDescent="0.25">
      <c r="A1598" t="s">
        <v>6753</v>
      </c>
      <c r="B1598" s="21" t="s">
        <v>395</v>
      </c>
      <c r="C1598" s="22" t="s">
        <v>2450</v>
      </c>
      <c r="D1598" s="22"/>
      <c r="E1598" s="21" t="s">
        <v>10</v>
      </c>
      <c r="F1598" s="21"/>
      <c r="G1598" s="147" t="s">
        <v>7568</v>
      </c>
      <c r="H1598" s="23" t="s">
        <v>8349</v>
      </c>
      <c r="I1598" s="23" t="s">
        <v>8350</v>
      </c>
      <c r="J1598" s="21" t="s">
        <v>8351</v>
      </c>
      <c r="K1598" s="21"/>
      <c r="L1598" s="21" t="s">
        <v>8433</v>
      </c>
      <c r="M1598" s="26">
        <v>45062</v>
      </c>
      <c r="N1598" s="44">
        <v>18754</v>
      </c>
      <c r="O1598" s="22" t="s">
        <v>15</v>
      </c>
      <c r="P1598" s="44">
        <f>18754</f>
        <v>18754</v>
      </c>
      <c r="Q1598" s="44">
        <f t="shared" si="102"/>
        <v>0</v>
      </c>
      <c r="R1598" s="24">
        <f t="shared" si="101"/>
        <v>18754</v>
      </c>
      <c r="S1598" s="5"/>
      <c r="T1598" s="5"/>
    </row>
    <row r="1599" spans="1:20" ht="15.75" hidden="1" x14ac:dyDescent="0.25">
      <c r="A1599" t="s">
        <v>6753</v>
      </c>
      <c r="B1599" s="21" t="s">
        <v>395</v>
      </c>
      <c r="C1599" s="22" t="s">
        <v>2450</v>
      </c>
      <c r="D1599" s="22" t="s">
        <v>1451</v>
      </c>
      <c r="E1599" s="21" t="s">
        <v>10</v>
      </c>
      <c r="F1599" s="21"/>
      <c r="G1599" s="147" t="s">
        <v>7568</v>
      </c>
      <c r="H1599" s="23" t="s">
        <v>8969</v>
      </c>
      <c r="I1599" s="23" t="s">
        <v>8970</v>
      </c>
      <c r="J1599" s="21" t="s">
        <v>8984</v>
      </c>
      <c r="K1599" s="21"/>
      <c r="L1599" s="21" t="s">
        <v>8985</v>
      </c>
      <c r="M1599" s="26">
        <v>45215</v>
      </c>
      <c r="N1599" s="44">
        <v>51400</v>
      </c>
      <c r="O1599" s="22" t="s">
        <v>15</v>
      </c>
      <c r="P1599" s="44">
        <v>51400</v>
      </c>
      <c r="Q1599" s="44">
        <f t="shared" si="102"/>
        <v>0</v>
      </c>
      <c r="R1599" s="24">
        <f t="shared" si="101"/>
        <v>51400</v>
      </c>
      <c r="S1599" s="5"/>
      <c r="T1599" s="5"/>
    </row>
    <row r="1600" spans="1:20" ht="15.75" hidden="1" x14ac:dyDescent="0.25">
      <c r="A1600" t="s">
        <v>6753</v>
      </c>
      <c r="B1600" s="21" t="s">
        <v>395</v>
      </c>
      <c r="C1600" s="22" t="s">
        <v>2450</v>
      </c>
      <c r="D1600" s="22" t="s">
        <v>1451</v>
      </c>
      <c r="E1600" s="21" t="s">
        <v>10</v>
      </c>
      <c r="F1600" s="21"/>
      <c r="G1600" s="147" t="s">
        <v>7568</v>
      </c>
      <c r="H1600" s="23" t="s">
        <v>7569</v>
      </c>
      <c r="I1600" s="23" t="s">
        <v>8255</v>
      </c>
      <c r="J1600" s="21" t="s">
        <v>7570</v>
      </c>
      <c r="K1600" s="21"/>
      <c r="L1600" s="21" t="s">
        <v>7576</v>
      </c>
      <c r="M1600" s="26">
        <v>44966</v>
      </c>
      <c r="N1600" s="44">
        <v>8800</v>
      </c>
      <c r="O1600" s="22" t="s">
        <v>15</v>
      </c>
      <c r="P1600" s="44">
        <f>8800</f>
        <v>8800</v>
      </c>
      <c r="Q1600" s="44">
        <f t="shared" si="102"/>
        <v>0</v>
      </c>
      <c r="R1600" s="24">
        <f t="shared" si="101"/>
        <v>8800</v>
      </c>
      <c r="S1600" s="5"/>
      <c r="T1600" s="5"/>
    </row>
    <row r="1601" spans="1:20" ht="15.75" hidden="1" x14ac:dyDescent="0.25">
      <c r="A1601" t="s">
        <v>6753</v>
      </c>
      <c r="B1601" s="21" t="s">
        <v>395</v>
      </c>
      <c r="C1601" s="22" t="s">
        <v>7408</v>
      </c>
      <c r="D1601" s="22"/>
      <c r="E1601" s="21" t="s">
        <v>75</v>
      </c>
      <c r="F1601" s="21"/>
      <c r="G1601" s="147" t="s">
        <v>7568</v>
      </c>
      <c r="H1601" s="23" t="s">
        <v>9529</v>
      </c>
      <c r="I1601" s="23" t="s">
        <v>8486</v>
      </c>
      <c r="J1601" s="21" t="s">
        <v>8405</v>
      </c>
      <c r="K1601" s="21"/>
      <c r="L1601" s="21" t="s">
        <v>9527</v>
      </c>
      <c r="M1601" s="26" t="s">
        <v>9528</v>
      </c>
      <c r="N1601" s="44">
        <v>42375</v>
      </c>
      <c r="O1601" s="22" t="s">
        <v>15</v>
      </c>
      <c r="P1601" s="44">
        <f>23581-4787+23581</f>
        <v>42375</v>
      </c>
      <c r="Q1601" s="44">
        <f t="shared" si="102"/>
        <v>0</v>
      </c>
      <c r="R1601" s="116">
        <f t="shared" si="101"/>
        <v>42375</v>
      </c>
      <c r="S1601" s="5"/>
      <c r="T1601" s="5"/>
    </row>
    <row r="1602" spans="1:20" ht="15.75" hidden="1" x14ac:dyDescent="0.25">
      <c r="A1602" t="s">
        <v>6753</v>
      </c>
      <c r="B1602" s="21" t="s">
        <v>395</v>
      </c>
      <c r="C1602" s="22" t="s">
        <v>2450</v>
      </c>
      <c r="D1602" s="22"/>
      <c r="E1602" s="21" t="s">
        <v>10</v>
      </c>
      <c r="F1602" s="21"/>
      <c r="G1602" s="147" t="s">
        <v>7568</v>
      </c>
      <c r="H1602" s="23" t="s">
        <v>9085</v>
      </c>
      <c r="I1602" s="23" t="s">
        <v>9086</v>
      </c>
      <c r="J1602" s="21" t="s">
        <v>9087</v>
      </c>
      <c r="K1602" s="21"/>
      <c r="L1602" s="21" t="s">
        <v>9189</v>
      </c>
      <c r="M1602" s="26">
        <v>45260</v>
      </c>
      <c r="N1602" s="44">
        <v>15345</v>
      </c>
      <c r="O1602" s="22" t="s">
        <v>15</v>
      </c>
      <c r="P1602" s="44">
        <v>15345</v>
      </c>
      <c r="Q1602" s="44">
        <f t="shared" si="102"/>
        <v>0</v>
      </c>
      <c r="R1602" s="24">
        <f t="shared" si="101"/>
        <v>15345</v>
      </c>
      <c r="S1602" s="5"/>
      <c r="T1602" s="5"/>
    </row>
    <row r="1603" spans="1:20" ht="15.75" hidden="1" x14ac:dyDescent="0.25">
      <c r="A1603" t="s">
        <v>6753</v>
      </c>
      <c r="B1603" s="21" t="s">
        <v>395</v>
      </c>
      <c r="C1603" s="22" t="s">
        <v>2450</v>
      </c>
      <c r="D1603" s="22" t="s">
        <v>1451</v>
      </c>
      <c r="E1603" s="21" t="s">
        <v>10</v>
      </c>
      <c r="F1603" s="21"/>
      <c r="G1603" s="147" t="s">
        <v>7568</v>
      </c>
      <c r="H1603" s="23" t="s">
        <v>9272</v>
      </c>
      <c r="I1603" s="23" t="s">
        <v>9257</v>
      </c>
      <c r="J1603" s="21" t="s">
        <v>9360</v>
      </c>
      <c r="K1603" s="21"/>
      <c r="L1603" s="21" t="s">
        <v>9361</v>
      </c>
      <c r="M1603" s="26">
        <v>45292</v>
      </c>
      <c r="N1603" s="44">
        <v>10600</v>
      </c>
      <c r="O1603" s="22" t="s">
        <v>15</v>
      </c>
      <c r="P1603" s="44">
        <v>10600</v>
      </c>
      <c r="Q1603" s="44">
        <f t="shared" si="102"/>
        <v>0</v>
      </c>
      <c r="R1603" s="24">
        <f t="shared" si="101"/>
        <v>10600</v>
      </c>
      <c r="S1603" s="5"/>
      <c r="T1603" s="5"/>
    </row>
    <row r="1604" spans="1:20" ht="15.75" hidden="1" x14ac:dyDescent="0.25">
      <c r="A1604" t="s">
        <v>6753</v>
      </c>
      <c r="B1604" s="21" t="s">
        <v>395</v>
      </c>
      <c r="C1604" s="22" t="s">
        <v>2450</v>
      </c>
      <c r="D1604" s="22" t="s">
        <v>1451</v>
      </c>
      <c r="E1604" s="21" t="s">
        <v>10</v>
      </c>
      <c r="F1604" s="21"/>
      <c r="G1604" s="147" t="s">
        <v>7568</v>
      </c>
      <c r="H1604" s="23" t="s">
        <v>9284</v>
      </c>
      <c r="I1604" s="23" t="s">
        <v>9285</v>
      </c>
      <c r="J1604" s="21" t="s">
        <v>9286</v>
      </c>
      <c r="K1604" s="21"/>
      <c r="L1604" s="21" t="s">
        <v>9359</v>
      </c>
      <c r="M1604" s="26">
        <v>45292</v>
      </c>
      <c r="N1604" s="44">
        <v>7100</v>
      </c>
      <c r="O1604" s="22" t="s">
        <v>15</v>
      </c>
      <c r="P1604" s="44">
        <v>7100</v>
      </c>
      <c r="Q1604" s="24">
        <f t="shared" si="102"/>
        <v>0</v>
      </c>
      <c r="R1604" s="24">
        <f t="shared" si="101"/>
        <v>7100</v>
      </c>
      <c r="S1604" s="5"/>
      <c r="T1604" s="5"/>
    </row>
    <row r="1605" spans="1:20" ht="15.75" hidden="1" x14ac:dyDescent="0.25">
      <c r="A1605" t="s">
        <v>6753</v>
      </c>
      <c r="B1605" s="21" t="s">
        <v>395</v>
      </c>
      <c r="C1605" s="22" t="s">
        <v>2450</v>
      </c>
      <c r="D1605" s="22" t="s">
        <v>1451</v>
      </c>
      <c r="E1605" s="21" t="s">
        <v>10</v>
      </c>
      <c r="F1605" s="21"/>
      <c r="G1605" s="147" t="s">
        <v>7568</v>
      </c>
      <c r="H1605" s="23" t="s">
        <v>10757</v>
      </c>
      <c r="I1605" s="23" t="s">
        <v>10756</v>
      </c>
      <c r="J1605" s="21" t="s">
        <v>6403</v>
      </c>
      <c r="K1605" s="21"/>
      <c r="L1605" s="21" t="s">
        <v>10800</v>
      </c>
      <c r="M1605" s="26">
        <v>45617</v>
      </c>
      <c r="N1605" s="44">
        <v>8630</v>
      </c>
      <c r="O1605" s="22" t="s">
        <v>15</v>
      </c>
      <c r="P1605" s="44">
        <v>8630</v>
      </c>
      <c r="Q1605" s="24">
        <f t="shared" si="102"/>
        <v>0</v>
      </c>
      <c r="R1605" s="24">
        <f>IF(P1605="OK",N1605-Q1605,IF(P1605="en cours",M1605-Q1605,P1605))</f>
        <v>8630</v>
      </c>
      <c r="S1605" s="5"/>
      <c r="T1605" s="5"/>
    </row>
    <row r="1606" spans="1:20" ht="15.75" hidden="1" x14ac:dyDescent="0.25">
      <c r="A1606" t="s">
        <v>6753</v>
      </c>
      <c r="B1606" s="21" t="s">
        <v>395</v>
      </c>
      <c r="C1606" s="22" t="s">
        <v>2450</v>
      </c>
      <c r="D1606" s="22"/>
      <c r="E1606" s="21" t="s">
        <v>10</v>
      </c>
      <c r="F1606" s="21" t="s">
        <v>9830</v>
      </c>
      <c r="G1606" s="147" t="s">
        <v>7568</v>
      </c>
      <c r="H1606" s="23" t="s">
        <v>10824</v>
      </c>
      <c r="I1606" s="23" t="s">
        <v>10825</v>
      </c>
      <c r="J1606" s="21" t="s">
        <v>10823</v>
      </c>
      <c r="K1606" s="21"/>
      <c r="L1606" s="21" t="s">
        <v>10871</v>
      </c>
      <c r="M1606" s="26">
        <v>45632</v>
      </c>
      <c r="N1606" s="44">
        <v>3129</v>
      </c>
      <c r="O1606" s="22" t="s">
        <v>15</v>
      </c>
      <c r="P1606" s="44">
        <v>3129</v>
      </c>
      <c r="Q1606" s="24">
        <f t="shared" si="102"/>
        <v>0</v>
      </c>
      <c r="R1606" s="24">
        <f>IF(P1606="OK",N1606-Q1606,IF(P1606="en cours",M1606-Q1606,P1606))</f>
        <v>3129</v>
      </c>
      <c r="S1606" s="5"/>
      <c r="T1606" s="5"/>
    </row>
    <row r="1607" spans="1:20" ht="15.75" hidden="1" x14ac:dyDescent="0.25">
      <c r="A1607" t="s">
        <v>6753</v>
      </c>
      <c r="B1607" s="21" t="s">
        <v>395</v>
      </c>
      <c r="C1607" s="22" t="s">
        <v>2450</v>
      </c>
      <c r="D1607" s="22" t="s">
        <v>1451</v>
      </c>
      <c r="E1607" s="21" t="s">
        <v>10</v>
      </c>
      <c r="F1607" s="21"/>
      <c r="G1607" s="147" t="s">
        <v>6333</v>
      </c>
      <c r="H1607" s="23" t="s">
        <v>7090</v>
      </c>
      <c r="I1607" s="23" t="s">
        <v>8191</v>
      </c>
      <c r="J1607" s="21" t="s">
        <v>7091</v>
      </c>
      <c r="K1607" s="21"/>
      <c r="L1607" s="21" t="s">
        <v>7114</v>
      </c>
      <c r="M1607" s="26">
        <v>44824</v>
      </c>
      <c r="N1607" s="99">
        <v>13300</v>
      </c>
      <c r="O1607" s="22" t="s">
        <v>15</v>
      </c>
      <c r="P1607" s="22">
        <v>13300</v>
      </c>
      <c r="Q1607" s="44">
        <f t="shared" si="102"/>
        <v>0</v>
      </c>
      <c r="R1607" s="24">
        <f t="shared" ref="R1607:R1648" si="103">IF(P1607="OK",N1607-Q1607,IF(P1607="en cours",N1607-Q1607,P1607))</f>
        <v>13300</v>
      </c>
      <c r="S1607" s="5"/>
      <c r="T1607" s="5"/>
    </row>
    <row r="1608" spans="1:20" ht="15.75" hidden="1" x14ac:dyDescent="0.25">
      <c r="A1608" t="s">
        <v>6753</v>
      </c>
      <c r="B1608" s="21" t="s">
        <v>395</v>
      </c>
      <c r="C1608" s="22" t="s">
        <v>2450</v>
      </c>
      <c r="D1608" s="22" t="s">
        <v>1451</v>
      </c>
      <c r="E1608" s="21" t="s">
        <v>10</v>
      </c>
      <c r="F1608" s="21"/>
      <c r="G1608" s="147" t="s">
        <v>6333</v>
      </c>
      <c r="H1608" s="23" t="s">
        <v>7093</v>
      </c>
      <c r="I1608" s="23" t="s">
        <v>8125</v>
      </c>
      <c r="J1608" s="21" t="s">
        <v>6403</v>
      </c>
      <c r="K1608" s="21"/>
      <c r="L1608" s="21" t="s">
        <v>6583</v>
      </c>
      <c r="M1608" s="23" t="s">
        <v>6584</v>
      </c>
      <c r="N1608" s="101">
        <v>2625</v>
      </c>
      <c r="O1608" s="22" t="s">
        <v>15</v>
      </c>
      <c r="P1608" s="44">
        <v>2625</v>
      </c>
      <c r="Q1608" s="24">
        <f t="shared" si="102"/>
        <v>0</v>
      </c>
      <c r="R1608" s="24">
        <f t="shared" si="103"/>
        <v>2625</v>
      </c>
      <c r="S1608" s="5"/>
      <c r="T1608" s="5"/>
    </row>
    <row r="1609" spans="1:20" ht="15.75" hidden="1" x14ac:dyDescent="0.25">
      <c r="A1609" t="s">
        <v>6753</v>
      </c>
      <c r="B1609" s="21" t="s">
        <v>395</v>
      </c>
      <c r="C1609" s="22" t="s">
        <v>2450</v>
      </c>
      <c r="D1609" s="22" t="s">
        <v>1451</v>
      </c>
      <c r="E1609" s="21" t="s">
        <v>10</v>
      </c>
      <c r="F1609" s="21"/>
      <c r="G1609" s="147" t="s">
        <v>6333</v>
      </c>
      <c r="H1609" s="23" t="s">
        <v>7094</v>
      </c>
      <c r="I1609" s="23" t="s">
        <v>8158</v>
      </c>
      <c r="J1609" s="21" t="s">
        <v>6403</v>
      </c>
      <c r="K1609" s="21"/>
      <c r="L1609" s="21" t="s">
        <v>6676</v>
      </c>
      <c r="M1609" s="26">
        <v>44664</v>
      </c>
      <c r="N1609" s="101">
        <v>14375</v>
      </c>
      <c r="O1609" s="22" t="s">
        <v>15</v>
      </c>
      <c r="P1609" s="44">
        <v>14375</v>
      </c>
      <c r="Q1609" s="24">
        <f t="shared" si="102"/>
        <v>0</v>
      </c>
      <c r="R1609" s="24">
        <f t="shared" si="103"/>
        <v>14375</v>
      </c>
      <c r="S1609" s="5"/>
      <c r="T1609" s="5"/>
    </row>
    <row r="1610" spans="1:20" ht="15.75" hidden="1" x14ac:dyDescent="0.25">
      <c r="A1610" t="s">
        <v>6753</v>
      </c>
      <c r="B1610" s="21" t="s">
        <v>395</v>
      </c>
      <c r="C1610" s="22" t="s">
        <v>2450</v>
      </c>
      <c r="D1610" s="22" t="s">
        <v>1451</v>
      </c>
      <c r="E1610" s="21" t="s">
        <v>10</v>
      </c>
      <c r="F1610" s="21"/>
      <c r="G1610" s="147" t="s">
        <v>6333</v>
      </c>
      <c r="H1610" s="23" t="s">
        <v>7112</v>
      </c>
      <c r="I1610" s="23" t="s">
        <v>8192</v>
      </c>
      <c r="J1610" s="21" t="s">
        <v>7095</v>
      </c>
      <c r="K1610" s="21"/>
      <c r="L1610" s="21" t="s">
        <v>7113</v>
      </c>
      <c r="M1610" s="26">
        <v>44825</v>
      </c>
      <c r="N1610" s="101">
        <v>13300</v>
      </c>
      <c r="O1610" s="22" t="s">
        <v>15</v>
      </c>
      <c r="P1610" s="44">
        <v>13300</v>
      </c>
      <c r="Q1610" s="24">
        <f t="shared" si="102"/>
        <v>0</v>
      </c>
      <c r="R1610" s="24">
        <f t="shared" si="103"/>
        <v>13300</v>
      </c>
      <c r="S1610" s="5"/>
      <c r="T1610" s="5"/>
    </row>
    <row r="1611" spans="1:20" ht="15.75" hidden="1" x14ac:dyDescent="0.25">
      <c r="A1611" t="s">
        <v>6753</v>
      </c>
      <c r="B1611" s="21" t="s">
        <v>395</v>
      </c>
      <c r="C1611" s="22" t="s">
        <v>2450</v>
      </c>
      <c r="D1611" s="22" t="s">
        <v>1451</v>
      </c>
      <c r="E1611" s="21" t="s">
        <v>10</v>
      </c>
      <c r="F1611" s="21"/>
      <c r="G1611" s="147" t="s">
        <v>6333</v>
      </c>
      <c r="H1611" s="23" t="s">
        <v>7092</v>
      </c>
      <c r="I1611" s="23" t="s">
        <v>8124</v>
      </c>
      <c r="J1611" s="21" t="s">
        <v>6280</v>
      </c>
      <c r="K1611" s="21"/>
      <c r="L1611" s="21" t="s">
        <v>6844</v>
      </c>
      <c r="M1611" s="23" t="s">
        <v>6845</v>
      </c>
      <c r="N1611" s="101">
        <v>390120</v>
      </c>
      <c r="O1611" s="22" t="s">
        <v>15</v>
      </c>
      <c r="P1611" s="44">
        <f>117036+117036+117036+39012</f>
        <v>390120</v>
      </c>
      <c r="Q1611" s="24">
        <f t="shared" si="102"/>
        <v>0</v>
      </c>
      <c r="R1611" s="24">
        <f t="shared" si="103"/>
        <v>390120</v>
      </c>
      <c r="S1611" s="5"/>
      <c r="T1611" s="5"/>
    </row>
    <row r="1612" spans="1:20" ht="15.75" hidden="1" x14ac:dyDescent="0.25">
      <c r="A1612" t="s">
        <v>6753</v>
      </c>
      <c r="B1612" s="21" t="s">
        <v>395</v>
      </c>
      <c r="C1612" s="22" t="s">
        <v>2450</v>
      </c>
      <c r="D1612" s="22" t="s">
        <v>6690</v>
      </c>
      <c r="E1612" s="21" t="s">
        <v>10</v>
      </c>
      <c r="F1612" s="21"/>
      <c r="G1612" s="147" t="s">
        <v>6333</v>
      </c>
      <c r="H1612" s="23" t="s">
        <v>6471</v>
      </c>
      <c r="I1612" s="23" t="s">
        <v>8123</v>
      </c>
      <c r="J1612" s="21" t="s">
        <v>6472</v>
      </c>
      <c r="K1612" s="21"/>
      <c r="L1612" s="21" t="s">
        <v>6692</v>
      </c>
      <c r="M1612" s="26">
        <v>44676</v>
      </c>
      <c r="N1612" s="44">
        <v>2500</v>
      </c>
      <c r="O1612" s="22" t="s">
        <v>15</v>
      </c>
      <c r="P1612" s="44">
        <v>2500</v>
      </c>
      <c r="Q1612" s="24">
        <f t="shared" si="102"/>
        <v>0</v>
      </c>
      <c r="R1612" s="24">
        <f t="shared" si="103"/>
        <v>2500</v>
      </c>
      <c r="S1612" s="5"/>
      <c r="T1612" s="5"/>
    </row>
    <row r="1613" spans="1:20" ht="15.75" hidden="1" x14ac:dyDescent="0.25">
      <c r="A1613" t="s">
        <v>6753</v>
      </c>
      <c r="B1613" s="21" t="s">
        <v>395</v>
      </c>
      <c r="C1613" s="22" t="s">
        <v>2450</v>
      </c>
      <c r="D1613" s="22" t="s">
        <v>6690</v>
      </c>
      <c r="E1613" s="21" t="s">
        <v>10</v>
      </c>
      <c r="F1613" s="21"/>
      <c r="G1613" s="147" t="s">
        <v>6333</v>
      </c>
      <c r="H1613" s="23" t="s">
        <v>6464</v>
      </c>
      <c r="I1613" s="23" t="s">
        <v>8122</v>
      </c>
      <c r="J1613" s="21" t="s">
        <v>6279</v>
      </c>
      <c r="K1613" s="21"/>
      <c r="L1613" s="21" t="s">
        <v>6740</v>
      </c>
      <c r="M1613" s="23" t="s">
        <v>6741</v>
      </c>
      <c r="N1613" s="44">
        <v>91220</v>
      </c>
      <c r="O1613" s="22" t="s">
        <v>15</v>
      </c>
      <c r="P1613" s="44">
        <f>27366+27366+27366+9122</f>
        <v>91220</v>
      </c>
      <c r="Q1613" s="24">
        <f t="shared" si="102"/>
        <v>0</v>
      </c>
      <c r="R1613" s="24">
        <f t="shared" si="103"/>
        <v>91220</v>
      </c>
      <c r="S1613" s="5"/>
      <c r="T1613" s="5"/>
    </row>
    <row r="1614" spans="1:20" ht="15.75" hidden="1" x14ac:dyDescent="0.25">
      <c r="B1614" s="21" t="s">
        <v>395</v>
      </c>
      <c r="C1614" s="22" t="s">
        <v>2450</v>
      </c>
      <c r="D1614" s="22" t="s">
        <v>1451</v>
      </c>
      <c r="E1614" s="21" t="s">
        <v>10</v>
      </c>
      <c r="F1614" s="21"/>
      <c r="G1614" s="147" t="s">
        <v>6333</v>
      </c>
      <c r="H1614" s="23" t="s">
        <v>6699</v>
      </c>
      <c r="I1614" s="23" t="s">
        <v>8159</v>
      </c>
      <c r="J1614" s="21" t="s">
        <v>6880</v>
      </c>
      <c r="K1614" s="420"/>
      <c r="L1614" s="21" t="s">
        <v>7758</v>
      </c>
      <c r="M1614" s="26">
        <v>45015</v>
      </c>
      <c r="N1614" s="44">
        <f>621560*0.3</f>
        <v>186468</v>
      </c>
      <c r="O1614" s="22" t="s">
        <v>15</v>
      </c>
      <c r="P1614" s="44">
        <f>186468</f>
        <v>186468</v>
      </c>
      <c r="Q1614" s="24">
        <f t="shared" si="102"/>
        <v>0</v>
      </c>
      <c r="R1614" s="24">
        <f t="shared" si="103"/>
        <v>186468</v>
      </c>
      <c r="S1614" s="5"/>
      <c r="T1614" s="5"/>
    </row>
    <row r="1615" spans="1:20" ht="15.75" hidden="1" x14ac:dyDescent="0.25">
      <c r="B1615" s="21" t="s">
        <v>395</v>
      </c>
      <c r="C1615" s="22" t="s">
        <v>2450</v>
      </c>
      <c r="D1615" s="22" t="s">
        <v>1451</v>
      </c>
      <c r="E1615" s="21" t="s">
        <v>10</v>
      </c>
      <c r="F1615" s="21"/>
      <c r="G1615" s="147" t="s">
        <v>6333</v>
      </c>
      <c r="H1615" s="23" t="s">
        <v>6699</v>
      </c>
      <c r="I1615" s="23" t="s">
        <v>8159</v>
      </c>
      <c r="J1615" s="21" t="s">
        <v>6881</v>
      </c>
      <c r="K1615" s="420"/>
      <c r="L1615" s="21" t="s">
        <v>8507</v>
      </c>
      <c r="M1615" s="26">
        <v>45097</v>
      </c>
      <c r="N1615" s="44">
        <f>621560*0.3</f>
        <v>186468</v>
      </c>
      <c r="O1615" s="22" t="s">
        <v>15</v>
      </c>
      <c r="P1615" s="44">
        <f>186468</f>
        <v>186468</v>
      </c>
      <c r="Q1615" s="24">
        <f t="shared" si="102"/>
        <v>0</v>
      </c>
      <c r="R1615" s="24">
        <f t="shared" si="103"/>
        <v>186468</v>
      </c>
      <c r="S1615" s="5"/>
      <c r="T1615" s="5"/>
    </row>
    <row r="1616" spans="1:20" ht="15.75" hidden="1" x14ac:dyDescent="0.25">
      <c r="B1616" s="21" t="s">
        <v>395</v>
      </c>
      <c r="C1616" s="22" t="s">
        <v>2450</v>
      </c>
      <c r="D1616" s="22" t="s">
        <v>1451</v>
      </c>
      <c r="E1616" s="21" t="s">
        <v>10</v>
      </c>
      <c r="F1616" s="21"/>
      <c r="G1616" s="147" t="s">
        <v>6333</v>
      </c>
      <c r="H1616" s="23" t="s">
        <v>6699</v>
      </c>
      <c r="I1616" s="23" t="s">
        <v>8159</v>
      </c>
      <c r="J1616" s="21" t="s">
        <v>6882</v>
      </c>
      <c r="K1616" s="120" t="s">
        <v>6790</v>
      </c>
      <c r="L1616" s="21" t="s">
        <v>8869</v>
      </c>
      <c r="M1616" s="26">
        <v>45189</v>
      </c>
      <c r="N1616" s="44">
        <f>621560*0.3</f>
        <v>186468</v>
      </c>
      <c r="O1616" s="22" t="s">
        <v>15</v>
      </c>
      <c r="P1616" s="114">
        <v>186468</v>
      </c>
      <c r="Q1616" s="24">
        <f t="shared" si="102"/>
        <v>0</v>
      </c>
      <c r="R1616" s="24">
        <f t="shared" si="103"/>
        <v>186468</v>
      </c>
      <c r="S1616" s="5"/>
      <c r="T1616" s="5"/>
    </row>
    <row r="1617" spans="2:20" ht="15.75" hidden="1" x14ac:dyDescent="0.25">
      <c r="B1617" s="21" t="s">
        <v>395</v>
      </c>
      <c r="C1617" s="22" t="s">
        <v>2450</v>
      </c>
      <c r="D1617" s="22" t="s">
        <v>1451</v>
      </c>
      <c r="E1617" s="21" t="s">
        <v>10</v>
      </c>
      <c r="F1617" s="21"/>
      <c r="G1617" s="147" t="s">
        <v>6333</v>
      </c>
      <c r="H1617" s="23" t="s">
        <v>6699</v>
      </c>
      <c r="I1617" s="23" t="s">
        <v>8159</v>
      </c>
      <c r="J1617" s="21" t="s">
        <v>6883</v>
      </c>
      <c r="K1617" s="120" t="s">
        <v>6884</v>
      </c>
      <c r="L1617" s="21" t="s">
        <v>12541</v>
      </c>
      <c r="M1617" s="26">
        <v>45380</v>
      </c>
      <c r="N1617" s="44">
        <f>621560*0.1</f>
        <v>62156</v>
      </c>
      <c r="O1617" s="22" t="s">
        <v>15</v>
      </c>
      <c r="P1617" s="114">
        <f>62156</f>
        <v>62156</v>
      </c>
      <c r="Q1617" s="24">
        <f t="shared" si="102"/>
        <v>0</v>
      </c>
      <c r="R1617" s="24">
        <f t="shared" si="103"/>
        <v>62156</v>
      </c>
      <c r="S1617" s="5"/>
      <c r="T1617" s="5"/>
    </row>
    <row r="1618" spans="2:20" ht="15.75" hidden="1" x14ac:dyDescent="0.25">
      <c r="B1618" s="21" t="s">
        <v>395</v>
      </c>
      <c r="C1618" s="22" t="s">
        <v>2450</v>
      </c>
      <c r="D1618" s="22" t="s">
        <v>1451</v>
      </c>
      <c r="E1618" s="21" t="s">
        <v>10</v>
      </c>
      <c r="F1618" s="21"/>
      <c r="G1618" s="147" t="s">
        <v>6333</v>
      </c>
      <c r="H1618" s="23" t="s">
        <v>6699</v>
      </c>
      <c r="I1618" s="23" t="s">
        <v>8159</v>
      </c>
      <c r="J1618" s="21" t="s">
        <v>6700</v>
      </c>
      <c r="K1618" s="120"/>
      <c r="L1618" s="21"/>
      <c r="M1618" s="26"/>
      <c r="N1618" s="44">
        <v>0</v>
      </c>
      <c r="O1618" s="22" t="s">
        <v>15</v>
      </c>
      <c r="P1618" s="114"/>
      <c r="Q1618" s="24">
        <f t="shared" si="102"/>
        <v>0</v>
      </c>
      <c r="R1618" s="24">
        <f t="shared" si="103"/>
        <v>0</v>
      </c>
      <c r="S1618" s="5" t="s">
        <v>7407</v>
      </c>
      <c r="T1618" s="5"/>
    </row>
    <row r="1619" spans="2:20" ht="15.75" hidden="1" x14ac:dyDescent="0.25">
      <c r="B1619" s="21" t="s">
        <v>395</v>
      </c>
      <c r="C1619" s="22" t="s">
        <v>2450</v>
      </c>
      <c r="D1619" s="22" t="s">
        <v>1451</v>
      </c>
      <c r="E1619" s="21" t="s">
        <v>10</v>
      </c>
      <c r="F1619" s="21"/>
      <c r="G1619" s="147" t="s">
        <v>6333</v>
      </c>
      <c r="H1619" s="23" t="s">
        <v>6698</v>
      </c>
      <c r="I1619" s="23" t="s">
        <v>8159</v>
      </c>
      <c r="J1619" s="21" t="s">
        <v>6877</v>
      </c>
      <c r="K1619" s="21"/>
      <c r="L1619" s="21" t="s">
        <v>7195</v>
      </c>
      <c r="M1619" s="26">
        <v>44841</v>
      </c>
      <c r="N1619" s="44">
        <f>146200*0.3</f>
        <v>43860</v>
      </c>
      <c r="O1619" s="22" t="s">
        <v>15</v>
      </c>
      <c r="P1619" s="44">
        <v>43860</v>
      </c>
      <c r="Q1619" s="24">
        <f t="shared" si="102"/>
        <v>0</v>
      </c>
      <c r="R1619" s="24">
        <f t="shared" si="103"/>
        <v>43860</v>
      </c>
      <c r="S1619" s="5"/>
      <c r="T1619" s="5"/>
    </row>
    <row r="1620" spans="2:20" ht="15.75" hidden="1" x14ac:dyDescent="0.25">
      <c r="B1620" s="21" t="s">
        <v>395</v>
      </c>
      <c r="C1620" s="22" t="s">
        <v>2450</v>
      </c>
      <c r="D1620" s="22" t="s">
        <v>1451</v>
      </c>
      <c r="E1620" s="21" t="s">
        <v>10</v>
      </c>
      <c r="F1620" s="21"/>
      <c r="G1620" s="147" t="s">
        <v>6333</v>
      </c>
      <c r="H1620" s="23" t="s">
        <v>6698</v>
      </c>
      <c r="I1620" s="23" t="s">
        <v>8159</v>
      </c>
      <c r="J1620" s="21" t="s">
        <v>6876</v>
      </c>
      <c r="K1620" s="47"/>
      <c r="L1620" s="21" t="s">
        <v>7361</v>
      </c>
      <c r="M1620" s="26">
        <v>44911</v>
      </c>
      <c r="N1620" s="44">
        <f>146200*0.3</f>
        <v>43860</v>
      </c>
      <c r="O1620" s="22" t="s">
        <v>15</v>
      </c>
      <c r="P1620" s="44">
        <v>43860</v>
      </c>
      <c r="Q1620" s="24">
        <f t="shared" si="102"/>
        <v>0</v>
      </c>
      <c r="R1620" s="24">
        <f t="shared" si="103"/>
        <v>43860</v>
      </c>
      <c r="S1620" s="5"/>
      <c r="T1620" s="5"/>
    </row>
    <row r="1621" spans="2:20" ht="15.75" hidden="1" x14ac:dyDescent="0.25">
      <c r="B1621" s="21" t="s">
        <v>395</v>
      </c>
      <c r="C1621" s="22" t="s">
        <v>2450</v>
      </c>
      <c r="D1621" s="22" t="s">
        <v>1451</v>
      </c>
      <c r="E1621" s="21" t="s">
        <v>10</v>
      </c>
      <c r="F1621" s="21"/>
      <c r="G1621" s="147" t="s">
        <v>6333</v>
      </c>
      <c r="H1621" s="23" t="s">
        <v>6698</v>
      </c>
      <c r="I1621" s="23" t="s">
        <v>8159</v>
      </c>
      <c r="J1621" s="21" t="s">
        <v>6878</v>
      </c>
      <c r="K1621" s="21"/>
      <c r="L1621" s="21" t="s">
        <v>7405</v>
      </c>
      <c r="M1621" s="26">
        <v>44925</v>
      </c>
      <c r="N1621" s="44">
        <f>146200*0.3</f>
        <v>43860</v>
      </c>
      <c r="O1621" s="22" t="s">
        <v>15</v>
      </c>
      <c r="P1621" s="44">
        <v>43860</v>
      </c>
      <c r="Q1621" s="24">
        <f t="shared" si="102"/>
        <v>0</v>
      </c>
      <c r="R1621" s="24">
        <f t="shared" si="103"/>
        <v>43860</v>
      </c>
      <c r="S1621" s="5"/>
      <c r="T1621" s="5"/>
    </row>
    <row r="1622" spans="2:20" ht="15.75" hidden="1" x14ac:dyDescent="0.25">
      <c r="B1622" s="21" t="s">
        <v>395</v>
      </c>
      <c r="C1622" s="22" t="s">
        <v>2450</v>
      </c>
      <c r="D1622" s="22" t="s">
        <v>1451</v>
      </c>
      <c r="E1622" s="21" t="s">
        <v>10</v>
      </c>
      <c r="F1622" s="21"/>
      <c r="G1622" s="147" t="s">
        <v>6333</v>
      </c>
      <c r="H1622" s="23" t="s">
        <v>6698</v>
      </c>
      <c r="I1622" s="23" t="s">
        <v>8159</v>
      </c>
      <c r="J1622" s="21" t="s">
        <v>6879</v>
      </c>
      <c r="K1622" s="21"/>
      <c r="L1622" s="21" t="s">
        <v>7760</v>
      </c>
      <c r="M1622" s="26">
        <v>45015</v>
      </c>
      <c r="N1622" s="44">
        <f>146200*0.1</f>
        <v>14620</v>
      </c>
      <c r="O1622" s="22" t="s">
        <v>15</v>
      </c>
      <c r="P1622" s="44">
        <f>14620</f>
        <v>14620</v>
      </c>
      <c r="Q1622" s="24">
        <f t="shared" si="102"/>
        <v>0</v>
      </c>
      <c r="R1622" s="24">
        <f t="shared" si="103"/>
        <v>14620</v>
      </c>
      <c r="S1622" s="5"/>
      <c r="T1622" s="5"/>
    </row>
    <row r="1623" spans="2:20" ht="15.75" hidden="1" x14ac:dyDescent="0.25">
      <c r="B1623" s="21" t="s">
        <v>395</v>
      </c>
      <c r="C1623" s="22" t="s">
        <v>2450</v>
      </c>
      <c r="D1623" s="22" t="s">
        <v>1451</v>
      </c>
      <c r="E1623" s="21" t="s">
        <v>10</v>
      </c>
      <c r="F1623" s="21"/>
      <c r="G1623" s="147" t="s">
        <v>6333</v>
      </c>
      <c r="H1623" s="23" t="s">
        <v>6701</v>
      </c>
      <c r="I1623" s="23" t="s">
        <v>8159</v>
      </c>
      <c r="J1623" s="21" t="s">
        <v>6885</v>
      </c>
      <c r="K1623" s="377"/>
      <c r="L1623" s="21" t="s">
        <v>7362</v>
      </c>
      <c r="M1623" s="26">
        <v>44909</v>
      </c>
      <c r="N1623" s="44">
        <f>146200*0.3</f>
        <v>43860</v>
      </c>
      <c r="O1623" s="22" t="s">
        <v>15</v>
      </c>
      <c r="P1623" s="44">
        <v>43860</v>
      </c>
      <c r="Q1623" s="24">
        <f t="shared" si="102"/>
        <v>0</v>
      </c>
      <c r="R1623" s="24">
        <f t="shared" si="103"/>
        <v>43860</v>
      </c>
      <c r="S1623" s="5"/>
      <c r="T1623" s="5"/>
    </row>
    <row r="1624" spans="2:20" ht="15.75" hidden="1" x14ac:dyDescent="0.25">
      <c r="B1624" s="21" t="s">
        <v>395</v>
      </c>
      <c r="C1624" s="22" t="s">
        <v>2450</v>
      </c>
      <c r="D1624" s="22" t="s">
        <v>1451</v>
      </c>
      <c r="E1624" s="21" t="s">
        <v>10</v>
      </c>
      <c r="F1624" s="21"/>
      <c r="G1624" s="147" t="s">
        <v>6333</v>
      </c>
      <c r="H1624" s="23" t="s">
        <v>6701</v>
      </c>
      <c r="I1624" s="23" t="s">
        <v>8159</v>
      </c>
      <c r="J1624" s="21" t="s">
        <v>6886</v>
      </c>
      <c r="K1624" s="377"/>
      <c r="L1624" s="21" t="s">
        <v>7635</v>
      </c>
      <c r="M1624" s="26">
        <v>44985</v>
      </c>
      <c r="N1624" s="44">
        <f>146200*0.3</f>
        <v>43860</v>
      </c>
      <c r="O1624" s="22" t="s">
        <v>15</v>
      </c>
      <c r="P1624" s="44">
        <v>43860</v>
      </c>
      <c r="Q1624" s="24">
        <f t="shared" si="102"/>
        <v>0</v>
      </c>
      <c r="R1624" s="24">
        <f t="shared" si="103"/>
        <v>43860</v>
      </c>
      <c r="S1624" s="5"/>
      <c r="T1624" s="5"/>
    </row>
    <row r="1625" spans="2:20" ht="15.75" hidden="1" x14ac:dyDescent="0.25">
      <c r="B1625" s="21" t="s">
        <v>395</v>
      </c>
      <c r="C1625" s="22" t="s">
        <v>2450</v>
      </c>
      <c r="D1625" s="22" t="s">
        <v>1451</v>
      </c>
      <c r="E1625" s="21" t="s">
        <v>10</v>
      </c>
      <c r="F1625" s="21"/>
      <c r="G1625" s="147" t="s">
        <v>6333</v>
      </c>
      <c r="H1625" s="23" t="s">
        <v>6701</v>
      </c>
      <c r="I1625" s="23" t="s">
        <v>8159</v>
      </c>
      <c r="J1625" s="21" t="s">
        <v>6887</v>
      </c>
      <c r="K1625" s="377"/>
      <c r="L1625" s="21" t="s">
        <v>7759</v>
      </c>
      <c r="M1625" s="26">
        <v>45015</v>
      </c>
      <c r="N1625" s="44">
        <f>146200*0.3</f>
        <v>43860</v>
      </c>
      <c r="O1625" s="22" t="s">
        <v>15</v>
      </c>
      <c r="P1625" s="44">
        <f>43860</f>
        <v>43860</v>
      </c>
      <c r="Q1625" s="24">
        <f t="shared" si="102"/>
        <v>0</v>
      </c>
      <c r="R1625" s="24">
        <f t="shared" si="103"/>
        <v>43860</v>
      </c>
      <c r="S1625" s="5"/>
      <c r="T1625" s="5"/>
    </row>
    <row r="1626" spans="2:20" ht="15.75" hidden="1" x14ac:dyDescent="0.25">
      <c r="B1626" s="21" t="s">
        <v>395</v>
      </c>
      <c r="C1626" s="22" t="s">
        <v>2450</v>
      </c>
      <c r="D1626" s="22" t="s">
        <v>1451</v>
      </c>
      <c r="E1626" s="21" t="s">
        <v>10</v>
      </c>
      <c r="F1626" s="21"/>
      <c r="G1626" s="147" t="s">
        <v>6333</v>
      </c>
      <c r="H1626" s="23" t="s">
        <v>6701</v>
      </c>
      <c r="I1626" s="23" t="s">
        <v>8159</v>
      </c>
      <c r="J1626" s="21" t="s">
        <v>6888</v>
      </c>
      <c r="K1626" s="21"/>
      <c r="L1626" s="21" t="s">
        <v>8416</v>
      </c>
      <c r="M1626" s="26">
        <v>45069</v>
      </c>
      <c r="N1626" s="44">
        <f>146200*0.1</f>
        <v>14620</v>
      </c>
      <c r="O1626" s="22" t="s">
        <v>15</v>
      </c>
      <c r="P1626" s="44">
        <f>14620</f>
        <v>14620</v>
      </c>
      <c r="Q1626" s="24">
        <f t="shared" si="102"/>
        <v>0</v>
      </c>
      <c r="R1626" s="24">
        <f t="shared" si="103"/>
        <v>14620</v>
      </c>
      <c r="S1626" s="5"/>
      <c r="T1626" s="5"/>
    </row>
    <row r="1627" spans="2:20" ht="15.75" hidden="1" x14ac:dyDescent="0.25">
      <c r="B1627" s="21" t="s">
        <v>395</v>
      </c>
      <c r="C1627" s="22" t="s">
        <v>2450</v>
      </c>
      <c r="D1627" s="22" t="s">
        <v>1451</v>
      </c>
      <c r="E1627" s="21" t="s">
        <v>10</v>
      </c>
      <c r="F1627" s="21"/>
      <c r="G1627" s="147" t="s">
        <v>6333</v>
      </c>
      <c r="H1627" s="23" t="s">
        <v>6703</v>
      </c>
      <c r="I1627" s="23" t="s">
        <v>8159</v>
      </c>
      <c r="J1627" s="21" t="s">
        <v>6889</v>
      </c>
      <c r="K1627" s="377"/>
      <c r="L1627" s="21" t="s">
        <v>8669</v>
      </c>
      <c r="M1627" s="26">
        <v>45135</v>
      </c>
      <c r="N1627" s="44">
        <f>621560*0.3</f>
        <v>186468</v>
      </c>
      <c r="O1627" s="22" t="s">
        <v>15</v>
      </c>
      <c r="P1627" s="44">
        <f>186468</f>
        <v>186468</v>
      </c>
      <c r="Q1627" s="24">
        <f t="shared" si="102"/>
        <v>0</v>
      </c>
      <c r="R1627" s="24">
        <f t="shared" si="103"/>
        <v>186468</v>
      </c>
      <c r="S1627" s="5"/>
      <c r="T1627" s="5"/>
    </row>
    <row r="1628" spans="2:20" ht="15.75" hidden="1" x14ac:dyDescent="0.25">
      <c r="B1628" s="21" t="s">
        <v>395</v>
      </c>
      <c r="C1628" s="22" t="s">
        <v>2450</v>
      </c>
      <c r="D1628" s="22" t="s">
        <v>1451</v>
      </c>
      <c r="E1628" s="21" t="s">
        <v>10</v>
      </c>
      <c r="F1628" s="21"/>
      <c r="G1628" s="147" t="s">
        <v>6333</v>
      </c>
      <c r="H1628" s="23" t="s">
        <v>6703</v>
      </c>
      <c r="I1628" s="23" t="s">
        <v>8159</v>
      </c>
      <c r="J1628" s="21" t="s">
        <v>6890</v>
      </c>
      <c r="K1628" s="377"/>
      <c r="L1628" s="21" t="s">
        <v>8899</v>
      </c>
      <c r="M1628" s="26">
        <v>45198</v>
      </c>
      <c r="N1628" s="44">
        <f>621560*0.3</f>
        <v>186468</v>
      </c>
      <c r="O1628" s="22" t="s">
        <v>15</v>
      </c>
      <c r="P1628" s="44">
        <v>186468</v>
      </c>
      <c r="Q1628" s="24">
        <f t="shared" si="102"/>
        <v>0</v>
      </c>
      <c r="R1628" s="24">
        <f t="shared" si="103"/>
        <v>186468</v>
      </c>
      <c r="S1628" s="5"/>
      <c r="T1628" s="5"/>
    </row>
    <row r="1629" spans="2:20" ht="15.75" hidden="1" x14ac:dyDescent="0.25">
      <c r="B1629" s="21" t="s">
        <v>395</v>
      </c>
      <c r="C1629" s="22" t="s">
        <v>2450</v>
      </c>
      <c r="D1629" s="22" t="s">
        <v>1451</v>
      </c>
      <c r="E1629" s="21" t="s">
        <v>10</v>
      </c>
      <c r="F1629" s="21"/>
      <c r="G1629" s="147" t="s">
        <v>6333</v>
      </c>
      <c r="H1629" s="23" t="s">
        <v>6703</v>
      </c>
      <c r="I1629" s="23" t="s">
        <v>8159</v>
      </c>
      <c r="J1629" s="21" t="s">
        <v>6891</v>
      </c>
      <c r="K1629" s="21"/>
      <c r="L1629" s="21" t="s">
        <v>9372</v>
      </c>
      <c r="M1629" s="26">
        <v>45292</v>
      </c>
      <c r="N1629" s="44">
        <f>621560*0.3</f>
        <v>186468</v>
      </c>
      <c r="O1629" s="22" t="s">
        <v>15</v>
      </c>
      <c r="P1629" s="44">
        <v>186468</v>
      </c>
      <c r="Q1629" s="24">
        <f t="shared" si="102"/>
        <v>0</v>
      </c>
      <c r="R1629" s="24">
        <f t="shared" si="103"/>
        <v>186468</v>
      </c>
      <c r="S1629" s="5"/>
      <c r="T1629" s="5"/>
    </row>
    <row r="1630" spans="2:20" ht="15.75" hidden="1" x14ac:dyDescent="0.25">
      <c r="B1630" s="21" t="s">
        <v>395</v>
      </c>
      <c r="C1630" s="22" t="s">
        <v>2450</v>
      </c>
      <c r="D1630" s="22" t="s">
        <v>1451</v>
      </c>
      <c r="E1630" s="21" t="s">
        <v>10</v>
      </c>
      <c r="F1630" s="21"/>
      <c r="G1630" s="147" t="s">
        <v>6333</v>
      </c>
      <c r="H1630" s="23" t="s">
        <v>6703</v>
      </c>
      <c r="I1630" s="23" t="s">
        <v>8159</v>
      </c>
      <c r="J1630" s="21" t="s">
        <v>6892</v>
      </c>
      <c r="K1630" s="377"/>
      <c r="L1630" s="21" t="s">
        <v>9704</v>
      </c>
      <c r="M1630" s="26">
        <v>45380</v>
      </c>
      <c r="N1630" s="44">
        <f>621560*0.1</f>
        <v>62156</v>
      </c>
      <c r="O1630" s="22" t="s">
        <v>15</v>
      </c>
      <c r="P1630" s="44">
        <v>62156</v>
      </c>
      <c r="Q1630" s="24">
        <f t="shared" si="102"/>
        <v>0</v>
      </c>
      <c r="R1630" s="24">
        <f t="shared" si="103"/>
        <v>62156</v>
      </c>
      <c r="S1630" s="5"/>
      <c r="T1630" s="5"/>
    </row>
    <row r="1631" spans="2:20" ht="15.75" hidden="1" x14ac:dyDescent="0.25">
      <c r="B1631" s="21" t="s">
        <v>12228</v>
      </c>
      <c r="C1631" s="22" t="s">
        <v>2450</v>
      </c>
      <c r="D1631" s="22" t="s">
        <v>1451</v>
      </c>
      <c r="E1631" s="21" t="s">
        <v>10</v>
      </c>
      <c r="F1631" s="21"/>
      <c r="G1631" s="147" t="s">
        <v>6333</v>
      </c>
      <c r="H1631" s="23" t="s">
        <v>6703</v>
      </c>
      <c r="I1631" s="23" t="s">
        <v>8159</v>
      </c>
      <c r="J1631" s="21" t="s">
        <v>6702</v>
      </c>
      <c r="K1631" s="377"/>
      <c r="L1631" s="21"/>
      <c r="M1631" s="26"/>
      <c r="N1631" s="44">
        <v>0</v>
      </c>
      <c r="O1631" s="22" t="s">
        <v>15</v>
      </c>
      <c r="P1631" s="44"/>
      <c r="Q1631" s="24">
        <f t="shared" si="102"/>
        <v>0</v>
      </c>
      <c r="R1631" s="24">
        <f t="shared" si="103"/>
        <v>0</v>
      </c>
      <c r="S1631" s="5"/>
      <c r="T1631" s="5" t="s">
        <v>7407</v>
      </c>
    </row>
    <row r="1632" spans="2:20" ht="15.75" hidden="1" x14ac:dyDescent="0.25">
      <c r="B1632" s="21" t="s">
        <v>395</v>
      </c>
      <c r="C1632" s="22" t="s">
        <v>2450</v>
      </c>
      <c r="D1632" s="22" t="s">
        <v>1451</v>
      </c>
      <c r="E1632" s="21" t="s">
        <v>10</v>
      </c>
      <c r="F1632" s="21"/>
      <c r="G1632" s="147" t="s">
        <v>6333</v>
      </c>
      <c r="H1632" s="23" t="s">
        <v>7363</v>
      </c>
      <c r="I1632" s="23" t="s">
        <v>8226</v>
      </c>
      <c r="J1632" s="21" t="s">
        <v>7364</v>
      </c>
      <c r="K1632" s="21"/>
      <c r="L1632" s="21" t="s">
        <v>7365</v>
      </c>
      <c r="M1632" s="26">
        <v>44908</v>
      </c>
      <c r="N1632" s="44">
        <v>8100</v>
      </c>
      <c r="O1632" s="22" t="s">
        <v>15</v>
      </c>
      <c r="P1632" s="44">
        <v>8100</v>
      </c>
      <c r="Q1632" s="24">
        <f t="shared" si="102"/>
        <v>0</v>
      </c>
      <c r="R1632" s="24">
        <f t="shared" si="103"/>
        <v>8100</v>
      </c>
      <c r="S1632" s="5"/>
      <c r="T1632" s="5"/>
    </row>
    <row r="1633" spans="1:20" ht="15.75" hidden="1" x14ac:dyDescent="0.25">
      <c r="B1633" s="21" t="s">
        <v>395</v>
      </c>
      <c r="C1633" s="22" t="s">
        <v>2450</v>
      </c>
      <c r="D1633" s="22" t="s">
        <v>1451</v>
      </c>
      <c r="E1633" s="21" t="s">
        <v>10</v>
      </c>
      <c r="F1633" s="21"/>
      <c r="G1633" s="147" t="s">
        <v>6333</v>
      </c>
      <c r="H1633" s="23" t="s">
        <v>7446</v>
      </c>
      <c r="I1633" s="23" t="s">
        <v>8236</v>
      </c>
      <c r="J1633" s="21" t="s">
        <v>7447</v>
      </c>
      <c r="K1633" s="21"/>
      <c r="L1633" s="21" t="s">
        <v>7448</v>
      </c>
      <c r="M1633" s="26">
        <v>44932</v>
      </c>
      <c r="N1633" s="44">
        <v>-800</v>
      </c>
      <c r="O1633" s="22" t="s">
        <v>15</v>
      </c>
      <c r="P1633" s="44">
        <f>-800</f>
        <v>-800</v>
      </c>
      <c r="Q1633" s="24">
        <v>0</v>
      </c>
      <c r="R1633" s="24">
        <f t="shared" si="103"/>
        <v>-800</v>
      </c>
      <c r="S1633" s="5"/>
      <c r="T1633" s="5"/>
    </row>
    <row r="1634" spans="1:20" ht="15.75" hidden="1" customHeight="1" x14ac:dyDescent="0.25">
      <c r="A1634" t="s">
        <v>6753</v>
      </c>
      <c r="B1634" s="21" t="s">
        <v>395</v>
      </c>
      <c r="C1634" s="22" t="s">
        <v>2450</v>
      </c>
      <c r="D1634" s="22"/>
      <c r="E1634" s="21" t="s">
        <v>10</v>
      </c>
      <c r="F1634" s="21"/>
      <c r="G1634" s="147" t="s">
        <v>6333</v>
      </c>
      <c r="H1634" s="23" t="s">
        <v>7039</v>
      </c>
      <c r="I1634" s="23" t="s">
        <v>8187</v>
      </c>
      <c r="J1634" s="21" t="s">
        <v>7040</v>
      </c>
      <c r="K1634" s="21"/>
      <c r="L1634" s="21" t="s">
        <v>7071</v>
      </c>
      <c r="M1634" s="26">
        <v>44813</v>
      </c>
      <c r="N1634" s="44">
        <v>19273</v>
      </c>
      <c r="O1634" s="22" t="s">
        <v>15</v>
      </c>
      <c r="P1634" s="44">
        <f>19273</f>
        <v>19273</v>
      </c>
      <c r="Q1634" s="24">
        <f t="shared" ref="Q1634:Q1697" si="104">IF(P1634="en cours",N1634,IF(P1634="OK",0,IF(N1634-P1634&lt;0,0,N1634-P1634)))</f>
        <v>0</v>
      </c>
      <c r="R1634" s="24">
        <f t="shared" si="103"/>
        <v>19273</v>
      </c>
      <c r="S1634" s="5"/>
      <c r="T1634" s="5"/>
    </row>
    <row r="1635" spans="1:20" ht="16.5" hidden="1" customHeight="1" x14ac:dyDescent="0.25">
      <c r="A1635" t="s">
        <v>6753</v>
      </c>
      <c r="B1635" s="21" t="s">
        <v>395</v>
      </c>
      <c r="C1635" s="22" t="s">
        <v>2450</v>
      </c>
      <c r="D1635" s="22" t="s">
        <v>5981</v>
      </c>
      <c r="E1635" s="21" t="s">
        <v>10</v>
      </c>
      <c r="F1635" s="21"/>
      <c r="G1635" s="147" t="s">
        <v>5061</v>
      </c>
      <c r="H1635" s="23" t="s">
        <v>5266</v>
      </c>
      <c r="I1635" s="23" t="s">
        <v>8052</v>
      </c>
      <c r="J1635" s="21" t="s">
        <v>5265</v>
      </c>
      <c r="K1635" s="21"/>
      <c r="L1635" s="21" t="s">
        <v>5601</v>
      </c>
      <c r="M1635" s="47">
        <v>44413</v>
      </c>
      <c r="N1635" s="44">
        <v>19600</v>
      </c>
      <c r="O1635" s="22" t="s">
        <v>15</v>
      </c>
      <c r="P1635" s="22">
        <v>19600</v>
      </c>
      <c r="Q1635" s="44">
        <f t="shared" si="104"/>
        <v>0</v>
      </c>
      <c r="R1635" s="24">
        <f t="shared" si="103"/>
        <v>19600</v>
      </c>
      <c r="S1635" s="5"/>
      <c r="T1635" s="5"/>
    </row>
    <row r="1636" spans="1:20" ht="16.5" hidden="1" customHeight="1" x14ac:dyDescent="0.25">
      <c r="A1636" t="s">
        <v>6753</v>
      </c>
      <c r="B1636" s="21" t="s">
        <v>395</v>
      </c>
      <c r="C1636" s="22" t="s">
        <v>2450</v>
      </c>
      <c r="D1636" s="22" t="s">
        <v>5981</v>
      </c>
      <c r="E1636" s="21" t="s">
        <v>10</v>
      </c>
      <c r="F1636" s="21"/>
      <c r="G1636" s="147" t="s">
        <v>5061</v>
      </c>
      <c r="H1636" s="23" t="s">
        <v>5267</v>
      </c>
      <c r="I1636" s="23" t="s">
        <v>8052</v>
      </c>
      <c r="J1636" s="21" t="s">
        <v>5268</v>
      </c>
      <c r="K1636" s="21"/>
      <c r="L1636" s="21" t="s">
        <v>5600</v>
      </c>
      <c r="M1636" s="47">
        <v>44414</v>
      </c>
      <c r="N1636" s="44">
        <v>11400</v>
      </c>
      <c r="O1636" s="22" t="s">
        <v>15</v>
      </c>
      <c r="P1636" s="22">
        <v>11400</v>
      </c>
      <c r="Q1636" s="44">
        <f t="shared" si="104"/>
        <v>0</v>
      </c>
      <c r="R1636" s="24">
        <f t="shared" si="103"/>
        <v>11400</v>
      </c>
      <c r="S1636" s="5"/>
      <c r="T1636" s="5"/>
    </row>
    <row r="1637" spans="1:20" ht="16.5" hidden="1" customHeight="1" x14ac:dyDescent="0.25">
      <c r="A1637" t="s">
        <v>6753</v>
      </c>
      <c r="B1637" s="21" t="s">
        <v>395</v>
      </c>
      <c r="C1637" s="22" t="s">
        <v>2450</v>
      </c>
      <c r="D1637" s="22" t="s">
        <v>5981</v>
      </c>
      <c r="E1637" s="21" t="s">
        <v>10</v>
      </c>
      <c r="F1637" s="21"/>
      <c r="G1637" s="147" t="s">
        <v>5061</v>
      </c>
      <c r="H1637" s="23" t="s">
        <v>5881</v>
      </c>
      <c r="I1637" s="23" t="s">
        <v>8106</v>
      </c>
      <c r="J1637" s="21" t="s">
        <v>5882</v>
      </c>
      <c r="K1637" s="21"/>
      <c r="L1637" s="21" t="s">
        <v>5903</v>
      </c>
      <c r="M1637" s="47">
        <v>44475</v>
      </c>
      <c r="N1637" s="44">
        <v>-16000</v>
      </c>
      <c r="O1637" s="22" t="s">
        <v>15</v>
      </c>
      <c r="P1637" s="22">
        <v>-16000</v>
      </c>
      <c r="Q1637" s="44">
        <f t="shared" si="104"/>
        <v>0</v>
      </c>
      <c r="R1637" s="24">
        <f t="shared" si="103"/>
        <v>-16000</v>
      </c>
      <c r="S1637" t="s">
        <v>5884</v>
      </c>
      <c r="T1637" s="5"/>
    </row>
    <row r="1638" spans="1:20" ht="15.75" hidden="1" x14ac:dyDescent="0.25">
      <c r="A1638" t="s">
        <v>6753</v>
      </c>
      <c r="B1638" s="21" t="s">
        <v>395</v>
      </c>
      <c r="C1638" s="22" t="s">
        <v>2450</v>
      </c>
      <c r="D1638" s="22"/>
      <c r="E1638" s="21" t="s">
        <v>10</v>
      </c>
      <c r="F1638" s="21"/>
      <c r="G1638" s="147" t="s">
        <v>5061</v>
      </c>
      <c r="H1638" s="23" t="s">
        <v>6270</v>
      </c>
      <c r="I1638" s="23" t="s">
        <v>8120</v>
      </c>
      <c r="J1638" s="21" t="s">
        <v>6271</v>
      </c>
      <c r="K1638" s="21"/>
      <c r="L1638" s="21" t="s">
        <v>6272</v>
      </c>
      <c r="M1638" s="47">
        <v>44545</v>
      </c>
      <c r="N1638" s="44">
        <v>6549</v>
      </c>
      <c r="O1638" s="22" t="s">
        <v>15</v>
      </c>
      <c r="P1638" s="22">
        <v>6549</v>
      </c>
      <c r="Q1638" s="44">
        <f t="shared" si="104"/>
        <v>0</v>
      </c>
      <c r="R1638" s="24">
        <f t="shared" si="103"/>
        <v>6549</v>
      </c>
      <c r="T1638" s="5"/>
    </row>
    <row r="1639" spans="1:20" ht="15.75" hidden="1" x14ac:dyDescent="0.25">
      <c r="A1639" t="s">
        <v>6753</v>
      </c>
      <c r="B1639" s="21" t="s">
        <v>395</v>
      </c>
      <c r="C1639" s="22" t="s">
        <v>2450</v>
      </c>
      <c r="D1639" s="22" t="s">
        <v>6259</v>
      </c>
      <c r="E1639" s="21" t="s">
        <v>10</v>
      </c>
      <c r="F1639" s="21"/>
      <c r="G1639" s="147" t="s">
        <v>5061</v>
      </c>
      <c r="H1639" s="23" t="s">
        <v>6798</v>
      </c>
      <c r="I1639" s="23" t="s">
        <v>8141</v>
      </c>
      <c r="J1639" s="21" t="s">
        <v>6505</v>
      </c>
      <c r="K1639" s="21"/>
      <c r="L1639" s="21" t="s">
        <v>6797</v>
      </c>
      <c r="M1639" s="47">
        <v>44642</v>
      </c>
      <c r="N1639" s="44">
        <v>8064</v>
      </c>
      <c r="O1639" s="22" t="s">
        <v>15</v>
      </c>
      <c r="P1639" s="22">
        <f>8064</f>
        <v>8064</v>
      </c>
      <c r="Q1639" s="44">
        <f t="shared" si="104"/>
        <v>0</v>
      </c>
      <c r="R1639" s="24">
        <f t="shared" si="103"/>
        <v>8064</v>
      </c>
      <c r="T1639" s="5"/>
    </row>
    <row r="1640" spans="1:20" ht="15.75" hidden="1" x14ac:dyDescent="0.25">
      <c r="A1640" t="s">
        <v>6753</v>
      </c>
      <c r="B1640" s="21" t="s">
        <v>395</v>
      </c>
      <c r="C1640" s="22" t="s">
        <v>2450</v>
      </c>
      <c r="D1640" s="22" t="s">
        <v>5981</v>
      </c>
      <c r="E1640" s="21" t="s">
        <v>10</v>
      </c>
      <c r="F1640" s="21"/>
      <c r="G1640" s="147" t="s">
        <v>5061</v>
      </c>
      <c r="H1640" s="23" t="s">
        <v>5829</v>
      </c>
      <c r="I1640" s="23" t="s">
        <v>8051</v>
      </c>
      <c r="J1640" s="21" t="s">
        <v>5062</v>
      </c>
      <c r="K1640" s="21"/>
      <c r="L1640" s="21" t="s">
        <v>5066</v>
      </c>
      <c r="M1640" s="47">
        <v>44326</v>
      </c>
      <c r="N1640" s="44">
        <f>0.3*73350</f>
        <v>22005</v>
      </c>
      <c r="O1640" s="22" t="s">
        <v>15</v>
      </c>
      <c r="P1640" s="22">
        <v>22005</v>
      </c>
      <c r="Q1640" s="44">
        <f t="shared" si="104"/>
        <v>0</v>
      </c>
      <c r="R1640" s="24">
        <f t="shared" si="103"/>
        <v>22005</v>
      </c>
      <c r="S1640" s="5"/>
      <c r="T1640" s="5"/>
    </row>
    <row r="1641" spans="1:20" ht="15.75" hidden="1" x14ac:dyDescent="0.25">
      <c r="A1641" t="s">
        <v>6753</v>
      </c>
      <c r="B1641" s="21" t="s">
        <v>395</v>
      </c>
      <c r="C1641" s="22" t="s">
        <v>2450</v>
      </c>
      <c r="D1641" s="22" t="s">
        <v>5981</v>
      </c>
      <c r="E1641" s="21" t="s">
        <v>10</v>
      </c>
      <c r="F1641" s="21"/>
      <c r="G1641" s="147" t="s">
        <v>5061</v>
      </c>
      <c r="H1641" s="23" t="s">
        <v>5829</v>
      </c>
      <c r="I1641" s="23" t="s">
        <v>8051</v>
      </c>
      <c r="J1641" s="21" t="s">
        <v>5064</v>
      </c>
      <c r="K1641" s="21"/>
      <c r="L1641" s="21" t="s">
        <v>5732</v>
      </c>
      <c r="M1641" s="326" t="s">
        <v>5733</v>
      </c>
      <c r="N1641" s="44">
        <f>0.7*73350</f>
        <v>51345</v>
      </c>
      <c r="O1641" s="22" t="s">
        <v>15</v>
      </c>
      <c r="P1641" s="22">
        <f>22005+22005+7335</f>
        <v>51345</v>
      </c>
      <c r="Q1641" s="44">
        <f t="shared" si="104"/>
        <v>0</v>
      </c>
      <c r="R1641" s="24">
        <f t="shared" si="103"/>
        <v>51345</v>
      </c>
      <c r="S1641" s="5" t="s">
        <v>5620</v>
      </c>
      <c r="T1641" s="5"/>
    </row>
    <row r="1642" spans="1:20" ht="15.75" hidden="1" x14ac:dyDescent="0.25">
      <c r="A1642" t="s">
        <v>6753</v>
      </c>
      <c r="B1642" s="21" t="s">
        <v>395</v>
      </c>
      <c r="C1642" s="22" t="s">
        <v>2450</v>
      </c>
      <c r="D1642" s="22" t="s">
        <v>5981</v>
      </c>
      <c r="E1642" s="21" t="s">
        <v>10</v>
      </c>
      <c r="F1642" s="21"/>
      <c r="G1642" s="147" t="s">
        <v>5061</v>
      </c>
      <c r="H1642" s="23" t="s">
        <v>5829</v>
      </c>
      <c r="I1642" s="23" t="s">
        <v>8051</v>
      </c>
      <c r="J1642" s="21" t="s">
        <v>5063</v>
      </c>
      <c r="K1642" s="21"/>
      <c r="L1642" s="21" t="s">
        <v>5067</v>
      </c>
      <c r="M1642" s="47">
        <v>44326</v>
      </c>
      <c r="N1642" s="44">
        <f>0.3*109150</f>
        <v>32745</v>
      </c>
      <c r="O1642" s="22" t="s">
        <v>15</v>
      </c>
      <c r="P1642" s="22">
        <v>32745</v>
      </c>
      <c r="Q1642" s="44">
        <f t="shared" si="104"/>
        <v>0</v>
      </c>
      <c r="R1642" s="24">
        <f t="shared" si="103"/>
        <v>32745</v>
      </c>
      <c r="S1642" s="5"/>
      <c r="T1642" s="5"/>
    </row>
    <row r="1643" spans="1:20" ht="15.75" hidden="1" x14ac:dyDescent="0.25">
      <c r="A1643" t="s">
        <v>6753</v>
      </c>
      <c r="B1643" s="21" t="s">
        <v>395</v>
      </c>
      <c r="C1643" s="22" t="s">
        <v>2450</v>
      </c>
      <c r="D1643" s="22" t="s">
        <v>5981</v>
      </c>
      <c r="E1643" s="21" t="s">
        <v>10</v>
      </c>
      <c r="F1643" s="21"/>
      <c r="G1643" s="147" t="s">
        <v>5061</v>
      </c>
      <c r="H1643" s="23" t="s">
        <v>5829</v>
      </c>
      <c r="I1643" s="23" t="s">
        <v>8051</v>
      </c>
      <c r="J1643" s="21" t="s">
        <v>5065</v>
      </c>
      <c r="K1643" s="21"/>
      <c r="L1643" s="21" t="s">
        <v>5734</v>
      </c>
      <c r="M1643" s="326" t="s">
        <v>5735</v>
      </c>
      <c r="N1643" s="44">
        <f>0.7*109150</f>
        <v>76405</v>
      </c>
      <c r="O1643" s="22" t="s">
        <v>15</v>
      </c>
      <c r="P1643" s="22">
        <f>32745+32745+10915</f>
        <v>76405</v>
      </c>
      <c r="Q1643" s="44">
        <f t="shared" si="104"/>
        <v>0</v>
      </c>
      <c r="R1643" s="24">
        <f t="shared" si="103"/>
        <v>76405</v>
      </c>
      <c r="S1643" s="5" t="s">
        <v>5620</v>
      </c>
      <c r="T1643" s="5"/>
    </row>
    <row r="1644" spans="1:20" ht="15.75" hidden="1" x14ac:dyDescent="0.25">
      <c r="A1644" t="s">
        <v>6753</v>
      </c>
      <c r="B1644" s="21" t="s">
        <v>395</v>
      </c>
      <c r="C1644" s="22" t="s">
        <v>7235</v>
      </c>
      <c r="D1644" s="22" t="s">
        <v>1451</v>
      </c>
      <c r="E1644" s="21" t="s">
        <v>10</v>
      </c>
      <c r="F1644" s="21"/>
      <c r="G1644" s="147" t="s">
        <v>5061</v>
      </c>
      <c r="H1644" s="23" t="s">
        <v>7705</v>
      </c>
      <c r="I1644" s="23" t="s">
        <v>8282</v>
      </c>
      <c r="J1644" s="21" t="s">
        <v>7704</v>
      </c>
      <c r="K1644" s="21"/>
      <c r="L1644" s="21" t="s">
        <v>7776</v>
      </c>
      <c r="M1644" s="26">
        <v>45013</v>
      </c>
      <c r="N1644" s="44">
        <v>17600</v>
      </c>
      <c r="O1644" s="22" t="s">
        <v>15</v>
      </c>
      <c r="P1644" s="44">
        <f>17600</f>
        <v>17600</v>
      </c>
      <c r="Q1644" s="44">
        <f t="shared" si="104"/>
        <v>0</v>
      </c>
      <c r="R1644" s="24">
        <f t="shared" si="103"/>
        <v>17600</v>
      </c>
      <c r="S1644" s="5"/>
      <c r="T1644" s="5"/>
    </row>
    <row r="1645" spans="1:20" ht="15.75" hidden="1" x14ac:dyDescent="0.25">
      <c r="A1645" t="s">
        <v>6753</v>
      </c>
      <c r="B1645" s="21" t="s">
        <v>395</v>
      </c>
      <c r="C1645" s="22" t="s">
        <v>7235</v>
      </c>
      <c r="D1645" s="22" t="s">
        <v>1451</v>
      </c>
      <c r="E1645" s="21" t="s">
        <v>10</v>
      </c>
      <c r="F1645" s="21"/>
      <c r="G1645" s="147" t="s">
        <v>5061</v>
      </c>
      <c r="H1645" s="23" t="s">
        <v>7457</v>
      </c>
      <c r="I1645" s="23" t="s">
        <v>8240</v>
      </c>
      <c r="J1645" s="21" t="s">
        <v>7458</v>
      </c>
      <c r="K1645" s="377"/>
      <c r="L1645" s="21" t="s">
        <v>7459</v>
      </c>
      <c r="M1645" s="26">
        <v>44938</v>
      </c>
      <c r="N1645" s="44">
        <f>0.3*191970</f>
        <v>57591</v>
      </c>
      <c r="O1645" s="22" t="s">
        <v>15</v>
      </c>
      <c r="P1645" s="44">
        <v>57591</v>
      </c>
      <c r="Q1645" s="44">
        <f t="shared" si="104"/>
        <v>0</v>
      </c>
      <c r="R1645" s="24">
        <f t="shared" si="103"/>
        <v>57591</v>
      </c>
      <c r="S1645" s="5"/>
      <c r="T1645" s="5"/>
    </row>
    <row r="1646" spans="1:20" ht="15.75" hidden="1" x14ac:dyDescent="0.25">
      <c r="A1646" t="s">
        <v>6753</v>
      </c>
      <c r="B1646" s="21" t="s">
        <v>395</v>
      </c>
      <c r="C1646" s="22" t="s">
        <v>7235</v>
      </c>
      <c r="D1646" s="22" t="s">
        <v>1451</v>
      </c>
      <c r="E1646" s="21" t="s">
        <v>10</v>
      </c>
      <c r="F1646" s="21"/>
      <c r="G1646" s="147" t="s">
        <v>5061</v>
      </c>
      <c r="H1646" s="23" t="s">
        <v>7457</v>
      </c>
      <c r="I1646" s="23" t="s">
        <v>8240</v>
      </c>
      <c r="J1646" s="21" t="s">
        <v>7460</v>
      </c>
      <c r="K1646" s="377"/>
      <c r="L1646" s="21" t="s">
        <v>7678</v>
      </c>
      <c r="M1646" s="26">
        <v>44994</v>
      </c>
      <c r="N1646" s="44">
        <f>0.3*191970</f>
        <v>57591</v>
      </c>
      <c r="O1646" s="22" t="s">
        <v>15</v>
      </c>
      <c r="P1646" s="44">
        <v>57591</v>
      </c>
      <c r="Q1646" s="44">
        <f t="shared" si="104"/>
        <v>0</v>
      </c>
      <c r="R1646" s="24">
        <f t="shared" si="103"/>
        <v>57591</v>
      </c>
      <c r="S1646" s="5"/>
      <c r="T1646" s="5"/>
    </row>
    <row r="1647" spans="1:20" ht="15.75" hidden="1" x14ac:dyDescent="0.25">
      <c r="A1647" t="s">
        <v>6753</v>
      </c>
      <c r="B1647" s="21" t="s">
        <v>395</v>
      </c>
      <c r="C1647" s="22" t="s">
        <v>7235</v>
      </c>
      <c r="D1647" s="22" t="s">
        <v>1451</v>
      </c>
      <c r="E1647" s="21" t="s">
        <v>10</v>
      </c>
      <c r="F1647" s="21"/>
      <c r="G1647" s="147" t="s">
        <v>5061</v>
      </c>
      <c r="H1647" s="23" t="s">
        <v>7457</v>
      </c>
      <c r="I1647" s="23" t="s">
        <v>8240</v>
      </c>
      <c r="J1647" s="21" t="s">
        <v>7461</v>
      </c>
      <c r="K1647" s="21"/>
      <c r="L1647" s="21" t="s">
        <v>7802</v>
      </c>
      <c r="M1647" s="26">
        <v>45034</v>
      </c>
      <c r="N1647" s="44">
        <f>0.3*191970</f>
        <v>57591</v>
      </c>
      <c r="O1647" s="22" t="s">
        <v>15</v>
      </c>
      <c r="P1647" s="44">
        <f>57591</f>
        <v>57591</v>
      </c>
      <c r="Q1647" s="44">
        <f t="shared" si="104"/>
        <v>0</v>
      </c>
      <c r="R1647" s="24">
        <f t="shared" si="103"/>
        <v>57591</v>
      </c>
      <c r="S1647" s="5"/>
      <c r="T1647" s="5"/>
    </row>
    <row r="1648" spans="1:20" ht="15.75" hidden="1" x14ac:dyDescent="0.25">
      <c r="A1648" t="s">
        <v>6753</v>
      </c>
      <c r="B1648" s="21" t="s">
        <v>395</v>
      </c>
      <c r="C1648" s="22" t="s">
        <v>7235</v>
      </c>
      <c r="D1648" s="22" t="s">
        <v>1451</v>
      </c>
      <c r="E1648" s="21" t="s">
        <v>10</v>
      </c>
      <c r="F1648" s="21"/>
      <c r="G1648" s="147" t="s">
        <v>5061</v>
      </c>
      <c r="H1648" s="23" t="s">
        <v>7457</v>
      </c>
      <c r="I1648" s="23" t="s">
        <v>8240</v>
      </c>
      <c r="J1648" s="21" t="s">
        <v>7462</v>
      </c>
      <c r="K1648" s="21"/>
      <c r="L1648" s="21" t="s">
        <v>8878</v>
      </c>
      <c r="M1648" s="23" t="s">
        <v>8879</v>
      </c>
      <c r="N1648" s="44">
        <f>0.1*191970</f>
        <v>19197</v>
      </c>
      <c r="O1648" s="22" t="s">
        <v>15</v>
      </c>
      <c r="P1648" s="44">
        <v>19197</v>
      </c>
      <c r="Q1648" s="44">
        <f t="shared" si="104"/>
        <v>0</v>
      </c>
      <c r="R1648" s="24">
        <f t="shared" si="103"/>
        <v>19197</v>
      </c>
      <c r="S1648" s="5"/>
      <c r="T1648" s="5"/>
    </row>
    <row r="1649" spans="1:20" ht="15.75" hidden="1" x14ac:dyDescent="0.25">
      <c r="A1649" t="s">
        <v>6753</v>
      </c>
      <c r="B1649" s="21" t="s">
        <v>395</v>
      </c>
      <c r="C1649" s="22" t="s">
        <v>2450</v>
      </c>
      <c r="D1649" s="22"/>
      <c r="E1649" s="21" t="s">
        <v>10</v>
      </c>
      <c r="F1649" s="21"/>
      <c r="G1649" s="147" t="s">
        <v>8442</v>
      </c>
      <c r="H1649" s="23" t="s">
        <v>7082</v>
      </c>
      <c r="I1649" s="23" t="s">
        <v>8190</v>
      </c>
      <c r="J1649" s="21" t="s">
        <v>6510</v>
      </c>
      <c r="K1649" s="21"/>
      <c r="L1649" s="21" t="s">
        <v>7083</v>
      </c>
      <c r="M1649" s="26">
        <v>44817</v>
      </c>
      <c r="N1649" s="44">
        <v>892.07</v>
      </c>
      <c r="O1649" s="22" t="s">
        <v>15</v>
      </c>
      <c r="P1649" s="44">
        <v>892.07</v>
      </c>
      <c r="Q1649" s="24">
        <f t="shared" si="104"/>
        <v>0</v>
      </c>
      <c r="R1649" s="24">
        <f>IF(P1649="OK",N1649-Q1649,IF(P1649="en cours",M1649-Q1649,P1649))</f>
        <v>892.07</v>
      </c>
      <c r="S1649" s="5"/>
      <c r="T1649" s="5"/>
    </row>
    <row r="1650" spans="1:20" ht="15.75" hidden="1" x14ac:dyDescent="0.25">
      <c r="A1650" t="s">
        <v>6753</v>
      </c>
      <c r="B1650" s="21" t="s">
        <v>395</v>
      </c>
      <c r="C1650" s="22" t="s">
        <v>2450</v>
      </c>
      <c r="D1650" s="22"/>
      <c r="E1650" s="21" t="s">
        <v>10</v>
      </c>
      <c r="F1650" s="21"/>
      <c r="G1650" s="147" t="s">
        <v>8442</v>
      </c>
      <c r="H1650" s="23" t="s">
        <v>7706</v>
      </c>
      <c r="I1650" s="23" t="s">
        <v>8283</v>
      </c>
      <c r="J1650" s="21" t="s">
        <v>6510</v>
      </c>
      <c r="K1650" s="21"/>
      <c r="L1650" s="21" t="s">
        <v>7775</v>
      </c>
      <c r="M1650" s="26">
        <v>45020</v>
      </c>
      <c r="N1650" s="44">
        <v>1922.66</v>
      </c>
      <c r="O1650" s="22" t="s">
        <v>15</v>
      </c>
      <c r="P1650" s="44">
        <f>1922.66</f>
        <v>1922.66</v>
      </c>
      <c r="Q1650" s="24">
        <f t="shared" si="104"/>
        <v>0</v>
      </c>
      <c r="R1650" s="24">
        <f>IF(P1650="OK",N1650-Q1650,IF(P1650="en cours",M1650-Q1650,P1650))</f>
        <v>1922.66</v>
      </c>
      <c r="S1650" s="5"/>
      <c r="T1650" s="5"/>
    </row>
    <row r="1651" spans="1:20" ht="15.75" hidden="1" x14ac:dyDescent="0.25">
      <c r="A1651" t="s">
        <v>6753</v>
      </c>
      <c r="B1651" s="21" t="s">
        <v>395</v>
      </c>
      <c r="C1651" s="22" t="s">
        <v>2450</v>
      </c>
      <c r="D1651" s="22"/>
      <c r="E1651" s="21" t="s">
        <v>10</v>
      </c>
      <c r="F1651" s="21"/>
      <c r="G1651" s="147" t="s">
        <v>8442</v>
      </c>
      <c r="H1651" s="23" t="s">
        <v>7805</v>
      </c>
      <c r="I1651" s="23" t="s">
        <v>8296</v>
      </c>
      <c r="J1651" s="21" t="s">
        <v>6510</v>
      </c>
      <c r="K1651" s="21"/>
      <c r="L1651" s="21" t="s">
        <v>8445</v>
      </c>
      <c r="M1651" s="26" t="s">
        <v>8446</v>
      </c>
      <c r="N1651" s="44">
        <v>3019.6</v>
      </c>
      <c r="O1651" s="22" t="s">
        <v>15</v>
      </c>
      <c r="P1651" s="44">
        <f>1096.94+1922.66</f>
        <v>3019.6000000000004</v>
      </c>
      <c r="Q1651" s="44">
        <f t="shared" si="104"/>
        <v>0</v>
      </c>
      <c r="R1651" s="24">
        <f t="shared" ref="R1651:R1657" si="105">IF(P1651="OK",N1651-Q1651,IF(P1651="en cours",N1651-Q1651,P1651))</f>
        <v>3019.6000000000004</v>
      </c>
      <c r="S1651" s="5"/>
      <c r="T1651" s="5"/>
    </row>
    <row r="1652" spans="1:20" ht="15.75" hidden="1" x14ac:dyDescent="0.25">
      <c r="A1652" t="s">
        <v>6753</v>
      </c>
      <c r="B1652" s="21" t="s">
        <v>395</v>
      </c>
      <c r="C1652" s="22" t="s">
        <v>2450</v>
      </c>
      <c r="D1652" s="22"/>
      <c r="E1652" s="21" t="s">
        <v>10</v>
      </c>
      <c r="F1652" s="21"/>
      <c r="G1652" s="147" t="s">
        <v>8442</v>
      </c>
      <c r="H1652" s="23" t="s">
        <v>8443</v>
      </c>
      <c r="I1652" s="23" t="s">
        <v>8444</v>
      </c>
      <c r="J1652" s="21" t="s">
        <v>6510</v>
      </c>
      <c r="K1652" s="21"/>
      <c r="L1652" s="21" t="s">
        <v>8502</v>
      </c>
      <c r="M1652" s="26">
        <v>45097</v>
      </c>
      <c r="N1652" s="44">
        <v>1922.66</v>
      </c>
      <c r="O1652" s="22" t="s">
        <v>15</v>
      </c>
      <c r="P1652" s="44">
        <f>1922.66</f>
        <v>1922.66</v>
      </c>
      <c r="Q1652" s="44">
        <f t="shared" si="104"/>
        <v>0</v>
      </c>
      <c r="R1652" s="24">
        <f t="shared" si="105"/>
        <v>1922.66</v>
      </c>
      <c r="S1652" s="5"/>
      <c r="T1652" s="5"/>
    </row>
    <row r="1653" spans="1:20" ht="15.75" hidden="1" x14ac:dyDescent="0.25">
      <c r="A1653" t="s">
        <v>6753</v>
      </c>
      <c r="B1653" s="21" t="s">
        <v>395</v>
      </c>
      <c r="C1653" s="22" t="s">
        <v>2450</v>
      </c>
      <c r="D1653" s="22"/>
      <c r="E1653" s="21" t="s">
        <v>10</v>
      </c>
      <c r="F1653" s="21"/>
      <c r="G1653" s="147" t="s">
        <v>8442</v>
      </c>
      <c r="H1653" s="23" t="s">
        <v>8517</v>
      </c>
      <c r="I1653" s="23" t="s">
        <v>8518</v>
      </c>
      <c r="J1653" s="21" t="s">
        <v>6510</v>
      </c>
      <c r="K1653" s="21"/>
      <c r="L1653" s="21" t="s">
        <v>8595</v>
      </c>
      <c r="M1653" s="26">
        <v>45118</v>
      </c>
      <c r="N1653" s="44">
        <v>1332.86</v>
      </c>
      <c r="O1653" s="22" t="s">
        <v>15</v>
      </c>
      <c r="P1653" s="44">
        <f>1332.86</f>
        <v>1332.86</v>
      </c>
      <c r="Q1653" s="44">
        <f t="shared" si="104"/>
        <v>0</v>
      </c>
      <c r="R1653" s="116">
        <f t="shared" si="105"/>
        <v>1332.86</v>
      </c>
      <c r="S1653" s="5"/>
      <c r="T1653" s="5"/>
    </row>
    <row r="1654" spans="1:20" ht="15.75" hidden="1" x14ac:dyDescent="0.25">
      <c r="A1654" t="s">
        <v>6753</v>
      </c>
      <c r="B1654" s="21" t="s">
        <v>395</v>
      </c>
      <c r="C1654" s="22" t="s">
        <v>2450</v>
      </c>
      <c r="D1654" s="22"/>
      <c r="E1654" s="21" t="s">
        <v>10</v>
      </c>
      <c r="F1654" s="21"/>
      <c r="G1654" s="147" t="s">
        <v>8442</v>
      </c>
      <c r="H1654" s="23" t="s">
        <v>8690</v>
      </c>
      <c r="I1654" s="23" t="s">
        <v>8691</v>
      </c>
      <c r="J1654" s="21" t="s">
        <v>6510</v>
      </c>
      <c r="K1654" s="21"/>
      <c r="L1654" s="21" t="s">
        <v>8713</v>
      </c>
      <c r="M1654" s="26">
        <v>45160</v>
      </c>
      <c r="N1654" s="44">
        <v>1332.86</v>
      </c>
      <c r="O1654" s="22" t="s">
        <v>15</v>
      </c>
      <c r="P1654" s="44">
        <v>1332.86</v>
      </c>
      <c r="Q1654" s="44">
        <f t="shared" si="104"/>
        <v>0</v>
      </c>
      <c r="R1654" s="24">
        <f t="shared" si="105"/>
        <v>1332.86</v>
      </c>
      <c r="S1654" s="5"/>
      <c r="T1654" s="5"/>
    </row>
    <row r="1655" spans="1:20" ht="15.75" hidden="1" x14ac:dyDescent="0.25">
      <c r="A1655" t="s">
        <v>6753</v>
      </c>
      <c r="B1655" s="21" t="s">
        <v>395</v>
      </c>
      <c r="C1655" s="22" t="s">
        <v>2450</v>
      </c>
      <c r="D1655" s="22"/>
      <c r="E1655" s="21" t="s">
        <v>10</v>
      </c>
      <c r="F1655" s="21"/>
      <c r="G1655" s="147" t="s">
        <v>8442</v>
      </c>
      <c r="H1655" s="23" t="s">
        <v>8961</v>
      </c>
      <c r="I1655" s="23" t="s">
        <v>8962</v>
      </c>
      <c r="J1655" s="21" t="s">
        <v>8963</v>
      </c>
      <c r="K1655" s="21"/>
      <c r="L1655" s="21" t="s">
        <v>10223</v>
      </c>
      <c r="M1655" s="26">
        <v>45236</v>
      </c>
      <c r="N1655" s="44">
        <v>1568.78</v>
      </c>
      <c r="O1655" s="22" t="s">
        <v>15</v>
      </c>
      <c r="P1655" s="44">
        <v>1568.78</v>
      </c>
      <c r="Q1655" s="44">
        <f t="shared" si="104"/>
        <v>0</v>
      </c>
      <c r="R1655" s="24">
        <f t="shared" si="105"/>
        <v>1568.78</v>
      </c>
      <c r="S1655" s="5"/>
      <c r="T1655" s="5"/>
    </row>
    <row r="1656" spans="1:20" ht="15.75" hidden="1" x14ac:dyDescent="0.25">
      <c r="A1656" t="s">
        <v>6753</v>
      </c>
      <c r="B1656" s="21" t="s">
        <v>395</v>
      </c>
      <c r="C1656" s="22" t="s">
        <v>2450</v>
      </c>
      <c r="D1656" s="22"/>
      <c r="E1656" s="21" t="s">
        <v>10</v>
      </c>
      <c r="F1656" s="21"/>
      <c r="G1656" s="147" t="s">
        <v>8442</v>
      </c>
      <c r="H1656" s="23" t="s">
        <v>9481</v>
      </c>
      <c r="I1656" s="23" t="s">
        <v>9482</v>
      </c>
      <c r="J1656" s="21" t="s">
        <v>8963</v>
      </c>
      <c r="K1656" s="21"/>
      <c r="L1656" s="21" t="s">
        <v>10220</v>
      </c>
      <c r="M1656" s="26" t="s">
        <v>10221</v>
      </c>
      <c r="N1656" s="44">
        <v>3577.92</v>
      </c>
      <c r="O1656" s="22" t="s">
        <v>15</v>
      </c>
      <c r="P1656" s="44">
        <f>1788.96+1788.96</f>
        <v>3577.92</v>
      </c>
      <c r="Q1656" s="44">
        <f t="shared" si="104"/>
        <v>0</v>
      </c>
      <c r="R1656" s="24">
        <f t="shared" si="105"/>
        <v>3577.92</v>
      </c>
      <c r="S1656" s="5"/>
      <c r="T1656" s="5"/>
    </row>
    <row r="1657" spans="1:20" ht="15.75" hidden="1" x14ac:dyDescent="0.25">
      <c r="A1657" t="s">
        <v>6753</v>
      </c>
      <c r="B1657" s="21" t="s">
        <v>395</v>
      </c>
      <c r="C1657" s="22" t="s">
        <v>2450</v>
      </c>
      <c r="D1657" s="22"/>
      <c r="E1657" s="21" t="s">
        <v>10</v>
      </c>
      <c r="F1657" s="21"/>
      <c r="G1657" s="147" t="s">
        <v>8442</v>
      </c>
      <c r="H1657" s="23" t="s">
        <v>9652</v>
      </c>
      <c r="I1657" s="23" t="s">
        <v>9653</v>
      </c>
      <c r="J1657" s="21" t="s">
        <v>6557</v>
      </c>
      <c r="K1657" s="21"/>
      <c r="L1657" s="21" t="s">
        <v>10222</v>
      </c>
      <c r="M1657" s="26">
        <v>45360</v>
      </c>
      <c r="N1657" s="44">
        <v>2521.2399999999998</v>
      </c>
      <c r="O1657" s="22" t="s">
        <v>15</v>
      </c>
      <c r="P1657" s="44">
        <f>2521.24</f>
        <v>2521.2399999999998</v>
      </c>
      <c r="Q1657" s="24">
        <f t="shared" si="104"/>
        <v>0</v>
      </c>
      <c r="R1657" s="24">
        <f t="shared" si="105"/>
        <v>2521.2399999999998</v>
      </c>
      <c r="S1657" s="5"/>
      <c r="T1657" s="5"/>
    </row>
    <row r="1658" spans="1:20" ht="15.75" hidden="1" x14ac:dyDescent="0.25">
      <c r="A1658" t="s">
        <v>6753</v>
      </c>
      <c r="B1658" s="21" t="s">
        <v>395</v>
      </c>
      <c r="C1658" s="22" t="s">
        <v>2450</v>
      </c>
      <c r="D1658" s="22"/>
      <c r="E1658" s="21" t="s">
        <v>10</v>
      </c>
      <c r="F1658" s="21" t="s">
        <v>9721</v>
      </c>
      <c r="G1658" s="147" t="s">
        <v>8442</v>
      </c>
      <c r="H1658" s="23" t="s">
        <v>10119</v>
      </c>
      <c r="I1658" s="23" t="s">
        <v>10120</v>
      </c>
      <c r="J1658" s="21" t="s">
        <v>6557</v>
      </c>
      <c r="K1658" s="21"/>
      <c r="L1658" s="21" t="s">
        <v>10219</v>
      </c>
      <c r="M1658" s="26">
        <v>45488</v>
      </c>
      <c r="N1658" s="44">
        <v>3145.44</v>
      </c>
      <c r="O1658" s="22" t="s">
        <v>15</v>
      </c>
      <c r="P1658" s="44">
        <v>3145.44</v>
      </c>
      <c r="Q1658" s="24">
        <f t="shared" si="104"/>
        <v>0</v>
      </c>
      <c r="R1658" s="24">
        <f>IF(P1658="OK",N1658-Q1658,IF(P1658="en cours",M1658-Q1658,P1658))</f>
        <v>3145.44</v>
      </c>
      <c r="S1658" s="5"/>
      <c r="T1658" s="5"/>
    </row>
    <row r="1659" spans="1:20" ht="15.75" hidden="1" x14ac:dyDescent="0.25">
      <c r="A1659" t="s">
        <v>6753</v>
      </c>
      <c r="B1659" s="21" t="s">
        <v>395</v>
      </c>
      <c r="C1659" s="22" t="s">
        <v>2450</v>
      </c>
      <c r="D1659" s="22"/>
      <c r="E1659" s="21" t="s">
        <v>10</v>
      </c>
      <c r="F1659" s="21"/>
      <c r="G1659" s="147" t="s">
        <v>6474</v>
      </c>
      <c r="H1659" s="23" t="s">
        <v>6475</v>
      </c>
      <c r="I1659" s="23"/>
      <c r="J1659" s="21" t="s">
        <v>6477</v>
      </c>
      <c r="K1659" s="21"/>
      <c r="L1659" s="21"/>
      <c r="M1659" s="23"/>
      <c r="N1659" s="44">
        <v>0</v>
      </c>
      <c r="O1659" s="22" t="s">
        <v>15</v>
      </c>
      <c r="P1659" s="44"/>
      <c r="Q1659" s="24">
        <f t="shared" si="104"/>
        <v>0</v>
      </c>
      <c r="R1659" s="24">
        <f>IF(P1659="OK",N1659-Q1659,IF(P1659="en cours",N1659-Q1659,P1659))</f>
        <v>0</v>
      </c>
      <c r="S1659" s="5" t="s">
        <v>6799</v>
      </c>
      <c r="T1659" s="5"/>
    </row>
    <row r="1660" spans="1:20" ht="15.75" hidden="1" x14ac:dyDescent="0.25">
      <c r="A1660" t="s">
        <v>6753</v>
      </c>
      <c r="B1660" s="21" t="s">
        <v>395</v>
      </c>
      <c r="C1660" s="22" t="s">
        <v>2450</v>
      </c>
      <c r="D1660" s="22"/>
      <c r="E1660" s="21" t="s">
        <v>10</v>
      </c>
      <c r="F1660" s="21"/>
      <c r="G1660" s="147" t="s">
        <v>6474</v>
      </c>
      <c r="H1660" s="23" t="s">
        <v>6476</v>
      </c>
      <c r="I1660" s="23"/>
      <c r="J1660" s="21" t="s">
        <v>6478</v>
      </c>
      <c r="K1660" s="21"/>
      <c r="L1660" s="21"/>
      <c r="M1660" s="23"/>
      <c r="N1660" s="44">
        <v>0</v>
      </c>
      <c r="O1660" s="22" t="s">
        <v>15</v>
      </c>
      <c r="P1660" s="44"/>
      <c r="Q1660" s="24">
        <f t="shared" si="104"/>
        <v>0</v>
      </c>
      <c r="R1660" s="24">
        <f>IF(P1660="OK",N1660-Q1660,IF(P1660="en cours",N1660-Q1660,P1660))</f>
        <v>0</v>
      </c>
      <c r="S1660" s="5" t="s">
        <v>6799</v>
      </c>
      <c r="T1660" s="5"/>
    </row>
    <row r="1661" spans="1:20" ht="15.75" hidden="1" x14ac:dyDescent="0.25">
      <c r="A1661" t="s">
        <v>6753</v>
      </c>
      <c r="B1661" s="21" t="s">
        <v>395</v>
      </c>
      <c r="C1661" s="22" t="s">
        <v>2450</v>
      </c>
      <c r="D1661" s="22"/>
      <c r="E1661" s="21" t="s">
        <v>10</v>
      </c>
      <c r="F1661" s="21"/>
      <c r="G1661" s="147" t="s">
        <v>6474</v>
      </c>
      <c r="H1661" s="23" t="s">
        <v>6823</v>
      </c>
      <c r="I1661" s="23" t="s">
        <v>8172</v>
      </c>
      <c r="J1661" s="21" t="s">
        <v>6824</v>
      </c>
      <c r="K1661" s="21"/>
      <c r="L1661" s="21" t="s">
        <v>7121</v>
      </c>
      <c r="M1661" s="26" t="s">
        <v>7122</v>
      </c>
      <c r="N1661" s="44">
        <f>44000+7850</f>
        <v>51850</v>
      </c>
      <c r="O1661" s="22" t="s">
        <v>15</v>
      </c>
      <c r="P1661" s="44">
        <f>15555+36295</f>
        <v>51850</v>
      </c>
      <c r="Q1661" s="24">
        <f t="shared" si="104"/>
        <v>0</v>
      </c>
      <c r="R1661" s="24">
        <f>IF(P1661="OK",N1661-Q1661,IF(P1661="en cours",M1661-Q1661,P1661))</f>
        <v>51850</v>
      </c>
      <c r="S1661" s="5"/>
      <c r="T1661" s="5"/>
    </row>
    <row r="1662" spans="1:20" ht="15.75" hidden="1" x14ac:dyDescent="0.25">
      <c r="A1662" t="s">
        <v>6753</v>
      </c>
      <c r="B1662" s="21" t="s">
        <v>395</v>
      </c>
      <c r="C1662" s="22" t="s">
        <v>2450</v>
      </c>
      <c r="D1662" s="22"/>
      <c r="E1662" s="21" t="s">
        <v>10</v>
      </c>
      <c r="F1662" s="21"/>
      <c r="G1662" s="147" t="s">
        <v>6474</v>
      </c>
      <c r="H1662" s="23" t="s">
        <v>7069</v>
      </c>
      <c r="I1662" s="23" t="s">
        <v>8189</v>
      </c>
      <c r="J1662" s="21" t="s">
        <v>7070</v>
      </c>
      <c r="K1662" s="21"/>
      <c r="L1662" s="21" t="s">
        <v>7283</v>
      </c>
      <c r="M1662" s="26" t="s">
        <v>7284</v>
      </c>
      <c r="N1662" s="44">
        <v>42826</v>
      </c>
      <c r="O1662" s="22" t="s">
        <v>15</v>
      </c>
      <c r="P1662" s="44">
        <f>(14697-6164)+34293</f>
        <v>42826</v>
      </c>
      <c r="Q1662" s="24">
        <f t="shared" si="104"/>
        <v>0</v>
      </c>
      <c r="R1662" s="24">
        <f>IF(P1662="OK",N1662-Q1662,IF(P1662="en cours",M1662-Q1662,P1662))</f>
        <v>42826</v>
      </c>
      <c r="S1662" s="5"/>
      <c r="T1662" s="5"/>
    </row>
    <row r="1663" spans="1:20" ht="15.75" hidden="1" x14ac:dyDescent="0.25">
      <c r="A1663" t="s">
        <v>6753</v>
      </c>
      <c r="B1663" s="21" t="s">
        <v>395</v>
      </c>
      <c r="C1663" s="22" t="s">
        <v>2450</v>
      </c>
      <c r="D1663" s="22" t="s">
        <v>6259</v>
      </c>
      <c r="E1663" s="21" t="s">
        <v>10</v>
      </c>
      <c r="F1663" s="21"/>
      <c r="G1663" s="147" t="s">
        <v>6474</v>
      </c>
      <c r="H1663" s="23" t="s">
        <v>7185</v>
      </c>
      <c r="I1663" s="23" t="s">
        <v>8198</v>
      </c>
      <c r="J1663" s="165" t="s">
        <v>7188</v>
      </c>
      <c r="K1663" s="47">
        <v>45011</v>
      </c>
      <c r="L1663" s="21" t="s">
        <v>8524</v>
      </c>
      <c r="M1663" s="26" t="s">
        <v>8525</v>
      </c>
      <c r="N1663" s="44">
        <v>5256</v>
      </c>
      <c r="O1663" s="22" t="s">
        <v>15</v>
      </c>
      <c r="P1663" s="44">
        <f>1576.8+3679.2</f>
        <v>5256</v>
      </c>
      <c r="Q1663" s="44">
        <f t="shared" si="104"/>
        <v>0</v>
      </c>
      <c r="R1663" s="116">
        <f t="shared" ref="R1663:R1685" si="106">IF(P1663="OK",N1663-Q1663,IF(P1663="en cours",N1663-Q1663,P1663))</f>
        <v>5256</v>
      </c>
      <c r="S1663" s="5"/>
      <c r="T1663" s="5"/>
    </row>
    <row r="1664" spans="1:20" ht="15.75" hidden="1" x14ac:dyDescent="0.25">
      <c r="A1664" t="s">
        <v>6753</v>
      </c>
      <c r="B1664" s="21" t="s">
        <v>395</v>
      </c>
      <c r="C1664" s="22" t="s">
        <v>2450</v>
      </c>
      <c r="D1664" s="22" t="s">
        <v>6259</v>
      </c>
      <c r="E1664" s="21" t="s">
        <v>10</v>
      </c>
      <c r="F1664" s="21"/>
      <c r="G1664" s="147" t="s">
        <v>6474</v>
      </c>
      <c r="H1664" s="23" t="s">
        <v>7186</v>
      </c>
      <c r="I1664" s="23" t="s">
        <v>8198</v>
      </c>
      <c r="J1664" s="21" t="s">
        <v>7189</v>
      </c>
      <c r="K1664" s="120">
        <v>45011</v>
      </c>
      <c r="L1664" s="21" t="s">
        <v>8524</v>
      </c>
      <c r="M1664" s="26" t="s">
        <v>8525</v>
      </c>
      <c r="N1664" s="44">
        <v>13653</v>
      </c>
      <c r="O1664" s="22" t="s">
        <v>15</v>
      </c>
      <c r="P1664" s="114">
        <f>4095.9+41642.1</f>
        <v>45738</v>
      </c>
      <c r="Q1664" s="24">
        <f t="shared" si="104"/>
        <v>0</v>
      </c>
      <c r="R1664" s="24">
        <f t="shared" si="106"/>
        <v>45738</v>
      </c>
      <c r="S1664" s="5" t="s">
        <v>7191</v>
      </c>
      <c r="T1664" s="5"/>
    </row>
    <row r="1665" spans="1:20" ht="15.75" hidden="1" x14ac:dyDescent="0.25">
      <c r="A1665" t="s">
        <v>6753</v>
      </c>
      <c r="B1665" s="21" t="s">
        <v>395</v>
      </c>
      <c r="C1665" s="22" t="s">
        <v>2450</v>
      </c>
      <c r="D1665" s="22" t="s">
        <v>6259</v>
      </c>
      <c r="E1665" s="21" t="s">
        <v>10</v>
      </c>
      <c r="F1665" s="21"/>
      <c r="G1665" s="147" t="s">
        <v>6474</v>
      </c>
      <c r="H1665" s="23" t="s">
        <v>7187</v>
      </c>
      <c r="I1665" s="23" t="s">
        <v>8198</v>
      </c>
      <c r="J1665" s="165" t="s">
        <v>7190</v>
      </c>
      <c r="K1665" s="47">
        <v>45311</v>
      </c>
      <c r="L1665" s="21" t="s">
        <v>9278</v>
      </c>
      <c r="M1665" s="26" t="s">
        <v>9279</v>
      </c>
      <c r="N1665" s="44">
        <v>10260</v>
      </c>
      <c r="O1665" s="22" t="s">
        <v>15</v>
      </c>
      <c r="P1665" s="44">
        <f>3078+7182</f>
        <v>10260</v>
      </c>
      <c r="Q1665" s="44">
        <f t="shared" si="104"/>
        <v>0</v>
      </c>
      <c r="R1665" s="116">
        <f t="shared" si="106"/>
        <v>10260</v>
      </c>
      <c r="S1665" s="5" t="s">
        <v>7191</v>
      </c>
      <c r="T1665" s="5"/>
    </row>
    <row r="1666" spans="1:20" ht="15.75" hidden="1" x14ac:dyDescent="0.25">
      <c r="A1666" t="s">
        <v>6753</v>
      </c>
      <c r="B1666" s="21" t="s">
        <v>395</v>
      </c>
      <c r="C1666" s="22" t="s">
        <v>2450</v>
      </c>
      <c r="D1666" s="22"/>
      <c r="E1666" s="21" t="s">
        <v>75</v>
      </c>
      <c r="F1666" s="21"/>
      <c r="G1666" s="147" t="s">
        <v>6474</v>
      </c>
      <c r="H1666" s="23" t="s">
        <v>8379</v>
      </c>
      <c r="I1666" s="23" t="s">
        <v>8378</v>
      </c>
      <c r="J1666" s="21" t="s">
        <v>8714</v>
      </c>
      <c r="K1666" s="21"/>
      <c r="L1666" s="21" t="s">
        <v>8988</v>
      </c>
      <c r="M1666" s="26" t="s">
        <v>8987</v>
      </c>
      <c r="N1666" s="44">
        <v>21998</v>
      </c>
      <c r="O1666" s="22" t="s">
        <v>15</v>
      </c>
      <c r="P1666" s="44">
        <f>15398.6+6599.4</f>
        <v>21998</v>
      </c>
      <c r="Q1666" s="44">
        <f t="shared" si="104"/>
        <v>0</v>
      </c>
      <c r="R1666" s="116">
        <f t="shared" si="106"/>
        <v>21998</v>
      </c>
      <c r="S1666" s="21"/>
      <c r="T1666" s="5"/>
    </row>
    <row r="1667" spans="1:20" ht="15.75" hidden="1" x14ac:dyDescent="0.25">
      <c r="A1667" t="s">
        <v>6753</v>
      </c>
      <c r="B1667" s="21" t="s">
        <v>395</v>
      </c>
      <c r="C1667" s="22" t="s">
        <v>2450</v>
      </c>
      <c r="D1667" s="22"/>
      <c r="E1667" s="21" t="s">
        <v>75</v>
      </c>
      <c r="F1667" s="21"/>
      <c r="G1667" s="147" t="s">
        <v>6474</v>
      </c>
      <c r="H1667" s="23" t="s">
        <v>8380</v>
      </c>
      <c r="I1667" s="23" t="s">
        <v>8378</v>
      </c>
      <c r="J1667" s="21" t="s">
        <v>8381</v>
      </c>
      <c r="K1667" s="21"/>
      <c r="L1667" s="21" t="s">
        <v>8989</v>
      </c>
      <c r="M1667" s="26">
        <v>45209</v>
      </c>
      <c r="N1667" s="44">
        <v>21150</v>
      </c>
      <c r="O1667" s="22" t="s">
        <v>15</v>
      </c>
      <c r="P1667" s="44">
        <v>21150</v>
      </c>
      <c r="Q1667" s="44">
        <f t="shared" si="104"/>
        <v>0</v>
      </c>
      <c r="R1667" s="116">
        <f t="shared" si="106"/>
        <v>21150</v>
      </c>
      <c r="S1667" s="21"/>
      <c r="T1667" s="5"/>
    </row>
    <row r="1668" spans="1:20" ht="15.75" hidden="1" x14ac:dyDescent="0.25">
      <c r="B1668" s="21" t="s">
        <v>395</v>
      </c>
      <c r="C1668" s="22" t="s">
        <v>158</v>
      </c>
      <c r="D1668" s="22" t="s">
        <v>1451</v>
      </c>
      <c r="E1668" s="21" t="s">
        <v>10</v>
      </c>
      <c r="F1668" s="21"/>
      <c r="G1668" s="147" t="s">
        <v>7453</v>
      </c>
      <c r="H1668" s="23" t="s">
        <v>7454</v>
      </c>
      <c r="I1668" s="23" t="s">
        <v>8239</v>
      </c>
      <c r="J1668" s="21" t="s">
        <v>7455</v>
      </c>
      <c r="K1668" s="21"/>
      <c r="L1668" s="21" t="s">
        <v>7456</v>
      </c>
      <c r="M1668" s="26">
        <v>44932</v>
      </c>
      <c r="N1668" s="44">
        <v>34800</v>
      </c>
      <c r="O1668" s="22" t="s">
        <v>15</v>
      </c>
      <c r="P1668" s="44">
        <v>34800</v>
      </c>
      <c r="Q1668" s="44">
        <f t="shared" si="104"/>
        <v>0</v>
      </c>
      <c r="R1668" s="24">
        <f t="shared" si="106"/>
        <v>34800</v>
      </c>
      <c r="S1668" s="5"/>
      <c r="T1668" s="5"/>
    </row>
    <row r="1669" spans="1:20" ht="15.75" hidden="1" x14ac:dyDescent="0.25">
      <c r="B1669" s="21" t="s">
        <v>395</v>
      </c>
      <c r="C1669" s="22" t="s">
        <v>7372</v>
      </c>
      <c r="D1669" s="22"/>
      <c r="E1669" s="21" t="s">
        <v>75</v>
      </c>
      <c r="F1669" s="21"/>
      <c r="G1669" s="147" t="s">
        <v>7453</v>
      </c>
      <c r="H1669" s="23" t="s">
        <v>8519</v>
      </c>
      <c r="I1669" s="23" t="s">
        <v>8520</v>
      </c>
      <c r="J1669" s="21" t="s">
        <v>8521</v>
      </c>
      <c r="K1669" s="21"/>
      <c r="L1669" s="21">
        <v>59001241</v>
      </c>
      <c r="M1669" s="26">
        <v>45238</v>
      </c>
      <c r="N1669" s="44">
        <v>1200</v>
      </c>
      <c r="O1669" s="22" t="s">
        <v>15</v>
      </c>
      <c r="P1669" s="44">
        <v>1200</v>
      </c>
      <c r="Q1669" s="44">
        <f t="shared" si="104"/>
        <v>0</v>
      </c>
      <c r="R1669" s="116">
        <f t="shared" si="106"/>
        <v>1200</v>
      </c>
      <c r="S1669" s="5"/>
      <c r="T1669" s="5"/>
    </row>
    <row r="1670" spans="1:20" ht="15.75" hidden="1" x14ac:dyDescent="0.25">
      <c r="B1670" s="21" t="s">
        <v>395</v>
      </c>
      <c r="C1670" s="22" t="s">
        <v>7408</v>
      </c>
      <c r="D1670" s="22"/>
      <c r="E1670" s="21" t="s">
        <v>75</v>
      </c>
      <c r="F1670" s="21"/>
      <c r="G1670" s="147" t="s">
        <v>7453</v>
      </c>
      <c r="H1670" s="23" t="s">
        <v>9530</v>
      </c>
      <c r="I1670" s="23" t="s">
        <v>8486</v>
      </c>
      <c r="J1670" s="21" t="s">
        <v>8406</v>
      </c>
      <c r="K1670" s="21"/>
      <c r="L1670" s="21" t="s">
        <v>8700</v>
      </c>
      <c r="M1670" s="26" t="s">
        <v>8701</v>
      </c>
      <c r="N1670" s="44">
        <v>29476</v>
      </c>
      <c r="O1670" s="22" t="s">
        <v>15</v>
      </c>
      <c r="P1670" s="44">
        <f>18260+18260-5644</f>
        <v>30876</v>
      </c>
      <c r="Q1670" s="44">
        <f t="shared" si="104"/>
        <v>0</v>
      </c>
      <c r="R1670" s="116">
        <f t="shared" si="106"/>
        <v>30876</v>
      </c>
      <c r="S1670" s="5"/>
      <c r="T1670" s="5"/>
    </row>
    <row r="1671" spans="1:20" ht="15.75" hidden="1" x14ac:dyDescent="0.25">
      <c r="B1671" s="21" t="s">
        <v>395</v>
      </c>
      <c r="C1671" s="22" t="s">
        <v>7408</v>
      </c>
      <c r="D1671" s="22"/>
      <c r="E1671" s="21" t="s">
        <v>75</v>
      </c>
      <c r="F1671" s="21" t="s">
        <v>9790</v>
      </c>
      <c r="G1671" s="147" t="s">
        <v>7453</v>
      </c>
      <c r="H1671" s="23" t="s">
        <v>8845</v>
      </c>
      <c r="I1671" s="23" t="s">
        <v>8846</v>
      </c>
      <c r="J1671" s="165" t="s">
        <v>9956</v>
      </c>
      <c r="K1671" s="47"/>
      <c r="L1671" s="21" t="s">
        <v>10517</v>
      </c>
      <c r="M1671" s="26" t="s">
        <v>10518</v>
      </c>
      <c r="N1671" s="44">
        <v>269073</v>
      </c>
      <c r="O1671" s="22" t="s">
        <v>15</v>
      </c>
      <c r="P1671" s="44">
        <f>71556+89640+2910+97470+7497</f>
        <v>269073</v>
      </c>
      <c r="Q1671" s="44">
        <f t="shared" si="104"/>
        <v>0</v>
      </c>
      <c r="R1671" s="116">
        <f t="shared" si="106"/>
        <v>269073</v>
      </c>
      <c r="S1671" s="5"/>
      <c r="T1671" s="5"/>
    </row>
    <row r="1672" spans="1:20" ht="16.5" hidden="1" customHeight="1" x14ac:dyDescent="0.25">
      <c r="B1672" s="21" t="s">
        <v>395</v>
      </c>
      <c r="C1672" s="22" t="s">
        <v>7408</v>
      </c>
      <c r="D1672" s="22"/>
      <c r="E1672" s="21" t="s">
        <v>75</v>
      </c>
      <c r="F1672" s="21" t="s">
        <v>9790</v>
      </c>
      <c r="G1672" s="147" t="s">
        <v>7453</v>
      </c>
      <c r="H1672" s="23" t="s">
        <v>8847</v>
      </c>
      <c r="I1672" s="23" t="s">
        <v>8848</v>
      </c>
      <c r="J1672" s="21" t="s">
        <v>8851</v>
      </c>
      <c r="K1672" s="21"/>
      <c r="L1672" s="21" t="s">
        <v>10585</v>
      </c>
      <c r="M1672" s="26" t="s">
        <v>10586</v>
      </c>
      <c r="N1672" s="44">
        <v>83693</v>
      </c>
      <c r="O1672" s="22" t="s">
        <v>15</v>
      </c>
      <c r="P1672" s="44">
        <f>31608+24900+14940+10016+7497</f>
        <v>88961</v>
      </c>
      <c r="Q1672" s="44">
        <f t="shared" si="104"/>
        <v>0</v>
      </c>
      <c r="R1672" s="24">
        <f t="shared" si="106"/>
        <v>88961</v>
      </c>
      <c r="S1672" s="5"/>
      <c r="T1672" s="5"/>
    </row>
    <row r="1673" spans="1:20" ht="15.75" hidden="1" x14ac:dyDescent="0.25">
      <c r="B1673" s="21" t="s">
        <v>395</v>
      </c>
      <c r="C1673" s="22" t="s">
        <v>8972</v>
      </c>
      <c r="D1673" s="22"/>
      <c r="E1673" s="21" t="s">
        <v>75</v>
      </c>
      <c r="F1673" s="21"/>
      <c r="G1673" s="147" t="s">
        <v>7453</v>
      </c>
      <c r="H1673" s="23" t="s">
        <v>9077</v>
      </c>
      <c r="I1673" s="23" t="s">
        <v>9078</v>
      </c>
      <c r="J1673" s="50" t="s">
        <v>8936</v>
      </c>
      <c r="K1673" s="21"/>
      <c r="L1673" s="21"/>
      <c r="M1673" s="23"/>
      <c r="N1673" s="44">
        <v>0</v>
      </c>
      <c r="O1673" s="22" t="s">
        <v>15</v>
      </c>
      <c r="P1673" s="44"/>
      <c r="Q1673" s="44">
        <f t="shared" si="104"/>
        <v>0</v>
      </c>
      <c r="R1673" s="24">
        <f t="shared" si="106"/>
        <v>0</v>
      </c>
      <c r="S1673" s="5" t="s">
        <v>10005</v>
      </c>
      <c r="T1673" s="5"/>
    </row>
    <row r="1674" spans="1:20" ht="15.75" hidden="1" x14ac:dyDescent="0.25">
      <c r="B1674" s="21" t="s">
        <v>395</v>
      </c>
      <c r="C1674" s="22" t="s">
        <v>2450</v>
      </c>
      <c r="D1674" s="22"/>
      <c r="E1674" s="21" t="s">
        <v>75</v>
      </c>
      <c r="F1674" s="21"/>
      <c r="G1674" s="147" t="s">
        <v>7453</v>
      </c>
      <c r="H1674" s="23" t="s">
        <v>9145</v>
      </c>
      <c r="I1674" s="23" t="s">
        <v>9146</v>
      </c>
      <c r="J1674" s="21" t="s">
        <v>9147</v>
      </c>
      <c r="K1674" s="21"/>
      <c r="L1674" s="21" t="s">
        <v>9383</v>
      </c>
      <c r="M1674" s="26">
        <v>45292</v>
      </c>
      <c r="N1674" s="44">
        <v>4396</v>
      </c>
      <c r="O1674" s="22" t="s">
        <v>15</v>
      </c>
      <c r="P1674" s="44">
        <v>4396</v>
      </c>
      <c r="Q1674" s="44">
        <f t="shared" si="104"/>
        <v>0</v>
      </c>
      <c r="R1674" s="24">
        <f t="shared" si="106"/>
        <v>4396</v>
      </c>
      <c r="S1674" s="5"/>
      <c r="T1674" s="5"/>
    </row>
    <row r="1675" spans="1:20" ht="15.75" hidden="1" x14ac:dyDescent="0.25">
      <c r="B1675" s="21" t="s">
        <v>395</v>
      </c>
      <c r="C1675" s="22" t="s">
        <v>7408</v>
      </c>
      <c r="D1675" s="22"/>
      <c r="E1675" s="21" t="s">
        <v>75</v>
      </c>
      <c r="F1675" s="21"/>
      <c r="G1675" s="147" t="s">
        <v>7453</v>
      </c>
      <c r="H1675" s="23" t="s">
        <v>9148</v>
      </c>
      <c r="I1675" s="23" t="s">
        <v>9149</v>
      </c>
      <c r="J1675" s="21" t="s">
        <v>9150</v>
      </c>
      <c r="K1675" s="21"/>
      <c r="L1675" s="21" t="s">
        <v>9362</v>
      </c>
      <c r="M1675" s="26">
        <v>45292</v>
      </c>
      <c r="N1675" s="44">
        <v>16895</v>
      </c>
      <c r="O1675" s="22" t="s">
        <v>15</v>
      </c>
      <c r="P1675" s="44">
        <v>16895</v>
      </c>
      <c r="Q1675" s="44">
        <f t="shared" si="104"/>
        <v>0</v>
      </c>
      <c r="R1675" s="116">
        <f t="shared" si="106"/>
        <v>16895</v>
      </c>
      <c r="S1675" s="5"/>
      <c r="T1675" s="5"/>
    </row>
    <row r="1676" spans="1:20" ht="15.75" hidden="1" x14ac:dyDescent="0.25">
      <c r="B1676" s="21" t="s">
        <v>395</v>
      </c>
      <c r="C1676" s="22" t="s">
        <v>2450</v>
      </c>
      <c r="D1676" s="22"/>
      <c r="E1676" s="21" t="s">
        <v>75</v>
      </c>
      <c r="F1676" s="21"/>
      <c r="G1676" s="147" t="s">
        <v>7453</v>
      </c>
      <c r="H1676" s="23" t="s">
        <v>9293</v>
      </c>
      <c r="I1676" s="23" t="s">
        <v>9294</v>
      </c>
      <c r="J1676" s="21" t="s">
        <v>9882</v>
      </c>
      <c r="K1676" s="21"/>
      <c r="L1676" s="21" t="s">
        <v>9883</v>
      </c>
      <c r="M1676" s="26" t="s">
        <v>9884</v>
      </c>
      <c r="N1676" s="44">
        <v>26346</v>
      </c>
      <c r="O1676" s="22" t="s">
        <v>15</v>
      </c>
      <c r="P1676" s="44">
        <f>13173+13173</f>
        <v>26346</v>
      </c>
      <c r="Q1676" s="24">
        <f t="shared" si="104"/>
        <v>0</v>
      </c>
      <c r="R1676" s="24">
        <f t="shared" si="106"/>
        <v>26346</v>
      </c>
      <c r="S1676" s="5"/>
      <c r="T1676" s="5"/>
    </row>
    <row r="1677" spans="1:20" ht="15.75" hidden="1" x14ac:dyDescent="0.25">
      <c r="B1677" s="21" t="s">
        <v>395</v>
      </c>
      <c r="C1677" s="22" t="s">
        <v>7408</v>
      </c>
      <c r="D1677" s="22"/>
      <c r="E1677" s="21" t="s">
        <v>75</v>
      </c>
      <c r="F1677" s="21" t="s">
        <v>9790</v>
      </c>
      <c r="G1677" s="147" t="s">
        <v>7453</v>
      </c>
      <c r="H1677" s="23" t="s">
        <v>9419</v>
      </c>
      <c r="I1677" s="23" t="s">
        <v>9420</v>
      </c>
      <c r="J1677" s="21" t="s">
        <v>9957</v>
      </c>
      <c r="K1677" s="21"/>
      <c r="L1677" s="21" t="s">
        <v>10356</v>
      </c>
      <c r="M1677" s="26">
        <v>45525</v>
      </c>
      <c r="N1677" s="44">
        <v>1190</v>
      </c>
      <c r="O1677" s="22" t="s">
        <v>15</v>
      </c>
      <c r="P1677" s="44">
        <v>1190</v>
      </c>
      <c r="Q1677" s="44">
        <f t="shared" si="104"/>
        <v>0</v>
      </c>
      <c r="R1677" s="24">
        <f t="shared" si="106"/>
        <v>1190</v>
      </c>
      <c r="S1677" s="5"/>
      <c r="T1677" s="5"/>
    </row>
    <row r="1678" spans="1:20" ht="15.75" hidden="1" x14ac:dyDescent="0.25">
      <c r="B1678" s="21" t="s">
        <v>395</v>
      </c>
      <c r="C1678" s="22" t="s">
        <v>2450</v>
      </c>
      <c r="D1678" s="22"/>
      <c r="E1678" s="21" t="s">
        <v>75</v>
      </c>
      <c r="F1678" s="21" t="s">
        <v>9755</v>
      </c>
      <c r="G1678" s="147" t="s">
        <v>7453</v>
      </c>
      <c r="H1678" s="23" t="s">
        <v>9607</v>
      </c>
      <c r="I1678" s="23" t="s">
        <v>9424</v>
      </c>
      <c r="J1678" s="21" t="s">
        <v>9425</v>
      </c>
      <c r="K1678" s="21"/>
      <c r="L1678" s="21" t="s">
        <v>10261</v>
      </c>
      <c r="M1678" s="26" t="s">
        <v>10262</v>
      </c>
      <c r="N1678" s="44">
        <v>44013</v>
      </c>
      <c r="O1678" s="22" t="s">
        <v>15</v>
      </c>
      <c r="P1678" s="44">
        <f>22006.5+22006.5</f>
        <v>44013</v>
      </c>
      <c r="Q1678" s="44">
        <f t="shared" si="104"/>
        <v>0</v>
      </c>
      <c r="R1678" s="24">
        <f t="shared" si="106"/>
        <v>44013</v>
      </c>
      <c r="S1678" s="5"/>
      <c r="T1678" s="5"/>
    </row>
    <row r="1679" spans="1:20" ht="15.75" hidden="1" x14ac:dyDescent="0.25">
      <c r="B1679" s="21" t="s">
        <v>395</v>
      </c>
      <c r="C1679" s="22" t="s">
        <v>2450</v>
      </c>
      <c r="D1679" s="22"/>
      <c r="E1679" s="21" t="s">
        <v>75</v>
      </c>
      <c r="F1679" s="21"/>
      <c r="G1679" s="147" t="s">
        <v>7453</v>
      </c>
      <c r="H1679" s="23" t="s">
        <v>9430</v>
      </c>
      <c r="I1679" s="23" t="s">
        <v>9429</v>
      </c>
      <c r="J1679" s="21" t="s">
        <v>9147</v>
      </c>
      <c r="K1679" s="21"/>
      <c r="L1679" s="21" t="s">
        <v>9565</v>
      </c>
      <c r="M1679" s="26">
        <v>45338</v>
      </c>
      <c r="N1679" s="44">
        <v>8192</v>
      </c>
      <c r="O1679" s="22" t="s">
        <v>15</v>
      </c>
      <c r="P1679" s="44">
        <f>8192</f>
        <v>8192</v>
      </c>
      <c r="Q1679" s="44">
        <f t="shared" si="104"/>
        <v>0</v>
      </c>
      <c r="R1679" s="24">
        <f t="shared" si="106"/>
        <v>8192</v>
      </c>
      <c r="S1679" s="5"/>
      <c r="T1679" s="5"/>
    </row>
    <row r="1680" spans="1:20" ht="15.75" hidden="1" x14ac:dyDescent="0.25">
      <c r="B1680" s="21" t="s">
        <v>395</v>
      </c>
      <c r="C1680" s="22" t="s">
        <v>2450</v>
      </c>
      <c r="D1680" s="22"/>
      <c r="E1680" s="21" t="s">
        <v>10</v>
      </c>
      <c r="F1680" s="21"/>
      <c r="G1680" s="147" t="s">
        <v>7453</v>
      </c>
      <c r="H1680" s="107" t="s">
        <v>9505</v>
      </c>
      <c r="I1680" s="23" t="s">
        <v>9505</v>
      </c>
      <c r="J1680" s="21" t="s">
        <v>9506</v>
      </c>
      <c r="K1680" s="21"/>
      <c r="L1680" s="21" t="s">
        <v>9622</v>
      </c>
      <c r="M1680" s="26">
        <v>45364</v>
      </c>
      <c r="N1680" s="44">
        <v>6600</v>
      </c>
      <c r="O1680" s="22" t="s">
        <v>15</v>
      </c>
      <c r="P1680" s="44">
        <v>6600</v>
      </c>
      <c r="Q1680" s="44">
        <f t="shared" si="104"/>
        <v>0</v>
      </c>
      <c r="R1680" s="24">
        <f t="shared" si="106"/>
        <v>6600</v>
      </c>
      <c r="S1680" s="5"/>
      <c r="T1680" s="5"/>
    </row>
    <row r="1681" spans="2:20" ht="15.75" hidden="1" x14ac:dyDescent="0.25">
      <c r="B1681" s="21" t="s">
        <v>395</v>
      </c>
      <c r="C1681" s="22" t="s">
        <v>2450</v>
      </c>
      <c r="D1681" s="22"/>
      <c r="E1681" s="21" t="s">
        <v>75</v>
      </c>
      <c r="F1681" s="21" t="s">
        <v>9755</v>
      </c>
      <c r="G1681" s="147" t="s">
        <v>7453</v>
      </c>
      <c r="H1681" s="23" t="s">
        <v>9802</v>
      </c>
      <c r="I1681" s="23" t="s">
        <v>9660</v>
      </c>
      <c r="J1681" s="21" t="s">
        <v>9661</v>
      </c>
      <c r="K1681" s="21"/>
      <c r="L1681" s="21" t="s">
        <v>9801</v>
      </c>
      <c r="M1681" s="26">
        <v>45408</v>
      </c>
      <c r="N1681" s="44">
        <v>8601</v>
      </c>
      <c r="O1681" s="22" t="s">
        <v>15</v>
      </c>
      <c r="P1681" s="44">
        <v>8601</v>
      </c>
      <c r="Q1681" s="24">
        <f t="shared" si="104"/>
        <v>0</v>
      </c>
      <c r="R1681" s="24">
        <f t="shared" si="106"/>
        <v>8601</v>
      </c>
      <c r="S1681" s="5"/>
      <c r="T1681" s="5"/>
    </row>
    <row r="1682" spans="2:20" ht="15.75" hidden="1" x14ac:dyDescent="0.25">
      <c r="B1682" s="21" t="s">
        <v>395</v>
      </c>
      <c r="C1682" s="22" t="s">
        <v>8584</v>
      </c>
      <c r="D1682" s="22"/>
      <c r="E1682" s="21" t="s">
        <v>75</v>
      </c>
      <c r="F1682" s="21" t="s">
        <v>9819</v>
      </c>
      <c r="G1682" s="147" t="s">
        <v>7453</v>
      </c>
      <c r="H1682" s="23" t="s">
        <v>8940</v>
      </c>
      <c r="I1682" s="23" t="s">
        <v>8941</v>
      </c>
      <c r="J1682" s="21" t="s">
        <v>8936</v>
      </c>
      <c r="K1682" s="21"/>
      <c r="L1682" s="21" t="s">
        <v>11720</v>
      </c>
      <c r="M1682" s="26" t="s">
        <v>11721</v>
      </c>
      <c r="N1682" s="44">
        <v>108269</v>
      </c>
      <c r="O1682" s="22" t="s">
        <v>15</v>
      </c>
      <c r="P1682" s="44">
        <f>7245+29367+25282+46123+8996.4</f>
        <v>117013.4</v>
      </c>
      <c r="Q1682" s="44">
        <f t="shared" si="104"/>
        <v>0</v>
      </c>
      <c r="R1682" s="24">
        <f t="shared" si="106"/>
        <v>117013.4</v>
      </c>
      <c r="S1682" s="5"/>
      <c r="T1682" s="5"/>
    </row>
    <row r="1683" spans="2:20" ht="15.75" hidden="1" x14ac:dyDescent="0.25">
      <c r="B1683" s="21" t="s">
        <v>395</v>
      </c>
      <c r="C1683" s="22" t="s">
        <v>8584</v>
      </c>
      <c r="D1683" s="22"/>
      <c r="E1683" s="21" t="s">
        <v>75</v>
      </c>
      <c r="F1683" s="21"/>
      <c r="G1683" s="147" t="s">
        <v>7453</v>
      </c>
      <c r="H1683" s="23" t="s">
        <v>8942</v>
      </c>
      <c r="I1683" s="23" t="s">
        <v>8941</v>
      </c>
      <c r="J1683" s="21" t="s">
        <v>8937</v>
      </c>
      <c r="K1683" s="21"/>
      <c r="L1683" s="21" t="s">
        <v>9384</v>
      </c>
      <c r="M1683" s="26" t="s">
        <v>9385</v>
      </c>
      <c r="N1683" s="44">
        <v>14490</v>
      </c>
      <c r="O1683" s="22" t="s">
        <v>15</v>
      </c>
      <c r="P1683" s="44">
        <f>7245+7245</f>
        <v>14490</v>
      </c>
      <c r="Q1683" s="44">
        <f t="shared" si="104"/>
        <v>0</v>
      </c>
      <c r="R1683" s="24">
        <f t="shared" si="106"/>
        <v>14490</v>
      </c>
      <c r="S1683" s="5"/>
      <c r="T1683" s="5"/>
    </row>
    <row r="1684" spans="2:20" ht="15.75" hidden="1" x14ac:dyDescent="0.25">
      <c r="B1684" s="21" t="s">
        <v>395</v>
      </c>
      <c r="C1684" s="22" t="s">
        <v>8584</v>
      </c>
      <c r="D1684" s="22"/>
      <c r="E1684" s="21" t="s">
        <v>75</v>
      </c>
      <c r="F1684" s="21"/>
      <c r="G1684" s="147" t="s">
        <v>7453</v>
      </c>
      <c r="H1684" s="23" t="s">
        <v>8943</v>
      </c>
      <c r="I1684" s="23" t="s">
        <v>8941</v>
      </c>
      <c r="J1684" s="21" t="s">
        <v>8938</v>
      </c>
      <c r="K1684" s="21"/>
      <c r="L1684" s="21" t="s">
        <v>10794</v>
      </c>
      <c r="M1684" s="26" t="s">
        <v>10795</v>
      </c>
      <c r="N1684" s="44">
        <v>20450</v>
      </c>
      <c r="O1684" s="22" t="s">
        <v>15</v>
      </c>
      <c r="P1684" s="44">
        <f>10225+10225</f>
        <v>20450</v>
      </c>
      <c r="Q1684" s="44">
        <f t="shared" si="104"/>
        <v>0</v>
      </c>
      <c r="R1684" s="24">
        <f t="shared" si="106"/>
        <v>20450</v>
      </c>
      <c r="S1684" s="5"/>
      <c r="T1684" s="5"/>
    </row>
    <row r="1685" spans="2:20" ht="15.75" hidden="1" x14ac:dyDescent="0.25">
      <c r="B1685" s="21" t="s">
        <v>395</v>
      </c>
      <c r="C1685" s="22" t="s">
        <v>7372</v>
      </c>
      <c r="D1685" s="22"/>
      <c r="E1685" s="21" t="s">
        <v>75</v>
      </c>
      <c r="F1685" s="21" t="s">
        <v>9819</v>
      </c>
      <c r="G1685" s="147" t="s">
        <v>7453</v>
      </c>
      <c r="H1685" s="23" t="s">
        <v>9142</v>
      </c>
      <c r="I1685" s="23" t="s">
        <v>9143</v>
      </c>
      <c r="J1685" s="21" t="s">
        <v>9144</v>
      </c>
      <c r="K1685" s="21"/>
      <c r="L1685" s="21" t="s">
        <v>11207</v>
      </c>
      <c r="M1685" s="26" t="s">
        <v>11208</v>
      </c>
      <c r="N1685" s="44">
        <v>40796</v>
      </c>
      <c r="O1685" s="22" t="s">
        <v>15</v>
      </c>
      <c r="P1685" s="44">
        <f>8601+15790+11205+5200</f>
        <v>40796</v>
      </c>
      <c r="Q1685" s="44">
        <f t="shared" si="104"/>
        <v>0</v>
      </c>
      <c r="R1685" s="24">
        <f t="shared" si="106"/>
        <v>40796</v>
      </c>
      <c r="S1685" s="5"/>
      <c r="T1685" s="5"/>
    </row>
    <row r="1686" spans="2:20" ht="15.75" hidden="1" x14ac:dyDescent="0.25">
      <c r="B1686" s="21" t="s">
        <v>395</v>
      </c>
      <c r="C1686" s="22" t="s">
        <v>7372</v>
      </c>
      <c r="D1686" s="22"/>
      <c r="E1686" s="21" t="s">
        <v>75</v>
      </c>
      <c r="F1686" s="21" t="s">
        <v>9819</v>
      </c>
      <c r="G1686" s="147" t="s">
        <v>7453</v>
      </c>
      <c r="H1686" s="23" t="s">
        <v>10117</v>
      </c>
      <c r="I1686" s="23" t="s">
        <v>10118</v>
      </c>
      <c r="J1686" s="21" t="s">
        <v>10324</v>
      </c>
      <c r="K1686" s="21"/>
      <c r="L1686" s="21" t="s">
        <v>10709</v>
      </c>
      <c r="M1686" s="26">
        <v>45562</v>
      </c>
      <c r="N1686" s="44">
        <v>11464</v>
      </c>
      <c r="O1686" s="22" t="s">
        <v>15</v>
      </c>
      <c r="P1686" s="44">
        <v>11464</v>
      </c>
      <c r="Q1686" s="24">
        <f t="shared" si="104"/>
        <v>0</v>
      </c>
      <c r="R1686" s="24">
        <f>IF(P1686="OK",N1686-Q1686,IF(P1686="en cours",M1686-Q1686,P1686))</f>
        <v>11464</v>
      </c>
      <c r="S1686" s="5"/>
      <c r="T1686" s="5"/>
    </row>
    <row r="1687" spans="2:20" ht="15.75" hidden="1" x14ac:dyDescent="0.25">
      <c r="B1687" s="21" t="s">
        <v>395</v>
      </c>
      <c r="C1687" s="22" t="s">
        <v>7372</v>
      </c>
      <c r="D1687" s="22"/>
      <c r="E1687" s="21" t="s">
        <v>75</v>
      </c>
      <c r="F1687" s="21" t="s">
        <v>9819</v>
      </c>
      <c r="G1687" s="147" t="s">
        <v>7453</v>
      </c>
      <c r="H1687" s="23" t="s">
        <v>10325</v>
      </c>
      <c r="I1687" s="23" t="s">
        <v>10327</v>
      </c>
      <c r="J1687" s="21" t="s">
        <v>10326</v>
      </c>
      <c r="K1687" s="21"/>
      <c r="L1687" s="21" t="s">
        <v>10709</v>
      </c>
      <c r="M1687" s="26">
        <v>45562</v>
      </c>
      <c r="N1687" s="44">
        <v>8601</v>
      </c>
      <c r="O1687" s="22" t="s">
        <v>15</v>
      </c>
      <c r="P1687" s="44">
        <v>8601</v>
      </c>
      <c r="Q1687" s="44">
        <f t="shared" si="104"/>
        <v>0</v>
      </c>
      <c r="R1687" s="24">
        <f>IF(P1687="OK",N1687-Q1687,IF(P1687="en cours",N1687-Q1687,P1687))</f>
        <v>8601</v>
      </c>
      <c r="S1687" s="5"/>
      <c r="T1687" s="5"/>
    </row>
    <row r="1688" spans="2:20" ht="13.5" hidden="1" customHeight="1" x14ac:dyDescent="0.25">
      <c r="B1688" s="21" t="s">
        <v>395</v>
      </c>
      <c r="C1688" s="22" t="s">
        <v>7372</v>
      </c>
      <c r="D1688" s="22"/>
      <c r="E1688" s="21" t="s">
        <v>75</v>
      </c>
      <c r="F1688" s="21" t="s">
        <v>9819</v>
      </c>
      <c r="G1688" s="147" t="s">
        <v>7453</v>
      </c>
      <c r="H1688" s="23" t="s">
        <v>10740</v>
      </c>
      <c r="I1688" s="23" t="s">
        <v>10741</v>
      </c>
      <c r="J1688" s="21" t="s">
        <v>10745</v>
      </c>
      <c r="K1688" s="21"/>
      <c r="L1688" s="21" t="s">
        <v>10801</v>
      </c>
      <c r="M1688" s="26">
        <v>45615</v>
      </c>
      <c r="N1688" s="44">
        <v>3072</v>
      </c>
      <c r="O1688" s="22" t="s">
        <v>15</v>
      </c>
      <c r="P1688" s="44">
        <v>3072</v>
      </c>
      <c r="Q1688" s="24">
        <f t="shared" si="104"/>
        <v>0</v>
      </c>
      <c r="R1688" s="24">
        <f>IF(P1688="OK",N1688-Q1688,IF(P1688="en cours",M1688-Q1688,P1688))</f>
        <v>3072</v>
      </c>
      <c r="S1688" s="5"/>
      <c r="T1688" s="5"/>
    </row>
    <row r="1689" spans="2:20" ht="15.75" hidden="1" x14ac:dyDescent="0.25">
      <c r="B1689" s="21" t="s">
        <v>395</v>
      </c>
      <c r="C1689" s="22" t="s">
        <v>158</v>
      </c>
      <c r="D1689" s="22"/>
      <c r="E1689" s="21" t="s">
        <v>75</v>
      </c>
      <c r="F1689" s="21"/>
      <c r="G1689" s="147" t="s">
        <v>6347</v>
      </c>
      <c r="H1689" s="23" t="s">
        <v>6832</v>
      </c>
      <c r="I1689" s="23" t="s">
        <v>8174</v>
      </c>
      <c r="J1689" s="21" t="s">
        <v>6833</v>
      </c>
      <c r="K1689" s="21"/>
      <c r="L1689" s="21" t="s">
        <v>6859</v>
      </c>
      <c r="M1689" s="26">
        <v>44741</v>
      </c>
      <c r="N1689" s="44">
        <v>750</v>
      </c>
      <c r="O1689" s="22" t="s">
        <v>15</v>
      </c>
      <c r="P1689" s="44">
        <v>750</v>
      </c>
      <c r="Q1689" s="24">
        <f t="shared" si="104"/>
        <v>0</v>
      </c>
      <c r="R1689" s="24">
        <f t="shared" ref="R1689:R1752" si="107">IF(P1689="OK",N1689-Q1689,IF(P1689="en cours",N1689-Q1689,P1689))</f>
        <v>750</v>
      </c>
      <c r="S1689" s="5"/>
      <c r="T1689" s="5"/>
    </row>
    <row r="1690" spans="2:20" ht="14.25" hidden="1" customHeight="1" x14ac:dyDescent="0.25">
      <c r="B1690" s="21" t="s">
        <v>395</v>
      </c>
      <c r="C1690" s="22" t="s">
        <v>2450</v>
      </c>
      <c r="D1690" s="22"/>
      <c r="E1690" s="21" t="s">
        <v>10</v>
      </c>
      <c r="F1690" s="21"/>
      <c r="G1690" s="147" t="s">
        <v>6347</v>
      </c>
      <c r="H1690" s="23" t="s">
        <v>4449</v>
      </c>
      <c r="I1690" s="23" t="s">
        <v>8018</v>
      </c>
      <c r="J1690" s="21" t="s">
        <v>4450</v>
      </c>
      <c r="K1690" s="21"/>
      <c r="L1690" s="21" t="s">
        <v>4500</v>
      </c>
      <c r="M1690" s="26">
        <v>44244</v>
      </c>
      <c r="N1690" s="44">
        <v>4790</v>
      </c>
      <c r="O1690" s="22" t="s">
        <v>15</v>
      </c>
      <c r="P1690" s="22" t="s">
        <v>19</v>
      </c>
      <c r="Q1690" s="44">
        <f t="shared" si="104"/>
        <v>0</v>
      </c>
      <c r="R1690" s="24">
        <f t="shared" si="107"/>
        <v>4790</v>
      </c>
      <c r="S1690" s="5"/>
      <c r="T1690" s="5"/>
    </row>
    <row r="1691" spans="2:20" ht="15.75" hidden="1" x14ac:dyDescent="0.25">
      <c r="B1691" s="21" t="s">
        <v>395</v>
      </c>
      <c r="C1691" s="22" t="s">
        <v>2450</v>
      </c>
      <c r="D1691" s="22" t="s">
        <v>4790</v>
      </c>
      <c r="E1691" s="21" t="s">
        <v>10</v>
      </c>
      <c r="F1691" s="21"/>
      <c r="G1691" s="147" t="s">
        <v>6347</v>
      </c>
      <c r="H1691" s="23" t="s">
        <v>4791</v>
      </c>
      <c r="I1691" s="23"/>
      <c r="J1691" s="21" t="s">
        <v>4789</v>
      </c>
      <c r="K1691" s="21"/>
      <c r="L1691" s="21" t="s">
        <v>4792</v>
      </c>
      <c r="M1691" s="26">
        <v>44245</v>
      </c>
      <c r="N1691" s="44">
        <v>12150</v>
      </c>
      <c r="O1691" s="22" t="s">
        <v>15</v>
      </c>
      <c r="P1691" s="22" t="s">
        <v>19</v>
      </c>
      <c r="Q1691" s="44">
        <f t="shared" si="104"/>
        <v>0</v>
      </c>
      <c r="R1691" s="24">
        <f t="shared" si="107"/>
        <v>12150</v>
      </c>
      <c r="S1691" s="5"/>
      <c r="T1691" s="5"/>
    </row>
    <row r="1692" spans="2:20" ht="15.75" hidden="1" x14ac:dyDescent="0.25">
      <c r="B1692" s="21" t="s">
        <v>395</v>
      </c>
      <c r="C1692" s="22" t="s">
        <v>2450</v>
      </c>
      <c r="D1692" s="22"/>
      <c r="E1692" s="21" t="s">
        <v>10</v>
      </c>
      <c r="F1692" s="21"/>
      <c r="G1692" s="147" t="s">
        <v>6347</v>
      </c>
      <c r="H1692" s="23" t="s">
        <v>5001</v>
      </c>
      <c r="I1692" s="23" t="s">
        <v>8042</v>
      </c>
      <c r="J1692" s="21" t="s">
        <v>5002</v>
      </c>
      <c r="K1692" s="21"/>
      <c r="L1692" s="21" t="s">
        <v>5095</v>
      </c>
      <c r="M1692" s="26">
        <v>44340</v>
      </c>
      <c r="N1692" s="44">
        <v>8250</v>
      </c>
      <c r="O1692" s="22" t="s">
        <v>15</v>
      </c>
      <c r="P1692" s="22" t="s">
        <v>19</v>
      </c>
      <c r="Q1692" s="44">
        <f t="shared" si="104"/>
        <v>0</v>
      </c>
      <c r="R1692" s="24">
        <f t="shared" si="107"/>
        <v>8250</v>
      </c>
      <c r="S1692" s="5"/>
      <c r="T1692" s="5"/>
    </row>
    <row r="1693" spans="2:20" ht="15.75" hidden="1" x14ac:dyDescent="0.25">
      <c r="B1693" s="21" t="s">
        <v>395</v>
      </c>
      <c r="C1693" s="22" t="s">
        <v>2450</v>
      </c>
      <c r="D1693" s="22"/>
      <c r="E1693" s="21" t="s">
        <v>10</v>
      </c>
      <c r="F1693" s="21"/>
      <c r="G1693" s="147" t="s">
        <v>6347</v>
      </c>
      <c r="H1693" s="23" t="s">
        <v>5004</v>
      </c>
      <c r="I1693" s="23" t="s">
        <v>8044</v>
      </c>
      <c r="J1693" s="21" t="s">
        <v>5005</v>
      </c>
      <c r="K1693" s="21"/>
      <c r="L1693" s="21" t="s">
        <v>5094</v>
      </c>
      <c r="M1693" s="26">
        <v>44340</v>
      </c>
      <c r="N1693" s="44">
        <v>5500</v>
      </c>
      <c r="O1693" s="22" t="s">
        <v>15</v>
      </c>
      <c r="P1693" s="22" t="s">
        <v>19</v>
      </c>
      <c r="Q1693" s="44">
        <f t="shared" si="104"/>
        <v>0</v>
      </c>
      <c r="R1693" s="24">
        <f t="shared" si="107"/>
        <v>5500</v>
      </c>
      <c r="S1693" s="5"/>
      <c r="T1693" s="5"/>
    </row>
    <row r="1694" spans="2:20" ht="15.75" hidden="1" x14ac:dyDescent="0.25">
      <c r="B1694" s="21" t="s">
        <v>395</v>
      </c>
      <c r="C1694" s="22" t="s">
        <v>1940</v>
      </c>
      <c r="D1694" s="22"/>
      <c r="E1694" s="21" t="s">
        <v>75</v>
      </c>
      <c r="F1694" s="21"/>
      <c r="G1694" s="147" t="s">
        <v>6347</v>
      </c>
      <c r="H1694" s="23" t="s">
        <v>5726</v>
      </c>
      <c r="I1694" s="23" t="s">
        <v>8094</v>
      </c>
      <c r="J1694" s="21" t="s">
        <v>5725</v>
      </c>
      <c r="K1694" s="21"/>
      <c r="L1694" s="21" t="s">
        <v>5736</v>
      </c>
      <c r="M1694" s="26">
        <v>44452</v>
      </c>
      <c r="N1694" s="44">
        <v>500</v>
      </c>
      <c r="O1694" s="22" t="s">
        <v>15</v>
      </c>
      <c r="P1694" s="22">
        <v>500</v>
      </c>
      <c r="Q1694" s="44">
        <f t="shared" si="104"/>
        <v>0</v>
      </c>
      <c r="R1694" s="24">
        <f t="shared" si="107"/>
        <v>500</v>
      </c>
      <c r="S1694" s="5"/>
      <c r="T1694" s="5"/>
    </row>
    <row r="1695" spans="2:20" ht="15.75" hidden="1" x14ac:dyDescent="0.25">
      <c r="B1695" s="21" t="s">
        <v>395</v>
      </c>
      <c r="C1695" s="22" t="s">
        <v>2450</v>
      </c>
      <c r="D1695" s="22" t="s">
        <v>5830</v>
      </c>
      <c r="E1695" s="21" t="s">
        <v>10</v>
      </c>
      <c r="F1695" s="21"/>
      <c r="G1695" s="147" t="s">
        <v>6347</v>
      </c>
      <c r="H1695" s="23" t="s">
        <v>4731</v>
      </c>
      <c r="I1695" s="23" t="s">
        <v>7998</v>
      </c>
      <c r="J1695" s="21" t="s">
        <v>4621</v>
      </c>
      <c r="K1695" s="21"/>
      <c r="L1695" s="21" t="s">
        <v>4799</v>
      </c>
      <c r="M1695" s="26">
        <v>44300</v>
      </c>
      <c r="N1695" s="44">
        <f>0.1*17800</f>
        <v>1780</v>
      </c>
      <c r="O1695" s="22" t="s">
        <v>15</v>
      </c>
      <c r="P1695" s="22" t="s">
        <v>19</v>
      </c>
      <c r="Q1695" s="44">
        <f t="shared" si="104"/>
        <v>0</v>
      </c>
      <c r="R1695" s="24">
        <f t="shared" si="107"/>
        <v>1780</v>
      </c>
      <c r="S1695" s="5" t="s">
        <v>4797</v>
      </c>
      <c r="T1695" s="5"/>
    </row>
    <row r="1696" spans="2:20" ht="15.75" hidden="1" x14ac:dyDescent="0.25">
      <c r="B1696" s="21" t="s">
        <v>395</v>
      </c>
      <c r="C1696" s="22" t="s">
        <v>2450</v>
      </c>
      <c r="D1696" s="22" t="s">
        <v>5830</v>
      </c>
      <c r="E1696" s="21" t="s">
        <v>10</v>
      </c>
      <c r="F1696" s="21"/>
      <c r="G1696" s="147" t="s">
        <v>6347</v>
      </c>
      <c r="H1696" s="23" t="s">
        <v>4731</v>
      </c>
      <c r="I1696" s="23" t="s">
        <v>7998</v>
      </c>
      <c r="J1696" s="21" t="s">
        <v>4622</v>
      </c>
      <c r="K1696" s="21"/>
      <c r="L1696" s="21" t="s">
        <v>4800</v>
      </c>
      <c r="M1696" s="26">
        <v>44300</v>
      </c>
      <c r="N1696" s="44">
        <f>0.4*17800</f>
        <v>7120</v>
      </c>
      <c r="O1696" s="22" t="s">
        <v>15</v>
      </c>
      <c r="P1696" s="22" t="s">
        <v>19</v>
      </c>
      <c r="Q1696" s="44">
        <f t="shared" si="104"/>
        <v>0</v>
      </c>
      <c r="R1696" s="24">
        <f t="shared" si="107"/>
        <v>7120</v>
      </c>
      <c r="S1696" s="5" t="s">
        <v>4797</v>
      </c>
      <c r="T1696" s="5"/>
    </row>
    <row r="1697" spans="1:20" ht="15.75" hidden="1" x14ac:dyDescent="0.25">
      <c r="B1697" s="21" t="s">
        <v>395</v>
      </c>
      <c r="C1697" s="22" t="s">
        <v>2450</v>
      </c>
      <c r="D1697" s="22" t="s">
        <v>5830</v>
      </c>
      <c r="E1697" s="21" t="s">
        <v>10</v>
      </c>
      <c r="F1697" s="21"/>
      <c r="G1697" s="147" t="s">
        <v>6347</v>
      </c>
      <c r="H1697" s="23" t="s">
        <v>4731</v>
      </c>
      <c r="I1697" s="23" t="s">
        <v>7998</v>
      </c>
      <c r="J1697" s="21" t="s">
        <v>4623</v>
      </c>
      <c r="K1697" s="21"/>
      <c r="L1697" s="21" t="s">
        <v>5309</v>
      </c>
      <c r="M1697" s="26">
        <v>44371</v>
      </c>
      <c r="N1697" s="44">
        <f>0.5*17800</f>
        <v>8900</v>
      </c>
      <c r="O1697" s="22" t="s">
        <v>15</v>
      </c>
      <c r="P1697" s="22" t="s">
        <v>19</v>
      </c>
      <c r="Q1697" s="44">
        <f t="shared" si="104"/>
        <v>0</v>
      </c>
      <c r="R1697" s="24">
        <f t="shared" si="107"/>
        <v>8900</v>
      </c>
      <c r="S1697" s="5" t="s">
        <v>4797</v>
      </c>
      <c r="T1697" s="5"/>
    </row>
    <row r="1698" spans="1:20" ht="15.75" hidden="1" x14ac:dyDescent="0.25">
      <c r="B1698" s="21" t="s">
        <v>395</v>
      </c>
      <c r="C1698" s="22" t="s">
        <v>2450</v>
      </c>
      <c r="D1698" s="22" t="s">
        <v>5830</v>
      </c>
      <c r="E1698" s="21" t="s">
        <v>10</v>
      </c>
      <c r="F1698" s="21"/>
      <c r="G1698" s="147" t="s">
        <v>6347</v>
      </c>
      <c r="H1698" s="23" t="s">
        <v>4732</v>
      </c>
      <c r="I1698" s="23" t="s">
        <v>7998</v>
      </c>
      <c r="J1698" s="21" t="s">
        <v>4624</v>
      </c>
      <c r="K1698" s="21" t="s">
        <v>3062</v>
      </c>
      <c r="L1698" s="21" t="s">
        <v>5410</v>
      </c>
      <c r="M1698" s="26">
        <v>44396</v>
      </c>
      <c r="N1698" s="44">
        <v>7010</v>
      </c>
      <c r="O1698" s="22" t="s">
        <v>15</v>
      </c>
      <c r="P1698" s="44">
        <v>7010</v>
      </c>
      <c r="Q1698" s="44">
        <f t="shared" ref="Q1698:Q1761" si="108">IF(P1698="en cours",N1698,IF(P1698="OK",0,IF(N1698-P1698&lt;0,0,N1698-P1698)))</f>
        <v>0</v>
      </c>
      <c r="R1698" s="24">
        <f t="shared" si="107"/>
        <v>7010</v>
      </c>
      <c r="S1698" s="5" t="s">
        <v>4797</v>
      </c>
      <c r="T1698" s="5"/>
    </row>
    <row r="1699" spans="1:20" ht="15.75" hidden="1" x14ac:dyDescent="0.25">
      <c r="B1699" s="21" t="s">
        <v>395</v>
      </c>
      <c r="C1699" s="22" t="s">
        <v>2450</v>
      </c>
      <c r="D1699" s="22" t="s">
        <v>5831</v>
      </c>
      <c r="E1699" s="21" t="s">
        <v>10</v>
      </c>
      <c r="F1699" s="21"/>
      <c r="G1699" s="147" t="s">
        <v>6347</v>
      </c>
      <c r="H1699" s="23" t="s">
        <v>5827</v>
      </c>
      <c r="I1699" s="23" t="s">
        <v>7998</v>
      </c>
      <c r="J1699" s="21" t="s">
        <v>4629</v>
      </c>
      <c r="K1699" s="21" t="s">
        <v>3062</v>
      </c>
      <c r="L1699" s="21" t="s">
        <v>7174</v>
      </c>
      <c r="M1699" s="26" t="s">
        <v>7176</v>
      </c>
      <c r="N1699" s="44">
        <f>32388</f>
        <v>32388</v>
      </c>
      <c r="O1699" s="22" t="s">
        <v>15</v>
      </c>
      <c r="P1699" s="44">
        <f>19632-7010+4550+27838</f>
        <v>45010</v>
      </c>
      <c r="Q1699" s="44">
        <f t="shared" si="108"/>
        <v>0</v>
      </c>
      <c r="R1699" s="24">
        <f t="shared" si="107"/>
        <v>45010</v>
      </c>
      <c r="S1699" s="5" t="s">
        <v>4797</v>
      </c>
      <c r="T1699" s="5"/>
    </row>
    <row r="1700" spans="1:20" ht="15.75" hidden="1" x14ac:dyDescent="0.25">
      <c r="B1700" s="21" t="s">
        <v>395</v>
      </c>
      <c r="C1700" s="22" t="s">
        <v>2450</v>
      </c>
      <c r="D1700" s="22" t="s">
        <v>5831</v>
      </c>
      <c r="E1700" s="21" t="s">
        <v>10</v>
      </c>
      <c r="F1700" s="21"/>
      <c r="G1700" s="147" t="s">
        <v>6347</v>
      </c>
      <c r="H1700" s="23" t="s">
        <v>5828</v>
      </c>
      <c r="I1700" s="23" t="s">
        <v>8001</v>
      </c>
      <c r="J1700" s="21" t="s">
        <v>5826</v>
      </c>
      <c r="K1700" s="21" t="s">
        <v>6789</v>
      </c>
      <c r="L1700" s="21" t="s">
        <v>7175</v>
      </c>
      <c r="M1700" s="26">
        <v>44839</v>
      </c>
      <c r="N1700" s="44">
        <v>6942</v>
      </c>
      <c r="O1700" s="22" t="s">
        <v>15</v>
      </c>
      <c r="P1700" s="22">
        <v>6942</v>
      </c>
      <c r="Q1700" s="44">
        <f t="shared" si="108"/>
        <v>0</v>
      </c>
      <c r="R1700" s="24">
        <f t="shared" si="107"/>
        <v>6942</v>
      </c>
      <c r="S1700" s="5" t="s">
        <v>4797</v>
      </c>
      <c r="T1700" s="5"/>
    </row>
    <row r="1701" spans="1:20" ht="15.75" hidden="1" x14ac:dyDescent="0.25">
      <c r="B1701" s="21" t="s">
        <v>395</v>
      </c>
      <c r="C1701" s="22" t="s">
        <v>2450</v>
      </c>
      <c r="D1701" s="22" t="s">
        <v>4151</v>
      </c>
      <c r="E1701" s="21" t="s">
        <v>10</v>
      </c>
      <c r="F1701" s="21"/>
      <c r="G1701" s="147" t="s">
        <v>6347</v>
      </c>
      <c r="H1701" s="23" t="s">
        <v>4626</v>
      </c>
      <c r="I1701" s="23" t="s">
        <v>8003</v>
      </c>
      <c r="J1701" s="21" t="s">
        <v>4627</v>
      </c>
      <c r="K1701" s="21"/>
      <c r="L1701" s="21" t="s">
        <v>6311</v>
      </c>
      <c r="M1701" s="23" t="s">
        <v>6312</v>
      </c>
      <c r="N1701" s="44">
        <v>17300</v>
      </c>
      <c r="O1701" s="22" t="s">
        <v>15</v>
      </c>
      <c r="P1701" s="22">
        <v>17300</v>
      </c>
      <c r="Q1701" s="44">
        <f t="shared" si="108"/>
        <v>0</v>
      </c>
      <c r="R1701" s="24">
        <f t="shared" si="107"/>
        <v>17300</v>
      </c>
      <c r="S1701" s="5" t="s">
        <v>4797</v>
      </c>
      <c r="T1701" s="5"/>
    </row>
    <row r="1702" spans="1:20" ht="15.75" hidden="1" x14ac:dyDescent="0.25">
      <c r="B1702" s="21" t="s">
        <v>395</v>
      </c>
      <c r="C1702" s="22" t="s">
        <v>2450</v>
      </c>
      <c r="D1702" s="22" t="s">
        <v>4151</v>
      </c>
      <c r="E1702" s="21" t="s">
        <v>10</v>
      </c>
      <c r="F1702" s="21"/>
      <c r="G1702" s="147" t="s">
        <v>6347</v>
      </c>
      <c r="H1702" s="23" t="s">
        <v>4625</v>
      </c>
      <c r="I1702" s="23" t="s">
        <v>8003</v>
      </c>
      <c r="J1702" s="21" t="s">
        <v>4798</v>
      </c>
      <c r="K1702" s="21"/>
      <c r="L1702" s="21" t="s">
        <v>4497</v>
      </c>
      <c r="M1702" s="26">
        <v>44245</v>
      </c>
      <c r="N1702" s="44">
        <v>9700</v>
      </c>
      <c r="O1702" s="22" t="s">
        <v>15</v>
      </c>
      <c r="P1702" s="22" t="s">
        <v>19</v>
      </c>
      <c r="Q1702" s="44">
        <f t="shared" si="108"/>
        <v>0</v>
      </c>
      <c r="R1702" s="24">
        <f t="shared" si="107"/>
        <v>9700</v>
      </c>
      <c r="S1702" s="5"/>
      <c r="T1702" s="5"/>
    </row>
    <row r="1703" spans="1:20" ht="15.75" hidden="1" x14ac:dyDescent="0.25">
      <c r="B1703" s="21" t="s">
        <v>395</v>
      </c>
      <c r="C1703" s="22" t="s">
        <v>2450</v>
      </c>
      <c r="D1703" s="22"/>
      <c r="E1703" s="21" t="s">
        <v>10</v>
      </c>
      <c r="F1703" s="21"/>
      <c r="G1703" s="147" t="s">
        <v>6347</v>
      </c>
      <c r="H1703" s="23" t="s">
        <v>5037</v>
      </c>
      <c r="I1703" s="23" t="s">
        <v>8046</v>
      </c>
      <c r="J1703" s="21" t="s">
        <v>5038</v>
      </c>
      <c r="K1703" s="21"/>
      <c r="L1703" s="21" t="s">
        <v>5454</v>
      </c>
      <c r="M1703" s="26">
        <v>44399</v>
      </c>
      <c r="N1703" s="44">
        <f>0.5*7400</f>
        <v>3700</v>
      </c>
      <c r="O1703" s="22" t="s">
        <v>15</v>
      </c>
      <c r="P1703" s="22">
        <v>3700</v>
      </c>
      <c r="Q1703" s="44">
        <f t="shared" si="108"/>
        <v>0</v>
      </c>
      <c r="R1703" s="24">
        <f t="shared" si="107"/>
        <v>3700</v>
      </c>
      <c r="S1703" s="5"/>
      <c r="T1703" s="5"/>
    </row>
    <row r="1704" spans="1:20" ht="15.75" hidden="1" x14ac:dyDescent="0.25">
      <c r="B1704" s="21" t="s">
        <v>395</v>
      </c>
      <c r="C1704" s="22" t="s">
        <v>2450</v>
      </c>
      <c r="D1704" s="22"/>
      <c r="E1704" s="21" t="s">
        <v>10</v>
      </c>
      <c r="F1704" s="21"/>
      <c r="G1704" s="147" t="s">
        <v>6347</v>
      </c>
      <c r="H1704" s="23" t="s">
        <v>5037</v>
      </c>
      <c r="I1704" s="23" t="s">
        <v>8046</v>
      </c>
      <c r="J1704" s="21" t="s">
        <v>5039</v>
      </c>
      <c r="K1704" s="21"/>
      <c r="L1704" s="21" t="s">
        <v>7396</v>
      </c>
      <c r="M1704" s="26">
        <v>44916</v>
      </c>
      <c r="N1704" s="44">
        <f>0.5*7400</f>
        <v>3700</v>
      </c>
      <c r="O1704" s="22" t="s">
        <v>15</v>
      </c>
      <c r="P1704" s="22">
        <v>3700</v>
      </c>
      <c r="Q1704" s="44">
        <f t="shared" si="108"/>
        <v>0</v>
      </c>
      <c r="R1704" s="24">
        <f t="shared" si="107"/>
        <v>3700</v>
      </c>
      <c r="S1704" s="5"/>
      <c r="T1704" s="5"/>
    </row>
    <row r="1705" spans="1:20" ht="15.75" hidden="1" x14ac:dyDescent="0.25">
      <c r="B1705" s="21" t="s">
        <v>395</v>
      </c>
      <c r="C1705" s="22" t="s">
        <v>158</v>
      </c>
      <c r="D1705" s="22"/>
      <c r="E1705" s="21" t="s">
        <v>10</v>
      </c>
      <c r="F1705" s="21"/>
      <c r="G1705" s="147" t="s">
        <v>8553</v>
      </c>
      <c r="H1705" s="23" t="s">
        <v>10148</v>
      </c>
      <c r="I1705" s="23" t="s">
        <v>10149</v>
      </c>
      <c r="J1705" s="21" t="s">
        <v>8554</v>
      </c>
      <c r="K1705" s="21"/>
      <c r="L1705" s="21" t="s">
        <v>10150</v>
      </c>
      <c r="M1705" s="26">
        <v>45131</v>
      </c>
      <c r="N1705" s="44">
        <v>4100</v>
      </c>
      <c r="O1705" s="22" t="s">
        <v>15</v>
      </c>
      <c r="P1705" s="44">
        <v>4100</v>
      </c>
      <c r="Q1705" s="44">
        <f t="shared" si="108"/>
        <v>0</v>
      </c>
      <c r="R1705" s="116">
        <f t="shared" si="107"/>
        <v>4100</v>
      </c>
      <c r="S1705" s="5"/>
      <c r="T1705" s="5"/>
    </row>
    <row r="1706" spans="1:20" ht="15.75" hidden="1" x14ac:dyDescent="0.25">
      <c r="A1706" t="s">
        <v>6753</v>
      </c>
      <c r="B1706" s="21" t="s">
        <v>395</v>
      </c>
      <c r="C1706" s="22" t="s">
        <v>2450</v>
      </c>
      <c r="D1706" s="22"/>
      <c r="E1706" s="21" t="s">
        <v>10</v>
      </c>
      <c r="F1706" s="21"/>
      <c r="G1706" s="147" t="s">
        <v>223</v>
      </c>
      <c r="H1706" s="23" t="s">
        <v>224</v>
      </c>
      <c r="I1706" s="23"/>
      <c r="J1706" s="21" t="s">
        <v>220</v>
      </c>
      <c r="K1706" s="21"/>
      <c r="L1706" s="21"/>
      <c r="M1706" s="46">
        <v>43109</v>
      </c>
      <c r="N1706" s="44">
        <v>4200</v>
      </c>
      <c r="O1706" s="22" t="s">
        <v>225</v>
      </c>
      <c r="P1706" s="22" t="s">
        <v>19</v>
      </c>
      <c r="Q1706" s="24">
        <f t="shared" si="108"/>
        <v>0</v>
      </c>
      <c r="R1706" s="24">
        <f t="shared" si="107"/>
        <v>4200</v>
      </c>
      <c r="S1706" s="5"/>
      <c r="T1706" s="5"/>
    </row>
    <row r="1707" spans="1:20" ht="15.75" hidden="1" x14ac:dyDescent="0.25">
      <c r="A1707" t="s">
        <v>6753</v>
      </c>
      <c r="B1707" s="21" t="s">
        <v>395</v>
      </c>
      <c r="C1707" s="22" t="s">
        <v>2450</v>
      </c>
      <c r="D1707" s="22"/>
      <c r="E1707" s="21" t="s">
        <v>10</v>
      </c>
      <c r="F1707" s="21"/>
      <c r="G1707" s="147" t="s">
        <v>223</v>
      </c>
      <c r="H1707" s="23" t="s">
        <v>224</v>
      </c>
      <c r="I1707" s="23"/>
      <c r="J1707" s="21" t="s">
        <v>221</v>
      </c>
      <c r="K1707" s="21"/>
      <c r="L1707" s="21"/>
      <c r="M1707" s="46">
        <v>43109</v>
      </c>
      <c r="N1707" s="44">
        <v>4680</v>
      </c>
      <c r="O1707" s="22" t="s">
        <v>225</v>
      </c>
      <c r="P1707" s="22" t="s">
        <v>19</v>
      </c>
      <c r="Q1707" s="24">
        <f t="shared" si="108"/>
        <v>0</v>
      </c>
      <c r="R1707" s="24">
        <f t="shared" si="107"/>
        <v>4680</v>
      </c>
      <c r="S1707" s="5"/>
      <c r="T1707" s="5"/>
    </row>
    <row r="1708" spans="1:20" ht="15.75" hidden="1" x14ac:dyDescent="0.25">
      <c r="A1708" t="s">
        <v>6753</v>
      </c>
      <c r="B1708" s="21" t="s">
        <v>395</v>
      </c>
      <c r="C1708" s="22" t="s">
        <v>2450</v>
      </c>
      <c r="D1708" s="22"/>
      <c r="E1708" s="21" t="s">
        <v>10</v>
      </c>
      <c r="F1708" s="21"/>
      <c r="G1708" s="147" t="s">
        <v>223</v>
      </c>
      <c r="H1708" s="23" t="s">
        <v>224</v>
      </c>
      <c r="I1708" s="23"/>
      <c r="J1708" s="21" t="s">
        <v>222</v>
      </c>
      <c r="K1708" s="21"/>
      <c r="L1708" s="21"/>
      <c r="M1708" s="46">
        <v>43109</v>
      </c>
      <c r="N1708" s="44">
        <v>2664</v>
      </c>
      <c r="O1708" s="22" t="s">
        <v>225</v>
      </c>
      <c r="P1708" s="22" t="s">
        <v>19</v>
      </c>
      <c r="Q1708" s="24">
        <f t="shared" si="108"/>
        <v>0</v>
      </c>
      <c r="R1708" s="24">
        <f t="shared" si="107"/>
        <v>2664</v>
      </c>
      <c r="S1708" s="5"/>
      <c r="T1708" s="5"/>
    </row>
    <row r="1709" spans="1:20" ht="15.75" hidden="1" x14ac:dyDescent="0.25">
      <c r="A1709" t="s">
        <v>6753</v>
      </c>
      <c r="B1709" s="21" t="s">
        <v>395</v>
      </c>
      <c r="C1709" s="22" t="s">
        <v>2450</v>
      </c>
      <c r="D1709" s="22"/>
      <c r="E1709" s="21" t="s">
        <v>10</v>
      </c>
      <c r="F1709" s="21"/>
      <c r="G1709" s="147" t="s">
        <v>110</v>
      </c>
      <c r="H1709" s="23" t="s">
        <v>1698</v>
      </c>
      <c r="I1709" s="23" t="s">
        <v>7866</v>
      </c>
      <c r="J1709" s="21" t="s">
        <v>1737</v>
      </c>
      <c r="K1709" s="120"/>
      <c r="L1709" s="21" t="s">
        <v>1927</v>
      </c>
      <c r="M1709" s="26">
        <v>43654</v>
      </c>
      <c r="N1709" s="44">
        <f>0.67*6800</f>
        <v>4556</v>
      </c>
      <c r="O1709" s="22" t="s">
        <v>15</v>
      </c>
      <c r="P1709" s="22" t="s">
        <v>19</v>
      </c>
      <c r="Q1709" s="24">
        <f t="shared" si="108"/>
        <v>0</v>
      </c>
      <c r="R1709" s="24">
        <f t="shared" si="107"/>
        <v>4556</v>
      </c>
      <c r="S1709" s="5" t="s">
        <v>1771</v>
      </c>
      <c r="T1709" s="5"/>
    </row>
    <row r="1710" spans="1:20" ht="15.75" hidden="1" x14ac:dyDescent="0.25">
      <c r="A1710" t="s">
        <v>6753</v>
      </c>
      <c r="B1710" s="21" t="s">
        <v>395</v>
      </c>
      <c r="C1710" s="22" t="s">
        <v>2450</v>
      </c>
      <c r="D1710" s="22"/>
      <c r="E1710" s="21" t="s">
        <v>10</v>
      </c>
      <c r="F1710" s="21"/>
      <c r="G1710" s="147" t="s">
        <v>110</v>
      </c>
      <c r="H1710" s="23" t="s">
        <v>1698</v>
      </c>
      <c r="I1710" s="23" t="s">
        <v>7866</v>
      </c>
      <c r="J1710" s="21" t="s">
        <v>1738</v>
      </c>
      <c r="K1710" s="120"/>
      <c r="L1710" s="120" t="s">
        <v>4684</v>
      </c>
      <c r="M1710" s="26">
        <v>44279</v>
      </c>
      <c r="N1710" s="44">
        <f>0.33*6800</f>
        <v>2244</v>
      </c>
      <c r="O1710" s="22" t="s">
        <v>15</v>
      </c>
      <c r="P1710" s="44" t="s">
        <v>19</v>
      </c>
      <c r="Q1710" s="24">
        <f t="shared" si="108"/>
        <v>0</v>
      </c>
      <c r="R1710" s="24">
        <f t="shared" si="107"/>
        <v>2244</v>
      </c>
      <c r="S1710" s="5"/>
      <c r="T1710" s="5"/>
    </row>
    <row r="1711" spans="1:20" ht="15.75" hidden="1" x14ac:dyDescent="0.25">
      <c r="A1711" t="s">
        <v>6753</v>
      </c>
      <c r="B1711" s="21" t="s">
        <v>395</v>
      </c>
      <c r="C1711" s="22" t="s">
        <v>2450</v>
      </c>
      <c r="D1711" s="22"/>
      <c r="E1711" s="21" t="s">
        <v>10</v>
      </c>
      <c r="F1711" s="21"/>
      <c r="G1711" s="147" t="s">
        <v>110</v>
      </c>
      <c r="H1711" s="23" t="s">
        <v>1839</v>
      </c>
      <c r="I1711" s="23"/>
      <c r="J1711" s="21" t="s">
        <v>1840</v>
      </c>
      <c r="K1711" s="120"/>
      <c r="L1711" s="21" t="s">
        <v>2188</v>
      </c>
      <c r="M1711" s="26">
        <v>43663</v>
      </c>
      <c r="N1711" s="44">
        <v>800</v>
      </c>
      <c r="O1711" s="22" t="s">
        <v>15</v>
      </c>
      <c r="P1711" s="44" t="s">
        <v>19</v>
      </c>
      <c r="Q1711" s="24">
        <f t="shared" si="108"/>
        <v>0</v>
      </c>
      <c r="R1711" s="24">
        <f t="shared" si="107"/>
        <v>800</v>
      </c>
      <c r="S1711" s="5"/>
      <c r="T1711" s="5"/>
    </row>
    <row r="1712" spans="1:20" ht="15.75" hidden="1" x14ac:dyDescent="0.25">
      <c r="A1712" t="s">
        <v>6753</v>
      </c>
      <c r="B1712" s="21" t="s">
        <v>395</v>
      </c>
      <c r="C1712" s="22" t="s">
        <v>2450</v>
      </c>
      <c r="D1712" s="22"/>
      <c r="E1712" s="21" t="s">
        <v>10</v>
      </c>
      <c r="F1712" s="21"/>
      <c r="G1712" s="147" t="s">
        <v>110</v>
      </c>
      <c r="H1712" s="23" t="s">
        <v>1814</v>
      </c>
      <c r="I1712" s="23" t="s">
        <v>7874</v>
      </c>
      <c r="J1712" s="21" t="s">
        <v>1812</v>
      </c>
      <c r="K1712" s="120"/>
      <c r="L1712" s="21" t="s">
        <v>2188</v>
      </c>
      <c r="M1712" s="26">
        <v>43663</v>
      </c>
      <c r="N1712" s="44">
        <v>800</v>
      </c>
      <c r="O1712" s="22" t="s">
        <v>15</v>
      </c>
      <c r="P1712" s="44" t="s">
        <v>19</v>
      </c>
      <c r="Q1712" s="24">
        <f t="shared" si="108"/>
        <v>0</v>
      </c>
      <c r="R1712" s="24">
        <f t="shared" si="107"/>
        <v>800</v>
      </c>
      <c r="S1712" s="5"/>
      <c r="T1712" s="5"/>
    </row>
    <row r="1713" spans="1:20" ht="15.75" hidden="1" x14ac:dyDescent="0.25">
      <c r="A1713" t="s">
        <v>6753</v>
      </c>
      <c r="B1713" s="21" t="s">
        <v>395</v>
      </c>
      <c r="C1713" s="22" t="s">
        <v>2450</v>
      </c>
      <c r="D1713" s="22"/>
      <c r="E1713" s="21" t="s">
        <v>10</v>
      </c>
      <c r="F1713" s="21"/>
      <c r="G1713" s="147" t="s">
        <v>110</v>
      </c>
      <c r="H1713" s="23" t="s">
        <v>1813</v>
      </c>
      <c r="I1713" s="23" t="s">
        <v>7873</v>
      </c>
      <c r="J1713" s="21" t="s">
        <v>1811</v>
      </c>
      <c r="K1713" s="120"/>
      <c r="L1713" s="21" t="s">
        <v>2187</v>
      </c>
      <c r="M1713" s="26">
        <v>43663</v>
      </c>
      <c r="N1713" s="44">
        <v>800</v>
      </c>
      <c r="O1713" s="22" t="s">
        <v>15</v>
      </c>
      <c r="P1713" s="44" t="s">
        <v>19</v>
      </c>
      <c r="Q1713" s="24">
        <f t="shared" si="108"/>
        <v>0</v>
      </c>
      <c r="R1713" s="24">
        <f t="shared" si="107"/>
        <v>800</v>
      </c>
      <c r="S1713" s="5"/>
      <c r="T1713" s="5"/>
    </row>
    <row r="1714" spans="1:20" ht="15.75" hidden="1" x14ac:dyDescent="0.25">
      <c r="A1714" t="s">
        <v>6753</v>
      </c>
      <c r="B1714" s="21" t="s">
        <v>395</v>
      </c>
      <c r="C1714" s="22" t="s">
        <v>2450</v>
      </c>
      <c r="D1714" s="22" t="s">
        <v>1451</v>
      </c>
      <c r="E1714" s="21" t="s">
        <v>10</v>
      </c>
      <c r="F1714" s="21"/>
      <c r="G1714" s="147" t="s">
        <v>2973</v>
      </c>
      <c r="H1714" s="23" t="s">
        <v>3659</v>
      </c>
      <c r="I1714" s="23" t="s">
        <v>7954</v>
      </c>
      <c r="J1714" s="21" t="s">
        <v>3660</v>
      </c>
      <c r="K1714" s="120"/>
      <c r="L1714" s="21" t="s">
        <v>3806</v>
      </c>
      <c r="M1714" s="26">
        <v>44077</v>
      </c>
      <c r="N1714" s="44">
        <v>10450</v>
      </c>
      <c r="O1714" s="22" t="s">
        <v>15</v>
      </c>
      <c r="P1714" s="22" t="s">
        <v>19</v>
      </c>
      <c r="Q1714" s="44">
        <f t="shared" si="108"/>
        <v>0</v>
      </c>
      <c r="R1714" s="24">
        <f t="shared" si="107"/>
        <v>10450</v>
      </c>
      <c r="S1714" s="5"/>
      <c r="T1714" s="5"/>
    </row>
    <row r="1715" spans="1:20" ht="15.75" hidden="1" x14ac:dyDescent="0.25">
      <c r="A1715" t="s">
        <v>6753</v>
      </c>
      <c r="B1715" s="21" t="s">
        <v>395</v>
      </c>
      <c r="C1715" s="22" t="s">
        <v>2450</v>
      </c>
      <c r="D1715" s="22" t="s">
        <v>4638</v>
      </c>
      <c r="E1715" s="21" t="s">
        <v>10</v>
      </c>
      <c r="F1715" s="21"/>
      <c r="G1715" s="147" t="s">
        <v>2973</v>
      </c>
      <c r="H1715" s="23" t="s">
        <v>5614</v>
      </c>
      <c r="I1715" s="23" t="s">
        <v>7999</v>
      </c>
      <c r="J1715" s="21" t="s">
        <v>5453</v>
      </c>
      <c r="K1715" s="21"/>
      <c r="L1715" s="21" t="s">
        <v>5635</v>
      </c>
      <c r="M1715" s="26">
        <v>44439</v>
      </c>
      <c r="N1715" s="99">
        <v>9600</v>
      </c>
      <c r="O1715" s="22" t="s">
        <v>15</v>
      </c>
      <c r="P1715" s="22">
        <v>9600</v>
      </c>
      <c r="Q1715" s="44">
        <f t="shared" si="108"/>
        <v>0</v>
      </c>
      <c r="R1715" s="24">
        <f t="shared" si="107"/>
        <v>9600</v>
      </c>
      <c r="S1715" s="5" t="s">
        <v>4788</v>
      </c>
      <c r="T1715" s="5"/>
    </row>
    <row r="1716" spans="1:20" ht="15.75" hidden="1" x14ac:dyDescent="0.25">
      <c r="A1716" t="s">
        <v>6753</v>
      </c>
      <c r="B1716" s="21" t="s">
        <v>395</v>
      </c>
      <c r="C1716" s="22" t="s">
        <v>2450</v>
      </c>
      <c r="D1716" s="22" t="s">
        <v>4638</v>
      </c>
      <c r="E1716" s="21" t="s">
        <v>10</v>
      </c>
      <c r="F1716" s="21"/>
      <c r="G1716" s="147" t="s">
        <v>2973</v>
      </c>
      <c r="H1716" s="23" t="s">
        <v>5612</v>
      </c>
      <c r="I1716" s="23" t="s">
        <v>8000</v>
      </c>
      <c r="J1716" s="21" t="s">
        <v>5613</v>
      </c>
      <c r="K1716" s="21"/>
      <c r="L1716" s="21" t="s">
        <v>5698</v>
      </c>
      <c r="M1716" s="26">
        <v>44447</v>
      </c>
      <c r="N1716" s="99">
        <v>12875</v>
      </c>
      <c r="O1716" s="22" t="s">
        <v>15</v>
      </c>
      <c r="P1716" s="22">
        <v>12875</v>
      </c>
      <c r="Q1716" s="44">
        <f t="shared" si="108"/>
        <v>0</v>
      </c>
      <c r="R1716" s="24">
        <f t="shared" si="107"/>
        <v>12875</v>
      </c>
      <c r="S1716" s="5"/>
      <c r="T1716" s="5"/>
    </row>
    <row r="1717" spans="1:20" ht="15.75" hidden="1" x14ac:dyDescent="0.25">
      <c r="A1717" t="s">
        <v>6753</v>
      </c>
      <c r="B1717" s="21" t="s">
        <v>395</v>
      </c>
      <c r="C1717" s="22" t="s">
        <v>2450</v>
      </c>
      <c r="D1717" s="22" t="s">
        <v>4638</v>
      </c>
      <c r="E1717" s="21" t="s">
        <v>10</v>
      </c>
      <c r="F1717" s="21"/>
      <c r="G1717" s="147" t="s">
        <v>2973</v>
      </c>
      <c r="H1717" s="23" t="s">
        <v>6082</v>
      </c>
      <c r="I1717" s="23" t="s">
        <v>8079</v>
      </c>
      <c r="J1717" s="21" t="s">
        <v>6078</v>
      </c>
      <c r="K1717" s="21"/>
      <c r="L1717" s="21" t="s">
        <v>6247</v>
      </c>
      <c r="M1717" s="26">
        <v>44533</v>
      </c>
      <c r="N1717" s="99">
        <v>32125</v>
      </c>
      <c r="O1717" s="22" t="s">
        <v>15</v>
      </c>
      <c r="P1717" s="22">
        <v>32125</v>
      </c>
      <c r="Q1717" s="44">
        <f t="shared" si="108"/>
        <v>0</v>
      </c>
      <c r="R1717" s="24">
        <f t="shared" si="107"/>
        <v>32125</v>
      </c>
      <c r="S1717" s="5"/>
      <c r="T1717" s="5"/>
    </row>
    <row r="1718" spans="1:20" ht="15.75" hidden="1" x14ac:dyDescent="0.25">
      <c r="A1718" t="s">
        <v>6753</v>
      </c>
      <c r="B1718" s="21" t="s">
        <v>395</v>
      </c>
      <c r="C1718" s="22" t="s">
        <v>2450</v>
      </c>
      <c r="D1718" s="22" t="s">
        <v>5831</v>
      </c>
      <c r="E1718" s="21" t="s">
        <v>10</v>
      </c>
      <c r="F1718" s="21"/>
      <c r="G1718" s="147" t="s">
        <v>2973</v>
      </c>
      <c r="H1718" s="23" t="s">
        <v>4730</v>
      </c>
      <c r="I1718" s="23" t="s">
        <v>7998</v>
      </c>
      <c r="J1718" s="21" t="s">
        <v>4724</v>
      </c>
      <c r="K1718" s="47"/>
      <c r="L1718" s="47" t="s">
        <v>5172</v>
      </c>
      <c r="M1718" s="26">
        <v>44348</v>
      </c>
      <c r="N1718" s="99">
        <f>0.1*450500</f>
        <v>45050</v>
      </c>
      <c r="O1718" s="22" t="s">
        <v>15</v>
      </c>
      <c r="P1718" s="22">
        <v>45050</v>
      </c>
      <c r="Q1718" s="44">
        <f t="shared" si="108"/>
        <v>0</v>
      </c>
      <c r="R1718" s="24">
        <f t="shared" si="107"/>
        <v>45050</v>
      </c>
      <c r="S1718" s="5" t="s">
        <v>4788</v>
      </c>
      <c r="T1718" s="5"/>
    </row>
    <row r="1719" spans="1:20" ht="15.75" hidden="1" x14ac:dyDescent="0.25">
      <c r="A1719" t="s">
        <v>6753</v>
      </c>
      <c r="B1719" s="21" t="s">
        <v>395</v>
      </c>
      <c r="C1719" s="22" t="s">
        <v>2450</v>
      </c>
      <c r="D1719" s="22" t="s">
        <v>5831</v>
      </c>
      <c r="E1719" s="21" t="s">
        <v>10</v>
      </c>
      <c r="F1719" s="21"/>
      <c r="G1719" s="147" t="s">
        <v>2973</v>
      </c>
      <c r="H1719" s="23" t="s">
        <v>4730</v>
      </c>
      <c r="I1719" s="23" t="s">
        <v>7998</v>
      </c>
      <c r="J1719" s="21" t="s">
        <v>4725</v>
      </c>
      <c r="K1719" s="21"/>
      <c r="L1719" s="47" t="s">
        <v>5172</v>
      </c>
      <c r="M1719" s="26">
        <v>44348</v>
      </c>
      <c r="N1719" s="99">
        <f>0.2*450500</f>
        <v>90100</v>
      </c>
      <c r="O1719" s="22" t="s">
        <v>15</v>
      </c>
      <c r="P1719" s="22">
        <v>90100</v>
      </c>
      <c r="Q1719" s="44">
        <f t="shared" si="108"/>
        <v>0</v>
      </c>
      <c r="R1719" s="24">
        <f t="shared" si="107"/>
        <v>90100</v>
      </c>
      <c r="S1719" s="5" t="s">
        <v>4788</v>
      </c>
      <c r="T1719" s="5"/>
    </row>
    <row r="1720" spans="1:20" ht="15.75" hidden="1" x14ac:dyDescent="0.25">
      <c r="A1720" t="s">
        <v>6753</v>
      </c>
      <c r="B1720" s="21" t="s">
        <v>395</v>
      </c>
      <c r="C1720" s="22" t="s">
        <v>2450</v>
      </c>
      <c r="D1720" s="22" t="s">
        <v>5831</v>
      </c>
      <c r="E1720" s="21" t="s">
        <v>10</v>
      </c>
      <c r="F1720" s="21"/>
      <c r="G1720" s="147" t="s">
        <v>2973</v>
      </c>
      <c r="H1720" s="23" t="s">
        <v>4730</v>
      </c>
      <c r="I1720" s="23" t="s">
        <v>7998</v>
      </c>
      <c r="J1720" s="21" t="s">
        <v>4726</v>
      </c>
      <c r="K1720" s="21"/>
      <c r="L1720" s="21" t="s">
        <v>5633</v>
      </c>
      <c r="M1720" s="26">
        <v>44439</v>
      </c>
      <c r="N1720" s="99">
        <f>0.3*450500</f>
        <v>135150</v>
      </c>
      <c r="O1720" s="22" t="s">
        <v>15</v>
      </c>
      <c r="P1720" s="22">
        <v>135150</v>
      </c>
      <c r="Q1720" s="44">
        <f t="shared" si="108"/>
        <v>0</v>
      </c>
      <c r="R1720" s="24">
        <f t="shared" si="107"/>
        <v>135150</v>
      </c>
      <c r="S1720" s="5" t="s">
        <v>4788</v>
      </c>
      <c r="T1720" s="5"/>
    </row>
    <row r="1721" spans="1:20" ht="15.75" hidden="1" x14ac:dyDescent="0.25">
      <c r="A1721" t="s">
        <v>6753</v>
      </c>
      <c r="B1721" s="21" t="s">
        <v>395</v>
      </c>
      <c r="C1721" s="22" t="s">
        <v>2450</v>
      </c>
      <c r="D1721" s="22" t="s">
        <v>5831</v>
      </c>
      <c r="E1721" s="21" t="s">
        <v>10</v>
      </c>
      <c r="F1721" s="21"/>
      <c r="G1721" s="147" t="s">
        <v>2973</v>
      </c>
      <c r="H1721" s="23" t="s">
        <v>4730</v>
      </c>
      <c r="I1721" s="23" t="s">
        <v>7998</v>
      </c>
      <c r="J1721" s="21" t="s">
        <v>4727</v>
      </c>
      <c r="K1721" s="21"/>
      <c r="L1721" s="21" t="s">
        <v>5663</v>
      </c>
      <c r="M1721" s="26">
        <v>44446</v>
      </c>
      <c r="N1721" s="99">
        <f>0.3*450500</f>
        <v>135150</v>
      </c>
      <c r="O1721" s="22" t="s">
        <v>15</v>
      </c>
      <c r="P1721" s="22">
        <v>135150</v>
      </c>
      <c r="Q1721" s="44">
        <f t="shared" si="108"/>
        <v>0</v>
      </c>
      <c r="R1721" s="24">
        <f t="shared" si="107"/>
        <v>135150</v>
      </c>
      <c r="S1721" s="5" t="s">
        <v>4788</v>
      </c>
      <c r="T1721" s="5"/>
    </row>
    <row r="1722" spans="1:20" ht="15.75" hidden="1" x14ac:dyDescent="0.25">
      <c r="A1722" t="s">
        <v>6753</v>
      </c>
      <c r="B1722" s="21" t="s">
        <v>395</v>
      </c>
      <c r="C1722" s="22" t="s">
        <v>2450</v>
      </c>
      <c r="D1722" s="22" t="s">
        <v>5830</v>
      </c>
      <c r="E1722" s="21" t="s">
        <v>10</v>
      </c>
      <c r="F1722" s="21"/>
      <c r="G1722" s="147" t="s">
        <v>2973</v>
      </c>
      <c r="H1722" s="23" t="s">
        <v>4729</v>
      </c>
      <c r="I1722" s="23" t="s">
        <v>7998</v>
      </c>
      <c r="J1722" s="21" t="s">
        <v>4720</v>
      </c>
      <c r="K1722" s="47"/>
      <c r="L1722" s="21" t="s">
        <v>5449</v>
      </c>
      <c r="M1722" s="26">
        <v>44379</v>
      </c>
      <c r="N1722" s="44">
        <f>0.1*75600</f>
        <v>7560</v>
      </c>
      <c r="O1722" s="22" t="s">
        <v>15</v>
      </c>
      <c r="P1722" s="22">
        <v>7560</v>
      </c>
      <c r="Q1722" s="44">
        <f t="shared" si="108"/>
        <v>0</v>
      </c>
      <c r="R1722" s="24">
        <f t="shared" si="107"/>
        <v>7560</v>
      </c>
      <c r="S1722" s="5" t="s">
        <v>4788</v>
      </c>
      <c r="T1722" s="5"/>
    </row>
    <row r="1723" spans="1:20" ht="15.75" hidden="1" x14ac:dyDescent="0.25">
      <c r="A1723" t="s">
        <v>6753</v>
      </c>
      <c r="B1723" s="21" t="s">
        <v>395</v>
      </c>
      <c r="C1723" s="22" t="s">
        <v>2450</v>
      </c>
      <c r="D1723" s="22" t="s">
        <v>5830</v>
      </c>
      <c r="E1723" s="21" t="s">
        <v>10</v>
      </c>
      <c r="F1723" s="21"/>
      <c r="G1723" s="147" t="s">
        <v>2973</v>
      </c>
      <c r="H1723" s="23" t="s">
        <v>4729</v>
      </c>
      <c r="I1723" s="23" t="s">
        <v>7998</v>
      </c>
      <c r="J1723" s="21" t="s">
        <v>4721</v>
      </c>
      <c r="K1723" s="47"/>
      <c r="L1723" s="21" t="s">
        <v>5449</v>
      </c>
      <c r="M1723" s="26">
        <v>44379</v>
      </c>
      <c r="N1723" s="44">
        <f>0.65*75600</f>
        <v>49140</v>
      </c>
      <c r="O1723" s="22" t="s">
        <v>15</v>
      </c>
      <c r="P1723" s="22">
        <v>49140</v>
      </c>
      <c r="Q1723" s="44">
        <f t="shared" si="108"/>
        <v>0</v>
      </c>
      <c r="R1723" s="24">
        <f t="shared" si="107"/>
        <v>49140</v>
      </c>
      <c r="S1723" s="5" t="s">
        <v>4788</v>
      </c>
      <c r="T1723" s="5"/>
    </row>
    <row r="1724" spans="1:20" ht="15.75" hidden="1" x14ac:dyDescent="0.25">
      <c r="A1724" t="s">
        <v>6753</v>
      </c>
      <c r="B1724" s="21" t="s">
        <v>395</v>
      </c>
      <c r="C1724" s="22" t="s">
        <v>2450</v>
      </c>
      <c r="D1724" s="22" t="s">
        <v>5830</v>
      </c>
      <c r="E1724" s="21" t="s">
        <v>10</v>
      </c>
      <c r="F1724" s="21"/>
      <c r="G1724" s="147" t="s">
        <v>2973</v>
      </c>
      <c r="H1724" s="23" t="s">
        <v>4729</v>
      </c>
      <c r="I1724" s="23" t="s">
        <v>7998</v>
      </c>
      <c r="J1724" s="21" t="s">
        <v>4722</v>
      </c>
      <c r="K1724" s="47"/>
      <c r="L1724" s="21" t="s">
        <v>5662</v>
      </c>
      <c r="M1724" s="26">
        <v>44446</v>
      </c>
      <c r="N1724" s="44">
        <f>0.25*75600</f>
        <v>18900</v>
      </c>
      <c r="O1724" s="22" t="s">
        <v>15</v>
      </c>
      <c r="P1724" s="22">
        <v>18900</v>
      </c>
      <c r="Q1724" s="44">
        <f t="shared" si="108"/>
        <v>0</v>
      </c>
      <c r="R1724" s="24">
        <f t="shared" si="107"/>
        <v>18900</v>
      </c>
      <c r="S1724" s="5" t="s">
        <v>4788</v>
      </c>
      <c r="T1724" s="5"/>
    </row>
    <row r="1725" spans="1:20" ht="15.75" hidden="1" x14ac:dyDescent="0.25">
      <c r="A1725" t="s">
        <v>6753</v>
      </c>
      <c r="B1725" s="21" t="s">
        <v>395</v>
      </c>
      <c r="C1725" s="22" t="s">
        <v>2450</v>
      </c>
      <c r="D1725" s="22" t="s">
        <v>4557</v>
      </c>
      <c r="E1725" s="21" t="s">
        <v>10</v>
      </c>
      <c r="F1725" s="21"/>
      <c r="G1725" s="147" t="s">
        <v>2973</v>
      </c>
      <c r="H1725" s="23" t="s">
        <v>4494</v>
      </c>
      <c r="I1725" s="23" t="s">
        <v>8012</v>
      </c>
      <c r="J1725" s="21" t="s">
        <v>4495</v>
      </c>
      <c r="K1725" s="21"/>
      <c r="L1725" s="21" t="s">
        <v>4496</v>
      </c>
      <c r="M1725" s="26">
        <v>44231</v>
      </c>
      <c r="N1725" s="44">
        <v>97815</v>
      </c>
      <c r="O1725" s="22" t="s">
        <v>15</v>
      </c>
      <c r="P1725" s="22" t="s">
        <v>19</v>
      </c>
      <c r="Q1725" s="44">
        <f t="shared" si="108"/>
        <v>0</v>
      </c>
      <c r="R1725" s="24">
        <f t="shared" si="107"/>
        <v>97815</v>
      </c>
      <c r="S1725" s="5"/>
      <c r="T1725" s="5"/>
    </row>
    <row r="1726" spans="1:20" ht="15.75" hidden="1" x14ac:dyDescent="0.25">
      <c r="A1726" t="s">
        <v>6753</v>
      </c>
      <c r="B1726" s="21" t="s">
        <v>395</v>
      </c>
      <c r="C1726" s="22" t="s">
        <v>2450</v>
      </c>
      <c r="D1726" s="22" t="s">
        <v>1451</v>
      </c>
      <c r="E1726" s="21" t="s">
        <v>10</v>
      </c>
      <c r="F1726" s="21"/>
      <c r="G1726" s="147" t="s">
        <v>2973</v>
      </c>
      <c r="H1726" s="23" t="s">
        <v>3762</v>
      </c>
      <c r="I1726" s="23" t="s">
        <v>7956</v>
      </c>
      <c r="J1726" s="21" t="s">
        <v>3666</v>
      </c>
      <c r="K1726" s="120"/>
      <c r="L1726" s="21" t="s">
        <v>3763</v>
      </c>
      <c r="M1726" s="26">
        <v>44083</v>
      </c>
      <c r="N1726" s="185">
        <v>3300</v>
      </c>
      <c r="O1726" s="22" t="s">
        <v>15</v>
      </c>
      <c r="P1726" s="22" t="s">
        <v>19</v>
      </c>
      <c r="Q1726" s="24">
        <f t="shared" si="108"/>
        <v>0</v>
      </c>
      <c r="R1726" s="24">
        <f t="shared" si="107"/>
        <v>3300</v>
      </c>
      <c r="S1726" s="5"/>
      <c r="T1726" s="5"/>
    </row>
    <row r="1727" spans="1:20" ht="15.75" hidden="1" x14ac:dyDescent="0.25">
      <c r="A1727" t="s">
        <v>6753</v>
      </c>
      <c r="B1727" s="21" t="s">
        <v>395</v>
      </c>
      <c r="C1727" s="22" t="s">
        <v>2450</v>
      </c>
      <c r="D1727" s="22" t="s">
        <v>1451</v>
      </c>
      <c r="E1727" s="21" t="s">
        <v>10</v>
      </c>
      <c r="F1727" s="21"/>
      <c r="G1727" s="147" t="s">
        <v>2973</v>
      </c>
      <c r="H1727" s="23" t="s">
        <v>3812</v>
      </c>
      <c r="I1727" s="23" t="s">
        <v>7972</v>
      </c>
      <c r="J1727" s="21" t="s">
        <v>3813</v>
      </c>
      <c r="K1727" s="120"/>
      <c r="L1727" s="21" t="s">
        <v>3952</v>
      </c>
      <c r="M1727" s="26">
        <v>44116</v>
      </c>
      <c r="N1727" s="185">
        <v>8400</v>
      </c>
      <c r="O1727" s="22" t="s">
        <v>15</v>
      </c>
      <c r="P1727" s="22" t="s">
        <v>19</v>
      </c>
      <c r="Q1727" s="24">
        <f t="shared" si="108"/>
        <v>0</v>
      </c>
      <c r="R1727" s="24">
        <f t="shared" si="107"/>
        <v>8400</v>
      </c>
      <c r="S1727" s="5"/>
      <c r="T1727" s="5"/>
    </row>
    <row r="1728" spans="1:20" ht="15.75" hidden="1" x14ac:dyDescent="0.25">
      <c r="A1728" t="s">
        <v>6753</v>
      </c>
      <c r="B1728" s="21" t="s">
        <v>395</v>
      </c>
      <c r="C1728" s="22" t="s">
        <v>2450</v>
      </c>
      <c r="D1728" s="22" t="s">
        <v>1451</v>
      </c>
      <c r="E1728" s="21" t="s">
        <v>10</v>
      </c>
      <c r="F1728" s="21"/>
      <c r="G1728" s="147" t="s">
        <v>2973</v>
      </c>
      <c r="H1728" s="23" t="s">
        <v>5210</v>
      </c>
      <c r="I1728" s="23" t="s">
        <v>8058</v>
      </c>
      <c r="J1728" s="21" t="s">
        <v>5211</v>
      </c>
      <c r="K1728" s="120"/>
      <c r="L1728" s="21" t="s">
        <v>5634</v>
      </c>
      <c r="M1728" s="26">
        <v>44440</v>
      </c>
      <c r="N1728" s="185">
        <v>-2700</v>
      </c>
      <c r="O1728" s="22" t="s">
        <v>15</v>
      </c>
      <c r="P1728" s="22" t="s">
        <v>19</v>
      </c>
      <c r="Q1728" s="24">
        <f t="shared" si="108"/>
        <v>0</v>
      </c>
      <c r="R1728" s="24">
        <f t="shared" si="107"/>
        <v>-2700</v>
      </c>
      <c r="S1728" s="5"/>
      <c r="T1728" s="5"/>
    </row>
    <row r="1729" spans="1:20" ht="15.75" hidden="1" x14ac:dyDescent="0.25">
      <c r="A1729" t="s">
        <v>6753</v>
      </c>
      <c r="B1729" s="21" t="s">
        <v>395</v>
      </c>
      <c r="C1729" s="22" t="s">
        <v>2450</v>
      </c>
      <c r="D1729" s="22" t="s">
        <v>1451</v>
      </c>
      <c r="E1729" s="21" t="s">
        <v>10</v>
      </c>
      <c r="F1729" s="21"/>
      <c r="G1729" s="147" t="s">
        <v>2973</v>
      </c>
      <c r="H1729" s="23" t="s">
        <v>5576</v>
      </c>
      <c r="I1729" s="23" t="s">
        <v>8087</v>
      </c>
      <c r="J1729" s="21" t="s">
        <v>5577</v>
      </c>
      <c r="K1729" s="120"/>
      <c r="L1729" s="21" t="s">
        <v>5634</v>
      </c>
      <c r="M1729" s="26">
        <v>44440</v>
      </c>
      <c r="N1729" s="185">
        <v>3500</v>
      </c>
      <c r="O1729" s="22" t="s">
        <v>15</v>
      </c>
      <c r="P1729" s="22" t="s">
        <v>19</v>
      </c>
      <c r="Q1729" s="24">
        <f t="shared" si="108"/>
        <v>0</v>
      </c>
      <c r="R1729" s="24">
        <f t="shared" si="107"/>
        <v>3500</v>
      </c>
      <c r="S1729" s="5"/>
      <c r="T1729" s="5"/>
    </row>
    <row r="1730" spans="1:20" ht="15.75" hidden="1" x14ac:dyDescent="0.25">
      <c r="A1730" t="s">
        <v>6753</v>
      </c>
      <c r="B1730" s="21" t="s">
        <v>395</v>
      </c>
      <c r="C1730" s="22" t="s">
        <v>2450</v>
      </c>
      <c r="D1730" s="22" t="s">
        <v>4557</v>
      </c>
      <c r="E1730" s="21" t="s">
        <v>10</v>
      </c>
      <c r="F1730" s="21"/>
      <c r="G1730" s="147" t="s">
        <v>2973</v>
      </c>
      <c r="H1730" s="23" t="s">
        <v>4714</v>
      </c>
      <c r="I1730" s="23" t="s">
        <v>8013</v>
      </c>
      <c r="J1730" s="21" t="s">
        <v>4715</v>
      </c>
      <c r="K1730" s="21"/>
      <c r="L1730" s="21" t="s">
        <v>5173</v>
      </c>
      <c r="M1730" s="26">
        <v>44344</v>
      </c>
      <c r="N1730" s="44">
        <v>3500</v>
      </c>
      <c r="O1730" s="22" t="s">
        <v>15</v>
      </c>
      <c r="P1730" s="22" t="s">
        <v>19</v>
      </c>
      <c r="Q1730" s="44">
        <f t="shared" si="108"/>
        <v>0</v>
      </c>
      <c r="R1730" s="24">
        <f t="shared" si="107"/>
        <v>3500</v>
      </c>
      <c r="S1730" s="5"/>
      <c r="T1730" s="5"/>
    </row>
    <row r="1731" spans="1:20" ht="15.75" hidden="1" x14ac:dyDescent="0.25">
      <c r="A1731" t="s">
        <v>6753</v>
      </c>
      <c r="B1731" s="21" t="s">
        <v>395</v>
      </c>
      <c r="C1731" s="22" t="s">
        <v>2450</v>
      </c>
      <c r="D1731" s="22" t="s">
        <v>4557</v>
      </c>
      <c r="E1731" s="21" t="s">
        <v>10</v>
      </c>
      <c r="F1731" s="21"/>
      <c r="G1731" s="147" t="s">
        <v>2973</v>
      </c>
      <c r="H1731" s="23" t="s">
        <v>4341</v>
      </c>
      <c r="I1731" s="23" t="s">
        <v>8011</v>
      </c>
      <c r="J1731" s="21" t="s">
        <v>4342</v>
      </c>
      <c r="K1731" s="21"/>
      <c r="L1731" s="21" t="s">
        <v>4349</v>
      </c>
      <c r="M1731" s="26">
        <v>44204</v>
      </c>
      <c r="N1731" s="44">
        <f>0.3*(122400+7700+7700)</f>
        <v>41340</v>
      </c>
      <c r="O1731" s="22" t="s">
        <v>15</v>
      </c>
      <c r="P1731" s="22" t="s">
        <v>19</v>
      </c>
      <c r="Q1731" s="44">
        <f t="shared" si="108"/>
        <v>0</v>
      </c>
      <c r="R1731" s="24">
        <f t="shared" si="107"/>
        <v>41340</v>
      </c>
      <c r="S1731" s="5"/>
      <c r="T1731" s="5"/>
    </row>
    <row r="1732" spans="1:20" ht="15.75" hidden="1" x14ac:dyDescent="0.25">
      <c r="A1732" t="s">
        <v>6753</v>
      </c>
      <c r="B1732" s="21" t="s">
        <v>395</v>
      </c>
      <c r="C1732" s="22" t="s">
        <v>2450</v>
      </c>
      <c r="D1732" s="22" t="s">
        <v>4557</v>
      </c>
      <c r="E1732" s="21" t="s">
        <v>10</v>
      </c>
      <c r="F1732" s="21"/>
      <c r="G1732" s="147" t="s">
        <v>2973</v>
      </c>
      <c r="H1732" s="23" t="s">
        <v>4341</v>
      </c>
      <c r="I1732" s="23" t="s">
        <v>8011</v>
      </c>
      <c r="J1732" s="21" t="s">
        <v>4343</v>
      </c>
      <c r="K1732" s="21"/>
      <c r="L1732" s="21" t="s">
        <v>4349</v>
      </c>
      <c r="M1732" s="26">
        <v>44204</v>
      </c>
      <c r="N1732" s="44">
        <f>0.35*(122400+7700+7700)</f>
        <v>48230</v>
      </c>
      <c r="O1732" s="22" t="s">
        <v>15</v>
      </c>
      <c r="P1732" s="22" t="s">
        <v>19</v>
      </c>
      <c r="Q1732" s="44">
        <f t="shared" si="108"/>
        <v>0</v>
      </c>
      <c r="R1732" s="24">
        <f t="shared" si="107"/>
        <v>48230</v>
      </c>
      <c r="S1732" s="5"/>
      <c r="T1732" s="5"/>
    </row>
    <row r="1733" spans="1:20" ht="15.75" hidden="1" x14ac:dyDescent="0.25">
      <c r="A1733" t="s">
        <v>6753</v>
      </c>
      <c r="B1733" s="21" t="s">
        <v>395</v>
      </c>
      <c r="C1733" s="22" t="s">
        <v>2450</v>
      </c>
      <c r="D1733" s="22" t="s">
        <v>4557</v>
      </c>
      <c r="E1733" s="21" t="s">
        <v>10</v>
      </c>
      <c r="F1733" s="21"/>
      <c r="G1733" s="147" t="s">
        <v>2973</v>
      </c>
      <c r="H1733" s="23" t="s">
        <v>4341</v>
      </c>
      <c r="I1733" s="23" t="s">
        <v>8011</v>
      </c>
      <c r="J1733" s="21" t="s">
        <v>4344</v>
      </c>
      <c r="K1733" s="21"/>
      <c r="L1733" s="21" t="s">
        <v>5310</v>
      </c>
      <c r="M1733" s="26">
        <v>44368</v>
      </c>
      <c r="N1733" s="44">
        <f>0.35*(122400+7700+7700)</f>
        <v>48230</v>
      </c>
      <c r="O1733" s="22" t="s">
        <v>15</v>
      </c>
      <c r="P1733" s="22" t="s">
        <v>19</v>
      </c>
      <c r="Q1733" s="44">
        <f t="shared" si="108"/>
        <v>0</v>
      </c>
      <c r="R1733" s="24">
        <f t="shared" si="107"/>
        <v>48230</v>
      </c>
      <c r="S1733" s="5"/>
      <c r="T1733" s="5"/>
    </row>
    <row r="1734" spans="1:20" ht="15.75" hidden="1" x14ac:dyDescent="0.25">
      <c r="A1734" t="s">
        <v>6753</v>
      </c>
      <c r="B1734" s="21" t="s">
        <v>395</v>
      </c>
      <c r="C1734" s="22" t="s">
        <v>2450</v>
      </c>
      <c r="D1734" s="22" t="s">
        <v>4557</v>
      </c>
      <c r="E1734" s="21" t="s">
        <v>10</v>
      </c>
      <c r="F1734" s="21"/>
      <c r="G1734" s="147" t="s">
        <v>2973</v>
      </c>
      <c r="H1734" s="23" t="s">
        <v>4341</v>
      </c>
      <c r="I1734" s="23" t="s">
        <v>8011</v>
      </c>
      <c r="J1734" s="21" t="s">
        <v>4348</v>
      </c>
      <c r="K1734" s="21"/>
      <c r="L1734" s="21" t="s">
        <v>5310</v>
      </c>
      <c r="M1734" s="26">
        <v>44368</v>
      </c>
      <c r="N1734" s="44">
        <v>1500</v>
      </c>
      <c r="O1734" s="22" t="s">
        <v>15</v>
      </c>
      <c r="P1734" s="22" t="s">
        <v>19</v>
      </c>
      <c r="Q1734" s="44">
        <f t="shared" si="108"/>
        <v>0</v>
      </c>
      <c r="R1734" s="24">
        <f t="shared" si="107"/>
        <v>1500</v>
      </c>
      <c r="S1734" s="5"/>
      <c r="T1734" s="5"/>
    </row>
    <row r="1735" spans="1:20" ht="15.75" hidden="1" x14ac:dyDescent="0.25">
      <c r="A1735" t="s">
        <v>6753</v>
      </c>
      <c r="B1735" s="21" t="s">
        <v>395</v>
      </c>
      <c r="C1735" s="22" t="s">
        <v>2450</v>
      </c>
      <c r="D1735" s="22" t="s">
        <v>6259</v>
      </c>
      <c r="E1735" s="21" t="s">
        <v>10</v>
      </c>
      <c r="F1735" s="21"/>
      <c r="G1735" s="147" t="s">
        <v>2973</v>
      </c>
      <c r="H1735" s="23" t="s">
        <v>4735</v>
      </c>
      <c r="I1735" s="23" t="s">
        <v>7997</v>
      </c>
      <c r="J1735" s="21" t="s">
        <v>4736</v>
      </c>
      <c r="K1735" s="47"/>
      <c r="L1735" s="21" t="s">
        <v>4179</v>
      </c>
      <c r="M1735" s="26">
        <v>44169</v>
      </c>
      <c r="N1735" s="44">
        <f>1334250*0.1</f>
        <v>133425</v>
      </c>
      <c r="O1735" s="22" t="s">
        <v>15</v>
      </c>
      <c r="P1735" s="22" t="s">
        <v>19</v>
      </c>
      <c r="Q1735" s="44">
        <f t="shared" si="108"/>
        <v>0</v>
      </c>
      <c r="R1735" s="24">
        <f t="shared" si="107"/>
        <v>133425</v>
      </c>
      <c r="S1735" s="5"/>
      <c r="T1735" s="5"/>
    </row>
    <row r="1736" spans="1:20" ht="15.75" hidden="1" x14ac:dyDescent="0.25">
      <c r="A1736" t="s">
        <v>6753</v>
      </c>
      <c r="B1736" s="21" t="s">
        <v>395</v>
      </c>
      <c r="C1736" s="22" t="s">
        <v>2450</v>
      </c>
      <c r="D1736" s="22" t="s">
        <v>6259</v>
      </c>
      <c r="E1736" s="21" t="s">
        <v>10</v>
      </c>
      <c r="F1736" s="21"/>
      <c r="G1736" s="147" t="s">
        <v>2973</v>
      </c>
      <c r="H1736" s="23" t="s">
        <v>4749</v>
      </c>
      <c r="I1736" s="23" t="s">
        <v>7997</v>
      </c>
      <c r="J1736" s="21" t="s">
        <v>4737</v>
      </c>
      <c r="K1736" s="47"/>
      <c r="L1736" s="21" t="s">
        <v>5464</v>
      </c>
      <c r="M1736" s="26" t="s">
        <v>5465</v>
      </c>
      <c r="N1736" s="44">
        <f>1334250*0.1</f>
        <v>133425</v>
      </c>
      <c r="O1736" s="22" t="s">
        <v>15</v>
      </c>
      <c r="P1736" s="44">
        <f>134425-1000</f>
        <v>133425</v>
      </c>
      <c r="Q1736" s="44">
        <f t="shared" si="108"/>
        <v>0</v>
      </c>
      <c r="R1736" s="24">
        <f t="shared" si="107"/>
        <v>133425</v>
      </c>
      <c r="S1736" s="5" t="s">
        <v>4939</v>
      </c>
      <c r="T1736" s="5"/>
    </row>
    <row r="1737" spans="1:20" ht="15.75" hidden="1" x14ac:dyDescent="0.25">
      <c r="A1737" t="s">
        <v>6753</v>
      </c>
      <c r="B1737" s="21" t="s">
        <v>395</v>
      </c>
      <c r="C1737" s="22" t="s">
        <v>2450</v>
      </c>
      <c r="D1737" s="22" t="s">
        <v>6259</v>
      </c>
      <c r="E1737" s="21" t="s">
        <v>10</v>
      </c>
      <c r="F1737" s="21"/>
      <c r="G1737" s="147" t="s">
        <v>2973</v>
      </c>
      <c r="H1737" s="23" t="s">
        <v>4749</v>
      </c>
      <c r="I1737" s="23" t="s">
        <v>7997</v>
      </c>
      <c r="J1737" s="21" t="s">
        <v>4738</v>
      </c>
      <c r="K1737" s="47"/>
      <c r="L1737" s="21" t="s">
        <v>5464</v>
      </c>
      <c r="M1737" s="26" t="s">
        <v>5465</v>
      </c>
      <c r="N1737" s="44">
        <f>1334250*0.15</f>
        <v>200137.5</v>
      </c>
      <c r="O1737" s="22" t="s">
        <v>15</v>
      </c>
      <c r="P1737" s="44">
        <f>201637.5-1500</f>
        <v>200137.5</v>
      </c>
      <c r="Q1737" s="44">
        <f t="shared" si="108"/>
        <v>0</v>
      </c>
      <c r="R1737" s="24">
        <f t="shared" si="107"/>
        <v>200137.5</v>
      </c>
      <c r="S1737" s="5" t="s">
        <v>4938</v>
      </c>
      <c r="T1737" s="5"/>
    </row>
    <row r="1738" spans="1:20" ht="15.75" hidden="1" x14ac:dyDescent="0.25">
      <c r="A1738" t="s">
        <v>6753</v>
      </c>
      <c r="B1738" s="21" t="s">
        <v>395</v>
      </c>
      <c r="C1738" s="22" t="s">
        <v>2450</v>
      </c>
      <c r="D1738" s="22" t="s">
        <v>1451</v>
      </c>
      <c r="E1738" s="21" t="s">
        <v>10</v>
      </c>
      <c r="F1738" s="21"/>
      <c r="G1738" s="147" t="s">
        <v>2973</v>
      </c>
      <c r="H1738" s="23" t="s">
        <v>5992</v>
      </c>
      <c r="I1738" s="23" t="s">
        <v>7992</v>
      </c>
      <c r="J1738" s="21" t="s">
        <v>4091</v>
      </c>
      <c r="K1738" s="21"/>
      <c r="L1738" s="21" t="s">
        <v>5306</v>
      </c>
      <c r="M1738" s="26" t="s">
        <v>5307</v>
      </c>
      <c r="N1738" s="44">
        <v>14100</v>
      </c>
      <c r="O1738" s="22" t="s">
        <v>15</v>
      </c>
      <c r="P1738" s="44">
        <f>4230+9870</f>
        <v>14100</v>
      </c>
      <c r="Q1738" s="44">
        <f t="shared" si="108"/>
        <v>0</v>
      </c>
      <c r="R1738" s="24">
        <f t="shared" si="107"/>
        <v>14100</v>
      </c>
      <c r="S1738" s="5"/>
      <c r="T1738" s="5"/>
    </row>
    <row r="1739" spans="1:20" ht="15.75" hidden="1" x14ac:dyDescent="0.25">
      <c r="A1739" t="s">
        <v>6753</v>
      </c>
      <c r="B1739" s="21" t="s">
        <v>395</v>
      </c>
      <c r="C1739" s="22" t="s">
        <v>2450</v>
      </c>
      <c r="D1739" s="22" t="s">
        <v>1451</v>
      </c>
      <c r="E1739" s="21" t="s">
        <v>10</v>
      </c>
      <c r="F1739" s="21"/>
      <c r="G1739" s="147" t="s">
        <v>2973</v>
      </c>
      <c r="H1739" s="23" t="s">
        <v>5997</v>
      </c>
      <c r="I1739" s="23" t="s">
        <v>7993</v>
      </c>
      <c r="J1739" s="21" t="s">
        <v>5746</v>
      </c>
      <c r="K1739" s="21"/>
      <c r="L1739" s="21" t="s">
        <v>5966</v>
      </c>
      <c r="M1739" s="26">
        <v>44480</v>
      </c>
      <c r="N1739" s="44">
        <v>1056</v>
      </c>
      <c r="O1739" s="22" t="s">
        <v>15</v>
      </c>
      <c r="P1739" s="44">
        <v>1056</v>
      </c>
      <c r="Q1739" s="44">
        <f t="shared" si="108"/>
        <v>0</v>
      </c>
      <c r="R1739" s="24">
        <f t="shared" si="107"/>
        <v>1056</v>
      </c>
      <c r="S1739" s="5" t="s">
        <v>5741</v>
      </c>
      <c r="T1739" s="5"/>
    </row>
    <row r="1740" spans="1:20" ht="15.75" hidden="1" x14ac:dyDescent="0.25">
      <c r="A1740" t="s">
        <v>6753</v>
      </c>
      <c r="B1740" s="21" t="s">
        <v>395</v>
      </c>
      <c r="C1740" s="22" t="s">
        <v>2450</v>
      </c>
      <c r="D1740" s="22" t="s">
        <v>1451</v>
      </c>
      <c r="E1740" s="21" t="s">
        <v>10</v>
      </c>
      <c r="F1740" s="21"/>
      <c r="G1740" s="147" t="s">
        <v>2973</v>
      </c>
      <c r="H1740" s="23" t="s">
        <v>6021</v>
      </c>
      <c r="I1740" s="23" t="s">
        <v>7994</v>
      </c>
      <c r="J1740" s="21" t="s">
        <v>5998</v>
      </c>
      <c r="K1740" s="21"/>
      <c r="L1740" s="21" t="s">
        <v>6251</v>
      </c>
      <c r="M1740" s="26">
        <v>44508</v>
      </c>
      <c r="N1740" s="44">
        <v>18720</v>
      </c>
      <c r="O1740" s="22" t="s">
        <v>15</v>
      </c>
      <c r="P1740" s="44">
        <v>18720</v>
      </c>
      <c r="Q1740" s="44">
        <f t="shared" si="108"/>
        <v>0</v>
      </c>
      <c r="R1740" s="24">
        <f t="shared" si="107"/>
        <v>18720</v>
      </c>
      <c r="S1740" s="5" t="s">
        <v>5741</v>
      </c>
      <c r="T1740" s="5"/>
    </row>
    <row r="1741" spans="1:20" ht="15.75" hidden="1" x14ac:dyDescent="0.25">
      <c r="A1741" t="s">
        <v>6753</v>
      </c>
      <c r="B1741" s="21" t="s">
        <v>395</v>
      </c>
      <c r="C1741" s="22" t="s">
        <v>2450</v>
      </c>
      <c r="D1741" s="22" t="s">
        <v>1451</v>
      </c>
      <c r="E1741" s="21" t="s">
        <v>10</v>
      </c>
      <c r="F1741" s="21"/>
      <c r="G1741" s="147" t="s">
        <v>2973</v>
      </c>
      <c r="H1741" s="23" t="s">
        <v>5993</v>
      </c>
      <c r="I1741" s="23" t="s">
        <v>8043</v>
      </c>
      <c r="J1741" s="21" t="s">
        <v>5003</v>
      </c>
      <c r="K1741" s="21"/>
      <c r="L1741" s="165" t="s">
        <v>5308</v>
      </c>
      <c r="M1741" s="26">
        <v>44368</v>
      </c>
      <c r="N1741" s="44">
        <v>1750</v>
      </c>
      <c r="O1741" s="22" t="s">
        <v>15</v>
      </c>
      <c r="P1741" s="44">
        <v>1750</v>
      </c>
      <c r="Q1741" s="44">
        <f t="shared" si="108"/>
        <v>0</v>
      </c>
      <c r="R1741" s="24">
        <f t="shared" si="107"/>
        <v>1750</v>
      </c>
      <c r="S1741" s="5"/>
      <c r="T1741" s="5"/>
    </row>
    <row r="1742" spans="1:20" ht="15.75" hidden="1" x14ac:dyDescent="0.25">
      <c r="A1742" t="s">
        <v>6753</v>
      </c>
      <c r="B1742" s="21" t="s">
        <v>395</v>
      </c>
      <c r="C1742" s="22" t="s">
        <v>2450</v>
      </c>
      <c r="D1742" s="22" t="s">
        <v>1451</v>
      </c>
      <c r="E1742" s="21" t="s">
        <v>10</v>
      </c>
      <c r="F1742" s="21"/>
      <c r="G1742" s="147" t="s">
        <v>2973</v>
      </c>
      <c r="H1742" s="23" t="s">
        <v>5994</v>
      </c>
      <c r="I1742" s="23" t="s">
        <v>7993</v>
      </c>
      <c r="J1742" s="21" t="s">
        <v>5745</v>
      </c>
      <c r="K1742" s="21"/>
      <c r="L1742" s="21" t="s">
        <v>5966</v>
      </c>
      <c r="M1742" s="26">
        <v>44480</v>
      </c>
      <c r="N1742" s="44">
        <v>1056</v>
      </c>
      <c r="O1742" s="22" t="s">
        <v>15</v>
      </c>
      <c r="P1742" s="44">
        <f>1056</f>
        <v>1056</v>
      </c>
      <c r="Q1742" s="44">
        <f t="shared" si="108"/>
        <v>0</v>
      </c>
      <c r="R1742" s="24">
        <f t="shared" si="107"/>
        <v>1056</v>
      </c>
      <c r="S1742" s="5" t="s">
        <v>5741</v>
      </c>
      <c r="T1742" s="5"/>
    </row>
    <row r="1743" spans="1:20" ht="15.75" hidden="1" x14ac:dyDescent="0.25">
      <c r="A1743" t="s">
        <v>6753</v>
      </c>
      <c r="B1743" s="21" t="s">
        <v>395</v>
      </c>
      <c r="C1743" s="22" t="s">
        <v>2450</v>
      </c>
      <c r="D1743" s="22" t="s">
        <v>1451</v>
      </c>
      <c r="E1743" s="21" t="s">
        <v>10</v>
      </c>
      <c r="F1743" s="21"/>
      <c r="G1743" s="147" t="s">
        <v>2973</v>
      </c>
      <c r="H1743" s="23" t="s">
        <v>4089</v>
      </c>
      <c r="I1743" s="23" t="s">
        <v>7992</v>
      </c>
      <c r="J1743" s="21" t="s">
        <v>4090</v>
      </c>
      <c r="K1743" s="21"/>
      <c r="L1743" s="21" t="s">
        <v>5447</v>
      </c>
      <c r="M1743" s="26" t="s">
        <v>5448</v>
      </c>
      <c r="N1743" s="44">
        <v>19000</v>
      </c>
      <c r="O1743" s="22" t="s">
        <v>15</v>
      </c>
      <c r="P1743" s="44">
        <f>5700+13300</f>
        <v>19000</v>
      </c>
      <c r="Q1743" s="44">
        <f t="shared" si="108"/>
        <v>0</v>
      </c>
      <c r="R1743" s="24">
        <f t="shared" si="107"/>
        <v>19000</v>
      </c>
      <c r="S1743" s="5"/>
      <c r="T1743" s="5"/>
    </row>
    <row r="1744" spans="1:20" ht="15.75" hidden="1" x14ac:dyDescent="0.25">
      <c r="A1744" t="s">
        <v>6753</v>
      </c>
      <c r="B1744" s="21" t="s">
        <v>395</v>
      </c>
      <c r="C1744" s="22" t="s">
        <v>2450</v>
      </c>
      <c r="D1744" s="22" t="s">
        <v>1451</v>
      </c>
      <c r="E1744" s="21" t="s">
        <v>10</v>
      </c>
      <c r="F1744" s="21"/>
      <c r="G1744" s="147" t="s">
        <v>2973</v>
      </c>
      <c r="H1744" s="23" t="s">
        <v>4089</v>
      </c>
      <c r="I1744" s="23" t="s">
        <v>7992</v>
      </c>
      <c r="J1744" s="21" t="s">
        <v>5476</v>
      </c>
      <c r="K1744" s="21"/>
      <c r="L1744" s="21" t="s">
        <v>5475</v>
      </c>
      <c r="M1744" s="26" t="s">
        <v>5480</v>
      </c>
      <c r="N1744" s="44">
        <v>13380</v>
      </c>
      <c r="O1744" s="22" t="s">
        <v>15</v>
      </c>
      <c r="P1744" s="44">
        <f>4014+9366</f>
        <v>13380</v>
      </c>
      <c r="Q1744" s="44">
        <f t="shared" si="108"/>
        <v>0</v>
      </c>
      <c r="R1744" s="24">
        <f t="shared" si="107"/>
        <v>13380</v>
      </c>
      <c r="S1744" s="5" t="s">
        <v>5741</v>
      </c>
      <c r="T1744" s="5"/>
    </row>
    <row r="1745" spans="1:20" ht="15.75" hidden="1" x14ac:dyDescent="0.25">
      <c r="A1745" t="s">
        <v>6753</v>
      </c>
      <c r="B1745" s="21" t="s">
        <v>395</v>
      </c>
      <c r="C1745" s="22" t="s">
        <v>2450</v>
      </c>
      <c r="D1745" s="22" t="s">
        <v>1451</v>
      </c>
      <c r="E1745" s="21" t="s">
        <v>10</v>
      </c>
      <c r="F1745" s="21"/>
      <c r="G1745" s="147" t="s">
        <v>2973</v>
      </c>
      <c r="H1745" s="23" t="s">
        <v>4089</v>
      </c>
      <c r="I1745" s="23" t="s">
        <v>7992</v>
      </c>
      <c r="J1745" s="21" t="s">
        <v>4092</v>
      </c>
      <c r="K1745" s="21"/>
      <c r="L1745" s="21" t="s">
        <v>5475</v>
      </c>
      <c r="M1745" s="26" t="s">
        <v>5480</v>
      </c>
      <c r="N1745" s="44">
        <v>13380</v>
      </c>
      <c r="O1745" s="22" t="s">
        <v>15</v>
      </c>
      <c r="P1745" s="44">
        <f>4014+9366</f>
        <v>13380</v>
      </c>
      <c r="Q1745" s="44">
        <f t="shared" si="108"/>
        <v>0</v>
      </c>
      <c r="R1745" s="24">
        <f t="shared" si="107"/>
        <v>13380</v>
      </c>
      <c r="S1745" s="5" t="s">
        <v>5741</v>
      </c>
      <c r="T1745" s="5"/>
    </row>
    <row r="1746" spans="1:20" ht="15.75" hidden="1" x14ac:dyDescent="0.25">
      <c r="A1746" t="s">
        <v>6753</v>
      </c>
      <c r="B1746" s="21" t="s">
        <v>395</v>
      </c>
      <c r="C1746" s="22" t="s">
        <v>2450</v>
      </c>
      <c r="D1746" s="22" t="s">
        <v>1451</v>
      </c>
      <c r="E1746" s="21" t="s">
        <v>10</v>
      </c>
      <c r="F1746" s="21"/>
      <c r="G1746" s="147" t="s">
        <v>2973</v>
      </c>
      <c r="H1746" s="23" t="s">
        <v>5450</v>
      </c>
      <c r="I1746" s="23" t="s">
        <v>8077</v>
      </c>
      <c r="J1746" s="21" t="s">
        <v>5451</v>
      </c>
      <c r="K1746" s="120"/>
      <c r="L1746" s="21" t="s">
        <v>5664</v>
      </c>
      <c r="M1746" s="26" t="s">
        <v>5665</v>
      </c>
      <c r="N1746" s="44">
        <v>20500</v>
      </c>
      <c r="O1746" s="22" t="s">
        <v>15</v>
      </c>
      <c r="P1746" s="22">
        <f>10250+10250</f>
        <v>20500</v>
      </c>
      <c r="Q1746" s="24">
        <f t="shared" si="108"/>
        <v>0</v>
      </c>
      <c r="R1746" s="24">
        <f t="shared" si="107"/>
        <v>20500</v>
      </c>
      <c r="S1746" s="5"/>
      <c r="T1746" s="5"/>
    </row>
    <row r="1747" spans="1:20" ht="15.75" hidden="1" x14ac:dyDescent="0.25">
      <c r="A1747" t="s">
        <v>6753</v>
      </c>
      <c r="B1747" s="21" t="s">
        <v>395</v>
      </c>
      <c r="C1747" s="22" t="s">
        <v>2450</v>
      </c>
      <c r="D1747" s="22" t="s">
        <v>1451</v>
      </c>
      <c r="E1747" s="21" t="s">
        <v>10</v>
      </c>
      <c r="F1747" s="21"/>
      <c r="G1747" s="147" t="s">
        <v>2973</v>
      </c>
      <c r="H1747" s="23" t="s">
        <v>5835</v>
      </c>
      <c r="I1747" s="23" t="s">
        <v>8077</v>
      </c>
      <c r="J1747" s="21" t="s">
        <v>5452</v>
      </c>
      <c r="K1747" s="120"/>
      <c r="L1747" s="21" t="s">
        <v>5838</v>
      </c>
      <c r="M1747" s="26" t="s">
        <v>5839</v>
      </c>
      <c r="N1747" s="44">
        <v>22500</v>
      </c>
      <c r="O1747" s="22" t="s">
        <v>15</v>
      </c>
      <c r="P1747" s="22">
        <f>11250+11250</f>
        <v>22500</v>
      </c>
      <c r="Q1747" s="24">
        <f t="shared" si="108"/>
        <v>0</v>
      </c>
      <c r="R1747" s="24">
        <f t="shared" si="107"/>
        <v>22500</v>
      </c>
      <c r="S1747" s="5"/>
      <c r="T1747" s="5"/>
    </row>
    <row r="1748" spans="1:20" ht="17.25" hidden="1" customHeight="1" x14ac:dyDescent="0.25">
      <c r="A1748" t="s">
        <v>6753</v>
      </c>
      <c r="B1748" s="21" t="s">
        <v>395</v>
      </c>
      <c r="C1748" s="22" t="s">
        <v>2450</v>
      </c>
      <c r="D1748" s="22" t="s">
        <v>1451</v>
      </c>
      <c r="E1748" s="21" t="s">
        <v>10</v>
      </c>
      <c r="F1748" s="21"/>
      <c r="G1748" s="147" t="s">
        <v>2973</v>
      </c>
      <c r="H1748" s="23" t="s">
        <v>5836</v>
      </c>
      <c r="I1748" s="23" t="s">
        <v>8086</v>
      </c>
      <c r="J1748" s="21" t="s">
        <v>5523</v>
      </c>
      <c r="K1748" s="120"/>
      <c r="L1748" s="21" t="s">
        <v>5837</v>
      </c>
      <c r="M1748" s="26">
        <v>44466</v>
      </c>
      <c r="N1748" s="44">
        <v>5625</v>
      </c>
      <c r="O1748" s="22" t="s">
        <v>15</v>
      </c>
      <c r="P1748" s="22">
        <f>5625</f>
        <v>5625</v>
      </c>
      <c r="Q1748" s="24">
        <f t="shared" si="108"/>
        <v>0</v>
      </c>
      <c r="R1748" s="24">
        <f t="shared" si="107"/>
        <v>5625</v>
      </c>
      <c r="S1748" s="5"/>
      <c r="T1748" s="5"/>
    </row>
    <row r="1749" spans="1:20" ht="13.5" hidden="1" customHeight="1" x14ac:dyDescent="0.25">
      <c r="A1749" t="s">
        <v>6753</v>
      </c>
      <c r="B1749" s="21" t="s">
        <v>395</v>
      </c>
      <c r="C1749" s="22" t="s">
        <v>2450</v>
      </c>
      <c r="D1749" s="22" t="s">
        <v>1451</v>
      </c>
      <c r="E1749" s="21" t="s">
        <v>10</v>
      </c>
      <c r="F1749" s="21"/>
      <c r="G1749" s="147" t="s">
        <v>2973</v>
      </c>
      <c r="H1749" s="23" t="s">
        <v>3807</v>
      </c>
      <c r="I1749" s="23" t="s">
        <v>7955</v>
      </c>
      <c r="J1749" s="21" t="s">
        <v>3664</v>
      </c>
      <c r="K1749" s="120"/>
      <c r="L1749" s="21" t="s">
        <v>3808</v>
      </c>
      <c r="M1749" s="26">
        <v>44088</v>
      </c>
      <c r="N1749" s="44">
        <v>5000</v>
      </c>
      <c r="O1749" s="22" t="s">
        <v>15</v>
      </c>
      <c r="P1749" s="22" t="s">
        <v>19</v>
      </c>
      <c r="Q1749" s="44">
        <f t="shared" si="108"/>
        <v>0</v>
      </c>
      <c r="R1749" s="24">
        <f t="shared" si="107"/>
        <v>5000</v>
      </c>
      <c r="S1749" s="5"/>
      <c r="T1749" s="5"/>
    </row>
    <row r="1750" spans="1:20" ht="13.5" hidden="1" customHeight="1" x14ac:dyDescent="0.25">
      <c r="A1750" t="s">
        <v>6753</v>
      </c>
      <c r="B1750" s="21" t="s">
        <v>395</v>
      </c>
      <c r="C1750" s="22" t="s">
        <v>2450</v>
      </c>
      <c r="D1750" s="22" t="s">
        <v>1451</v>
      </c>
      <c r="E1750" s="21" t="s">
        <v>10</v>
      </c>
      <c r="F1750" s="21"/>
      <c r="G1750" s="147" t="s">
        <v>2973</v>
      </c>
      <c r="H1750" s="23" t="s">
        <v>3807</v>
      </c>
      <c r="I1750" s="23" t="s">
        <v>7955</v>
      </c>
      <c r="J1750" s="21" t="s">
        <v>3665</v>
      </c>
      <c r="K1750" s="120"/>
      <c r="L1750" s="21" t="s">
        <v>3808</v>
      </c>
      <c r="M1750" s="26">
        <v>44088</v>
      </c>
      <c r="N1750" s="44">
        <v>5000</v>
      </c>
      <c r="O1750" s="22" t="s">
        <v>15</v>
      </c>
      <c r="P1750" s="22" t="s">
        <v>19</v>
      </c>
      <c r="Q1750" s="44">
        <f t="shared" si="108"/>
        <v>0</v>
      </c>
      <c r="R1750" s="24">
        <f t="shared" si="107"/>
        <v>5000</v>
      </c>
      <c r="S1750" s="5"/>
      <c r="T1750" s="5"/>
    </row>
    <row r="1751" spans="1:20" ht="13.5" hidden="1" customHeight="1" x14ac:dyDescent="0.25">
      <c r="A1751" t="s">
        <v>6753</v>
      </c>
      <c r="B1751" s="21" t="s">
        <v>395</v>
      </c>
      <c r="C1751" s="22" t="s">
        <v>2450</v>
      </c>
      <c r="D1751" s="22"/>
      <c r="E1751" s="21" t="s">
        <v>10</v>
      </c>
      <c r="F1751" s="21"/>
      <c r="G1751" s="147" t="s">
        <v>2973</v>
      </c>
      <c r="H1751" s="23" t="s">
        <v>3809</v>
      </c>
      <c r="I1751" s="23" t="s">
        <v>7953</v>
      </c>
      <c r="J1751" s="21" t="s">
        <v>3658</v>
      </c>
      <c r="K1751" s="120"/>
      <c r="L1751" s="21" t="s">
        <v>3810</v>
      </c>
      <c r="M1751" s="26">
        <v>44088</v>
      </c>
      <c r="N1751" s="44">
        <v>10432</v>
      </c>
      <c r="O1751" s="22" t="s">
        <v>15</v>
      </c>
      <c r="P1751" s="22" t="s">
        <v>19</v>
      </c>
      <c r="Q1751" s="44">
        <f t="shared" si="108"/>
        <v>0</v>
      </c>
      <c r="R1751" s="24">
        <f t="shared" si="107"/>
        <v>10432</v>
      </c>
      <c r="S1751" s="5"/>
      <c r="T1751" s="5"/>
    </row>
    <row r="1752" spans="1:20" ht="15.75" hidden="1" x14ac:dyDescent="0.25">
      <c r="A1752" t="s">
        <v>6753</v>
      </c>
      <c r="B1752" s="21" t="s">
        <v>395</v>
      </c>
      <c r="C1752" s="22" t="s">
        <v>2450</v>
      </c>
      <c r="D1752" s="22" t="s">
        <v>6259</v>
      </c>
      <c r="E1752" s="21" t="s">
        <v>10</v>
      </c>
      <c r="F1752" s="21"/>
      <c r="G1752" s="147" t="s">
        <v>6334</v>
      </c>
      <c r="H1752" s="23" t="s">
        <v>4749</v>
      </c>
      <c r="I1752" s="23" t="s">
        <v>7997</v>
      </c>
      <c r="J1752" s="21" t="s">
        <v>4739</v>
      </c>
      <c r="K1752" s="47"/>
      <c r="L1752" s="21" t="s">
        <v>6456</v>
      </c>
      <c r="M1752" s="26" t="s">
        <v>6457</v>
      </c>
      <c r="N1752" s="44">
        <f>1334250*0.15</f>
        <v>200137.5</v>
      </c>
      <c r="O1752" s="22" t="s">
        <v>15</v>
      </c>
      <c r="P1752" s="44">
        <v>200137.5</v>
      </c>
      <c r="Q1752" s="44">
        <f t="shared" si="108"/>
        <v>0</v>
      </c>
      <c r="R1752" s="24">
        <f t="shared" si="107"/>
        <v>200137.5</v>
      </c>
      <c r="S1752" s="5" t="s">
        <v>4939</v>
      </c>
      <c r="T1752" s="5"/>
    </row>
    <row r="1753" spans="1:20" ht="15.75" hidden="1" x14ac:dyDescent="0.25">
      <c r="A1753" t="s">
        <v>6753</v>
      </c>
      <c r="B1753" s="21" t="s">
        <v>395</v>
      </c>
      <c r="C1753" s="22" t="s">
        <v>2450</v>
      </c>
      <c r="D1753" s="22" t="s">
        <v>6259</v>
      </c>
      <c r="E1753" s="21" t="s">
        <v>10</v>
      </c>
      <c r="F1753" s="21"/>
      <c r="G1753" s="147" t="s">
        <v>6334</v>
      </c>
      <c r="H1753" s="23" t="s">
        <v>4749</v>
      </c>
      <c r="I1753" s="23" t="s">
        <v>7997</v>
      </c>
      <c r="J1753" s="21" t="s">
        <v>4740</v>
      </c>
      <c r="K1753" s="47"/>
      <c r="L1753" s="21" t="s">
        <v>6774</v>
      </c>
      <c r="M1753" s="26">
        <v>44706</v>
      </c>
      <c r="N1753" s="44">
        <f>1334250*0.15</f>
        <v>200137.5</v>
      </c>
      <c r="O1753" s="22" t="s">
        <v>15</v>
      </c>
      <c r="P1753" s="44">
        <v>200137.5</v>
      </c>
      <c r="Q1753" s="44">
        <f t="shared" si="108"/>
        <v>0</v>
      </c>
      <c r="R1753" s="24">
        <f t="shared" ref="R1753:R1766" si="109">IF(P1753="OK",N1753-Q1753,IF(P1753="en cours",N1753-Q1753,P1753))</f>
        <v>200137.5</v>
      </c>
      <c r="S1753" s="5" t="s">
        <v>4939</v>
      </c>
      <c r="T1753" s="5"/>
    </row>
    <row r="1754" spans="1:20" ht="15.75" hidden="1" x14ac:dyDescent="0.25">
      <c r="A1754" t="s">
        <v>6753</v>
      </c>
      <c r="B1754" s="21" t="s">
        <v>395</v>
      </c>
      <c r="C1754" s="22" t="s">
        <v>2450</v>
      </c>
      <c r="D1754" s="22" t="s">
        <v>6259</v>
      </c>
      <c r="E1754" s="21" t="s">
        <v>10</v>
      </c>
      <c r="F1754" s="21"/>
      <c r="G1754" s="147" t="s">
        <v>6334</v>
      </c>
      <c r="H1754" s="23" t="s">
        <v>4749</v>
      </c>
      <c r="I1754" s="23" t="s">
        <v>7997</v>
      </c>
      <c r="J1754" s="21" t="s">
        <v>4741</v>
      </c>
      <c r="K1754" s="47"/>
      <c r="L1754" s="21" t="s">
        <v>7306</v>
      </c>
      <c r="M1754" s="26">
        <v>44894</v>
      </c>
      <c r="N1754" s="44">
        <f>1334250*0.15</f>
        <v>200137.5</v>
      </c>
      <c r="O1754" s="22" t="s">
        <v>15</v>
      </c>
      <c r="P1754" s="44">
        <v>200137.5</v>
      </c>
      <c r="Q1754" s="44">
        <f t="shared" si="108"/>
        <v>0</v>
      </c>
      <c r="R1754" s="24">
        <f t="shared" si="109"/>
        <v>200137.5</v>
      </c>
      <c r="S1754" s="5" t="s">
        <v>4939</v>
      </c>
      <c r="T1754" s="5"/>
    </row>
    <row r="1755" spans="1:20" ht="15.75" hidden="1" x14ac:dyDescent="0.25">
      <c r="A1755" t="s">
        <v>6753</v>
      </c>
      <c r="B1755" s="21" t="s">
        <v>395</v>
      </c>
      <c r="C1755" s="22" t="s">
        <v>2450</v>
      </c>
      <c r="D1755" s="22" t="s">
        <v>6259</v>
      </c>
      <c r="E1755" s="21" t="s">
        <v>10</v>
      </c>
      <c r="F1755" s="21"/>
      <c r="G1755" s="147" t="s">
        <v>6334</v>
      </c>
      <c r="H1755" s="23" t="s">
        <v>4749</v>
      </c>
      <c r="I1755" s="23" t="s">
        <v>7997</v>
      </c>
      <c r="J1755" s="21" t="s">
        <v>4742</v>
      </c>
      <c r="K1755" s="47"/>
      <c r="L1755" s="21" t="s">
        <v>8529</v>
      </c>
      <c r="M1755" s="26">
        <v>45104</v>
      </c>
      <c r="N1755" s="44">
        <f>1334250*0.1</f>
        <v>133425</v>
      </c>
      <c r="O1755" s="22" t="s">
        <v>15</v>
      </c>
      <c r="P1755" s="44">
        <v>133425</v>
      </c>
      <c r="Q1755" s="44">
        <f t="shared" si="108"/>
        <v>0</v>
      </c>
      <c r="R1755" s="24">
        <f t="shared" si="109"/>
        <v>133425</v>
      </c>
      <c r="S1755" s="5" t="s">
        <v>4939</v>
      </c>
      <c r="T1755" s="5"/>
    </row>
    <row r="1756" spans="1:20" ht="15.75" hidden="1" x14ac:dyDescent="0.25">
      <c r="A1756" t="s">
        <v>6753</v>
      </c>
      <c r="B1756" s="21" t="s">
        <v>395</v>
      </c>
      <c r="C1756" s="22" t="s">
        <v>2450</v>
      </c>
      <c r="D1756" s="22" t="s">
        <v>6259</v>
      </c>
      <c r="E1756" s="21" t="s">
        <v>10</v>
      </c>
      <c r="F1756" s="21"/>
      <c r="G1756" s="147" t="s">
        <v>6334</v>
      </c>
      <c r="H1756" s="23" t="s">
        <v>4749</v>
      </c>
      <c r="I1756" s="23" t="s">
        <v>7997</v>
      </c>
      <c r="J1756" s="21" t="s">
        <v>4743</v>
      </c>
      <c r="K1756" s="47"/>
      <c r="L1756" s="21" t="s">
        <v>9697</v>
      </c>
      <c r="M1756" s="23" t="s">
        <v>9698</v>
      </c>
      <c r="N1756" s="44">
        <f>1334250*0.1</f>
        <v>133425</v>
      </c>
      <c r="O1756" s="22" t="s">
        <v>15</v>
      </c>
      <c r="P1756" s="44">
        <v>133425</v>
      </c>
      <c r="Q1756" s="44">
        <f t="shared" si="108"/>
        <v>0</v>
      </c>
      <c r="R1756" s="24">
        <f t="shared" si="109"/>
        <v>133425</v>
      </c>
      <c r="S1756" s="5" t="s">
        <v>4939</v>
      </c>
      <c r="T1756" s="5"/>
    </row>
    <row r="1757" spans="1:20" ht="15.75" hidden="1" x14ac:dyDescent="0.25">
      <c r="A1757" t="s">
        <v>6753</v>
      </c>
      <c r="B1757" s="421" t="s">
        <v>395</v>
      </c>
      <c r="C1757" s="422" t="s">
        <v>2450</v>
      </c>
      <c r="D1757" s="22" t="s">
        <v>6259</v>
      </c>
      <c r="E1757" s="421" t="s">
        <v>10</v>
      </c>
      <c r="F1757" s="421"/>
      <c r="G1757" s="147" t="s">
        <v>6334</v>
      </c>
      <c r="H1757" s="423" t="s">
        <v>7444</v>
      </c>
      <c r="I1757" s="423" t="s">
        <v>8417</v>
      </c>
      <c r="J1757" s="421" t="s">
        <v>4744</v>
      </c>
      <c r="K1757" s="504"/>
      <c r="L1757" s="421" t="s">
        <v>8418</v>
      </c>
      <c r="M1757" s="46">
        <v>45069</v>
      </c>
      <c r="N1757" s="424">
        <v>570000</v>
      </c>
      <c r="O1757" s="422" t="s">
        <v>15</v>
      </c>
      <c r="P1757" s="422">
        <f>570000</f>
        <v>570000</v>
      </c>
      <c r="Q1757" s="424">
        <f t="shared" si="108"/>
        <v>0</v>
      </c>
      <c r="R1757" s="425">
        <f t="shared" si="109"/>
        <v>570000</v>
      </c>
      <c r="S1757" s="5" t="s">
        <v>6791</v>
      </c>
      <c r="T1757" s="250"/>
    </row>
    <row r="1758" spans="1:20" ht="15.75" hidden="1" x14ac:dyDescent="0.25">
      <c r="A1758" t="s">
        <v>6753</v>
      </c>
      <c r="B1758" s="21" t="s">
        <v>395</v>
      </c>
      <c r="C1758" s="22" t="s">
        <v>2450</v>
      </c>
      <c r="D1758" s="22" t="s">
        <v>6259</v>
      </c>
      <c r="E1758" s="21" t="s">
        <v>10</v>
      </c>
      <c r="F1758" s="21"/>
      <c r="G1758" s="147" t="s">
        <v>6334</v>
      </c>
      <c r="H1758" s="423" t="s">
        <v>7444</v>
      </c>
      <c r="I1758" s="423" t="s">
        <v>8417</v>
      </c>
      <c r="J1758" s="21" t="s">
        <v>4745</v>
      </c>
      <c r="K1758" s="505"/>
      <c r="L1758" s="21" t="s">
        <v>8621</v>
      </c>
      <c r="M1758" s="26">
        <v>45129</v>
      </c>
      <c r="N1758" s="44">
        <v>380000</v>
      </c>
      <c r="O1758" s="22" t="s">
        <v>15</v>
      </c>
      <c r="P1758" s="22">
        <f>380000</f>
        <v>380000</v>
      </c>
      <c r="Q1758" s="44">
        <f t="shared" si="108"/>
        <v>0</v>
      </c>
      <c r="R1758" s="24">
        <f t="shared" si="109"/>
        <v>380000</v>
      </c>
      <c r="S1758" s="5"/>
      <c r="T1758" s="5"/>
    </row>
    <row r="1759" spans="1:20" ht="15.75" hidden="1" x14ac:dyDescent="0.25">
      <c r="A1759" t="s">
        <v>6753</v>
      </c>
      <c r="B1759" s="21" t="s">
        <v>395</v>
      </c>
      <c r="C1759" s="22" t="s">
        <v>2450</v>
      </c>
      <c r="D1759" s="22" t="s">
        <v>6259</v>
      </c>
      <c r="E1759" s="21" t="s">
        <v>10</v>
      </c>
      <c r="F1759" s="21"/>
      <c r="G1759" s="147" t="s">
        <v>6334</v>
      </c>
      <c r="H1759" s="423" t="s">
        <v>7444</v>
      </c>
      <c r="I1759" s="423" t="s">
        <v>8417</v>
      </c>
      <c r="J1759" s="21" t="s">
        <v>4746</v>
      </c>
      <c r="K1759" s="505"/>
      <c r="L1759" s="21" t="s">
        <v>9100</v>
      </c>
      <c r="M1759" s="26">
        <v>45233</v>
      </c>
      <c r="N1759" s="44">
        <v>380000</v>
      </c>
      <c r="O1759" s="22" t="s">
        <v>15</v>
      </c>
      <c r="P1759" s="22">
        <f>380000</f>
        <v>380000</v>
      </c>
      <c r="Q1759" s="44">
        <f t="shared" si="108"/>
        <v>0</v>
      </c>
      <c r="R1759" s="24">
        <f t="shared" si="109"/>
        <v>380000</v>
      </c>
      <c r="S1759" s="5"/>
      <c r="T1759" s="5"/>
    </row>
    <row r="1760" spans="1:20" ht="15.75" hidden="1" x14ac:dyDescent="0.25">
      <c r="A1760" t="s">
        <v>6753</v>
      </c>
      <c r="B1760" s="21" t="s">
        <v>395</v>
      </c>
      <c r="C1760" s="22" t="s">
        <v>2450</v>
      </c>
      <c r="D1760" s="22" t="s">
        <v>6259</v>
      </c>
      <c r="E1760" s="21" t="s">
        <v>10</v>
      </c>
      <c r="F1760" s="21"/>
      <c r="G1760" s="147" t="s">
        <v>6334</v>
      </c>
      <c r="H1760" s="423" t="s">
        <v>7444</v>
      </c>
      <c r="I1760" s="423" t="s">
        <v>8417</v>
      </c>
      <c r="J1760" s="21" t="s">
        <v>4747</v>
      </c>
      <c r="K1760" s="505"/>
      <c r="L1760" s="21" t="s">
        <v>9526</v>
      </c>
      <c r="M1760" s="26">
        <v>45317</v>
      </c>
      <c r="N1760" s="44">
        <v>380000</v>
      </c>
      <c r="O1760" s="22" t="s">
        <v>15</v>
      </c>
      <c r="P1760" s="22">
        <v>380000</v>
      </c>
      <c r="Q1760" s="44">
        <f t="shared" si="108"/>
        <v>0</v>
      </c>
      <c r="R1760" s="24">
        <f t="shared" si="109"/>
        <v>380000</v>
      </c>
      <c r="S1760" s="5"/>
      <c r="T1760" s="5"/>
    </row>
    <row r="1761" spans="1:20" ht="15.75" hidden="1" x14ac:dyDescent="0.25">
      <c r="A1761" t="s">
        <v>6753</v>
      </c>
      <c r="B1761" s="21" t="s">
        <v>395</v>
      </c>
      <c r="C1761" s="22" t="s">
        <v>2450</v>
      </c>
      <c r="D1761" s="22" t="s">
        <v>6259</v>
      </c>
      <c r="E1761" s="21" t="s">
        <v>10</v>
      </c>
      <c r="F1761" s="21"/>
      <c r="G1761" s="147" t="s">
        <v>6334</v>
      </c>
      <c r="H1761" s="423" t="s">
        <v>7444</v>
      </c>
      <c r="I1761" s="423" t="s">
        <v>8417</v>
      </c>
      <c r="J1761" s="21" t="s">
        <v>4748</v>
      </c>
      <c r="K1761" s="505"/>
      <c r="L1761" s="21" t="s">
        <v>10584</v>
      </c>
      <c r="M1761" s="26">
        <v>45576</v>
      </c>
      <c r="N1761" s="44">
        <v>190000</v>
      </c>
      <c r="O1761" s="22" t="s">
        <v>15</v>
      </c>
      <c r="P1761" s="22">
        <v>190000</v>
      </c>
      <c r="Q1761" s="44">
        <f t="shared" si="108"/>
        <v>0</v>
      </c>
      <c r="R1761" s="24">
        <f t="shared" si="109"/>
        <v>190000</v>
      </c>
      <c r="S1761" s="5"/>
      <c r="T1761" s="5"/>
    </row>
    <row r="1762" spans="1:20" ht="15.75" hidden="1" x14ac:dyDescent="0.25">
      <c r="A1762" t="s">
        <v>6753</v>
      </c>
      <c r="B1762" s="21" t="s">
        <v>395</v>
      </c>
      <c r="C1762" s="22" t="s">
        <v>2450</v>
      </c>
      <c r="D1762" s="22" t="s">
        <v>1451</v>
      </c>
      <c r="E1762" s="21" t="s">
        <v>10</v>
      </c>
      <c r="F1762" s="21"/>
      <c r="G1762" s="147" t="s">
        <v>6334</v>
      </c>
      <c r="H1762" s="23" t="s">
        <v>5996</v>
      </c>
      <c r="I1762" s="23" t="s">
        <v>7992</v>
      </c>
      <c r="J1762" s="21" t="s">
        <v>4093</v>
      </c>
      <c r="K1762" s="21"/>
      <c r="L1762" s="21" t="s">
        <v>6565</v>
      </c>
      <c r="M1762" s="26" t="s">
        <v>6566</v>
      </c>
      <c r="N1762" s="44">
        <v>41100</v>
      </c>
      <c r="O1762" s="22" t="s">
        <v>15</v>
      </c>
      <c r="P1762" s="44">
        <f>2346+5474-7820+12330+28770</f>
        <v>41100</v>
      </c>
      <c r="Q1762" s="44">
        <f t="shared" ref="Q1762:Q1777" si="110">IF(P1762="en cours",N1762,IF(P1762="OK",0,IF(N1762-P1762&lt;0,0,N1762-P1762)))</f>
        <v>0</v>
      </c>
      <c r="R1762" s="24">
        <f t="shared" si="109"/>
        <v>41100</v>
      </c>
      <c r="S1762" s="5" t="s">
        <v>5741</v>
      </c>
      <c r="T1762" s="5"/>
    </row>
    <row r="1763" spans="1:20" ht="15.75" hidden="1" x14ac:dyDescent="0.25">
      <c r="A1763" t="s">
        <v>6753</v>
      </c>
      <c r="B1763" s="21" t="s">
        <v>395</v>
      </c>
      <c r="C1763" s="22" t="s">
        <v>2450</v>
      </c>
      <c r="D1763" s="22" t="s">
        <v>1451</v>
      </c>
      <c r="E1763" s="21" t="s">
        <v>10</v>
      </c>
      <c r="F1763" s="21"/>
      <c r="G1763" s="147" t="s">
        <v>6334</v>
      </c>
      <c r="H1763" s="23" t="s">
        <v>5995</v>
      </c>
      <c r="I1763" s="23" t="s">
        <v>7992</v>
      </c>
      <c r="J1763" s="21" t="s">
        <v>5477</v>
      </c>
      <c r="K1763" s="21"/>
      <c r="L1763" s="21" t="s">
        <v>6462</v>
      </c>
      <c r="M1763" s="26" t="s">
        <v>6463</v>
      </c>
      <c r="N1763" s="44">
        <v>41100</v>
      </c>
      <c r="O1763" s="22" t="s">
        <v>15</v>
      </c>
      <c r="P1763" s="44">
        <f>2346-2346+12330+28770</f>
        <v>41100</v>
      </c>
      <c r="Q1763" s="44">
        <f t="shared" si="110"/>
        <v>0</v>
      </c>
      <c r="R1763" s="24">
        <f t="shared" si="109"/>
        <v>41100</v>
      </c>
      <c r="S1763" s="5" t="s">
        <v>5741</v>
      </c>
      <c r="T1763" s="5"/>
    </row>
    <row r="1764" spans="1:20" ht="15.75" hidden="1" x14ac:dyDescent="0.25">
      <c r="B1764" s="21" t="s">
        <v>395</v>
      </c>
      <c r="C1764" s="22" t="s">
        <v>2450</v>
      </c>
      <c r="D1764" s="22"/>
      <c r="E1764" s="21" t="s">
        <v>10</v>
      </c>
      <c r="F1764" s="21"/>
      <c r="G1764" s="147" t="s">
        <v>6506</v>
      </c>
      <c r="H1764" s="23" t="s">
        <v>9018</v>
      </c>
      <c r="I1764" s="23" t="s">
        <v>9019</v>
      </c>
      <c r="J1764" s="21" t="s">
        <v>9020</v>
      </c>
      <c r="K1764" s="21"/>
      <c r="L1764" s="21" t="s">
        <v>12235</v>
      </c>
      <c r="M1764" s="26">
        <v>45232</v>
      </c>
      <c r="N1764" s="44">
        <v>3580.5</v>
      </c>
      <c r="O1764" s="22" t="s">
        <v>15</v>
      </c>
      <c r="P1764" s="44">
        <v>3580.5</v>
      </c>
      <c r="Q1764" s="24">
        <f t="shared" si="110"/>
        <v>0</v>
      </c>
      <c r="R1764" s="24">
        <f t="shared" si="109"/>
        <v>3580.5</v>
      </c>
      <c r="S1764" s="5"/>
      <c r="T1764" s="5"/>
    </row>
    <row r="1765" spans="1:20" ht="15.75" hidden="1" x14ac:dyDescent="0.25">
      <c r="B1765" s="21" t="s">
        <v>395</v>
      </c>
      <c r="C1765" s="22" t="s">
        <v>2450</v>
      </c>
      <c r="D1765" s="22"/>
      <c r="E1765" s="21" t="s">
        <v>10</v>
      </c>
      <c r="F1765" s="21"/>
      <c r="G1765" s="147" t="s">
        <v>6506</v>
      </c>
      <c r="H1765" s="23" t="s">
        <v>9650</v>
      </c>
      <c r="I1765" s="23" t="s">
        <v>9651</v>
      </c>
      <c r="J1765" s="21" t="s">
        <v>6557</v>
      </c>
      <c r="K1765" s="21"/>
      <c r="L1765" s="21" t="s">
        <v>9709</v>
      </c>
      <c r="M1765" s="26">
        <v>45387</v>
      </c>
      <c r="N1765" s="44">
        <v>5100</v>
      </c>
      <c r="O1765" s="22" t="s">
        <v>15</v>
      </c>
      <c r="P1765" s="44">
        <v>5100</v>
      </c>
      <c r="Q1765" s="24">
        <f t="shared" si="110"/>
        <v>0</v>
      </c>
      <c r="R1765" s="24">
        <f t="shared" si="109"/>
        <v>5100</v>
      </c>
      <c r="S1765" s="5"/>
      <c r="T1765" s="5"/>
    </row>
    <row r="1766" spans="1:20" ht="15.75" hidden="1" x14ac:dyDescent="0.25">
      <c r="B1766" s="21" t="s">
        <v>395</v>
      </c>
      <c r="C1766" s="22" t="s">
        <v>2450</v>
      </c>
      <c r="D1766" s="22"/>
      <c r="E1766" s="21" t="s">
        <v>10</v>
      </c>
      <c r="F1766" s="21" t="s">
        <v>9721</v>
      </c>
      <c r="G1766" s="147" t="s">
        <v>6506</v>
      </c>
      <c r="H1766" s="107" t="s">
        <v>10289</v>
      </c>
      <c r="I1766" s="23" t="s">
        <v>10289</v>
      </c>
      <c r="J1766" s="21" t="s">
        <v>6557</v>
      </c>
      <c r="K1766" s="21"/>
      <c r="L1766" s="21" t="s">
        <v>10386</v>
      </c>
      <c r="M1766" s="26">
        <v>45533</v>
      </c>
      <c r="N1766" s="44">
        <v>995</v>
      </c>
      <c r="O1766" s="22" t="s">
        <v>15</v>
      </c>
      <c r="P1766" s="44">
        <v>995</v>
      </c>
      <c r="Q1766" s="44">
        <f t="shared" si="110"/>
        <v>0</v>
      </c>
      <c r="R1766" s="24">
        <f t="shared" si="109"/>
        <v>995</v>
      </c>
      <c r="S1766" s="5"/>
      <c r="T1766" s="5"/>
    </row>
    <row r="1767" spans="1:20" ht="15.75" hidden="1" x14ac:dyDescent="0.25">
      <c r="A1767" t="s">
        <v>6753</v>
      </c>
      <c r="B1767" s="21" t="s">
        <v>395</v>
      </c>
      <c r="C1767" s="22" t="s">
        <v>2456</v>
      </c>
      <c r="D1767" s="22"/>
      <c r="E1767" s="21" t="s">
        <v>75</v>
      </c>
      <c r="F1767" s="21"/>
      <c r="G1767" s="147" t="s">
        <v>210</v>
      </c>
      <c r="H1767" s="23" t="s">
        <v>211</v>
      </c>
      <c r="I1767" s="23"/>
      <c r="J1767" s="21" t="s">
        <v>208</v>
      </c>
      <c r="K1767" s="21"/>
      <c r="L1767" s="21"/>
      <c r="M1767" s="503">
        <v>9100</v>
      </c>
      <c r="N1767" s="44">
        <v>0</v>
      </c>
      <c r="O1767" s="22" t="s">
        <v>15</v>
      </c>
      <c r="P1767" s="22" t="s">
        <v>19</v>
      </c>
      <c r="Q1767" s="24">
        <f t="shared" si="110"/>
        <v>0</v>
      </c>
      <c r="R1767" s="24">
        <f t="shared" ref="R1767:R1774" si="111">IF(P1767="OK",M1767-Q1767,IF(P1767="en cours",M1767-Q1767,P1767))</f>
        <v>9100</v>
      </c>
      <c r="S1767" s="5" t="s">
        <v>549</v>
      </c>
      <c r="T1767" s="5"/>
    </row>
    <row r="1768" spans="1:20" ht="15.75" hidden="1" x14ac:dyDescent="0.25">
      <c r="A1768" t="s">
        <v>6753</v>
      </c>
      <c r="B1768" s="21" t="s">
        <v>395</v>
      </c>
      <c r="C1768" s="22" t="s">
        <v>2456</v>
      </c>
      <c r="D1768" s="22"/>
      <c r="E1768" s="21" t="s">
        <v>75</v>
      </c>
      <c r="F1768" s="21"/>
      <c r="G1768" s="147" t="s">
        <v>210</v>
      </c>
      <c r="H1768" s="23" t="s">
        <v>211</v>
      </c>
      <c r="I1768" s="23"/>
      <c r="J1768" s="21" t="s">
        <v>209</v>
      </c>
      <c r="K1768" s="21"/>
      <c r="L1768" s="21"/>
      <c r="M1768" s="503">
        <v>1610</v>
      </c>
      <c r="N1768" s="44">
        <v>0</v>
      </c>
      <c r="O1768" s="22" t="s">
        <v>15</v>
      </c>
      <c r="P1768" s="22" t="s">
        <v>19</v>
      </c>
      <c r="Q1768" s="24">
        <f t="shared" si="110"/>
        <v>0</v>
      </c>
      <c r="R1768" s="24">
        <f t="shared" si="111"/>
        <v>1610</v>
      </c>
      <c r="S1768" s="5" t="s">
        <v>549</v>
      </c>
      <c r="T1768" s="5"/>
    </row>
    <row r="1769" spans="1:20" ht="15.75" hidden="1" x14ac:dyDescent="0.25">
      <c r="A1769" t="s">
        <v>6753</v>
      </c>
      <c r="B1769" s="21" t="s">
        <v>395</v>
      </c>
      <c r="C1769" s="22" t="s">
        <v>2456</v>
      </c>
      <c r="D1769" s="22"/>
      <c r="E1769" s="21" t="s">
        <v>75</v>
      </c>
      <c r="F1769" s="21"/>
      <c r="G1769" s="147" t="s">
        <v>210</v>
      </c>
      <c r="H1769" s="23" t="s">
        <v>1708</v>
      </c>
      <c r="I1769" s="23"/>
      <c r="J1769" s="21" t="s">
        <v>212</v>
      </c>
      <c r="K1769" s="21"/>
      <c r="L1769" s="21"/>
      <c r="M1769" s="503">
        <v>3260</v>
      </c>
      <c r="N1769" s="44"/>
      <c r="O1769" s="22" t="s">
        <v>15</v>
      </c>
      <c r="P1769" s="22" t="s">
        <v>19</v>
      </c>
      <c r="Q1769" s="24">
        <f t="shared" si="110"/>
        <v>0</v>
      </c>
      <c r="R1769" s="24">
        <f t="shared" si="111"/>
        <v>3260</v>
      </c>
      <c r="S1769" s="5"/>
      <c r="T1769" s="5"/>
    </row>
    <row r="1770" spans="1:20" ht="15.75" hidden="1" x14ac:dyDescent="0.25">
      <c r="A1770" t="s">
        <v>6753</v>
      </c>
      <c r="B1770" s="21" t="s">
        <v>395</v>
      </c>
      <c r="C1770" s="22" t="s">
        <v>2456</v>
      </c>
      <c r="D1770" s="22"/>
      <c r="E1770" s="21" t="s">
        <v>75</v>
      </c>
      <c r="F1770" s="21"/>
      <c r="G1770" s="147" t="s">
        <v>210</v>
      </c>
      <c r="H1770" s="23" t="s">
        <v>1708</v>
      </c>
      <c r="I1770" s="23"/>
      <c r="J1770" s="21" t="s">
        <v>213</v>
      </c>
      <c r="K1770" s="21"/>
      <c r="L1770" s="21"/>
      <c r="M1770" s="503">
        <v>5990</v>
      </c>
      <c r="N1770" s="44"/>
      <c r="O1770" s="22" t="s">
        <v>15</v>
      </c>
      <c r="P1770" s="22" t="s">
        <v>19</v>
      </c>
      <c r="Q1770" s="24">
        <f t="shared" si="110"/>
        <v>0</v>
      </c>
      <c r="R1770" s="24">
        <f t="shared" si="111"/>
        <v>5990</v>
      </c>
      <c r="S1770" s="5"/>
      <c r="T1770" s="5"/>
    </row>
    <row r="1771" spans="1:20" ht="15.75" hidden="1" x14ac:dyDescent="0.25">
      <c r="A1771" t="s">
        <v>6753</v>
      </c>
      <c r="B1771" s="21" t="s">
        <v>395</v>
      </c>
      <c r="C1771" s="22" t="s">
        <v>2456</v>
      </c>
      <c r="D1771" s="22"/>
      <c r="E1771" s="21" t="s">
        <v>75</v>
      </c>
      <c r="F1771" s="21"/>
      <c r="G1771" s="147" t="s">
        <v>210</v>
      </c>
      <c r="H1771" s="23" t="s">
        <v>1708</v>
      </c>
      <c r="I1771" s="23"/>
      <c r="J1771" s="21" t="s">
        <v>214</v>
      </c>
      <c r="K1771" s="21"/>
      <c r="L1771" s="21"/>
      <c r="M1771" s="503">
        <v>13000</v>
      </c>
      <c r="N1771" s="44"/>
      <c r="O1771" s="22" t="s">
        <v>15</v>
      </c>
      <c r="P1771" s="22" t="s">
        <v>19</v>
      </c>
      <c r="Q1771" s="24">
        <f t="shared" si="110"/>
        <v>0</v>
      </c>
      <c r="R1771" s="24">
        <f t="shared" si="111"/>
        <v>13000</v>
      </c>
      <c r="S1771" s="5"/>
      <c r="T1771" s="5"/>
    </row>
    <row r="1772" spans="1:20" ht="15.75" hidden="1" x14ac:dyDescent="0.25">
      <c r="A1772" t="s">
        <v>6753</v>
      </c>
      <c r="B1772" s="21" t="s">
        <v>395</v>
      </c>
      <c r="C1772" s="22" t="s">
        <v>2456</v>
      </c>
      <c r="D1772" s="22"/>
      <c r="E1772" s="21" t="s">
        <v>75</v>
      </c>
      <c r="F1772" s="21"/>
      <c r="G1772" s="147" t="s">
        <v>210</v>
      </c>
      <c r="H1772" s="23" t="s">
        <v>1708</v>
      </c>
      <c r="I1772" s="23"/>
      <c r="J1772" s="21" t="s">
        <v>215</v>
      </c>
      <c r="K1772" s="21"/>
      <c r="L1772" s="21"/>
      <c r="M1772" s="503">
        <v>21165</v>
      </c>
      <c r="N1772" s="44"/>
      <c r="O1772" s="22" t="s">
        <v>15</v>
      </c>
      <c r="P1772" s="22" t="s">
        <v>19</v>
      </c>
      <c r="Q1772" s="24">
        <f t="shared" si="110"/>
        <v>0</v>
      </c>
      <c r="R1772" s="24">
        <f t="shared" si="111"/>
        <v>21165</v>
      </c>
      <c r="S1772" s="5"/>
      <c r="T1772" s="5"/>
    </row>
    <row r="1773" spans="1:20" ht="15.75" hidden="1" x14ac:dyDescent="0.25">
      <c r="A1773" t="s">
        <v>6753</v>
      </c>
      <c r="B1773" s="21" t="s">
        <v>395</v>
      </c>
      <c r="C1773" s="22" t="s">
        <v>2456</v>
      </c>
      <c r="D1773" s="22"/>
      <c r="E1773" s="21" t="s">
        <v>75</v>
      </c>
      <c r="F1773" s="21"/>
      <c r="G1773" s="147" t="s">
        <v>210</v>
      </c>
      <c r="H1773" s="23" t="s">
        <v>1708</v>
      </c>
      <c r="I1773" s="23"/>
      <c r="J1773" s="21" t="s">
        <v>216</v>
      </c>
      <c r="K1773" s="21"/>
      <c r="L1773" s="21"/>
      <c r="M1773" s="503">
        <v>3600</v>
      </c>
      <c r="N1773" s="44"/>
      <c r="O1773" s="22" t="s">
        <v>15</v>
      </c>
      <c r="P1773" s="22" t="s">
        <v>19</v>
      </c>
      <c r="Q1773" s="24">
        <f t="shared" si="110"/>
        <v>0</v>
      </c>
      <c r="R1773" s="24">
        <f t="shared" si="111"/>
        <v>3600</v>
      </c>
      <c r="S1773" s="5"/>
      <c r="T1773" s="5"/>
    </row>
    <row r="1774" spans="1:20" ht="15.75" hidden="1" x14ac:dyDescent="0.25">
      <c r="A1774" t="s">
        <v>6753</v>
      </c>
      <c r="B1774" s="21" t="s">
        <v>395</v>
      </c>
      <c r="C1774" s="22" t="s">
        <v>2456</v>
      </c>
      <c r="D1774" s="22"/>
      <c r="E1774" s="21" t="s">
        <v>75</v>
      </c>
      <c r="F1774" s="21"/>
      <c r="G1774" s="147" t="s">
        <v>210</v>
      </c>
      <c r="H1774" s="23" t="s">
        <v>1708</v>
      </c>
      <c r="I1774" s="23"/>
      <c r="J1774" s="21" t="s">
        <v>217</v>
      </c>
      <c r="K1774" s="21"/>
      <c r="L1774" s="21"/>
      <c r="M1774" s="503">
        <v>54577.5</v>
      </c>
      <c r="N1774" s="44"/>
      <c r="O1774" s="22" t="s">
        <v>15</v>
      </c>
      <c r="P1774" s="22" t="s">
        <v>19</v>
      </c>
      <c r="Q1774" s="24">
        <f t="shared" si="110"/>
        <v>0</v>
      </c>
      <c r="R1774" s="24">
        <f t="shared" si="111"/>
        <v>54577.5</v>
      </c>
      <c r="S1774" s="5"/>
      <c r="T1774" s="5"/>
    </row>
    <row r="1775" spans="1:20" ht="15.75" hidden="1" x14ac:dyDescent="0.25">
      <c r="A1775" t="s">
        <v>6753</v>
      </c>
      <c r="B1775" s="21" t="s">
        <v>395</v>
      </c>
      <c r="C1775" s="22" t="s">
        <v>2456</v>
      </c>
      <c r="D1775" s="22"/>
      <c r="E1775" s="21" t="s">
        <v>75</v>
      </c>
      <c r="F1775" s="21"/>
      <c r="G1775" s="147" t="s">
        <v>210</v>
      </c>
      <c r="H1775" s="23" t="s">
        <v>1708</v>
      </c>
      <c r="I1775" s="23"/>
      <c r="J1775" s="21" t="s">
        <v>218</v>
      </c>
      <c r="K1775" s="21"/>
      <c r="L1775" s="21"/>
      <c r="M1775" s="503"/>
      <c r="N1775" s="44"/>
      <c r="O1775" s="22" t="s">
        <v>15</v>
      </c>
      <c r="P1775" s="22" t="s">
        <v>19</v>
      </c>
      <c r="Q1775" s="24">
        <f t="shared" si="110"/>
        <v>0</v>
      </c>
      <c r="R1775" s="24">
        <f t="shared" ref="R1775:R1778" si="112">IF(P1775="OK",N1775-Q1775,IF(P1775="en cours",N1775-Q1775,P1775))</f>
        <v>0</v>
      </c>
      <c r="S1775" s="5"/>
      <c r="T1775" s="5"/>
    </row>
    <row r="1776" spans="1:20" ht="15.75" hidden="1" x14ac:dyDescent="0.25">
      <c r="A1776" t="s">
        <v>6753</v>
      </c>
      <c r="B1776" s="21" t="s">
        <v>395</v>
      </c>
      <c r="C1776" s="22" t="s">
        <v>2456</v>
      </c>
      <c r="D1776" s="22"/>
      <c r="E1776" s="21" t="s">
        <v>75</v>
      </c>
      <c r="F1776" s="21"/>
      <c r="G1776" s="147" t="s">
        <v>210</v>
      </c>
      <c r="H1776" s="23" t="s">
        <v>1708</v>
      </c>
      <c r="I1776" s="23"/>
      <c r="J1776" s="21" t="s">
        <v>219</v>
      </c>
      <c r="K1776" s="21"/>
      <c r="L1776" s="21"/>
      <c r="M1776" s="503">
        <v>33989</v>
      </c>
      <c r="N1776" s="44"/>
      <c r="O1776" s="22" t="s">
        <v>15</v>
      </c>
      <c r="P1776" s="22" t="s">
        <v>19</v>
      </c>
      <c r="Q1776" s="24">
        <f t="shared" si="110"/>
        <v>0</v>
      </c>
      <c r="R1776" s="24">
        <f t="shared" si="112"/>
        <v>0</v>
      </c>
      <c r="S1776" s="5"/>
      <c r="T1776" s="5"/>
    </row>
    <row r="1777" spans="1:20" ht="15.75" hidden="1" x14ac:dyDescent="0.25">
      <c r="A1777" t="s">
        <v>6753</v>
      </c>
      <c r="B1777" s="21" t="s">
        <v>395</v>
      </c>
      <c r="C1777" s="22" t="s">
        <v>2456</v>
      </c>
      <c r="D1777" s="22"/>
      <c r="E1777" s="21" t="s">
        <v>75</v>
      </c>
      <c r="F1777" s="21"/>
      <c r="G1777" s="147" t="s">
        <v>210</v>
      </c>
      <c r="H1777" s="23" t="s">
        <v>1708</v>
      </c>
      <c r="I1777" s="23"/>
      <c r="J1777" s="21" t="s">
        <v>441</v>
      </c>
      <c r="K1777" s="21"/>
      <c r="L1777" s="21"/>
      <c r="M1777" s="503" t="s">
        <v>1482</v>
      </c>
      <c r="N1777" s="44">
        <f>+M1769+M1770+M1771+M1772+M1773+M1774+M1775+10000</f>
        <v>111592.5</v>
      </c>
      <c r="O1777" s="22" t="s">
        <v>15</v>
      </c>
      <c r="P1777" s="114">
        <f>20974.12+4660+2310+5625+6315+5957.5+8390+17117.5+17157.5+8080+5197.5+6022.5+3487.5+820</f>
        <v>112114.12</v>
      </c>
      <c r="Q1777" s="24">
        <f t="shared" si="110"/>
        <v>0</v>
      </c>
      <c r="R1777" s="24">
        <f t="shared" si="112"/>
        <v>112114.12</v>
      </c>
      <c r="S1777" s="5" t="s">
        <v>1484</v>
      </c>
      <c r="T1777" s="5"/>
    </row>
    <row r="1778" spans="1:20" ht="15.75" hidden="1" x14ac:dyDescent="0.25">
      <c r="A1778" t="s">
        <v>6753</v>
      </c>
      <c r="B1778" s="21" t="s">
        <v>395</v>
      </c>
      <c r="C1778" s="22" t="s">
        <v>2456</v>
      </c>
      <c r="D1778" s="22"/>
      <c r="E1778" s="21" t="s">
        <v>75</v>
      </c>
      <c r="F1778" s="21"/>
      <c r="G1778" s="147" t="s">
        <v>210</v>
      </c>
      <c r="H1778" s="23" t="s">
        <v>1708</v>
      </c>
      <c r="I1778" s="23"/>
      <c r="J1778" s="21" t="s">
        <v>442</v>
      </c>
      <c r="K1778" s="21"/>
      <c r="L1778" s="21"/>
      <c r="M1778" s="503" t="s">
        <v>1483</v>
      </c>
      <c r="N1778" s="44">
        <f>+M1776</f>
        <v>33989</v>
      </c>
      <c r="O1778" s="22" t="s">
        <v>15</v>
      </c>
      <c r="P1778" s="114">
        <f>972.21+156.15+101.79+538.57+1166.81+781.27+533.25+628.92+1496.7+23.13+18.3+571.49+418.25+29.33</f>
        <v>7436.17</v>
      </c>
      <c r="Q1778" s="24">
        <v>0</v>
      </c>
      <c r="R1778" s="24">
        <f t="shared" si="112"/>
        <v>7436.17</v>
      </c>
      <c r="S1778" s="5" t="s">
        <v>1484</v>
      </c>
      <c r="T1778" s="5"/>
    </row>
    <row r="1779" spans="1:20" ht="15.75" hidden="1" x14ac:dyDescent="0.25">
      <c r="A1779" t="s">
        <v>6753</v>
      </c>
      <c r="B1779" s="21" t="s">
        <v>395</v>
      </c>
      <c r="C1779" s="22" t="s">
        <v>1940</v>
      </c>
      <c r="D1779" s="22"/>
      <c r="E1779" s="21" t="s">
        <v>0</v>
      </c>
      <c r="F1779" s="21"/>
      <c r="G1779" s="147" t="s">
        <v>509</v>
      </c>
      <c r="H1779" s="23" t="s">
        <v>4229</v>
      </c>
      <c r="I1779" s="23" t="s">
        <v>7980</v>
      </c>
      <c r="J1779" s="21" t="s">
        <v>4230</v>
      </c>
      <c r="K1779" s="120"/>
      <c r="L1779" s="21" t="s">
        <v>5403</v>
      </c>
      <c r="M1779" s="23" t="s">
        <v>5404</v>
      </c>
      <c r="N1779" s="44">
        <v>9764.7999999999993</v>
      </c>
      <c r="O1779" s="22" t="s">
        <v>15</v>
      </c>
      <c r="P1779" s="22">
        <f>2702.79+2425.48+1105.13+1816.81+639.94+1275.4</f>
        <v>9965.5500000000011</v>
      </c>
      <c r="Q1779" s="24">
        <f t="shared" ref="Q1779:Q1833" si="113">IF(P1779="en cours",N1779,IF(P1779="OK",0,IF(N1779-P1779&lt;0,0,N1779-P1779)))</f>
        <v>0</v>
      </c>
      <c r="R1779" s="24">
        <f>IF(P1779="OK",N1779-Q1779,IF(P1779="en cours",N1779-Q1779,P1779))</f>
        <v>9965.5500000000011</v>
      </c>
      <c r="S1779" s="5"/>
      <c r="T1779" s="5"/>
    </row>
    <row r="1780" spans="1:20" ht="15.75" hidden="1" x14ac:dyDescent="0.25">
      <c r="B1780" s="21" t="s">
        <v>395</v>
      </c>
      <c r="C1780" s="22" t="s">
        <v>2459</v>
      </c>
      <c r="D1780" s="22"/>
      <c r="E1780" s="21" t="s">
        <v>0</v>
      </c>
      <c r="F1780" s="21"/>
      <c r="G1780" s="147" t="s">
        <v>509</v>
      </c>
      <c r="H1780" s="23" t="s">
        <v>2278</v>
      </c>
      <c r="I1780" s="23" t="s">
        <v>7854</v>
      </c>
      <c r="J1780" s="21" t="s">
        <v>1549</v>
      </c>
      <c r="K1780" s="120"/>
      <c r="L1780" s="21" t="s">
        <v>1955</v>
      </c>
      <c r="M1780" s="26">
        <v>43707</v>
      </c>
      <c r="N1780" s="44">
        <v>0</v>
      </c>
      <c r="O1780" s="22" t="s">
        <v>15</v>
      </c>
      <c r="P1780" s="44" t="s">
        <v>19</v>
      </c>
      <c r="Q1780" s="24">
        <f t="shared" si="113"/>
        <v>0</v>
      </c>
      <c r="R1780" s="24">
        <f t="shared" ref="R1780:R1827" si="114">IF(P1780="OK",N1780-Q1780,IF(P1780="en cours",M1780-Q1780,P1780))</f>
        <v>0</v>
      </c>
      <c r="S1780" s="5"/>
      <c r="T1780" s="5"/>
    </row>
    <row r="1781" spans="1:20" ht="15.75" hidden="1" x14ac:dyDescent="0.25">
      <c r="B1781" s="21" t="s">
        <v>395</v>
      </c>
      <c r="C1781" s="22" t="s">
        <v>2459</v>
      </c>
      <c r="D1781" s="22"/>
      <c r="E1781" s="21" t="s">
        <v>0</v>
      </c>
      <c r="F1781" s="21"/>
      <c r="G1781" s="147" t="s">
        <v>509</v>
      </c>
      <c r="H1781" s="23" t="s">
        <v>2278</v>
      </c>
      <c r="I1781" s="23" t="s">
        <v>7854</v>
      </c>
      <c r="J1781" s="21" t="s">
        <v>2279</v>
      </c>
      <c r="K1781" s="120"/>
      <c r="L1781" s="21" t="s">
        <v>1955</v>
      </c>
      <c r="M1781" s="26">
        <v>43707</v>
      </c>
      <c r="N1781" s="44">
        <v>0</v>
      </c>
      <c r="O1781" s="22" t="s">
        <v>15</v>
      </c>
      <c r="P1781" s="44" t="s">
        <v>19</v>
      </c>
      <c r="Q1781" s="24">
        <f t="shared" si="113"/>
        <v>0</v>
      </c>
      <c r="R1781" s="24">
        <f t="shared" si="114"/>
        <v>0</v>
      </c>
      <c r="S1781" s="5"/>
      <c r="T1781" s="5"/>
    </row>
    <row r="1782" spans="1:20" ht="15.75" hidden="1" x14ac:dyDescent="0.25">
      <c r="B1782" s="21" t="s">
        <v>395</v>
      </c>
      <c r="C1782" s="22" t="s">
        <v>2459</v>
      </c>
      <c r="D1782" s="22"/>
      <c r="E1782" s="21" t="s">
        <v>0</v>
      </c>
      <c r="F1782" s="21"/>
      <c r="G1782" s="147" t="s">
        <v>509</v>
      </c>
      <c r="H1782" s="23" t="s">
        <v>2278</v>
      </c>
      <c r="I1782" s="23" t="s">
        <v>7854</v>
      </c>
      <c r="J1782" s="21" t="s">
        <v>2279</v>
      </c>
      <c r="K1782" s="120"/>
      <c r="L1782" s="21" t="s">
        <v>1955</v>
      </c>
      <c r="M1782" s="26">
        <v>43707</v>
      </c>
      <c r="N1782" s="44">
        <v>0</v>
      </c>
      <c r="O1782" s="22" t="s">
        <v>15</v>
      </c>
      <c r="P1782" s="44" t="s">
        <v>19</v>
      </c>
      <c r="Q1782" s="24">
        <f t="shared" si="113"/>
        <v>0</v>
      </c>
      <c r="R1782" s="24">
        <f t="shared" si="114"/>
        <v>0</v>
      </c>
      <c r="S1782" s="5"/>
      <c r="T1782" s="5"/>
    </row>
    <row r="1783" spans="1:20" ht="15.75" hidden="1" x14ac:dyDescent="0.25">
      <c r="B1783" s="21" t="s">
        <v>395</v>
      </c>
      <c r="C1783" s="22" t="s">
        <v>2459</v>
      </c>
      <c r="D1783" s="22"/>
      <c r="E1783" s="21" t="s">
        <v>0</v>
      </c>
      <c r="F1783" s="21"/>
      <c r="G1783" s="147" t="s">
        <v>509</v>
      </c>
      <c r="H1783" s="23" t="s">
        <v>2278</v>
      </c>
      <c r="I1783" s="23" t="s">
        <v>7854</v>
      </c>
      <c r="J1783" s="21" t="s">
        <v>2279</v>
      </c>
      <c r="K1783" s="120"/>
      <c r="L1783" s="21" t="s">
        <v>1955</v>
      </c>
      <c r="M1783" s="26">
        <v>43707</v>
      </c>
      <c r="N1783" s="44">
        <v>0</v>
      </c>
      <c r="O1783" s="22" t="s">
        <v>15</v>
      </c>
      <c r="P1783" s="44" t="s">
        <v>19</v>
      </c>
      <c r="Q1783" s="24">
        <f t="shared" si="113"/>
        <v>0</v>
      </c>
      <c r="R1783" s="24">
        <f t="shared" si="114"/>
        <v>0</v>
      </c>
      <c r="S1783" s="5"/>
      <c r="T1783" s="5"/>
    </row>
    <row r="1784" spans="1:20" ht="15.75" hidden="1" x14ac:dyDescent="0.25">
      <c r="B1784" s="21" t="s">
        <v>395</v>
      </c>
      <c r="C1784" s="22" t="s">
        <v>2459</v>
      </c>
      <c r="D1784" s="22"/>
      <c r="E1784" s="21" t="s">
        <v>0</v>
      </c>
      <c r="F1784" s="21"/>
      <c r="G1784" s="147" t="s">
        <v>509</v>
      </c>
      <c r="H1784" s="23" t="s">
        <v>2278</v>
      </c>
      <c r="I1784" s="23" t="s">
        <v>7854</v>
      </c>
      <c r="J1784" s="21" t="s">
        <v>2279</v>
      </c>
      <c r="K1784" s="120"/>
      <c r="L1784" s="21" t="s">
        <v>2286</v>
      </c>
      <c r="M1784" s="26">
        <v>43738</v>
      </c>
      <c r="N1784" s="44">
        <v>0</v>
      </c>
      <c r="O1784" s="22" t="s">
        <v>15</v>
      </c>
      <c r="P1784" s="44" t="s">
        <v>19</v>
      </c>
      <c r="Q1784" s="24">
        <f t="shared" si="113"/>
        <v>0</v>
      </c>
      <c r="R1784" s="24">
        <f t="shared" si="114"/>
        <v>0</v>
      </c>
      <c r="S1784" s="5"/>
      <c r="T1784" s="5"/>
    </row>
    <row r="1785" spans="1:20" ht="15.75" hidden="1" x14ac:dyDescent="0.25">
      <c r="B1785" s="21" t="s">
        <v>395</v>
      </c>
      <c r="C1785" s="22" t="s">
        <v>2459</v>
      </c>
      <c r="D1785" s="22"/>
      <c r="E1785" s="21" t="s">
        <v>0</v>
      </c>
      <c r="F1785" s="21"/>
      <c r="G1785" s="147" t="s">
        <v>509</v>
      </c>
      <c r="H1785" s="23" t="s">
        <v>2278</v>
      </c>
      <c r="I1785" s="23" t="s">
        <v>7854</v>
      </c>
      <c r="J1785" s="21" t="s">
        <v>2279</v>
      </c>
      <c r="K1785" s="120"/>
      <c r="L1785" s="21" t="s">
        <v>2422</v>
      </c>
      <c r="M1785" s="26">
        <v>43769</v>
      </c>
      <c r="N1785" s="44">
        <v>0</v>
      </c>
      <c r="O1785" s="22" t="s">
        <v>15</v>
      </c>
      <c r="P1785" s="44" t="s">
        <v>19</v>
      </c>
      <c r="Q1785" s="24">
        <f t="shared" si="113"/>
        <v>0</v>
      </c>
      <c r="R1785" s="24">
        <f t="shared" si="114"/>
        <v>0</v>
      </c>
      <c r="S1785" s="5"/>
      <c r="T1785" s="5"/>
    </row>
    <row r="1786" spans="1:20" ht="15.75" hidden="1" x14ac:dyDescent="0.25">
      <c r="B1786" s="21" t="s">
        <v>395</v>
      </c>
      <c r="C1786" s="22" t="s">
        <v>2459</v>
      </c>
      <c r="D1786" s="22"/>
      <c r="E1786" s="21" t="s">
        <v>0</v>
      </c>
      <c r="F1786" s="21"/>
      <c r="G1786" s="147" t="s">
        <v>509</v>
      </c>
      <c r="H1786" s="23" t="s">
        <v>2278</v>
      </c>
      <c r="I1786" s="23" t="s">
        <v>7854</v>
      </c>
      <c r="J1786" s="21" t="s">
        <v>2279</v>
      </c>
      <c r="K1786" s="120"/>
      <c r="L1786" s="21" t="s">
        <v>2653</v>
      </c>
      <c r="M1786" s="26">
        <v>43798</v>
      </c>
      <c r="N1786" s="44">
        <v>0</v>
      </c>
      <c r="O1786" s="22" t="s">
        <v>15</v>
      </c>
      <c r="P1786" s="44" t="s">
        <v>19</v>
      </c>
      <c r="Q1786" s="24">
        <f t="shared" si="113"/>
        <v>0</v>
      </c>
      <c r="R1786" s="24">
        <f t="shared" si="114"/>
        <v>0</v>
      </c>
      <c r="S1786" s="5"/>
      <c r="T1786" s="5"/>
    </row>
    <row r="1787" spans="1:20" ht="15.75" hidden="1" x14ac:dyDescent="0.25">
      <c r="B1787" s="21" t="s">
        <v>395</v>
      </c>
      <c r="C1787" s="22" t="s">
        <v>2459</v>
      </c>
      <c r="D1787" s="22"/>
      <c r="E1787" s="21" t="s">
        <v>0</v>
      </c>
      <c r="F1787" s="21"/>
      <c r="G1787" s="147" t="s">
        <v>509</v>
      </c>
      <c r="H1787" s="23" t="s">
        <v>2278</v>
      </c>
      <c r="I1787" s="23" t="s">
        <v>7854</v>
      </c>
      <c r="J1787" s="21" t="s">
        <v>2279</v>
      </c>
      <c r="K1787" s="120"/>
      <c r="L1787" s="21" t="s">
        <v>2751</v>
      </c>
      <c r="M1787" s="26">
        <v>43830</v>
      </c>
      <c r="N1787" s="44">
        <v>0</v>
      </c>
      <c r="O1787" s="22" t="s">
        <v>15</v>
      </c>
      <c r="P1787" s="44" t="s">
        <v>19</v>
      </c>
      <c r="Q1787" s="24">
        <f t="shared" si="113"/>
        <v>0</v>
      </c>
      <c r="R1787" s="24">
        <f t="shared" si="114"/>
        <v>0</v>
      </c>
      <c r="S1787" s="5"/>
      <c r="T1787" s="5"/>
    </row>
    <row r="1788" spans="1:20" ht="15.75" hidden="1" x14ac:dyDescent="0.25">
      <c r="B1788" s="21" t="s">
        <v>395</v>
      </c>
      <c r="C1788" s="22" t="s">
        <v>2459</v>
      </c>
      <c r="D1788" s="22"/>
      <c r="E1788" s="21" t="s">
        <v>0</v>
      </c>
      <c r="F1788" s="21"/>
      <c r="G1788" s="147" t="s">
        <v>509</v>
      </c>
      <c r="H1788" s="23" t="s">
        <v>2278</v>
      </c>
      <c r="I1788" s="23" t="s">
        <v>7854</v>
      </c>
      <c r="J1788" s="21" t="s">
        <v>2279</v>
      </c>
      <c r="K1788" s="120"/>
      <c r="L1788" s="21" t="s">
        <v>2922</v>
      </c>
      <c r="M1788" s="26">
        <v>43861</v>
      </c>
      <c r="N1788" s="44">
        <v>0</v>
      </c>
      <c r="O1788" s="22" t="s">
        <v>15</v>
      </c>
      <c r="P1788" s="44" t="s">
        <v>19</v>
      </c>
      <c r="Q1788" s="24">
        <f t="shared" si="113"/>
        <v>0</v>
      </c>
      <c r="R1788" s="24">
        <f t="shared" si="114"/>
        <v>0</v>
      </c>
      <c r="S1788" s="5"/>
      <c r="T1788" s="5"/>
    </row>
    <row r="1789" spans="1:20" ht="15.75" hidden="1" x14ac:dyDescent="0.25">
      <c r="B1789" s="21" t="s">
        <v>395</v>
      </c>
      <c r="C1789" s="22" t="s">
        <v>2459</v>
      </c>
      <c r="D1789" s="22"/>
      <c r="E1789" s="21" t="s">
        <v>0</v>
      </c>
      <c r="F1789" s="21"/>
      <c r="G1789" s="147" t="s">
        <v>509</v>
      </c>
      <c r="H1789" s="23" t="s">
        <v>2278</v>
      </c>
      <c r="I1789" s="23" t="s">
        <v>7854</v>
      </c>
      <c r="J1789" s="21" t="s">
        <v>2279</v>
      </c>
      <c r="K1789" s="120"/>
      <c r="L1789" s="21" t="s">
        <v>3026</v>
      </c>
      <c r="M1789" s="26">
        <v>43889</v>
      </c>
      <c r="N1789" s="44">
        <v>0</v>
      </c>
      <c r="O1789" s="22" t="s">
        <v>15</v>
      </c>
      <c r="P1789" s="44" t="s">
        <v>19</v>
      </c>
      <c r="Q1789" s="24">
        <f t="shared" si="113"/>
        <v>0</v>
      </c>
      <c r="R1789" s="24">
        <f t="shared" si="114"/>
        <v>0</v>
      </c>
      <c r="S1789" s="5"/>
      <c r="T1789" s="5"/>
    </row>
    <row r="1790" spans="1:20" ht="15.75" hidden="1" x14ac:dyDescent="0.25">
      <c r="B1790" s="21" t="s">
        <v>395</v>
      </c>
      <c r="C1790" s="22" t="s">
        <v>2459</v>
      </c>
      <c r="D1790" s="22"/>
      <c r="E1790" s="21" t="s">
        <v>0</v>
      </c>
      <c r="F1790" s="21"/>
      <c r="G1790" s="147" t="s">
        <v>509</v>
      </c>
      <c r="H1790" s="23" t="s">
        <v>2278</v>
      </c>
      <c r="I1790" s="23" t="s">
        <v>7854</v>
      </c>
      <c r="J1790" s="21" t="s">
        <v>2279</v>
      </c>
      <c r="K1790" s="120"/>
      <c r="L1790" s="21" t="s">
        <v>3089</v>
      </c>
      <c r="M1790" s="26">
        <v>43921</v>
      </c>
      <c r="N1790" s="44">
        <v>0</v>
      </c>
      <c r="O1790" s="22" t="s">
        <v>15</v>
      </c>
      <c r="P1790" s="44" t="s">
        <v>19</v>
      </c>
      <c r="Q1790" s="24">
        <f t="shared" si="113"/>
        <v>0</v>
      </c>
      <c r="R1790" s="24">
        <f t="shared" si="114"/>
        <v>0</v>
      </c>
      <c r="S1790" s="5"/>
      <c r="T1790" s="5"/>
    </row>
    <row r="1791" spans="1:20" ht="15.75" hidden="1" x14ac:dyDescent="0.25">
      <c r="B1791" s="21" t="s">
        <v>395</v>
      </c>
      <c r="C1791" s="22" t="s">
        <v>2459</v>
      </c>
      <c r="D1791" s="22"/>
      <c r="E1791" s="21" t="s">
        <v>0</v>
      </c>
      <c r="F1791" s="21"/>
      <c r="G1791" s="147" t="s">
        <v>509</v>
      </c>
      <c r="H1791" s="23" t="s">
        <v>2278</v>
      </c>
      <c r="I1791" s="23" t="s">
        <v>7854</v>
      </c>
      <c r="J1791" s="21" t="s">
        <v>2279</v>
      </c>
      <c r="K1791" s="120"/>
      <c r="L1791" s="21" t="s">
        <v>3170</v>
      </c>
      <c r="M1791" s="26">
        <v>43951</v>
      </c>
      <c r="N1791" s="44">
        <v>0</v>
      </c>
      <c r="O1791" s="22" t="s">
        <v>15</v>
      </c>
      <c r="P1791" s="44" t="s">
        <v>19</v>
      </c>
      <c r="Q1791" s="24">
        <f t="shared" si="113"/>
        <v>0</v>
      </c>
      <c r="R1791" s="24">
        <f t="shared" si="114"/>
        <v>0</v>
      </c>
      <c r="S1791" s="5"/>
      <c r="T1791" s="5"/>
    </row>
    <row r="1792" spans="1:20" ht="15.75" hidden="1" x14ac:dyDescent="0.25">
      <c r="B1792" s="21" t="s">
        <v>395</v>
      </c>
      <c r="C1792" s="22" t="s">
        <v>2459</v>
      </c>
      <c r="D1792" s="22"/>
      <c r="E1792" s="21" t="s">
        <v>0</v>
      </c>
      <c r="F1792" s="21"/>
      <c r="G1792" s="147" t="s">
        <v>509</v>
      </c>
      <c r="H1792" s="23" t="s">
        <v>2278</v>
      </c>
      <c r="I1792" s="23" t="s">
        <v>7854</v>
      </c>
      <c r="J1792" s="21" t="s">
        <v>2279</v>
      </c>
      <c r="K1792" s="120"/>
      <c r="L1792" s="21" t="s">
        <v>3342</v>
      </c>
      <c r="M1792" s="26">
        <v>43980</v>
      </c>
      <c r="N1792" s="44">
        <v>0</v>
      </c>
      <c r="O1792" s="22" t="s">
        <v>15</v>
      </c>
      <c r="P1792" s="44" t="s">
        <v>19</v>
      </c>
      <c r="Q1792" s="24">
        <f t="shared" si="113"/>
        <v>0</v>
      </c>
      <c r="R1792" s="24">
        <f t="shared" si="114"/>
        <v>0</v>
      </c>
      <c r="S1792" s="5"/>
      <c r="T1792" s="5"/>
    </row>
    <row r="1793" spans="2:20" ht="15.75" hidden="1" x14ac:dyDescent="0.25">
      <c r="B1793" s="21" t="s">
        <v>395</v>
      </c>
      <c r="C1793" s="22" t="s">
        <v>2459</v>
      </c>
      <c r="D1793" s="22"/>
      <c r="E1793" s="21" t="s">
        <v>0</v>
      </c>
      <c r="F1793" s="21"/>
      <c r="G1793" s="147" t="s">
        <v>509</v>
      </c>
      <c r="H1793" s="23" t="s">
        <v>2278</v>
      </c>
      <c r="I1793" s="23" t="s">
        <v>7854</v>
      </c>
      <c r="J1793" s="21" t="s">
        <v>2279</v>
      </c>
      <c r="K1793" s="120"/>
      <c r="L1793" s="21" t="s">
        <v>3612</v>
      </c>
      <c r="M1793" s="26">
        <v>44043</v>
      </c>
      <c r="N1793" s="44">
        <v>0</v>
      </c>
      <c r="O1793" s="22" t="s">
        <v>15</v>
      </c>
      <c r="P1793" s="44" t="s">
        <v>19</v>
      </c>
      <c r="Q1793" s="24">
        <f t="shared" si="113"/>
        <v>0</v>
      </c>
      <c r="R1793" s="24">
        <f t="shared" si="114"/>
        <v>0</v>
      </c>
      <c r="S1793" s="5"/>
      <c r="T1793" s="5"/>
    </row>
    <row r="1794" spans="2:20" ht="15.75" hidden="1" x14ac:dyDescent="0.25">
      <c r="B1794" s="21" t="s">
        <v>395</v>
      </c>
      <c r="C1794" s="22" t="s">
        <v>2459</v>
      </c>
      <c r="D1794" s="22"/>
      <c r="E1794" s="21" t="s">
        <v>0</v>
      </c>
      <c r="F1794" s="21"/>
      <c r="G1794" s="147" t="s">
        <v>509</v>
      </c>
      <c r="H1794" s="23" t="s">
        <v>2278</v>
      </c>
      <c r="I1794" s="23" t="s">
        <v>7854</v>
      </c>
      <c r="J1794" s="21" t="s">
        <v>2279</v>
      </c>
      <c r="K1794" s="120"/>
      <c r="L1794" s="21" t="s">
        <v>3723</v>
      </c>
      <c r="M1794" s="26">
        <v>44074</v>
      </c>
      <c r="N1794" s="44">
        <v>0</v>
      </c>
      <c r="O1794" s="22" t="s">
        <v>15</v>
      </c>
      <c r="P1794" s="44" t="s">
        <v>19</v>
      </c>
      <c r="Q1794" s="24">
        <f t="shared" si="113"/>
        <v>0</v>
      </c>
      <c r="R1794" s="24">
        <f t="shared" si="114"/>
        <v>0</v>
      </c>
      <c r="S1794" s="5"/>
      <c r="T1794" s="5"/>
    </row>
    <row r="1795" spans="2:20" ht="15.75" hidden="1" x14ac:dyDescent="0.25">
      <c r="B1795" s="21" t="s">
        <v>395</v>
      </c>
      <c r="C1795" s="22" t="s">
        <v>2459</v>
      </c>
      <c r="D1795" s="22"/>
      <c r="E1795" s="21" t="s">
        <v>0</v>
      </c>
      <c r="F1795" s="21"/>
      <c r="G1795" s="147" t="s">
        <v>509</v>
      </c>
      <c r="H1795" s="23" t="s">
        <v>2278</v>
      </c>
      <c r="I1795" s="23" t="s">
        <v>7854</v>
      </c>
      <c r="J1795" s="21" t="s">
        <v>2279</v>
      </c>
      <c r="K1795" s="120"/>
      <c r="L1795" s="21" t="s">
        <v>3832</v>
      </c>
      <c r="M1795" s="26">
        <v>44104</v>
      </c>
      <c r="N1795" s="44">
        <v>0</v>
      </c>
      <c r="O1795" s="22" t="s">
        <v>15</v>
      </c>
      <c r="P1795" s="44" t="s">
        <v>19</v>
      </c>
      <c r="Q1795" s="24">
        <f t="shared" si="113"/>
        <v>0</v>
      </c>
      <c r="R1795" s="24">
        <f t="shared" si="114"/>
        <v>0</v>
      </c>
      <c r="S1795" s="5"/>
      <c r="T1795" s="5"/>
    </row>
    <row r="1796" spans="2:20" ht="15.75" hidden="1" x14ac:dyDescent="0.25">
      <c r="B1796" s="21" t="s">
        <v>395</v>
      </c>
      <c r="C1796" s="22" t="s">
        <v>2459</v>
      </c>
      <c r="D1796" s="22"/>
      <c r="E1796" s="21" t="s">
        <v>0</v>
      </c>
      <c r="F1796" s="21"/>
      <c r="G1796" s="147" t="s">
        <v>509</v>
      </c>
      <c r="H1796" s="23" t="s">
        <v>2278</v>
      </c>
      <c r="I1796" s="23" t="s">
        <v>7854</v>
      </c>
      <c r="J1796" s="21" t="s">
        <v>2279</v>
      </c>
      <c r="K1796" s="120"/>
      <c r="L1796" s="21" t="s">
        <v>3835</v>
      </c>
      <c r="M1796" s="26">
        <v>44012</v>
      </c>
      <c r="N1796" s="44">
        <v>0</v>
      </c>
      <c r="O1796" s="22" t="s">
        <v>15</v>
      </c>
      <c r="P1796" s="44" t="s">
        <v>19</v>
      </c>
      <c r="Q1796" s="24">
        <f t="shared" si="113"/>
        <v>0</v>
      </c>
      <c r="R1796" s="24">
        <f t="shared" si="114"/>
        <v>0</v>
      </c>
      <c r="S1796" s="5"/>
      <c r="T1796" s="5"/>
    </row>
    <row r="1797" spans="2:20" ht="15.75" hidden="1" x14ac:dyDescent="0.25">
      <c r="B1797" s="21" t="s">
        <v>395</v>
      </c>
      <c r="C1797" s="22" t="s">
        <v>2459</v>
      </c>
      <c r="D1797" s="22"/>
      <c r="E1797" s="21" t="s">
        <v>0</v>
      </c>
      <c r="F1797" s="21"/>
      <c r="G1797" s="147" t="s">
        <v>509</v>
      </c>
      <c r="H1797" s="23" t="s">
        <v>2278</v>
      </c>
      <c r="I1797" s="23" t="s">
        <v>7854</v>
      </c>
      <c r="J1797" s="21" t="s">
        <v>2279</v>
      </c>
      <c r="K1797" s="120"/>
      <c r="L1797" s="21" t="s">
        <v>4165</v>
      </c>
      <c r="M1797" s="26">
        <v>44134</v>
      </c>
      <c r="N1797" s="44">
        <v>0</v>
      </c>
      <c r="O1797" s="22" t="s">
        <v>15</v>
      </c>
      <c r="P1797" s="44" t="s">
        <v>19</v>
      </c>
      <c r="Q1797" s="24">
        <f t="shared" si="113"/>
        <v>0</v>
      </c>
      <c r="R1797" s="24">
        <f t="shared" si="114"/>
        <v>0</v>
      </c>
      <c r="S1797" s="5"/>
      <c r="T1797" s="5"/>
    </row>
    <row r="1798" spans="2:20" ht="15.75" hidden="1" x14ac:dyDescent="0.25">
      <c r="B1798" s="21" t="s">
        <v>395</v>
      </c>
      <c r="C1798" s="22" t="s">
        <v>2459</v>
      </c>
      <c r="D1798" s="22"/>
      <c r="E1798" s="21" t="s">
        <v>0</v>
      </c>
      <c r="F1798" s="21"/>
      <c r="G1798" s="147" t="s">
        <v>509</v>
      </c>
      <c r="H1798" s="23" t="s">
        <v>2278</v>
      </c>
      <c r="I1798" s="23" t="s">
        <v>7854</v>
      </c>
      <c r="J1798" s="21" t="s">
        <v>2279</v>
      </c>
      <c r="K1798" s="120"/>
      <c r="L1798" s="21" t="s">
        <v>4164</v>
      </c>
      <c r="M1798" s="26">
        <v>44165</v>
      </c>
      <c r="N1798" s="44">
        <v>0</v>
      </c>
      <c r="O1798" s="22" t="s">
        <v>15</v>
      </c>
      <c r="P1798" s="44" t="s">
        <v>19</v>
      </c>
      <c r="Q1798" s="24">
        <f t="shared" si="113"/>
        <v>0</v>
      </c>
      <c r="R1798" s="24">
        <f t="shared" si="114"/>
        <v>0</v>
      </c>
      <c r="S1798" s="5"/>
      <c r="T1798" s="5"/>
    </row>
    <row r="1799" spans="2:20" ht="15.75" hidden="1" x14ac:dyDescent="0.25">
      <c r="B1799" s="21" t="s">
        <v>395</v>
      </c>
      <c r="C1799" s="22" t="s">
        <v>2459</v>
      </c>
      <c r="D1799" s="22"/>
      <c r="E1799" s="21" t="s">
        <v>0</v>
      </c>
      <c r="F1799" s="21"/>
      <c r="G1799" s="147" t="s">
        <v>509</v>
      </c>
      <c r="H1799" s="23" t="s">
        <v>2278</v>
      </c>
      <c r="I1799" s="23" t="s">
        <v>7854</v>
      </c>
      <c r="J1799" s="21" t="s">
        <v>2279</v>
      </c>
      <c r="K1799" s="120"/>
      <c r="L1799" s="21" t="s">
        <v>4272</v>
      </c>
      <c r="M1799" s="26">
        <v>44196</v>
      </c>
      <c r="N1799" s="44">
        <v>0</v>
      </c>
      <c r="O1799" s="22" t="s">
        <v>15</v>
      </c>
      <c r="P1799" s="44" t="s">
        <v>19</v>
      </c>
      <c r="Q1799" s="24">
        <f t="shared" si="113"/>
        <v>0</v>
      </c>
      <c r="R1799" s="24">
        <f t="shared" si="114"/>
        <v>0</v>
      </c>
      <c r="S1799" s="5"/>
      <c r="T1799" s="5"/>
    </row>
    <row r="1800" spans="2:20" ht="15.75" hidden="1" x14ac:dyDescent="0.25">
      <c r="B1800" s="21" t="s">
        <v>395</v>
      </c>
      <c r="C1800" s="22" t="s">
        <v>2459</v>
      </c>
      <c r="D1800" s="22"/>
      <c r="E1800" s="21" t="s">
        <v>0</v>
      </c>
      <c r="F1800" s="21"/>
      <c r="G1800" s="147" t="s">
        <v>509</v>
      </c>
      <c r="H1800" s="23" t="s">
        <v>2278</v>
      </c>
      <c r="I1800" s="23" t="s">
        <v>7854</v>
      </c>
      <c r="J1800" s="21" t="s">
        <v>2279</v>
      </c>
      <c r="K1800" s="120"/>
      <c r="L1800" s="21" t="s">
        <v>5656</v>
      </c>
      <c r="M1800" s="26" t="s">
        <v>5657</v>
      </c>
      <c r="N1800" s="44">
        <v>0</v>
      </c>
      <c r="O1800" s="22" t="s">
        <v>15</v>
      </c>
      <c r="P1800" s="44" t="s">
        <v>19</v>
      </c>
      <c r="Q1800" s="24">
        <f t="shared" si="113"/>
        <v>0</v>
      </c>
      <c r="R1800" s="24">
        <f t="shared" si="114"/>
        <v>0</v>
      </c>
      <c r="S1800" s="5"/>
      <c r="T1800" s="5"/>
    </row>
    <row r="1801" spans="2:20" ht="15.75" hidden="1" x14ac:dyDescent="0.25">
      <c r="B1801" s="21" t="s">
        <v>395</v>
      </c>
      <c r="C1801" s="22" t="s">
        <v>2459</v>
      </c>
      <c r="D1801" s="22"/>
      <c r="E1801" s="21" t="s">
        <v>0</v>
      </c>
      <c r="F1801" s="21"/>
      <c r="G1801" s="147" t="s">
        <v>509</v>
      </c>
      <c r="H1801" s="23" t="s">
        <v>2278</v>
      </c>
      <c r="I1801" s="23" t="s">
        <v>7854</v>
      </c>
      <c r="J1801" s="21" t="s">
        <v>2285</v>
      </c>
      <c r="K1801" s="120"/>
      <c r="L1801" s="21" t="s">
        <v>1955</v>
      </c>
      <c r="M1801" s="26">
        <v>43707</v>
      </c>
      <c r="N1801" s="44">
        <v>0</v>
      </c>
      <c r="O1801" s="22" t="s">
        <v>15</v>
      </c>
      <c r="P1801" s="44" t="s">
        <v>19</v>
      </c>
      <c r="Q1801" s="24">
        <f t="shared" si="113"/>
        <v>0</v>
      </c>
      <c r="R1801" s="24">
        <f t="shared" si="114"/>
        <v>0</v>
      </c>
      <c r="S1801" s="5"/>
      <c r="T1801" s="5"/>
    </row>
    <row r="1802" spans="2:20" ht="15.75" hidden="1" x14ac:dyDescent="0.25">
      <c r="B1802" s="21" t="s">
        <v>395</v>
      </c>
      <c r="C1802" s="22" t="s">
        <v>2459</v>
      </c>
      <c r="D1802" s="22"/>
      <c r="E1802" s="21" t="s">
        <v>0</v>
      </c>
      <c r="F1802" s="21"/>
      <c r="G1802" s="147" t="s">
        <v>509</v>
      </c>
      <c r="H1802" s="23" t="s">
        <v>2278</v>
      </c>
      <c r="I1802" s="23" t="s">
        <v>7854</v>
      </c>
      <c r="J1802" s="21" t="s">
        <v>2285</v>
      </c>
      <c r="K1802" s="120"/>
      <c r="L1802" s="21" t="s">
        <v>1955</v>
      </c>
      <c r="M1802" s="26">
        <v>43707</v>
      </c>
      <c r="N1802" s="44">
        <v>0</v>
      </c>
      <c r="O1802" s="22" t="s">
        <v>15</v>
      </c>
      <c r="P1802" s="44" t="s">
        <v>19</v>
      </c>
      <c r="Q1802" s="24">
        <f t="shared" si="113"/>
        <v>0</v>
      </c>
      <c r="R1802" s="24">
        <f t="shared" si="114"/>
        <v>0</v>
      </c>
      <c r="S1802" s="5"/>
      <c r="T1802" s="5"/>
    </row>
    <row r="1803" spans="2:20" ht="15.75" hidden="1" x14ac:dyDescent="0.25">
      <c r="B1803" s="21" t="s">
        <v>395</v>
      </c>
      <c r="C1803" s="22" t="s">
        <v>2459</v>
      </c>
      <c r="D1803" s="22"/>
      <c r="E1803" s="21" t="s">
        <v>0</v>
      </c>
      <c r="F1803" s="21"/>
      <c r="G1803" s="147" t="s">
        <v>509</v>
      </c>
      <c r="H1803" s="23" t="s">
        <v>2278</v>
      </c>
      <c r="I1803" s="23" t="s">
        <v>7854</v>
      </c>
      <c r="J1803" s="21" t="s">
        <v>2285</v>
      </c>
      <c r="K1803" s="120"/>
      <c r="L1803" s="21" t="s">
        <v>1955</v>
      </c>
      <c r="M1803" s="26">
        <v>43707</v>
      </c>
      <c r="N1803" s="44">
        <v>0</v>
      </c>
      <c r="O1803" s="22" t="s">
        <v>15</v>
      </c>
      <c r="P1803" s="44" t="s">
        <v>19</v>
      </c>
      <c r="Q1803" s="24">
        <f t="shared" si="113"/>
        <v>0</v>
      </c>
      <c r="R1803" s="24">
        <f t="shared" si="114"/>
        <v>0</v>
      </c>
      <c r="S1803" s="5"/>
      <c r="T1803" s="5"/>
    </row>
    <row r="1804" spans="2:20" ht="15.75" hidden="1" x14ac:dyDescent="0.25">
      <c r="B1804" s="21" t="s">
        <v>395</v>
      </c>
      <c r="C1804" s="22" t="s">
        <v>2459</v>
      </c>
      <c r="D1804" s="22"/>
      <c r="E1804" s="21" t="s">
        <v>0</v>
      </c>
      <c r="F1804" s="21"/>
      <c r="G1804" s="147" t="s">
        <v>509</v>
      </c>
      <c r="H1804" s="23" t="s">
        <v>2278</v>
      </c>
      <c r="I1804" s="23" t="s">
        <v>7854</v>
      </c>
      <c r="J1804" s="21" t="s">
        <v>2285</v>
      </c>
      <c r="K1804" s="120"/>
      <c r="L1804" s="21" t="s">
        <v>2286</v>
      </c>
      <c r="M1804" s="26">
        <v>43738</v>
      </c>
      <c r="N1804" s="44">
        <v>0</v>
      </c>
      <c r="O1804" s="22" t="s">
        <v>15</v>
      </c>
      <c r="P1804" s="44" t="s">
        <v>19</v>
      </c>
      <c r="Q1804" s="24">
        <f t="shared" si="113"/>
        <v>0</v>
      </c>
      <c r="R1804" s="24">
        <f t="shared" si="114"/>
        <v>0</v>
      </c>
      <c r="S1804" s="5"/>
      <c r="T1804" s="5"/>
    </row>
    <row r="1805" spans="2:20" ht="15.75" hidden="1" x14ac:dyDescent="0.25">
      <c r="B1805" s="21" t="s">
        <v>395</v>
      </c>
      <c r="C1805" s="22" t="s">
        <v>2459</v>
      </c>
      <c r="D1805" s="22"/>
      <c r="E1805" s="21" t="s">
        <v>0</v>
      </c>
      <c r="F1805" s="21"/>
      <c r="G1805" s="147" t="s">
        <v>509</v>
      </c>
      <c r="H1805" s="23" t="s">
        <v>2278</v>
      </c>
      <c r="I1805" s="23" t="s">
        <v>7854</v>
      </c>
      <c r="J1805" s="21" t="s">
        <v>2285</v>
      </c>
      <c r="K1805" s="120"/>
      <c r="L1805" s="21" t="s">
        <v>2422</v>
      </c>
      <c r="M1805" s="26">
        <v>43769</v>
      </c>
      <c r="N1805" s="44">
        <v>0</v>
      </c>
      <c r="O1805" s="22" t="s">
        <v>15</v>
      </c>
      <c r="P1805" s="44" t="s">
        <v>19</v>
      </c>
      <c r="Q1805" s="24">
        <f t="shared" si="113"/>
        <v>0</v>
      </c>
      <c r="R1805" s="24">
        <f t="shared" si="114"/>
        <v>0</v>
      </c>
      <c r="S1805" s="5"/>
      <c r="T1805" s="5"/>
    </row>
    <row r="1806" spans="2:20" ht="15.75" hidden="1" x14ac:dyDescent="0.25">
      <c r="B1806" s="21" t="s">
        <v>395</v>
      </c>
      <c r="C1806" s="22" t="s">
        <v>2459</v>
      </c>
      <c r="D1806" s="22"/>
      <c r="E1806" s="21" t="s">
        <v>0</v>
      </c>
      <c r="F1806" s="21"/>
      <c r="G1806" s="147" t="s">
        <v>509</v>
      </c>
      <c r="H1806" s="23" t="s">
        <v>2278</v>
      </c>
      <c r="I1806" s="23" t="s">
        <v>7854</v>
      </c>
      <c r="J1806" s="21" t="s">
        <v>2285</v>
      </c>
      <c r="K1806" s="120"/>
      <c r="L1806" s="21" t="s">
        <v>2653</v>
      </c>
      <c r="M1806" s="26">
        <v>43798</v>
      </c>
      <c r="N1806" s="44">
        <v>0</v>
      </c>
      <c r="O1806" s="22" t="s">
        <v>15</v>
      </c>
      <c r="P1806" s="44" t="s">
        <v>19</v>
      </c>
      <c r="Q1806" s="24">
        <f t="shared" si="113"/>
        <v>0</v>
      </c>
      <c r="R1806" s="24">
        <f t="shared" si="114"/>
        <v>0</v>
      </c>
      <c r="S1806" s="5"/>
      <c r="T1806" s="5"/>
    </row>
    <row r="1807" spans="2:20" ht="15.75" hidden="1" x14ac:dyDescent="0.25">
      <c r="B1807" s="21" t="s">
        <v>395</v>
      </c>
      <c r="C1807" s="22" t="s">
        <v>2459</v>
      </c>
      <c r="D1807" s="22"/>
      <c r="E1807" s="21" t="s">
        <v>0</v>
      </c>
      <c r="F1807" s="21"/>
      <c r="G1807" s="147" t="s">
        <v>509</v>
      </c>
      <c r="H1807" s="23" t="s">
        <v>2278</v>
      </c>
      <c r="I1807" s="23" t="s">
        <v>7854</v>
      </c>
      <c r="J1807" s="21" t="s">
        <v>2285</v>
      </c>
      <c r="K1807" s="120"/>
      <c r="L1807" s="21" t="s">
        <v>2751</v>
      </c>
      <c r="M1807" s="26">
        <v>43830</v>
      </c>
      <c r="N1807" s="44">
        <v>0</v>
      </c>
      <c r="O1807" s="22" t="s">
        <v>15</v>
      </c>
      <c r="P1807" s="44" t="s">
        <v>19</v>
      </c>
      <c r="Q1807" s="24">
        <f t="shared" si="113"/>
        <v>0</v>
      </c>
      <c r="R1807" s="24">
        <f t="shared" si="114"/>
        <v>0</v>
      </c>
      <c r="S1807" s="5"/>
      <c r="T1807" s="5"/>
    </row>
    <row r="1808" spans="2:20" ht="15.75" hidden="1" x14ac:dyDescent="0.25">
      <c r="B1808" s="21" t="s">
        <v>395</v>
      </c>
      <c r="C1808" s="22" t="s">
        <v>2459</v>
      </c>
      <c r="D1808" s="22"/>
      <c r="E1808" s="21" t="s">
        <v>0</v>
      </c>
      <c r="F1808" s="21"/>
      <c r="G1808" s="147" t="s">
        <v>509</v>
      </c>
      <c r="H1808" s="23" t="s">
        <v>2278</v>
      </c>
      <c r="I1808" s="23" t="s">
        <v>7854</v>
      </c>
      <c r="J1808" s="21" t="s">
        <v>2285</v>
      </c>
      <c r="K1808" s="120"/>
      <c r="L1808" s="21" t="s">
        <v>2922</v>
      </c>
      <c r="M1808" s="26">
        <v>43861</v>
      </c>
      <c r="N1808" s="44">
        <v>0</v>
      </c>
      <c r="O1808" s="22" t="s">
        <v>15</v>
      </c>
      <c r="P1808" s="44" t="s">
        <v>19</v>
      </c>
      <c r="Q1808" s="24">
        <f t="shared" si="113"/>
        <v>0</v>
      </c>
      <c r="R1808" s="24">
        <f t="shared" si="114"/>
        <v>0</v>
      </c>
      <c r="S1808" s="5"/>
      <c r="T1808" s="5"/>
    </row>
    <row r="1809" spans="2:20" ht="15.75" hidden="1" x14ac:dyDescent="0.25">
      <c r="B1809" s="21" t="s">
        <v>395</v>
      </c>
      <c r="C1809" s="22" t="s">
        <v>2459</v>
      </c>
      <c r="D1809" s="22"/>
      <c r="E1809" s="21" t="s">
        <v>0</v>
      </c>
      <c r="F1809" s="21"/>
      <c r="G1809" s="147" t="s">
        <v>509</v>
      </c>
      <c r="H1809" s="23" t="s">
        <v>2278</v>
      </c>
      <c r="I1809" s="23" t="s">
        <v>7854</v>
      </c>
      <c r="J1809" s="21" t="s">
        <v>2285</v>
      </c>
      <c r="K1809" s="120"/>
      <c r="L1809" s="21" t="s">
        <v>3026</v>
      </c>
      <c r="M1809" s="26">
        <v>43889</v>
      </c>
      <c r="N1809" s="44">
        <v>0</v>
      </c>
      <c r="O1809" s="22" t="s">
        <v>15</v>
      </c>
      <c r="P1809" s="44" t="s">
        <v>19</v>
      </c>
      <c r="Q1809" s="24">
        <f t="shared" si="113"/>
        <v>0</v>
      </c>
      <c r="R1809" s="24">
        <f t="shared" si="114"/>
        <v>0</v>
      </c>
      <c r="S1809" s="5"/>
      <c r="T1809" s="5"/>
    </row>
    <row r="1810" spans="2:20" ht="15.75" hidden="1" x14ac:dyDescent="0.25">
      <c r="B1810" s="21" t="s">
        <v>395</v>
      </c>
      <c r="C1810" s="22" t="s">
        <v>2459</v>
      </c>
      <c r="D1810" s="22"/>
      <c r="E1810" s="21" t="s">
        <v>0</v>
      </c>
      <c r="F1810" s="21"/>
      <c r="G1810" s="147" t="s">
        <v>509</v>
      </c>
      <c r="H1810" s="23" t="s">
        <v>2278</v>
      </c>
      <c r="I1810" s="23" t="s">
        <v>7854</v>
      </c>
      <c r="J1810" s="21" t="s">
        <v>2285</v>
      </c>
      <c r="K1810" s="120"/>
      <c r="L1810" s="21" t="s">
        <v>3089</v>
      </c>
      <c r="M1810" s="26">
        <v>43921</v>
      </c>
      <c r="N1810" s="44">
        <v>0</v>
      </c>
      <c r="O1810" s="22" t="s">
        <v>15</v>
      </c>
      <c r="P1810" s="44" t="s">
        <v>19</v>
      </c>
      <c r="Q1810" s="24">
        <f t="shared" si="113"/>
        <v>0</v>
      </c>
      <c r="R1810" s="24">
        <f t="shared" si="114"/>
        <v>0</v>
      </c>
      <c r="S1810" s="5"/>
      <c r="T1810" s="5"/>
    </row>
    <row r="1811" spans="2:20" ht="15.75" hidden="1" x14ac:dyDescent="0.25">
      <c r="B1811" s="21" t="s">
        <v>395</v>
      </c>
      <c r="C1811" s="22" t="s">
        <v>2459</v>
      </c>
      <c r="D1811" s="22"/>
      <c r="E1811" s="21" t="s">
        <v>0</v>
      </c>
      <c r="F1811" s="21"/>
      <c r="G1811" s="147" t="s">
        <v>509</v>
      </c>
      <c r="H1811" s="23" t="s">
        <v>2278</v>
      </c>
      <c r="I1811" s="23" t="s">
        <v>7854</v>
      </c>
      <c r="J1811" s="21" t="s">
        <v>2285</v>
      </c>
      <c r="K1811" s="120"/>
      <c r="L1811" s="21" t="s">
        <v>3170</v>
      </c>
      <c r="M1811" s="26">
        <v>43951</v>
      </c>
      <c r="N1811" s="44">
        <v>0</v>
      </c>
      <c r="O1811" s="22" t="s">
        <v>15</v>
      </c>
      <c r="P1811" s="44" t="s">
        <v>19</v>
      </c>
      <c r="Q1811" s="24">
        <f t="shared" si="113"/>
        <v>0</v>
      </c>
      <c r="R1811" s="24">
        <f t="shared" si="114"/>
        <v>0</v>
      </c>
      <c r="S1811" s="5"/>
      <c r="T1811" s="5"/>
    </row>
    <row r="1812" spans="2:20" ht="15.75" hidden="1" x14ac:dyDescent="0.25">
      <c r="B1812" s="21" t="s">
        <v>395</v>
      </c>
      <c r="C1812" s="22" t="s">
        <v>2459</v>
      </c>
      <c r="D1812" s="22"/>
      <c r="E1812" s="21" t="s">
        <v>0</v>
      </c>
      <c r="F1812" s="21"/>
      <c r="G1812" s="147" t="s">
        <v>509</v>
      </c>
      <c r="H1812" s="23" t="s">
        <v>2278</v>
      </c>
      <c r="I1812" s="23" t="s">
        <v>7854</v>
      </c>
      <c r="J1812" s="21" t="s">
        <v>2285</v>
      </c>
      <c r="K1812" s="120"/>
      <c r="L1812" s="21" t="s">
        <v>3342</v>
      </c>
      <c r="M1812" s="26">
        <v>43980</v>
      </c>
      <c r="N1812" s="44">
        <v>0</v>
      </c>
      <c r="O1812" s="22" t="s">
        <v>15</v>
      </c>
      <c r="P1812" s="44" t="s">
        <v>19</v>
      </c>
      <c r="Q1812" s="24">
        <f t="shared" si="113"/>
        <v>0</v>
      </c>
      <c r="R1812" s="24">
        <f t="shared" si="114"/>
        <v>0</v>
      </c>
      <c r="S1812" s="5"/>
      <c r="T1812" s="5"/>
    </row>
    <row r="1813" spans="2:20" ht="15.75" hidden="1" x14ac:dyDescent="0.25">
      <c r="B1813" s="21" t="s">
        <v>395</v>
      </c>
      <c r="C1813" s="22" t="s">
        <v>2459</v>
      </c>
      <c r="D1813" s="22"/>
      <c r="E1813" s="21" t="s">
        <v>0</v>
      </c>
      <c r="F1813" s="21"/>
      <c r="G1813" s="147" t="s">
        <v>509</v>
      </c>
      <c r="H1813" s="23" t="s">
        <v>2278</v>
      </c>
      <c r="I1813" s="23" t="s">
        <v>7854</v>
      </c>
      <c r="J1813" s="21" t="s">
        <v>2285</v>
      </c>
      <c r="K1813" s="120"/>
      <c r="L1813" s="21" t="s">
        <v>3612</v>
      </c>
      <c r="M1813" s="26">
        <v>44043</v>
      </c>
      <c r="N1813" s="44">
        <v>0</v>
      </c>
      <c r="O1813" s="22" t="s">
        <v>15</v>
      </c>
      <c r="P1813" s="44" t="s">
        <v>19</v>
      </c>
      <c r="Q1813" s="24">
        <f t="shared" si="113"/>
        <v>0</v>
      </c>
      <c r="R1813" s="24">
        <f t="shared" si="114"/>
        <v>0</v>
      </c>
      <c r="S1813" s="5"/>
      <c r="T1813" s="5"/>
    </row>
    <row r="1814" spans="2:20" ht="15.75" hidden="1" x14ac:dyDescent="0.25">
      <c r="B1814" s="21" t="s">
        <v>395</v>
      </c>
      <c r="C1814" s="22" t="s">
        <v>2459</v>
      </c>
      <c r="D1814" s="22"/>
      <c r="E1814" s="21" t="s">
        <v>0</v>
      </c>
      <c r="F1814" s="21"/>
      <c r="G1814" s="147" t="s">
        <v>509</v>
      </c>
      <c r="H1814" s="23" t="s">
        <v>2278</v>
      </c>
      <c r="I1814" s="23" t="s">
        <v>7854</v>
      </c>
      <c r="J1814" s="21" t="s">
        <v>2285</v>
      </c>
      <c r="K1814" s="120"/>
      <c r="L1814" s="21" t="s">
        <v>3723</v>
      </c>
      <c r="M1814" s="26">
        <v>44074</v>
      </c>
      <c r="N1814" s="44">
        <v>0</v>
      </c>
      <c r="O1814" s="22" t="s">
        <v>15</v>
      </c>
      <c r="P1814" s="44" t="s">
        <v>19</v>
      </c>
      <c r="Q1814" s="24">
        <f t="shared" si="113"/>
        <v>0</v>
      </c>
      <c r="R1814" s="24">
        <f t="shared" si="114"/>
        <v>0</v>
      </c>
      <c r="S1814" s="5"/>
      <c r="T1814" s="5"/>
    </row>
    <row r="1815" spans="2:20" ht="15.75" hidden="1" x14ac:dyDescent="0.25">
      <c r="B1815" s="21" t="s">
        <v>395</v>
      </c>
      <c r="C1815" s="22" t="s">
        <v>2459</v>
      </c>
      <c r="D1815" s="22"/>
      <c r="E1815" s="21" t="s">
        <v>0</v>
      </c>
      <c r="F1815" s="21"/>
      <c r="G1815" s="147" t="s">
        <v>509</v>
      </c>
      <c r="H1815" s="23" t="s">
        <v>2278</v>
      </c>
      <c r="I1815" s="23" t="s">
        <v>7854</v>
      </c>
      <c r="J1815" s="21" t="s">
        <v>2285</v>
      </c>
      <c r="K1815" s="120"/>
      <c r="L1815" s="21" t="s">
        <v>3833</v>
      </c>
      <c r="M1815" s="26">
        <v>44104</v>
      </c>
      <c r="N1815" s="44">
        <v>0</v>
      </c>
      <c r="O1815" s="22" t="s">
        <v>15</v>
      </c>
      <c r="P1815" s="44" t="s">
        <v>19</v>
      </c>
      <c r="Q1815" s="24">
        <f t="shared" si="113"/>
        <v>0</v>
      </c>
      <c r="R1815" s="24">
        <f t="shared" si="114"/>
        <v>0</v>
      </c>
      <c r="S1815" s="5"/>
      <c r="T1815" s="5"/>
    </row>
    <row r="1816" spans="2:20" ht="15.75" hidden="1" x14ac:dyDescent="0.25">
      <c r="B1816" s="21" t="s">
        <v>395</v>
      </c>
      <c r="C1816" s="22" t="s">
        <v>2459</v>
      </c>
      <c r="D1816" s="22"/>
      <c r="E1816" s="21" t="s">
        <v>0</v>
      </c>
      <c r="F1816" s="21"/>
      <c r="G1816" s="147" t="s">
        <v>509</v>
      </c>
      <c r="H1816" s="23" t="s">
        <v>2278</v>
      </c>
      <c r="I1816" s="23" t="s">
        <v>7854</v>
      </c>
      <c r="J1816" s="21" t="s">
        <v>2285</v>
      </c>
      <c r="K1816" s="120"/>
      <c r="L1816" s="21" t="s">
        <v>3834</v>
      </c>
      <c r="M1816" s="26">
        <v>44012</v>
      </c>
      <c r="N1816" s="44">
        <v>0</v>
      </c>
      <c r="O1816" s="22" t="s">
        <v>15</v>
      </c>
      <c r="P1816" s="44" t="s">
        <v>19</v>
      </c>
      <c r="Q1816" s="24">
        <f t="shared" si="113"/>
        <v>0</v>
      </c>
      <c r="R1816" s="24">
        <f t="shared" si="114"/>
        <v>0</v>
      </c>
      <c r="S1816" s="5"/>
      <c r="T1816" s="5"/>
    </row>
    <row r="1817" spans="2:20" ht="15.75" hidden="1" x14ac:dyDescent="0.25">
      <c r="B1817" s="21" t="s">
        <v>395</v>
      </c>
      <c r="C1817" s="22" t="s">
        <v>2459</v>
      </c>
      <c r="D1817" s="22"/>
      <c r="E1817" s="21" t="s">
        <v>0</v>
      </c>
      <c r="F1817" s="21"/>
      <c r="G1817" s="147" t="s">
        <v>509</v>
      </c>
      <c r="H1817" s="23" t="s">
        <v>2278</v>
      </c>
      <c r="I1817" s="23" t="s">
        <v>7854</v>
      </c>
      <c r="J1817" s="21" t="s">
        <v>2285</v>
      </c>
      <c r="K1817" s="120"/>
      <c r="L1817" s="21" t="s">
        <v>4020</v>
      </c>
      <c r="M1817" s="26">
        <v>44134</v>
      </c>
      <c r="N1817" s="44">
        <v>0</v>
      </c>
      <c r="O1817" s="22" t="s">
        <v>15</v>
      </c>
      <c r="P1817" s="44" t="s">
        <v>19</v>
      </c>
      <c r="Q1817" s="24">
        <f t="shared" si="113"/>
        <v>0</v>
      </c>
      <c r="R1817" s="24">
        <f t="shared" si="114"/>
        <v>0</v>
      </c>
      <c r="S1817" s="5"/>
      <c r="T1817" s="5"/>
    </row>
    <row r="1818" spans="2:20" ht="15.75" hidden="1" x14ac:dyDescent="0.25">
      <c r="B1818" s="21" t="s">
        <v>395</v>
      </c>
      <c r="C1818" s="22" t="s">
        <v>2459</v>
      </c>
      <c r="D1818" s="22"/>
      <c r="E1818" s="21" t="s">
        <v>0</v>
      </c>
      <c r="F1818" s="21"/>
      <c r="G1818" s="147" t="s">
        <v>509</v>
      </c>
      <c r="H1818" s="23" t="s">
        <v>2278</v>
      </c>
      <c r="I1818" s="23" t="s">
        <v>7854</v>
      </c>
      <c r="J1818" s="21" t="s">
        <v>2285</v>
      </c>
      <c r="K1818" s="120"/>
      <c r="L1818" s="21" t="s">
        <v>4164</v>
      </c>
      <c r="M1818" s="26">
        <v>44165</v>
      </c>
      <c r="N1818" s="44">
        <v>0</v>
      </c>
      <c r="O1818" s="22" t="s">
        <v>15</v>
      </c>
      <c r="P1818" s="44" t="s">
        <v>19</v>
      </c>
      <c r="Q1818" s="24">
        <f t="shared" si="113"/>
        <v>0</v>
      </c>
      <c r="R1818" s="24">
        <f t="shared" si="114"/>
        <v>0</v>
      </c>
      <c r="S1818" s="5"/>
      <c r="T1818" s="5"/>
    </row>
    <row r="1819" spans="2:20" ht="15.75" hidden="1" x14ac:dyDescent="0.25">
      <c r="B1819" s="21" t="s">
        <v>395</v>
      </c>
      <c r="C1819" s="22" t="s">
        <v>2459</v>
      </c>
      <c r="D1819" s="22"/>
      <c r="E1819" s="21" t="s">
        <v>0</v>
      </c>
      <c r="F1819" s="21"/>
      <c r="G1819" s="147" t="s">
        <v>509</v>
      </c>
      <c r="H1819" s="23" t="s">
        <v>2278</v>
      </c>
      <c r="I1819" s="23" t="s">
        <v>7854</v>
      </c>
      <c r="J1819" s="21" t="s">
        <v>2285</v>
      </c>
      <c r="K1819" s="120"/>
      <c r="L1819" s="21" t="s">
        <v>4272</v>
      </c>
      <c r="M1819" s="26">
        <v>44196</v>
      </c>
      <c r="N1819" s="44">
        <v>0</v>
      </c>
      <c r="O1819" s="22" t="s">
        <v>15</v>
      </c>
      <c r="P1819" s="44" t="s">
        <v>19</v>
      </c>
      <c r="Q1819" s="24">
        <f t="shared" si="113"/>
        <v>0</v>
      </c>
      <c r="R1819" s="24">
        <f t="shared" si="114"/>
        <v>0</v>
      </c>
      <c r="S1819" s="5"/>
      <c r="T1819" s="5"/>
    </row>
    <row r="1820" spans="2:20" ht="15.75" hidden="1" x14ac:dyDescent="0.25">
      <c r="B1820" s="21" t="s">
        <v>395</v>
      </c>
      <c r="C1820" s="22" t="s">
        <v>2459</v>
      </c>
      <c r="D1820" s="22"/>
      <c r="E1820" s="21" t="s">
        <v>0</v>
      </c>
      <c r="F1820" s="21"/>
      <c r="G1820" s="147" t="s">
        <v>509</v>
      </c>
      <c r="H1820" s="23" t="s">
        <v>2278</v>
      </c>
      <c r="I1820" s="23" t="s">
        <v>7854</v>
      </c>
      <c r="J1820" s="21" t="s">
        <v>2285</v>
      </c>
      <c r="K1820" s="120"/>
      <c r="L1820" s="21" t="s">
        <v>6784</v>
      </c>
      <c r="M1820" s="26" t="s">
        <v>6785</v>
      </c>
      <c r="N1820" s="44">
        <v>0</v>
      </c>
      <c r="O1820" s="22" t="s">
        <v>15</v>
      </c>
      <c r="P1820" s="44" t="s">
        <v>19</v>
      </c>
      <c r="Q1820" s="24">
        <f t="shared" si="113"/>
        <v>0</v>
      </c>
      <c r="R1820" s="24">
        <f t="shared" si="114"/>
        <v>0</v>
      </c>
      <c r="S1820" s="5"/>
      <c r="T1820" s="5"/>
    </row>
    <row r="1821" spans="2:20" ht="15.75" hidden="1" x14ac:dyDescent="0.25">
      <c r="B1821" s="21" t="s">
        <v>395</v>
      </c>
      <c r="C1821" s="22" t="s">
        <v>2459</v>
      </c>
      <c r="D1821" s="22"/>
      <c r="E1821" s="21" t="s">
        <v>0</v>
      </c>
      <c r="F1821" s="21"/>
      <c r="G1821" s="147" t="s">
        <v>509</v>
      </c>
      <c r="H1821" s="23" t="s">
        <v>2278</v>
      </c>
      <c r="I1821" s="23" t="s">
        <v>7854</v>
      </c>
      <c r="J1821" s="21" t="s">
        <v>2285</v>
      </c>
      <c r="K1821" s="120" t="s">
        <v>6728</v>
      </c>
      <c r="L1821" s="21"/>
      <c r="M1821" s="26"/>
      <c r="N1821" s="44">
        <v>0</v>
      </c>
      <c r="O1821" s="22" t="s">
        <v>15</v>
      </c>
      <c r="P1821" s="44" t="s">
        <v>19</v>
      </c>
      <c r="Q1821" s="24">
        <f t="shared" si="113"/>
        <v>0</v>
      </c>
      <c r="R1821" s="24">
        <f t="shared" si="114"/>
        <v>0</v>
      </c>
      <c r="S1821" s="5"/>
      <c r="T1821" s="5"/>
    </row>
    <row r="1822" spans="2:20" ht="15.75" hidden="1" x14ac:dyDescent="0.25">
      <c r="B1822" s="21" t="s">
        <v>395</v>
      </c>
      <c r="C1822" s="22" t="s">
        <v>2459</v>
      </c>
      <c r="D1822" s="22"/>
      <c r="E1822" s="21" t="s">
        <v>0</v>
      </c>
      <c r="F1822" s="21"/>
      <c r="G1822" s="147" t="s">
        <v>509</v>
      </c>
      <c r="H1822" s="23" t="s">
        <v>2278</v>
      </c>
      <c r="I1822" s="23" t="s">
        <v>7854</v>
      </c>
      <c r="J1822" s="21" t="s">
        <v>2284</v>
      </c>
      <c r="K1822" s="120"/>
      <c r="L1822" s="21" t="s">
        <v>4361</v>
      </c>
      <c r="M1822" s="26" t="s">
        <v>4362</v>
      </c>
      <c r="N1822" s="44">
        <v>0</v>
      </c>
      <c r="O1822" s="22" t="s">
        <v>15</v>
      </c>
      <c r="P1822" s="44" t="s">
        <v>19</v>
      </c>
      <c r="Q1822" s="24">
        <f t="shared" si="113"/>
        <v>0</v>
      </c>
      <c r="R1822" s="24">
        <f t="shared" si="114"/>
        <v>0</v>
      </c>
      <c r="S1822" s="5"/>
      <c r="T1822" s="5"/>
    </row>
    <row r="1823" spans="2:20" ht="15.75" hidden="1" x14ac:dyDescent="0.25">
      <c r="B1823" s="21" t="s">
        <v>395</v>
      </c>
      <c r="C1823" s="22" t="s">
        <v>2459</v>
      </c>
      <c r="D1823" s="22"/>
      <c r="E1823" s="21" t="s">
        <v>0</v>
      </c>
      <c r="F1823" s="21"/>
      <c r="G1823" s="147" t="s">
        <v>509</v>
      </c>
      <c r="H1823" s="23" t="s">
        <v>2278</v>
      </c>
      <c r="I1823" s="23" t="s">
        <v>7854</v>
      </c>
      <c r="J1823" s="21" t="s">
        <v>2283</v>
      </c>
      <c r="K1823" s="120"/>
      <c r="L1823" s="21" t="s">
        <v>4361</v>
      </c>
      <c r="M1823" s="26" t="s">
        <v>4362</v>
      </c>
      <c r="N1823" s="44">
        <v>0</v>
      </c>
      <c r="O1823" s="22" t="s">
        <v>15</v>
      </c>
      <c r="P1823" s="44" t="s">
        <v>19</v>
      </c>
      <c r="Q1823" s="24">
        <f t="shared" si="113"/>
        <v>0</v>
      </c>
      <c r="R1823" s="24">
        <f t="shared" si="114"/>
        <v>0</v>
      </c>
      <c r="S1823" s="5"/>
      <c r="T1823" s="5"/>
    </row>
    <row r="1824" spans="2:20" ht="15.75" hidden="1" x14ac:dyDescent="0.25">
      <c r="B1824" s="21" t="s">
        <v>395</v>
      </c>
      <c r="C1824" s="22" t="s">
        <v>2459</v>
      </c>
      <c r="D1824" s="22"/>
      <c r="E1824" s="21" t="s">
        <v>0</v>
      </c>
      <c r="F1824" s="21"/>
      <c r="G1824" s="147" t="s">
        <v>509</v>
      </c>
      <c r="H1824" s="23" t="s">
        <v>2278</v>
      </c>
      <c r="I1824" s="23" t="s">
        <v>7854</v>
      </c>
      <c r="J1824" s="21" t="s">
        <v>2282</v>
      </c>
      <c r="K1824" s="120"/>
      <c r="L1824" s="21" t="s">
        <v>4363</v>
      </c>
      <c r="M1824" s="26" t="s">
        <v>4364</v>
      </c>
      <c r="N1824" s="44">
        <v>0</v>
      </c>
      <c r="O1824" s="22" t="s">
        <v>15</v>
      </c>
      <c r="P1824" s="44" t="s">
        <v>19</v>
      </c>
      <c r="Q1824" s="24">
        <f t="shared" si="113"/>
        <v>0</v>
      </c>
      <c r="R1824" s="24">
        <f t="shared" si="114"/>
        <v>0</v>
      </c>
      <c r="S1824" s="5"/>
      <c r="T1824" s="5"/>
    </row>
    <row r="1825" spans="2:20" ht="15.75" hidden="1" x14ac:dyDescent="0.25">
      <c r="B1825" s="21" t="s">
        <v>395</v>
      </c>
      <c r="C1825" s="22" t="s">
        <v>2459</v>
      </c>
      <c r="D1825" s="22"/>
      <c r="E1825" s="21" t="s">
        <v>0</v>
      </c>
      <c r="F1825" s="21"/>
      <c r="G1825" s="147" t="s">
        <v>509</v>
      </c>
      <c r="H1825" s="23" t="s">
        <v>2278</v>
      </c>
      <c r="I1825" s="23" t="s">
        <v>7854</v>
      </c>
      <c r="J1825" s="21" t="s">
        <v>2280</v>
      </c>
      <c r="K1825" s="120"/>
      <c r="L1825" s="21" t="s">
        <v>5592</v>
      </c>
      <c r="M1825" s="26" t="s">
        <v>5593</v>
      </c>
      <c r="N1825" s="44">
        <v>0</v>
      </c>
      <c r="O1825" s="22" t="s">
        <v>15</v>
      </c>
      <c r="P1825" s="44" t="s">
        <v>19</v>
      </c>
      <c r="Q1825" s="24">
        <f t="shared" si="113"/>
        <v>0</v>
      </c>
      <c r="R1825" s="24">
        <f t="shared" si="114"/>
        <v>0</v>
      </c>
      <c r="S1825" s="5"/>
      <c r="T1825" s="5"/>
    </row>
    <row r="1826" spans="2:20" ht="15.75" hidden="1" x14ac:dyDescent="0.25">
      <c r="B1826" s="21" t="s">
        <v>395</v>
      </c>
      <c r="C1826" s="22" t="s">
        <v>2459</v>
      </c>
      <c r="D1826" s="22"/>
      <c r="E1826" s="21" t="s">
        <v>0</v>
      </c>
      <c r="F1826" s="21"/>
      <c r="G1826" s="147" t="s">
        <v>509</v>
      </c>
      <c r="H1826" s="23" t="s">
        <v>2278</v>
      </c>
      <c r="I1826" s="23" t="s">
        <v>7854</v>
      </c>
      <c r="J1826" s="21" t="s">
        <v>4561</v>
      </c>
      <c r="K1826" s="120"/>
      <c r="L1826" s="21" t="s">
        <v>5911</v>
      </c>
      <c r="M1826" s="26" t="s">
        <v>5912</v>
      </c>
      <c r="N1826" s="44">
        <v>0</v>
      </c>
      <c r="O1826" s="22" t="s">
        <v>15</v>
      </c>
      <c r="P1826" s="44" t="s">
        <v>19</v>
      </c>
      <c r="Q1826" s="24">
        <f t="shared" si="113"/>
        <v>0</v>
      </c>
      <c r="R1826" s="24">
        <f t="shared" si="114"/>
        <v>0</v>
      </c>
      <c r="S1826" s="5"/>
      <c r="T1826" s="5"/>
    </row>
    <row r="1827" spans="2:20" ht="15.75" hidden="1" x14ac:dyDescent="0.25">
      <c r="B1827" s="21" t="s">
        <v>395</v>
      </c>
      <c r="C1827" s="22" t="s">
        <v>2459</v>
      </c>
      <c r="D1827" s="22"/>
      <c r="E1827" s="21" t="s">
        <v>0</v>
      </c>
      <c r="F1827" s="21"/>
      <c r="G1827" s="147" t="s">
        <v>509</v>
      </c>
      <c r="H1827" s="23" t="s">
        <v>2278</v>
      </c>
      <c r="I1827" s="23" t="s">
        <v>7854</v>
      </c>
      <c r="J1827" s="21" t="s">
        <v>2281</v>
      </c>
      <c r="K1827" s="120"/>
      <c r="L1827" s="21" t="s">
        <v>6894</v>
      </c>
      <c r="M1827" s="26" t="s">
        <v>6895</v>
      </c>
      <c r="N1827" s="44">
        <v>0</v>
      </c>
      <c r="O1827" s="22" t="s">
        <v>15</v>
      </c>
      <c r="P1827" s="44" t="s">
        <v>19</v>
      </c>
      <c r="Q1827" s="24">
        <f t="shared" si="113"/>
        <v>0</v>
      </c>
      <c r="R1827" s="24">
        <f t="shared" si="114"/>
        <v>0</v>
      </c>
      <c r="S1827" s="5"/>
      <c r="T1827" s="5"/>
    </row>
    <row r="1828" spans="2:20" ht="15.75" hidden="1" x14ac:dyDescent="0.25">
      <c r="B1828" s="21" t="s">
        <v>395</v>
      </c>
      <c r="C1828" s="22" t="s">
        <v>2459</v>
      </c>
      <c r="D1828" s="22"/>
      <c r="E1828" s="21" t="s">
        <v>0</v>
      </c>
      <c r="F1828" s="21"/>
      <c r="G1828" s="147" t="s">
        <v>509</v>
      </c>
      <c r="H1828" s="23" t="s">
        <v>7613</v>
      </c>
      <c r="I1828" s="23"/>
      <c r="J1828" s="21" t="s">
        <v>7614</v>
      </c>
      <c r="K1828" s="120"/>
      <c r="L1828" s="21" t="s">
        <v>7620</v>
      </c>
      <c r="M1828" s="26">
        <v>44957</v>
      </c>
      <c r="N1828" s="44">
        <v>415708.91999999993</v>
      </c>
      <c r="O1828" s="22" t="s">
        <v>15</v>
      </c>
      <c r="P1828" s="44">
        <f>640719.82+912.74</f>
        <v>641632.55999999994</v>
      </c>
      <c r="Q1828" s="24">
        <f t="shared" si="113"/>
        <v>0</v>
      </c>
      <c r="R1828" s="24">
        <f t="shared" ref="R1828:R1857" si="115">IF(P1828="OK",N1828-Q1828,IF(P1828="en cours",N1828-Q1828,P1828))</f>
        <v>641632.55999999994</v>
      </c>
      <c r="S1828" s="5"/>
      <c r="T1828" s="5"/>
    </row>
    <row r="1829" spans="2:20" ht="15.75" hidden="1" x14ac:dyDescent="0.25">
      <c r="B1829" s="21" t="s">
        <v>395</v>
      </c>
      <c r="C1829" s="22" t="s">
        <v>2459</v>
      </c>
      <c r="D1829" s="22"/>
      <c r="E1829" s="21" t="s">
        <v>0</v>
      </c>
      <c r="F1829" s="21"/>
      <c r="G1829" s="147" t="s">
        <v>509</v>
      </c>
      <c r="H1829" s="23" t="s">
        <v>2999</v>
      </c>
      <c r="I1829" s="23" t="s">
        <v>7916</v>
      </c>
      <c r="J1829" s="21" t="s">
        <v>2900</v>
      </c>
      <c r="K1829" s="120"/>
      <c r="L1829" s="21" t="s">
        <v>4562</v>
      </c>
      <c r="M1829" s="47">
        <v>44253</v>
      </c>
      <c r="N1829" s="44">
        <v>0</v>
      </c>
      <c r="O1829" s="22" t="s">
        <v>15</v>
      </c>
      <c r="P1829" s="44" t="s">
        <v>19</v>
      </c>
      <c r="Q1829" s="44">
        <f t="shared" si="113"/>
        <v>0</v>
      </c>
      <c r="R1829" s="24">
        <f t="shared" si="115"/>
        <v>0</v>
      </c>
      <c r="S1829" s="5"/>
      <c r="T1829" s="5"/>
    </row>
    <row r="1830" spans="2:20" ht="15.75" hidden="1" x14ac:dyDescent="0.25">
      <c r="B1830" s="21" t="s">
        <v>395</v>
      </c>
      <c r="C1830" s="22" t="s">
        <v>2459</v>
      </c>
      <c r="D1830" s="22"/>
      <c r="E1830" s="21" t="s">
        <v>0</v>
      </c>
      <c r="F1830" s="21"/>
      <c r="G1830" s="147" t="s">
        <v>509</v>
      </c>
      <c r="H1830" s="23" t="s">
        <v>2999</v>
      </c>
      <c r="I1830" s="23" t="s">
        <v>7916</v>
      </c>
      <c r="J1830" s="21" t="s">
        <v>2900</v>
      </c>
      <c r="K1830" s="120"/>
      <c r="L1830" s="21" t="s">
        <v>4562</v>
      </c>
      <c r="M1830" s="47">
        <v>44253</v>
      </c>
      <c r="N1830" s="44">
        <v>0</v>
      </c>
      <c r="O1830" s="22" t="s">
        <v>15</v>
      </c>
      <c r="P1830" s="44" t="s">
        <v>19</v>
      </c>
      <c r="Q1830" s="44">
        <f t="shared" si="113"/>
        <v>0</v>
      </c>
      <c r="R1830" s="24">
        <f t="shared" si="115"/>
        <v>0</v>
      </c>
      <c r="S1830" s="5"/>
      <c r="T1830" s="5"/>
    </row>
    <row r="1831" spans="2:20" ht="15.75" hidden="1" x14ac:dyDescent="0.25">
      <c r="B1831" s="21" t="s">
        <v>395</v>
      </c>
      <c r="C1831" s="22" t="s">
        <v>2459</v>
      </c>
      <c r="D1831" s="22"/>
      <c r="E1831" s="21" t="s">
        <v>0</v>
      </c>
      <c r="F1831" s="21"/>
      <c r="G1831" s="147" t="s">
        <v>509</v>
      </c>
      <c r="H1831" s="23" t="s">
        <v>2999</v>
      </c>
      <c r="I1831" s="23" t="s">
        <v>7916</v>
      </c>
      <c r="J1831" s="21" t="s">
        <v>2900</v>
      </c>
      <c r="K1831" s="120"/>
      <c r="L1831" s="21" t="s">
        <v>4969</v>
      </c>
      <c r="M1831" s="47" t="s">
        <v>4968</v>
      </c>
      <c r="N1831" s="44">
        <v>0</v>
      </c>
      <c r="O1831" s="22" t="s">
        <v>15</v>
      </c>
      <c r="P1831" s="44" t="s">
        <v>19</v>
      </c>
      <c r="Q1831" s="44">
        <f t="shared" si="113"/>
        <v>0</v>
      </c>
      <c r="R1831" s="24">
        <f t="shared" si="115"/>
        <v>0</v>
      </c>
      <c r="S1831" s="5"/>
      <c r="T1831" s="5"/>
    </row>
    <row r="1832" spans="2:20" ht="15.75" hidden="1" x14ac:dyDescent="0.25">
      <c r="B1832" s="21" t="s">
        <v>395</v>
      </c>
      <c r="C1832" s="22" t="s">
        <v>2459</v>
      </c>
      <c r="D1832" s="22"/>
      <c r="E1832" s="21" t="s">
        <v>0</v>
      </c>
      <c r="F1832" s="21"/>
      <c r="G1832" s="147" t="s">
        <v>509</v>
      </c>
      <c r="H1832" s="23" t="s">
        <v>2999</v>
      </c>
      <c r="I1832" s="23" t="s">
        <v>7916</v>
      </c>
      <c r="J1832" s="21" t="s">
        <v>2901</v>
      </c>
      <c r="K1832" s="120"/>
      <c r="L1832" s="21" t="s">
        <v>5182</v>
      </c>
      <c r="M1832" s="47" t="s">
        <v>5103</v>
      </c>
      <c r="N1832" s="44">
        <v>0</v>
      </c>
      <c r="O1832" s="22" t="s">
        <v>15</v>
      </c>
      <c r="P1832" s="44" t="s">
        <v>19</v>
      </c>
      <c r="Q1832" s="44">
        <f t="shared" si="113"/>
        <v>0</v>
      </c>
      <c r="R1832" s="24">
        <f t="shared" si="115"/>
        <v>0</v>
      </c>
      <c r="S1832" s="5" t="s">
        <v>2979</v>
      </c>
      <c r="T1832" s="5"/>
    </row>
    <row r="1833" spans="2:20" ht="15.75" hidden="1" x14ac:dyDescent="0.25">
      <c r="B1833" s="21" t="s">
        <v>395</v>
      </c>
      <c r="C1833" s="22" t="s">
        <v>2459</v>
      </c>
      <c r="D1833" s="22"/>
      <c r="E1833" s="21" t="s">
        <v>0</v>
      </c>
      <c r="F1833" s="21"/>
      <c r="G1833" s="147" t="s">
        <v>509</v>
      </c>
      <c r="H1833" s="23" t="s">
        <v>2999</v>
      </c>
      <c r="I1833" s="23" t="s">
        <v>7916</v>
      </c>
      <c r="J1833" s="21" t="s">
        <v>2901</v>
      </c>
      <c r="K1833" s="120"/>
      <c r="L1833" s="21" t="s">
        <v>5185</v>
      </c>
      <c r="M1833" s="47" t="s">
        <v>5186</v>
      </c>
      <c r="N1833" s="44">
        <v>0</v>
      </c>
      <c r="O1833" s="22" t="s">
        <v>15</v>
      </c>
      <c r="P1833" s="44" t="s">
        <v>19</v>
      </c>
      <c r="Q1833" s="44">
        <f t="shared" si="113"/>
        <v>0</v>
      </c>
      <c r="R1833" s="24">
        <f t="shared" si="115"/>
        <v>0</v>
      </c>
      <c r="S1833" s="5" t="s">
        <v>2979</v>
      </c>
      <c r="T1833" s="5"/>
    </row>
    <row r="1834" spans="2:20" ht="15.75" hidden="1" x14ac:dyDescent="0.25">
      <c r="B1834" s="21" t="s">
        <v>395</v>
      </c>
      <c r="C1834" s="22" t="s">
        <v>2459</v>
      </c>
      <c r="D1834" s="22"/>
      <c r="E1834" s="21" t="s">
        <v>0</v>
      </c>
      <c r="F1834" s="21"/>
      <c r="G1834" s="147" t="s">
        <v>509</v>
      </c>
      <c r="H1834" s="23" t="s">
        <v>2999</v>
      </c>
      <c r="I1834" s="23" t="s">
        <v>7916</v>
      </c>
      <c r="J1834" s="21" t="s">
        <v>2901</v>
      </c>
      <c r="K1834" s="120"/>
      <c r="L1834" s="21" t="s">
        <v>5187</v>
      </c>
      <c r="M1834" s="47">
        <v>44286</v>
      </c>
      <c r="N1834" s="44">
        <v>0</v>
      </c>
      <c r="O1834" s="22" t="s">
        <v>15</v>
      </c>
      <c r="P1834" s="44" t="s">
        <v>19</v>
      </c>
      <c r="Q1834" s="44">
        <v>0</v>
      </c>
      <c r="R1834" s="24">
        <f t="shared" si="115"/>
        <v>0</v>
      </c>
      <c r="S1834" s="5" t="s">
        <v>2979</v>
      </c>
      <c r="T1834" s="5"/>
    </row>
    <row r="1835" spans="2:20" ht="15.75" hidden="1" x14ac:dyDescent="0.25">
      <c r="B1835" s="21" t="s">
        <v>395</v>
      </c>
      <c r="C1835" s="22" t="s">
        <v>2459</v>
      </c>
      <c r="D1835" s="22"/>
      <c r="E1835" s="21" t="s">
        <v>0</v>
      </c>
      <c r="F1835" s="21"/>
      <c r="G1835" s="147" t="s">
        <v>509</v>
      </c>
      <c r="H1835" s="23" t="s">
        <v>2999</v>
      </c>
      <c r="I1835" s="23" t="s">
        <v>7916</v>
      </c>
      <c r="J1835" s="21" t="s">
        <v>2901</v>
      </c>
      <c r="K1835" s="120"/>
      <c r="L1835" s="21" t="s">
        <v>5658</v>
      </c>
      <c r="M1835" s="47" t="s">
        <v>5659</v>
      </c>
      <c r="N1835" s="44">
        <v>0</v>
      </c>
      <c r="O1835" s="22" t="s">
        <v>15</v>
      </c>
      <c r="P1835" s="44" t="s">
        <v>19</v>
      </c>
      <c r="Q1835" s="44">
        <f t="shared" ref="Q1835:Q1898" si="116">IF(P1835="en cours",N1835,IF(P1835="OK",0,IF(N1835-P1835&lt;0,0,N1835-P1835)))</f>
        <v>0</v>
      </c>
      <c r="R1835" s="24">
        <f t="shared" si="115"/>
        <v>0</v>
      </c>
      <c r="S1835" s="5" t="s">
        <v>2979</v>
      </c>
      <c r="T1835" s="5"/>
    </row>
    <row r="1836" spans="2:20" ht="15.75" hidden="1" x14ac:dyDescent="0.25">
      <c r="B1836" s="21" t="s">
        <v>395</v>
      </c>
      <c r="C1836" s="22" t="s">
        <v>2459</v>
      </c>
      <c r="D1836" s="22"/>
      <c r="E1836" s="21" t="s">
        <v>0</v>
      </c>
      <c r="F1836" s="21"/>
      <c r="G1836" s="147" t="s">
        <v>509</v>
      </c>
      <c r="H1836" s="23" t="s">
        <v>2999</v>
      </c>
      <c r="I1836" s="23" t="s">
        <v>7916</v>
      </c>
      <c r="J1836" s="21" t="s">
        <v>2901</v>
      </c>
      <c r="K1836" s="120"/>
      <c r="L1836" s="21" t="s">
        <v>6574</v>
      </c>
      <c r="M1836" s="47" t="s">
        <v>6321</v>
      </c>
      <c r="N1836" s="44">
        <v>0</v>
      </c>
      <c r="O1836" s="22" t="s">
        <v>15</v>
      </c>
      <c r="P1836" s="44" t="s">
        <v>19</v>
      </c>
      <c r="Q1836" s="44">
        <f t="shared" si="116"/>
        <v>0</v>
      </c>
      <c r="R1836" s="24">
        <f t="shared" si="115"/>
        <v>0</v>
      </c>
      <c r="S1836" s="5" t="s">
        <v>2979</v>
      </c>
      <c r="T1836" s="5"/>
    </row>
    <row r="1837" spans="2:20" ht="15.75" hidden="1" x14ac:dyDescent="0.25">
      <c r="B1837" s="21" t="s">
        <v>395</v>
      </c>
      <c r="C1837" s="22" t="s">
        <v>2459</v>
      </c>
      <c r="D1837" s="22"/>
      <c r="E1837" s="21" t="s">
        <v>0</v>
      </c>
      <c r="F1837" s="21"/>
      <c r="G1837" s="147" t="s">
        <v>509</v>
      </c>
      <c r="H1837" s="23" t="s">
        <v>2999</v>
      </c>
      <c r="I1837" s="23" t="s">
        <v>7916</v>
      </c>
      <c r="J1837" s="21" t="s">
        <v>2901</v>
      </c>
      <c r="K1837" s="120"/>
      <c r="L1837" s="21"/>
      <c r="M1837" s="26"/>
      <c r="N1837" s="44">
        <v>0</v>
      </c>
      <c r="O1837" s="22" t="s">
        <v>15</v>
      </c>
      <c r="P1837" s="44" t="s">
        <v>19</v>
      </c>
      <c r="Q1837" s="24">
        <f t="shared" si="116"/>
        <v>0</v>
      </c>
      <c r="R1837" s="24">
        <f t="shared" si="115"/>
        <v>0</v>
      </c>
      <c r="S1837" s="5" t="s">
        <v>2979</v>
      </c>
      <c r="T1837" s="5"/>
    </row>
    <row r="1838" spans="2:20" ht="15.75" hidden="1" x14ac:dyDescent="0.25">
      <c r="B1838" s="21" t="s">
        <v>395</v>
      </c>
      <c r="C1838" s="22" t="s">
        <v>2459</v>
      </c>
      <c r="D1838" s="22"/>
      <c r="E1838" s="21" t="s">
        <v>0</v>
      </c>
      <c r="F1838" s="21"/>
      <c r="G1838" s="147" t="s">
        <v>509</v>
      </c>
      <c r="H1838" s="23" t="s">
        <v>2999</v>
      </c>
      <c r="I1838" s="23" t="s">
        <v>7916</v>
      </c>
      <c r="J1838" s="21" t="s">
        <v>2901</v>
      </c>
      <c r="K1838" s="120"/>
      <c r="L1838" s="21"/>
      <c r="M1838" s="26"/>
      <c r="N1838" s="44">
        <v>0</v>
      </c>
      <c r="O1838" s="22" t="s">
        <v>15</v>
      </c>
      <c r="P1838" s="44" t="s">
        <v>19</v>
      </c>
      <c r="Q1838" s="24">
        <f t="shared" si="116"/>
        <v>0</v>
      </c>
      <c r="R1838" s="24">
        <f t="shared" si="115"/>
        <v>0</v>
      </c>
      <c r="S1838" s="5" t="s">
        <v>2979</v>
      </c>
      <c r="T1838" s="5"/>
    </row>
    <row r="1839" spans="2:20" ht="15.75" hidden="1" x14ac:dyDescent="0.25">
      <c r="B1839" s="21" t="s">
        <v>395</v>
      </c>
      <c r="C1839" s="22" t="s">
        <v>2459</v>
      </c>
      <c r="D1839" s="22"/>
      <c r="E1839" s="21" t="s">
        <v>0</v>
      </c>
      <c r="F1839" s="21"/>
      <c r="G1839" s="147" t="s">
        <v>509</v>
      </c>
      <c r="H1839" s="23" t="s">
        <v>2999</v>
      </c>
      <c r="I1839" s="23" t="s">
        <v>7916</v>
      </c>
      <c r="J1839" s="21" t="s">
        <v>2901</v>
      </c>
      <c r="K1839" s="120"/>
      <c r="L1839" s="21"/>
      <c r="M1839" s="26"/>
      <c r="N1839" s="44">
        <v>0</v>
      </c>
      <c r="O1839" s="22" t="s">
        <v>15</v>
      </c>
      <c r="P1839" s="44" t="s">
        <v>19</v>
      </c>
      <c r="Q1839" s="24">
        <f t="shared" si="116"/>
        <v>0</v>
      </c>
      <c r="R1839" s="24">
        <f t="shared" si="115"/>
        <v>0</v>
      </c>
      <c r="S1839" s="5" t="s">
        <v>2979</v>
      </c>
      <c r="T1839" s="5"/>
    </row>
    <row r="1840" spans="2:20" ht="15.75" hidden="1" x14ac:dyDescent="0.25">
      <c r="B1840" s="21" t="s">
        <v>395</v>
      </c>
      <c r="C1840" s="22" t="s">
        <v>2459</v>
      </c>
      <c r="D1840" s="22"/>
      <c r="E1840" s="21" t="s">
        <v>0</v>
      </c>
      <c r="F1840" s="21"/>
      <c r="G1840" s="147" t="s">
        <v>509</v>
      </c>
      <c r="H1840" s="23" t="s">
        <v>2999</v>
      </c>
      <c r="I1840" s="23" t="s">
        <v>7916</v>
      </c>
      <c r="J1840" s="21" t="s">
        <v>2901</v>
      </c>
      <c r="K1840" s="120"/>
      <c r="L1840" s="21"/>
      <c r="M1840" s="26"/>
      <c r="N1840" s="44">
        <v>0</v>
      </c>
      <c r="O1840" s="22" t="s">
        <v>15</v>
      </c>
      <c r="P1840" s="44" t="s">
        <v>19</v>
      </c>
      <c r="Q1840" s="24">
        <f t="shared" si="116"/>
        <v>0</v>
      </c>
      <c r="R1840" s="24">
        <f t="shared" si="115"/>
        <v>0</v>
      </c>
      <c r="S1840" s="5" t="s">
        <v>2979</v>
      </c>
      <c r="T1840" s="5"/>
    </row>
    <row r="1841" spans="1:20" ht="15.75" hidden="1" x14ac:dyDescent="0.25">
      <c r="B1841" s="21" t="s">
        <v>395</v>
      </c>
      <c r="C1841" s="22" t="s">
        <v>2459</v>
      </c>
      <c r="D1841" s="22"/>
      <c r="E1841" s="21" t="s">
        <v>0</v>
      </c>
      <c r="F1841" s="21"/>
      <c r="G1841" s="147" t="s">
        <v>509</v>
      </c>
      <c r="H1841" s="23" t="s">
        <v>2999</v>
      </c>
      <c r="I1841" s="23" t="s">
        <v>7916</v>
      </c>
      <c r="J1841" s="21" t="s">
        <v>2901</v>
      </c>
      <c r="K1841" s="120"/>
      <c r="L1841" s="21"/>
      <c r="M1841" s="26"/>
      <c r="N1841" s="44">
        <v>0</v>
      </c>
      <c r="O1841" s="22" t="s">
        <v>15</v>
      </c>
      <c r="P1841" s="44" t="s">
        <v>19</v>
      </c>
      <c r="Q1841" s="24">
        <f t="shared" si="116"/>
        <v>0</v>
      </c>
      <c r="R1841" s="24">
        <f t="shared" si="115"/>
        <v>0</v>
      </c>
      <c r="S1841" s="5" t="s">
        <v>2979</v>
      </c>
      <c r="T1841" s="5"/>
    </row>
    <row r="1842" spans="1:20" ht="15.75" hidden="1" x14ac:dyDescent="0.25">
      <c r="B1842" s="21" t="s">
        <v>395</v>
      </c>
      <c r="C1842" s="22" t="s">
        <v>2459</v>
      </c>
      <c r="D1842" s="22"/>
      <c r="E1842" s="21" t="s">
        <v>0</v>
      </c>
      <c r="F1842" s="21"/>
      <c r="G1842" s="147" t="s">
        <v>509</v>
      </c>
      <c r="H1842" s="23" t="s">
        <v>2999</v>
      </c>
      <c r="I1842" s="23" t="s">
        <v>7916</v>
      </c>
      <c r="J1842" s="21" t="s">
        <v>2901</v>
      </c>
      <c r="K1842" s="120"/>
      <c r="L1842" s="21"/>
      <c r="M1842" s="26"/>
      <c r="N1842" s="44">
        <v>0</v>
      </c>
      <c r="O1842" s="22" t="s">
        <v>15</v>
      </c>
      <c r="P1842" s="44" t="s">
        <v>19</v>
      </c>
      <c r="Q1842" s="24">
        <f t="shared" si="116"/>
        <v>0</v>
      </c>
      <c r="R1842" s="24">
        <f t="shared" si="115"/>
        <v>0</v>
      </c>
      <c r="S1842" s="5" t="s">
        <v>2979</v>
      </c>
      <c r="T1842" s="5"/>
    </row>
    <row r="1843" spans="1:20" ht="15.75" hidden="1" x14ac:dyDescent="0.25">
      <c r="B1843" s="21" t="s">
        <v>395</v>
      </c>
      <c r="C1843" s="22" t="s">
        <v>2459</v>
      </c>
      <c r="D1843" s="22"/>
      <c r="E1843" s="21" t="s">
        <v>0</v>
      </c>
      <c r="F1843" s="21"/>
      <c r="G1843" s="147" t="s">
        <v>509</v>
      </c>
      <c r="H1843" s="23" t="s">
        <v>2999</v>
      </c>
      <c r="I1843" s="23" t="s">
        <v>7916</v>
      </c>
      <c r="J1843" s="21" t="s">
        <v>2901</v>
      </c>
      <c r="K1843" s="120"/>
      <c r="L1843" s="21"/>
      <c r="M1843" s="26"/>
      <c r="N1843" s="44">
        <v>0</v>
      </c>
      <c r="O1843" s="22" t="s">
        <v>15</v>
      </c>
      <c r="P1843" s="44" t="s">
        <v>19</v>
      </c>
      <c r="Q1843" s="24">
        <f t="shared" si="116"/>
        <v>0</v>
      </c>
      <c r="R1843" s="24">
        <f t="shared" si="115"/>
        <v>0</v>
      </c>
      <c r="S1843" s="5" t="s">
        <v>2979</v>
      </c>
      <c r="T1843" s="5"/>
    </row>
    <row r="1844" spans="1:20" ht="15.75" hidden="1" x14ac:dyDescent="0.25">
      <c r="B1844" s="21" t="s">
        <v>395</v>
      </c>
      <c r="C1844" s="22" t="s">
        <v>2459</v>
      </c>
      <c r="D1844" s="22"/>
      <c r="E1844" s="21" t="s">
        <v>0</v>
      </c>
      <c r="F1844" s="21"/>
      <c r="G1844" s="147" t="s">
        <v>509</v>
      </c>
      <c r="H1844" s="23" t="s">
        <v>3000</v>
      </c>
      <c r="I1844" s="23" t="s">
        <v>7917</v>
      </c>
      <c r="J1844" s="21" t="s">
        <v>2972</v>
      </c>
      <c r="K1844" s="120"/>
      <c r="L1844" s="21" t="s">
        <v>5183</v>
      </c>
      <c r="M1844" s="47" t="s">
        <v>5184</v>
      </c>
      <c r="N1844" s="44">
        <v>0</v>
      </c>
      <c r="O1844" s="22" t="s">
        <v>15</v>
      </c>
      <c r="P1844" s="44" t="s">
        <v>19</v>
      </c>
      <c r="Q1844" s="44">
        <f t="shared" si="116"/>
        <v>0</v>
      </c>
      <c r="R1844" s="24">
        <f t="shared" si="115"/>
        <v>0</v>
      </c>
      <c r="S1844" s="5"/>
      <c r="T1844" s="5"/>
    </row>
    <row r="1845" spans="1:20" ht="15.75" hidden="1" x14ac:dyDescent="0.25">
      <c r="B1845" s="21" t="s">
        <v>395</v>
      </c>
      <c r="C1845" s="22" t="s">
        <v>2459</v>
      </c>
      <c r="D1845" s="22"/>
      <c r="E1845" s="21" t="s">
        <v>0</v>
      </c>
      <c r="F1845" s="21"/>
      <c r="G1845" s="147" t="s">
        <v>509</v>
      </c>
      <c r="H1845" s="23" t="s">
        <v>3000</v>
      </c>
      <c r="I1845" s="23" t="s">
        <v>7917</v>
      </c>
      <c r="J1845" s="21" t="s">
        <v>2972</v>
      </c>
      <c r="K1845" s="120"/>
      <c r="L1845" s="21" t="s">
        <v>6262</v>
      </c>
      <c r="M1845" s="47" t="s">
        <v>6263</v>
      </c>
      <c r="N1845" s="44">
        <v>0</v>
      </c>
      <c r="O1845" s="22" t="s">
        <v>15</v>
      </c>
      <c r="P1845" s="44" t="s">
        <v>19</v>
      </c>
      <c r="Q1845" s="44">
        <f t="shared" si="116"/>
        <v>0</v>
      </c>
      <c r="R1845" s="24">
        <f t="shared" si="115"/>
        <v>0</v>
      </c>
      <c r="S1845" s="5"/>
      <c r="T1845" s="5"/>
    </row>
    <row r="1846" spans="1:20" ht="15.75" hidden="1" x14ac:dyDescent="0.25">
      <c r="A1846" s="5"/>
      <c r="B1846" s="21" t="s">
        <v>395</v>
      </c>
      <c r="C1846" s="22" t="s">
        <v>2459</v>
      </c>
      <c r="D1846" s="22"/>
      <c r="E1846" s="21" t="s">
        <v>0</v>
      </c>
      <c r="F1846" s="21"/>
      <c r="G1846" s="147" t="s">
        <v>509</v>
      </c>
      <c r="H1846" s="23" t="s">
        <v>3000</v>
      </c>
      <c r="I1846" s="23" t="s">
        <v>7917</v>
      </c>
      <c r="J1846" s="21" t="s">
        <v>2972</v>
      </c>
      <c r="K1846" s="120"/>
      <c r="L1846" s="21" t="s">
        <v>6786</v>
      </c>
      <c r="M1846" s="47" t="s">
        <v>6787</v>
      </c>
      <c r="N1846" s="44">
        <v>0</v>
      </c>
      <c r="O1846" s="22" t="s">
        <v>15</v>
      </c>
      <c r="P1846" s="44" t="s">
        <v>19</v>
      </c>
      <c r="Q1846" s="44">
        <f t="shared" si="116"/>
        <v>0</v>
      </c>
      <c r="R1846" s="24">
        <f t="shared" si="115"/>
        <v>0</v>
      </c>
      <c r="S1846" s="5"/>
      <c r="T1846" s="5"/>
    </row>
    <row r="1847" spans="1:20" ht="15.75" hidden="1" x14ac:dyDescent="0.25">
      <c r="A1847" s="5"/>
      <c r="B1847" s="21" t="s">
        <v>395</v>
      </c>
      <c r="C1847" s="22" t="s">
        <v>2459</v>
      </c>
      <c r="D1847" s="22"/>
      <c r="E1847" s="21" t="s">
        <v>0</v>
      </c>
      <c r="F1847" s="21"/>
      <c r="G1847" s="147" t="s">
        <v>509</v>
      </c>
      <c r="H1847" s="23" t="s">
        <v>3000</v>
      </c>
      <c r="I1847" s="23" t="s">
        <v>7917</v>
      </c>
      <c r="J1847" s="21" t="s">
        <v>2972</v>
      </c>
      <c r="K1847" s="120"/>
      <c r="L1847" s="21" t="s">
        <v>7339</v>
      </c>
      <c r="M1847" s="47" t="s">
        <v>7340</v>
      </c>
      <c r="N1847" s="44">
        <v>0</v>
      </c>
      <c r="O1847" s="22" t="s">
        <v>15</v>
      </c>
      <c r="P1847" s="44" t="s">
        <v>19</v>
      </c>
      <c r="Q1847" s="44">
        <f t="shared" si="116"/>
        <v>0</v>
      </c>
      <c r="R1847" s="24">
        <f t="shared" si="115"/>
        <v>0</v>
      </c>
      <c r="S1847" s="5"/>
      <c r="T1847" s="5"/>
    </row>
    <row r="1848" spans="1:20" ht="15.75" hidden="1" x14ac:dyDescent="0.25">
      <c r="B1848" s="21" t="s">
        <v>395</v>
      </c>
      <c r="C1848" s="22" t="s">
        <v>2459</v>
      </c>
      <c r="D1848" s="22"/>
      <c r="E1848" s="21" t="s">
        <v>0</v>
      </c>
      <c r="F1848" s="21"/>
      <c r="G1848" s="147" t="s">
        <v>509</v>
      </c>
      <c r="H1848" s="23" t="s">
        <v>3000</v>
      </c>
      <c r="I1848" s="23" t="s">
        <v>7917</v>
      </c>
      <c r="J1848" s="21" t="s">
        <v>2972</v>
      </c>
      <c r="K1848" s="120"/>
      <c r="L1848" s="21" t="s">
        <v>7416</v>
      </c>
      <c r="M1848" s="26" t="s">
        <v>7417</v>
      </c>
      <c r="N1848" s="44">
        <v>0</v>
      </c>
      <c r="O1848" s="22" t="s">
        <v>15</v>
      </c>
      <c r="P1848" s="44" t="s">
        <v>19</v>
      </c>
      <c r="Q1848" s="24">
        <f t="shared" si="116"/>
        <v>0</v>
      </c>
      <c r="R1848" s="24">
        <f t="shared" si="115"/>
        <v>0</v>
      </c>
      <c r="S1848" s="5"/>
      <c r="T1848" s="5"/>
    </row>
    <row r="1849" spans="1:20" ht="15.75" hidden="1" x14ac:dyDescent="0.25">
      <c r="B1849" s="21" t="s">
        <v>395</v>
      </c>
      <c r="C1849" s="22" t="s">
        <v>2459</v>
      </c>
      <c r="D1849" s="22"/>
      <c r="E1849" s="21" t="s">
        <v>0</v>
      </c>
      <c r="F1849" s="21"/>
      <c r="G1849" s="147" t="s">
        <v>509</v>
      </c>
      <c r="H1849" s="23" t="s">
        <v>3000</v>
      </c>
      <c r="I1849" s="23" t="s">
        <v>7917</v>
      </c>
      <c r="J1849" s="21" t="s">
        <v>2972</v>
      </c>
      <c r="K1849" s="120"/>
      <c r="L1849" s="21"/>
      <c r="M1849" s="26"/>
      <c r="N1849" s="44">
        <v>0</v>
      </c>
      <c r="O1849" s="22" t="s">
        <v>15</v>
      </c>
      <c r="P1849" s="44" t="s">
        <v>19</v>
      </c>
      <c r="Q1849" s="24">
        <f t="shared" si="116"/>
        <v>0</v>
      </c>
      <c r="R1849" s="24">
        <f t="shared" si="115"/>
        <v>0</v>
      </c>
      <c r="S1849" s="5"/>
      <c r="T1849" s="5"/>
    </row>
    <row r="1850" spans="1:20" ht="15.75" hidden="1" x14ac:dyDescent="0.25">
      <c r="B1850" s="21" t="s">
        <v>395</v>
      </c>
      <c r="C1850" s="22" t="s">
        <v>2459</v>
      </c>
      <c r="D1850" s="22"/>
      <c r="E1850" s="21" t="s">
        <v>0</v>
      </c>
      <c r="F1850" s="21"/>
      <c r="G1850" s="147" t="s">
        <v>509</v>
      </c>
      <c r="H1850" s="23" t="s">
        <v>3000</v>
      </c>
      <c r="I1850" s="23" t="s">
        <v>7917</v>
      </c>
      <c r="J1850" s="21" t="s">
        <v>2972</v>
      </c>
      <c r="K1850" s="120"/>
      <c r="L1850" s="21"/>
      <c r="M1850" s="26"/>
      <c r="N1850" s="44">
        <v>0</v>
      </c>
      <c r="O1850" s="22" t="s">
        <v>15</v>
      </c>
      <c r="P1850" s="44" t="s">
        <v>19</v>
      </c>
      <c r="Q1850" s="24">
        <f t="shared" si="116"/>
        <v>0</v>
      </c>
      <c r="R1850" s="24">
        <f t="shared" si="115"/>
        <v>0</v>
      </c>
      <c r="S1850" s="5"/>
      <c r="T1850" s="5"/>
    </row>
    <row r="1851" spans="1:20" ht="15.75" hidden="1" x14ac:dyDescent="0.25">
      <c r="B1851" s="21" t="s">
        <v>395</v>
      </c>
      <c r="C1851" s="22" t="s">
        <v>2459</v>
      </c>
      <c r="D1851" s="22"/>
      <c r="E1851" s="21" t="s">
        <v>0</v>
      </c>
      <c r="F1851" s="21"/>
      <c r="G1851" s="147" t="s">
        <v>509</v>
      </c>
      <c r="H1851" s="23" t="s">
        <v>3000</v>
      </c>
      <c r="I1851" s="23" t="s">
        <v>7917</v>
      </c>
      <c r="J1851" s="21" t="s">
        <v>2972</v>
      </c>
      <c r="K1851" s="120"/>
      <c r="L1851" s="21"/>
      <c r="M1851" s="26"/>
      <c r="N1851" s="44">
        <v>0</v>
      </c>
      <c r="O1851" s="22" t="s">
        <v>15</v>
      </c>
      <c r="P1851" s="44" t="s">
        <v>19</v>
      </c>
      <c r="Q1851" s="24">
        <f t="shared" si="116"/>
        <v>0</v>
      </c>
      <c r="R1851" s="24">
        <f t="shared" si="115"/>
        <v>0</v>
      </c>
      <c r="S1851" s="5"/>
      <c r="T1851" s="5"/>
    </row>
    <row r="1852" spans="1:20" ht="15.75" hidden="1" x14ac:dyDescent="0.25">
      <c r="B1852" s="21" t="s">
        <v>395</v>
      </c>
      <c r="C1852" s="22" t="s">
        <v>2459</v>
      </c>
      <c r="D1852" s="22"/>
      <c r="E1852" s="21" t="s">
        <v>0</v>
      </c>
      <c r="F1852" s="21"/>
      <c r="G1852" s="147" t="s">
        <v>509</v>
      </c>
      <c r="H1852" s="23" t="s">
        <v>3000</v>
      </c>
      <c r="I1852" s="23" t="s">
        <v>7917</v>
      </c>
      <c r="J1852" s="21" t="s">
        <v>2972</v>
      </c>
      <c r="K1852" s="120"/>
      <c r="L1852" s="21"/>
      <c r="M1852" s="26"/>
      <c r="N1852" s="44">
        <v>0</v>
      </c>
      <c r="O1852" s="22" t="s">
        <v>15</v>
      </c>
      <c r="P1852" s="44" t="s">
        <v>19</v>
      </c>
      <c r="Q1852" s="24">
        <f t="shared" si="116"/>
        <v>0</v>
      </c>
      <c r="R1852" s="24">
        <f t="shared" si="115"/>
        <v>0</v>
      </c>
      <c r="S1852" s="5"/>
      <c r="T1852" s="5"/>
    </row>
    <row r="1853" spans="1:20" ht="15.75" hidden="1" x14ac:dyDescent="0.25">
      <c r="B1853" s="21" t="s">
        <v>395</v>
      </c>
      <c r="C1853" s="22" t="s">
        <v>2459</v>
      </c>
      <c r="D1853" s="22"/>
      <c r="E1853" s="21" t="s">
        <v>0</v>
      </c>
      <c r="F1853" s="21"/>
      <c r="G1853" s="147" t="s">
        <v>509</v>
      </c>
      <c r="H1853" s="23" t="s">
        <v>3000</v>
      </c>
      <c r="I1853" s="23" t="s">
        <v>7917</v>
      </c>
      <c r="J1853" s="21" t="s">
        <v>2972</v>
      </c>
      <c r="K1853" s="120"/>
      <c r="L1853" s="21"/>
      <c r="M1853" s="26"/>
      <c r="N1853" s="44">
        <v>0</v>
      </c>
      <c r="O1853" s="22" t="s">
        <v>15</v>
      </c>
      <c r="P1853" s="44" t="s">
        <v>19</v>
      </c>
      <c r="Q1853" s="24">
        <f t="shared" si="116"/>
        <v>0</v>
      </c>
      <c r="R1853" s="24">
        <f t="shared" si="115"/>
        <v>0</v>
      </c>
      <c r="S1853" s="5"/>
      <c r="T1853" s="5"/>
    </row>
    <row r="1854" spans="1:20" ht="15.75" hidden="1" x14ac:dyDescent="0.25">
      <c r="B1854" s="21" t="s">
        <v>395</v>
      </c>
      <c r="C1854" s="22" t="s">
        <v>2459</v>
      </c>
      <c r="D1854" s="22"/>
      <c r="E1854" s="21" t="s">
        <v>0</v>
      </c>
      <c r="F1854" s="21"/>
      <c r="G1854" s="147" t="s">
        <v>509</v>
      </c>
      <c r="H1854" s="23" t="s">
        <v>3000</v>
      </c>
      <c r="I1854" s="23" t="s">
        <v>7917</v>
      </c>
      <c r="J1854" s="21" t="s">
        <v>2972</v>
      </c>
      <c r="K1854" s="120"/>
      <c r="L1854" s="21"/>
      <c r="M1854" s="26"/>
      <c r="N1854" s="44">
        <v>0</v>
      </c>
      <c r="O1854" s="22" t="s">
        <v>15</v>
      </c>
      <c r="P1854" s="44" t="s">
        <v>19</v>
      </c>
      <c r="Q1854" s="24">
        <f t="shared" si="116"/>
        <v>0</v>
      </c>
      <c r="R1854" s="24">
        <f t="shared" si="115"/>
        <v>0</v>
      </c>
      <c r="S1854" s="5"/>
      <c r="T1854" s="5"/>
    </row>
    <row r="1855" spans="1:20" ht="15.75" hidden="1" x14ac:dyDescent="0.25">
      <c r="B1855" s="21" t="s">
        <v>395</v>
      </c>
      <c r="C1855" s="22" t="s">
        <v>2459</v>
      </c>
      <c r="D1855" s="22"/>
      <c r="E1855" s="21" t="s">
        <v>0</v>
      </c>
      <c r="F1855" s="21"/>
      <c r="G1855" s="147" t="s">
        <v>509</v>
      </c>
      <c r="H1855" s="23" t="s">
        <v>3000</v>
      </c>
      <c r="I1855" s="23" t="s">
        <v>7917</v>
      </c>
      <c r="J1855" s="21" t="s">
        <v>2972</v>
      </c>
      <c r="K1855" s="120"/>
      <c r="L1855" s="21"/>
      <c r="M1855" s="26"/>
      <c r="N1855" s="44">
        <v>0</v>
      </c>
      <c r="O1855" s="22" t="s">
        <v>15</v>
      </c>
      <c r="P1855" s="44" t="s">
        <v>19</v>
      </c>
      <c r="Q1855" s="24">
        <f t="shared" si="116"/>
        <v>0</v>
      </c>
      <c r="R1855" s="24">
        <f t="shared" si="115"/>
        <v>0</v>
      </c>
      <c r="S1855" s="5"/>
      <c r="T1855" s="5"/>
    </row>
    <row r="1856" spans="1:20" ht="15.75" hidden="1" x14ac:dyDescent="0.25">
      <c r="B1856" s="21" t="s">
        <v>395</v>
      </c>
      <c r="C1856" s="22" t="s">
        <v>2459</v>
      </c>
      <c r="D1856" s="22"/>
      <c r="E1856" s="21" t="s">
        <v>0</v>
      </c>
      <c r="F1856" s="21"/>
      <c r="G1856" s="147" t="s">
        <v>509</v>
      </c>
      <c r="H1856" s="23" t="s">
        <v>3000</v>
      </c>
      <c r="I1856" s="23" t="s">
        <v>7917</v>
      </c>
      <c r="J1856" s="21" t="s">
        <v>2972</v>
      </c>
      <c r="K1856" s="120"/>
      <c r="L1856" s="21"/>
      <c r="M1856" s="26"/>
      <c r="N1856" s="44">
        <v>0</v>
      </c>
      <c r="O1856" s="22" t="s">
        <v>15</v>
      </c>
      <c r="P1856" s="44" t="s">
        <v>19</v>
      </c>
      <c r="Q1856" s="24">
        <f t="shared" si="116"/>
        <v>0</v>
      </c>
      <c r="R1856" s="24">
        <f t="shared" si="115"/>
        <v>0</v>
      </c>
      <c r="S1856" s="5"/>
      <c r="T1856" s="5"/>
    </row>
    <row r="1857" spans="1:20" ht="15.75" hidden="1" x14ac:dyDescent="0.25">
      <c r="B1857" s="21" t="s">
        <v>395</v>
      </c>
      <c r="C1857" s="22" t="s">
        <v>2459</v>
      </c>
      <c r="D1857" s="22"/>
      <c r="E1857" s="21" t="s">
        <v>0</v>
      </c>
      <c r="F1857" s="21"/>
      <c r="G1857" s="147" t="s">
        <v>509</v>
      </c>
      <c r="H1857" s="23" t="s">
        <v>5874</v>
      </c>
      <c r="I1857" s="23" t="s">
        <v>8105</v>
      </c>
      <c r="J1857" s="21" t="s">
        <v>5875</v>
      </c>
      <c r="K1857" s="120"/>
      <c r="L1857" s="21" t="s">
        <v>6729</v>
      </c>
      <c r="M1857" s="26">
        <v>44680</v>
      </c>
      <c r="N1857" s="44">
        <v>0</v>
      </c>
      <c r="O1857" s="22" t="s">
        <v>15</v>
      </c>
      <c r="P1857" s="44" t="s">
        <v>19</v>
      </c>
      <c r="Q1857" s="24">
        <f t="shared" si="116"/>
        <v>0</v>
      </c>
      <c r="R1857" s="24">
        <f t="shared" si="115"/>
        <v>0</v>
      </c>
      <c r="S1857" s="5"/>
      <c r="T1857" s="5"/>
    </row>
    <row r="1858" spans="1:20" ht="15.75" hidden="1" x14ac:dyDescent="0.25">
      <c r="B1858" s="21" t="s">
        <v>395</v>
      </c>
      <c r="C1858" s="22" t="s">
        <v>2459</v>
      </c>
      <c r="D1858" s="22"/>
      <c r="E1858" s="21" t="s">
        <v>0</v>
      </c>
      <c r="F1858" s="21"/>
      <c r="G1858" s="147" t="s">
        <v>509</v>
      </c>
      <c r="H1858" s="23" t="s">
        <v>1948</v>
      </c>
      <c r="I1858" s="23"/>
      <c r="J1858" s="21" t="s">
        <v>3025</v>
      </c>
      <c r="K1858" s="120"/>
      <c r="L1858" s="21" t="s">
        <v>4021</v>
      </c>
      <c r="M1858" s="26" t="s">
        <v>4022</v>
      </c>
      <c r="N1858" s="44">
        <v>0</v>
      </c>
      <c r="O1858" s="22" t="s">
        <v>15</v>
      </c>
      <c r="P1858" s="44" t="s">
        <v>19</v>
      </c>
      <c r="Q1858" s="24">
        <f t="shared" si="116"/>
        <v>0</v>
      </c>
      <c r="R1858" s="24">
        <f>IF(P1858="OK",N1858-Q1858,IF(P1858="en cours",M1858-Q1858,P1858))</f>
        <v>0</v>
      </c>
      <c r="S1858" s="5"/>
      <c r="T1858" s="5"/>
    </row>
    <row r="1859" spans="1:20" ht="15.75" hidden="1" x14ac:dyDescent="0.25">
      <c r="A1859" t="s">
        <v>6753</v>
      </c>
      <c r="B1859" s="21" t="s">
        <v>395</v>
      </c>
      <c r="C1859" s="22" t="s">
        <v>2457</v>
      </c>
      <c r="D1859" s="22"/>
      <c r="E1859" s="21" t="s">
        <v>0</v>
      </c>
      <c r="F1859" s="21"/>
      <c r="G1859" s="147" t="s">
        <v>509</v>
      </c>
      <c r="H1859" s="23" t="s">
        <v>1524</v>
      </c>
      <c r="I1859" s="23" t="s">
        <v>7851</v>
      </c>
      <c r="J1859" s="21" t="s">
        <v>1525</v>
      </c>
      <c r="K1859" s="21"/>
      <c r="L1859" s="21" t="s">
        <v>4971</v>
      </c>
      <c r="M1859" s="263"/>
      <c r="N1859" s="44">
        <f>769</f>
        <v>769</v>
      </c>
      <c r="O1859" s="22" t="s">
        <v>15</v>
      </c>
      <c r="P1859" s="44">
        <f>769+83.58+83.58+83.58+83.58</f>
        <v>1103.3200000000002</v>
      </c>
      <c r="Q1859" s="24">
        <f t="shared" si="116"/>
        <v>0</v>
      </c>
      <c r="R1859" s="24">
        <f>IF(P1859="OK",N1859-Q1859,IF(P1859="en cours",N1859-Q1859,P1859))</f>
        <v>1103.3200000000002</v>
      </c>
      <c r="S1859" s="5"/>
      <c r="T1859" s="5"/>
    </row>
    <row r="1860" spans="1:20" ht="15.75" hidden="1" x14ac:dyDescent="0.25">
      <c r="A1860" t="s">
        <v>6753</v>
      </c>
      <c r="B1860" s="21" t="s">
        <v>395</v>
      </c>
      <c r="C1860" s="22" t="s">
        <v>2457</v>
      </c>
      <c r="D1860" s="22"/>
      <c r="E1860" s="21" t="s">
        <v>0</v>
      </c>
      <c r="F1860" s="21"/>
      <c r="G1860" s="147" t="s">
        <v>509</v>
      </c>
      <c r="H1860" s="23" t="s">
        <v>1524</v>
      </c>
      <c r="I1860" s="23" t="s">
        <v>7851</v>
      </c>
      <c r="J1860" s="21" t="s">
        <v>4972</v>
      </c>
      <c r="K1860" s="21"/>
      <c r="L1860" s="21" t="s">
        <v>5178</v>
      </c>
      <c r="M1860" s="263" t="s">
        <v>5179</v>
      </c>
      <c r="N1860" s="44">
        <v>3028.71</v>
      </c>
      <c r="O1860" s="22" t="s">
        <v>15</v>
      </c>
      <c r="P1860" s="44">
        <f>3028.71+134.93</f>
        <v>3163.64</v>
      </c>
      <c r="Q1860" s="24">
        <f t="shared" si="116"/>
        <v>0</v>
      </c>
      <c r="R1860" s="24">
        <f>IF(P1860="OK",N1860-Q1860,IF(P1860="en cours",N1860-Q1860,P1860))</f>
        <v>3163.64</v>
      </c>
      <c r="S1860" s="5"/>
      <c r="T1860" s="5"/>
    </row>
    <row r="1861" spans="1:20" ht="15.75" hidden="1" x14ac:dyDescent="0.25">
      <c r="A1861" t="s">
        <v>6753</v>
      </c>
      <c r="B1861" s="21" t="s">
        <v>395</v>
      </c>
      <c r="C1861" s="22" t="s">
        <v>2457</v>
      </c>
      <c r="D1861" s="22"/>
      <c r="E1861" s="21" t="s">
        <v>0</v>
      </c>
      <c r="F1861" s="21"/>
      <c r="G1861" s="147" t="s">
        <v>509</v>
      </c>
      <c r="H1861" s="23" t="s">
        <v>4750</v>
      </c>
      <c r="I1861" s="23" t="s">
        <v>7905</v>
      </c>
      <c r="J1861" s="21" t="s">
        <v>4972</v>
      </c>
      <c r="K1861" s="21"/>
      <c r="L1861" s="21" t="s">
        <v>4973</v>
      </c>
      <c r="M1861" s="263" t="s">
        <v>4974</v>
      </c>
      <c r="N1861" s="44">
        <v>2745.27</v>
      </c>
      <c r="O1861" s="22" t="s">
        <v>15</v>
      </c>
      <c r="P1861" s="44">
        <f>2392.01+1035.94</f>
        <v>3427.9500000000003</v>
      </c>
      <c r="Q1861" s="24">
        <f t="shared" si="116"/>
        <v>0</v>
      </c>
      <c r="R1861" s="24">
        <f>IF(P1861="OK",N1861-Q1861,IF(P1861="en cours",N1861-Q1861,P1861))</f>
        <v>3427.9500000000003</v>
      </c>
      <c r="S1861" s="5" t="s">
        <v>2678</v>
      </c>
      <c r="T1861" s="5"/>
    </row>
    <row r="1862" spans="1:20" ht="15.75" hidden="1" x14ac:dyDescent="0.25">
      <c r="B1862" s="21" t="s">
        <v>395</v>
      </c>
      <c r="C1862" s="22" t="s">
        <v>2460</v>
      </c>
      <c r="D1862" s="22"/>
      <c r="E1862" s="21" t="s">
        <v>0</v>
      </c>
      <c r="F1862" s="21"/>
      <c r="G1862" s="147" t="s">
        <v>509</v>
      </c>
      <c r="H1862" s="23" t="s">
        <v>1848</v>
      </c>
      <c r="I1862" s="23" t="s">
        <v>7883</v>
      </c>
      <c r="J1862" s="21" t="s">
        <v>1849</v>
      </c>
      <c r="K1862" s="120"/>
      <c r="L1862" s="21" t="s">
        <v>2320</v>
      </c>
      <c r="M1862" s="26">
        <v>43738</v>
      </c>
      <c r="N1862" s="44">
        <v>0</v>
      </c>
      <c r="O1862" s="22" t="s">
        <v>15</v>
      </c>
      <c r="P1862" s="44" t="s">
        <v>19</v>
      </c>
      <c r="Q1862" s="24">
        <f t="shared" si="116"/>
        <v>0</v>
      </c>
      <c r="R1862" s="24">
        <f t="shared" ref="R1862:R1872" si="117">IF(P1862="OK",N1862-Q1862,IF(P1862="en cours",N1862-Q1862,P1862))</f>
        <v>0</v>
      </c>
      <c r="S1862" s="5"/>
      <c r="T1862" s="5"/>
    </row>
    <row r="1863" spans="1:20" ht="15.75" hidden="1" x14ac:dyDescent="0.25">
      <c r="B1863" s="21" t="s">
        <v>395</v>
      </c>
      <c r="C1863" s="22" t="s">
        <v>2460</v>
      </c>
      <c r="D1863" s="22"/>
      <c r="E1863" s="21" t="s">
        <v>0</v>
      </c>
      <c r="F1863" s="21"/>
      <c r="G1863" s="147" t="s">
        <v>509</v>
      </c>
      <c r="H1863" s="23" t="s">
        <v>1848</v>
      </c>
      <c r="I1863" s="23" t="s">
        <v>7883</v>
      </c>
      <c r="J1863" s="21" t="s">
        <v>1850</v>
      </c>
      <c r="K1863" s="120"/>
      <c r="L1863" s="21" t="s">
        <v>5190</v>
      </c>
      <c r="M1863" s="26" t="s">
        <v>5191</v>
      </c>
      <c r="N1863" s="44">
        <v>0</v>
      </c>
      <c r="O1863" s="22" t="s">
        <v>15</v>
      </c>
      <c r="P1863" s="44" t="s">
        <v>19</v>
      </c>
      <c r="Q1863" s="24">
        <f t="shared" si="116"/>
        <v>0</v>
      </c>
      <c r="R1863" s="24">
        <f t="shared" si="117"/>
        <v>0</v>
      </c>
      <c r="S1863" s="5"/>
      <c r="T1863" s="5"/>
    </row>
    <row r="1864" spans="1:20" ht="15.75" hidden="1" x14ac:dyDescent="0.25">
      <c r="B1864" s="21" t="s">
        <v>395</v>
      </c>
      <c r="C1864" s="22" t="s">
        <v>2460</v>
      </c>
      <c r="D1864" s="22"/>
      <c r="E1864" s="21" t="s">
        <v>0</v>
      </c>
      <c r="F1864" s="21"/>
      <c r="G1864" s="147" t="s">
        <v>509</v>
      </c>
      <c r="H1864" s="23" t="s">
        <v>1848</v>
      </c>
      <c r="I1864" s="23" t="s">
        <v>7883</v>
      </c>
      <c r="J1864" s="21" t="s">
        <v>1851</v>
      </c>
      <c r="K1864" s="120"/>
      <c r="L1864" s="21" t="s">
        <v>2750</v>
      </c>
      <c r="M1864" s="26">
        <v>43830</v>
      </c>
      <c r="N1864" s="44">
        <v>0</v>
      </c>
      <c r="O1864" s="22" t="s">
        <v>15</v>
      </c>
      <c r="P1864" s="44" t="s">
        <v>19</v>
      </c>
      <c r="Q1864" s="24">
        <f t="shared" si="116"/>
        <v>0</v>
      </c>
      <c r="R1864" s="24">
        <f t="shared" si="117"/>
        <v>0</v>
      </c>
      <c r="S1864" s="5"/>
      <c r="T1864" s="5"/>
    </row>
    <row r="1865" spans="1:20" ht="15.75" hidden="1" x14ac:dyDescent="0.25">
      <c r="B1865" s="21" t="s">
        <v>395</v>
      </c>
      <c r="C1865" s="22" t="s">
        <v>2460</v>
      </c>
      <c r="D1865" s="22"/>
      <c r="E1865" s="21" t="s">
        <v>0</v>
      </c>
      <c r="F1865" s="21"/>
      <c r="G1865" s="147" t="s">
        <v>509</v>
      </c>
      <c r="H1865" s="23" t="s">
        <v>1848</v>
      </c>
      <c r="I1865" s="23" t="s">
        <v>7883</v>
      </c>
      <c r="J1865" s="21" t="s">
        <v>1852</v>
      </c>
      <c r="K1865" s="120"/>
      <c r="L1865" s="21" t="s">
        <v>7338</v>
      </c>
      <c r="M1865" s="26">
        <v>43861</v>
      </c>
      <c r="N1865" s="44">
        <v>0</v>
      </c>
      <c r="O1865" s="22" t="s">
        <v>15</v>
      </c>
      <c r="P1865" s="44" t="s">
        <v>19</v>
      </c>
      <c r="Q1865" s="24">
        <f t="shared" si="116"/>
        <v>0</v>
      </c>
      <c r="R1865" s="24">
        <f t="shared" si="117"/>
        <v>0</v>
      </c>
      <c r="S1865" s="5"/>
      <c r="T1865" s="5"/>
    </row>
    <row r="1866" spans="1:20" ht="15.75" hidden="1" x14ac:dyDescent="0.25">
      <c r="B1866" s="21" t="s">
        <v>395</v>
      </c>
      <c r="C1866" s="22" t="s">
        <v>2460</v>
      </c>
      <c r="D1866" s="22"/>
      <c r="E1866" s="21" t="s">
        <v>0</v>
      </c>
      <c r="F1866" s="21"/>
      <c r="G1866" s="147" t="s">
        <v>509</v>
      </c>
      <c r="H1866" s="23" t="s">
        <v>7606</v>
      </c>
      <c r="I1866" s="23"/>
      <c r="J1866" s="21" t="s">
        <v>7607</v>
      </c>
      <c r="K1866" s="120"/>
      <c r="L1866" s="21" t="s">
        <v>7619</v>
      </c>
      <c r="M1866" s="26">
        <v>44957</v>
      </c>
      <c r="N1866" s="44">
        <v>52885.900000000009</v>
      </c>
      <c r="O1866" s="22" t="s">
        <v>15</v>
      </c>
      <c r="P1866" s="44">
        <f>57943.03+157.2</f>
        <v>58100.229999999996</v>
      </c>
      <c r="Q1866" s="24">
        <f t="shared" si="116"/>
        <v>0</v>
      </c>
      <c r="R1866" s="24">
        <f t="shared" si="117"/>
        <v>58100.229999999996</v>
      </c>
      <c r="S1866" s="5"/>
      <c r="T1866" s="5"/>
    </row>
    <row r="1867" spans="1:20" ht="15.75" hidden="1" x14ac:dyDescent="0.25">
      <c r="B1867" s="21" t="s">
        <v>395</v>
      </c>
      <c r="C1867" s="22" t="s">
        <v>2460</v>
      </c>
      <c r="D1867" s="22"/>
      <c r="E1867" s="21" t="s">
        <v>0</v>
      </c>
      <c r="F1867" s="21"/>
      <c r="G1867" s="147" t="s">
        <v>509</v>
      </c>
      <c r="H1867" s="23" t="s">
        <v>5495</v>
      </c>
      <c r="I1867" s="23" t="s">
        <v>7884</v>
      </c>
      <c r="J1867" s="21" t="s">
        <v>4751</v>
      </c>
      <c r="K1867" s="120"/>
      <c r="L1867" s="21" t="s">
        <v>6033</v>
      </c>
      <c r="M1867" s="26" t="s">
        <v>6037</v>
      </c>
      <c r="N1867" s="44">
        <v>0</v>
      </c>
      <c r="O1867" s="22" t="s">
        <v>15</v>
      </c>
      <c r="P1867" s="44" t="s">
        <v>19</v>
      </c>
      <c r="Q1867" s="24">
        <f t="shared" si="116"/>
        <v>0</v>
      </c>
      <c r="R1867" s="24">
        <f t="shared" si="117"/>
        <v>0</v>
      </c>
      <c r="S1867" s="5"/>
      <c r="T1867" s="5"/>
    </row>
    <row r="1868" spans="1:20" ht="15.75" hidden="1" x14ac:dyDescent="0.25">
      <c r="B1868" s="21" t="s">
        <v>395</v>
      </c>
      <c r="C1868" s="22" t="s">
        <v>2460</v>
      </c>
      <c r="D1868" s="22"/>
      <c r="E1868" s="21" t="s">
        <v>0</v>
      </c>
      <c r="F1868" s="21"/>
      <c r="G1868" s="147" t="s">
        <v>509</v>
      </c>
      <c r="H1868" s="23" t="s">
        <v>5494</v>
      </c>
      <c r="I1868" s="23" t="s">
        <v>7885</v>
      </c>
      <c r="J1868" s="21" t="s">
        <v>5493</v>
      </c>
      <c r="K1868" s="120"/>
      <c r="L1868" s="21" t="s">
        <v>6034</v>
      </c>
      <c r="M1868" s="26" t="s">
        <v>6038</v>
      </c>
      <c r="N1868" s="44">
        <v>0</v>
      </c>
      <c r="O1868" s="22" t="s">
        <v>15</v>
      </c>
      <c r="P1868" s="44" t="s">
        <v>19</v>
      </c>
      <c r="Q1868" s="24">
        <f t="shared" si="116"/>
        <v>0</v>
      </c>
      <c r="R1868" s="24">
        <f t="shared" si="117"/>
        <v>0</v>
      </c>
      <c r="S1868" s="5"/>
      <c r="T1868" s="5"/>
    </row>
    <row r="1869" spans="1:20" ht="15.75" hidden="1" x14ac:dyDescent="0.25">
      <c r="B1869" s="21" t="s">
        <v>395</v>
      </c>
      <c r="C1869" s="22" t="s">
        <v>2460</v>
      </c>
      <c r="D1869" s="22"/>
      <c r="E1869" s="21" t="s">
        <v>0</v>
      </c>
      <c r="F1869" s="21"/>
      <c r="G1869" s="147" t="s">
        <v>509</v>
      </c>
      <c r="H1869" s="23" t="s">
        <v>5491</v>
      </c>
      <c r="I1869" s="23" t="s">
        <v>8084</v>
      </c>
      <c r="J1869" s="21" t="s">
        <v>5492</v>
      </c>
      <c r="K1869" s="120"/>
      <c r="L1869" s="21" t="s">
        <v>6035</v>
      </c>
      <c r="M1869" s="26" t="s">
        <v>6036</v>
      </c>
      <c r="N1869" s="44">
        <v>0</v>
      </c>
      <c r="O1869" s="22" t="s">
        <v>15</v>
      </c>
      <c r="P1869" s="44" t="s">
        <v>19</v>
      </c>
      <c r="Q1869" s="24">
        <f t="shared" si="116"/>
        <v>0</v>
      </c>
      <c r="R1869" s="24">
        <f t="shared" si="117"/>
        <v>0</v>
      </c>
      <c r="S1869" s="5"/>
      <c r="T1869" s="5"/>
    </row>
    <row r="1870" spans="1:20" ht="15.75" hidden="1" x14ac:dyDescent="0.25">
      <c r="B1870" s="21" t="s">
        <v>395</v>
      </c>
      <c r="C1870" s="22" t="s">
        <v>2460</v>
      </c>
      <c r="D1870" s="22"/>
      <c r="E1870" s="21" t="s">
        <v>0</v>
      </c>
      <c r="F1870" s="21"/>
      <c r="G1870" s="147" t="s">
        <v>509</v>
      </c>
      <c r="H1870" s="23" t="s">
        <v>5489</v>
      </c>
      <c r="I1870" s="23" t="s">
        <v>8083</v>
      </c>
      <c r="J1870" s="21" t="s">
        <v>5490</v>
      </c>
      <c r="K1870" s="120"/>
      <c r="L1870" s="21" t="s">
        <v>7271</v>
      </c>
      <c r="M1870" s="47" t="s">
        <v>7272</v>
      </c>
      <c r="N1870" s="44">
        <v>0</v>
      </c>
      <c r="O1870" s="22" t="s">
        <v>15</v>
      </c>
      <c r="P1870" s="44" t="s">
        <v>19</v>
      </c>
      <c r="Q1870" s="24">
        <f t="shared" si="116"/>
        <v>0</v>
      </c>
      <c r="R1870" s="24">
        <f t="shared" si="117"/>
        <v>0</v>
      </c>
      <c r="S1870" s="5"/>
      <c r="T1870" s="5"/>
    </row>
    <row r="1871" spans="1:20" ht="15.75" hidden="1" x14ac:dyDescent="0.25">
      <c r="B1871" s="21" t="s">
        <v>395</v>
      </c>
      <c r="C1871" s="22" t="s">
        <v>2460</v>
      </c>
      <c r="D1871" s="22"/>
      <c r="E1871" s="21" t="s">
        <v>0</v>
      </c>
      <c r="F1871" s="21"/>
      <c r="G1871" s="147" t="s">
        <v>509</v>
      </c>
      <c r="H1871" s="23" t="s">
        <v>6135</v>
      </c>
      <c r="I1871" s="23" t="s">
        <v>8085</v>
      </c>
      <c r="J1871" s="21" t="s">
        <v>7199</v>
      </c>
      <c r="K1871" s="120"/>
      <c r="L1871" s="21"/>
      <c r="M1871" s="26"/>
      <c r="N1871" s="44">
        <v>0</v>
      </c>
      <c r="O1871" s="22" t="s">
        <v>15</v>
      </c>
      <c r="P1871" s="44" t="s">
        <v>19</v>
      </c>
      <c r="Q1871" s="24">
        <f t="shared" si="116"/>
        <v>0</v>
      </c>
      <c r="R1871" s="24">
        <f t="shared" si="117"/>
        <v>0</v>
      </c>
      <c r="S1871" s="5"/>
      <c r="T1871" s="5"/>
    </row>
    <row r="1872" spans="1:20" ht="15.75" hidden="1" x14ac:dyDescent="0.25">
      <c r="B1872" s="21" t="s">
        <v>395</v>
      </c>
      <c r="C1872" s="22" t="s">
        <v>2460</v>
      </c>
      <c r="D1872" s="22"/>
      <c r="E1872" s="21" t="s">
        <v>0</v>
      </c>
      <c r="F1872" s="21"/>
      <c r="G1872" s="147" t="s">
        <v>509</v>
      </c>
      <c r="H1872" s="23" t="s">
        <v>7611</v>
      </c>
      <c r="I1872" s="23"/>
      <c r="J1872" s="21" t="s">
        <v>7612</v>
      </c>
      <c r="K1872" s="120"/>
      <c r="L1872" s="165" t="s">
        <v>8382</v>
      </c>
      <c r="M1872" s="47" t="s">
        <v>8383</v>
      </c>
      <c r="N1872" s="44">
        <v>255154.59999999995</v>
      </c>
      <c r="O1872" s="22" t="s">
        <v>15</v>
      </c>
      <c r="P1872" s="44">
        <f>230292.55+5313.38+5774.24+7263.94+8606.56</f>
        <v>257250.66999999998</v>
      </c>
      <c r="Q1872" s="44">
        <f t="shared" si="116"/>
        <v>0</v>
      </c>
      <c r="R1872" s="24">
        <f t="shared" si="117"/>
        <v>257250.66999999998</v>
      </c>
      <c r="S1872" s="5"/>
      <c r="T1872" s="5"/>
    </row>
    <row r="1873" spans="2:20" ht="15.75" hidden="1" x14ac:dyDescent="0.25">
      <c r="B1873" s="21" t="s">
        <v>395</v>
      </c>
      <c r="C1873" s="22" t="s">
        <v>2460</v>
      </c>
      <c r="D1873" s="22"/>
      <c r="E1873" s="21" t="s">
        <v>0</v>
      </c>
      <c r="F1873" s="21"/>
      <c r="G1873" s="147" t="s">
        <v>509</v>
      </c>
      <c r="H1873" s="23" t="s">
        <v>2776</v>
      </c>
      <c r="I1873" s="23" t="s">
        <v>7909</v>
      </c>
      <c r="J1873" s="21" t="s">
        <v>2781</v>
      </c>
      <c r="K1873" s="120">
        <v>43891</v>
      </c>
      <c r="L1873" s="47"/>
      <c r="M1873" s="26"/>
      <c r="N1873" s="44">
        <v>0</v>
      </c>
      <c r="O1873" s="22" t="s">
        <v>15</v>
      </c>
      <c r="P1873" s="22"/>
      <c r="Q1873" s="24">
        <f t="shared" si="116"/>
        <v>0</v>
      </c>
      <c r="R1873" s="24">
        <f t="shared" ref="R1873:R1928" si="118">IF(P1873="OK",N1873-Q1873,IF(P1873="en cours",M1873-Q1873,P1873))</f>
        <v>0</v>
      </c>
      <c r="S1873" s="5"/>
      <c r="T1873" s="5"/>
    </row>
    <row r="1874" spans="2:20" ht="15.75" hidden="1" x14ac:dyDescent="0.25">
      <c r="B1874" s="21" t="s">
        <v>395</v>
      </c>
      <c r="C1874" s="22" t="s">
        <v>2460</v>
      </c>
      <c r="D1874" s="22"/>
      <c r="E1874" s="21" t="s">
        <v>0</v>
      </c>
      <c r="F1874" s="21"/>
      <c r="G1874" s="147" t="s">
        <v>509</v>
      </c>
      <c r="H1874" s="23" t="s">
        <v>2776</v>
      </c>
      <c r="I1874" s="23" t="s">
        <v>7909</v>
      </c>
      <c r="J1874" s="21" t="s">
        <v>2777</v>
      </c>
      <c r="K1874" s="120"/>
      <c r="L1874" s="47" t="s">
        <v>2939</v>
      </c>
      <c r="M1874" s="26">
        <v>43861</v>
      </c>
      <c r="N1874" s="44">
        <v>0</v>
      </c>
      <c r="O1874" s="22" t="s">
        <v>15</v>
      </c>
      <c r="P1874" s="44" t="s">
        <v>19</v>
      </c>
      <c r="Q1874" s="24">
        <f t="shared" si="116"/>
        <v>0</v>
      </c>
      <c r="R1874" s="24">
        <f t="shared" si="118"/>
        <v>0</v>
      </c>
      <c r="S1874" s="5"/>
      <c r="T1874" s="5"/>
    </row>
    <row r="1875" spans="2:20" ht="15.75" hidden="1" x14ac:dyDescent="0.25">
      <c r="B1875" s="21" t="s">
        <v>395</v>
      </c>
      <c r="C1875" s="22" t="s">
        <v>2460</v>
      </c>
      <c r="D1875" s="22"/>
      <c r="E1875" s="21" t="s">
        <v>0</v>
      </c>
      <c r="F1875" s="21"/>
      <c r="G1875" s="147" t="s">
        <v>509</v>
      </c>
      <c r="H1875" s="23" t="s">
        <v>2776</v>
      </c>
      <c r="I1875" s="23" t="s">
        <v>7909</v>
      </c>
      <c r="J1875" s="21" t="s">
        <v>2778</v>
      </c>
      <c r="K1875" s="120"/>
      <c r="L1875" s="47" t="s">
        <v>2939</v>
      </c>
      <c r="M1875" s="26">
        <v>43861</v>
      </c>
      <c r="N1875" s="44">
        <v>0</v>
      </c>
      <c r="O1875" s="22" t="s">
        <v>15</v>
      </c>
      <c r="P1875" s="44" t="s">
        <v>19</v>
      </c>
      <c r="Q1875" s="24">
        <f t="shared" si="116"/>
        <v>0</v>
      </c>
      <c r="R1875" s="24">
        <f t="shared" si="118"/>
        <v>0</v>
      </c>
      <c r="S1875" s="5"/>
      <c r="T1875" s="5"/>
    </row>
    <row r="1876" spans="2:20" ht="15.75" hidden="1" x14ac:dyDescent="0.25">
      <c r="B1876" s="21" t="s">
        <v>395</v>
      </c>
      <c r="C1876" s="22" t="s">
        <v>2460</v>
      </c>
      <c r="D1876" s="22"/>
      <c r="E1876" s="21" t="s">
        <v>0</v>
      </c>
      <c r="F1876" s="21"/>
      <c r="G1876" s="147" t="s">
        <v>509</v>
      </c>
      <c r="H1876" s="23" t="s">
        <v>2776</v>
      </c>
      <c r="I1876" s="23" t="s">
        <v>7909</v>
      </c>
      <c r="J1876" s="21" t="s">
        <v>2778</v>
      </c>
      <c r="K1876" s="120"/>
      <c r="L1876" s="47" t="s">
        <v>2939</v>
      </c>
      <c r="M1876" s="26">
        <v>43861</v>
      </c>
      <c r="N1876" s="44">
        <v>0</v>
      </c>
      <c r="O1876" s="22" t="s">
        <v>15</v>
      </c>
      <c r="P1876" s="44" t="s">
        <v>19</v>
      </c>
      <c r="Q1876" s="24">
        <f t="shared" si="116"/>
        <v>0</v>
      </c>
      <c r="R1876" s="24">
        <f t="shared" si="118"/>
        <v>0</v>
      </c>
      <c r="S1876" s="5"/>
      <c r="T1876" s="5"/>
    </row>
    <row r="1877" spans="2:20" ht="15.75" hidden="1" x14ac:dyDescent="0.25">
      <c r="B1877" s="21" t="s">
        <v>395</v>
      </c>
      <c r="C1877" s="22" t="s">
        <v>2460</v>
      </c>
      <c r="D1877" s="22"/>
      <c r="E1877" s="21" t="s">
        <v>0</v>
      </c>
      <c r="F1877" s="21"/>
      <c r="G1877" s="147" t="s">
        <v>509</v>
      </c>
      <c r="H1877" s="23" t="s">
        <v>2776</v>
      </c>
      <c r="I1877" s="23" t="s">
        <v>7909</v>
      </c>
      <c r="J1877" s="21" t="s">
        <v>2778</v>
      </c>
      <c r="K1877" s="120"/>
      <c r="L1877" s="47" t="s">
        <v>3023</v>
      </c>
      <c r="M1877" s="26">
        <v>43889</v>
      </c>
      <c r="N1877" s="44">
        <v>0</v>
      </c>
      <c r="O1877" s="22" t="s">
        <v>15</v>
      </c>
      <c r="P1877" s="44" t="s">
        <v>19</v>
      </c>
      <c r="Q1877" s="24">
        <f t="shared" si="116"/>
        <v>0</v>
      </c>
      <c r="R1877" s="24">
        <f t="shared" si="118"/>
        <v>0</v>
      </c>
      <c r="S1877" s="5"/>
      <c r="T1877" s="5"/>
    </row>
    <row r="1878" spans="2:20" ht="15.75" hidden="1" x14ac:dyDescent="0.25">
      <c r="B1878" s="21" t="s">
        <v>395</v>
      </c>
      <c r="C1878" s="22" t="s">
        <v>2460</v>
      </c>
      <c r="D1878" s="22"/>
      <c r="E1878" s="21" t="s">
        <v>0</v>
      </c>
      <c r="F1878" s="21"/>
      <c r="G1878" s="147" t="s">
        <v>509</v>
      </c>
      <c r="H1878" s="23" t="s">
        <v>2776</v>
      </c>
      <c r="I1878" s="23" t="s">
        <v>7909</v>
      </c>
      <c r="J1878" s="21" t="s">
        <v>2778</v>
      </c>
      <c r="K1878" s="120"/>
      <c r="L1878" s="47" t="s">
        <v>3091</v>
      </c>
      <c r="M1878" s="26">
        <v>43921</v>
      </c>
      <c r="N1878" s="44">
        <v>0</v>
      </c>
      <c r="O1878" s="22" t="s">
        <v>15</v>
      </c>
      <c r="P1878" s="44" t="s">
        <v>19</v>
      </c>
      <c r="Q1878" s="24">
        <f t="shared" si="116"/>
        <v>0</v>
      </c>
      <c r="R1878" s="24">
        <f t="shared" si="118"/>
        <v>0</v>
      </c>
      <c r="S1878" s="5"/>
      <c r="T1878" s="5"/>
    </row>
    <row r="1879" spans="2:20" ht="15.75" hidden="1" x14ac:dyDescent="0.25">
      <c r="B1879" s="21" t="s">
        <v>395</v>
      </c>
      <c r="C1879" s="22" t="s">
        <v>2460</v>
      </c>
      <c r="D1879" s="22"/>
      <c r="E1879" s="21" t="s">
        <v>0</v>
      </c>
      <c r="F1879" s="21"/>
      <c r="G1879" s="147" t="s">
        <v>509</v>
      </c>
      <c r="H1879" s="23" t="s">
        <v>2776</v>
      </c>
      <c r="I1879" s="23" t="s">
        <v>7909</v>
      </c>
      <c r="J1879" s="21" t="s">
        <v>2778</v>
      </c>
      <c r="K1879" s="120"/>
      <c r="L1879" s="47" t="s">
        <v>3171</v>
      </c>
      <c r="M1879" s="26">
        <v>43951</v>
      </c>
      <c r="N1879" s="44">
        <v>0</v>
      </c>
      <c r="O1879" s="22" t="s">
        <v>15</v>
      </c>
      <c r="P1879" s="44" t="s">
        <v>19</v>
      </c>
      <c r="Q1879" s="24">
        <f t="shared" si="116"/>
        <v>0</v>
      </c>
      <c r="R1879" s="24">
        <f t="shared" si="118"/>
        <v>0</v>
      </c>
      <c r="S1879" s="5"/>
      <c r="T1879" s="5"/>
    </row>
    <row r="1880" spans="2:20" ht="15.75" hidden="1" x14ac:dyDescent="0.25">
      <c r="B1880" s="21" t="s">
        <v>395</v>
      </c>
      <c r="C1880" s="22" t="s">
        <v>2460</v>
      </c>
      <c r="D1880" s="22"/>
      <c r="E1880" s="21" t="s">
        <v>0</v>
      </c>
      <c r="F1880" s="21"/>
      <c r="G1880" s="147" t="s">
        <v>509</v>
      </c>
      <c r="H1880" s="23" t="s">
        <v>2776</v>
      </c>
      <c r="I1880" s="23" t="s">
        <v>7909</v>
      </c>
      <c r="J1880" s="21" t="s">
        <v>2778</v>
      </c>
      <c r="K1880" s="120"/>
      <c r="L1880" s="47" t="s">
        <v>3343</v>
      </c>
      <c r="M1880" s="26">
        <v>43980</v>
      </c>
      <c r="N1880" s="44">
        <v>0</v>
      </c>
      <c r="O1880" s="22" t="s">
        <v>15</v>
      </c>
      <c r="P1880" s="44" t="s">
        <v>19</v>
      </c>
      <c r="Q1880" s="24">
        <f t="shared" si="116"/>
        <v>0</v>
      </c>
      <c r="R1880" s="24">
        <f t="shared" si="118"/>
        <v>0</v>
      </c>
      <c r="S1880" s="5"/>
      <c r="T1880" s="5"/>
    </row>
    <row r="1881" spans="2:20" ht="15.75" hidden="1" x14ac:dyDescent="0.25">
      <c r="B1881" s="21" t="s">
        <v>395</v>
      </c>
      <c r="C1881" s="22" t="s">
        <v>2460</v>
      </c>
      <c r="D1881" s="22"/>
      <c r="E1881" s="21" t="s">
        <v>0</v>
      </c>
      <c r="F1881" s="21"/>
      <c r="G1881" s="147" t="s">
        <v>509</v>
      </c>
      <c r="H1881" s="23" t="s">
        <v>2776</v>
      </c>
      <c r="I1881" s="23" t="s">
        <v>7909</v>
      </c>
      <c r="J1881" s="21" t="s">
        <v>2778</v>
      </c>
      <c r="K1881" s="120"/>
      <c r="L1881" s="47" t="s">
        <v>3611</v>
      </c>
      <c r="M1881" s="26">
        <v>44043</v>
      </c>
      <c r="N1881" s="44">
        <v>0</v>
      </c>
      <c r="O1881" s="22" t="s">
        <v>15</v>
      </c>
      <c r="P1881" s="44" t="s">
        <v>19</v>
      </c>
      <c r="Q1881" s="24">
        <f t="shared" si="116"/>
        <v>0</v>
      </c>
      <c r="R1881" s="24">
        <f t="shared" si="118"/>
        <v>0</v>
      </c>
      <c r="S1881" s="5"/>
      <c r="T1881" s="5"/>
    </row>
    <row r="1882" spans="2:20" ht="15.75" hidden="1" x14ac:dyDescent="0.25">
      <c r="B1882" s="21" t="s">
        <v>395</v>
      </c>
      <c r="C1882" s="22" t="s">
        <v>2460</v>
      </c>
      <c r="D1882" s="22"/>
      <c r="E1882" s="21" t="s">
        <v>0</v>
      </c>
      <c r="F1882" s="21"/>
      <c r="G1882" s="147" t="s">
        <v>509</v>
      </c>
      <c r="H1882" s="23" t="s">
        <v>2776</v>
      </c>
      <c r="I1882" s="23" t="s">
        <v>7909</v>
      </c>
      <c r="J1882" s="21" t="s">
        <v>2778</v>
      </c>
      <c r="K1882" s="120"/>
      <c r="L1882" s="47" t="s">
        <v>3722</v>
      </c>
      <c r="M1882" s="26">
        <v>44074</v>
      </c>
      <c r="N1882" s="44">
        <v>0</v>
      </c>
      <c r="O1882" s="22" t="s">
        <v>15</v>
      </c>
      <c r="P1882" s="44" t="s">
        <v>19</v>
      </c>
      <c r="Q1882" s="24">
        <f t="shared" si="116"/>
        <v>0</v>
      </c>
      <c r="R1882" s="24">
        <f t="shared" si="118"/>
        <v>0</v>
      </c>
      <c r="S1882" s="5"/>
      <c r="T1882" s="5"/>
    </row>
    <row r="1883" spans="2:20" ht="15.75" hidden="1" x14ac:dyDescent="0.25">
      <c r="B1883" s="21" t="s">
        <v>395</v>
      </c>
      <c r="C1883" s="22" t="s">
        <v>2460</v>
      </c>
      <c r="D1883" s="22"/>
      <c r="E1883" s="21" t="s">
        <v>0</v>
      </c>
      <c r="F1883" s="21"/>
      <c r="G1883" s="147" t="s">
        <v>509</v>
      </c>
      <c r="H1883" s="23" t="s">
        <v>2776</v>
      </c>
      <c r="I1883" s="23" t="s">
        <v>7909</v>
      </c>
      <c r="J1883" s="21" t="s">
        <v>2778</v>
      </c>
      <c r="K1883" s="120"/>
      <c r="L1883" s="47" t="s">
        <v>3836</v>
      </c>
      <c r="M1883" s="26">
        <v>44012</v>
      </c>
      <c r="N1883" s="44">
        <v>0</v>
      </c>
      <c r="O1883" s="22" t="s">
        <v>15</v>
      </c>
      <c r="P1883" s="44" t="s">
        <v>19</v>
      </c>
      <c r="Q1883" s="24">
        <f t="shared" si="116"/>
        <v>0</v>
      </c>
      <c r="R1883" s="24">
        <f t="shared" si="118"/>
        <v>0</v>
      </c>
      <c r="S1883" s="5"/>
      <c r="T1883" s="5"/>
    </row>
    <row r="1884" spans="2:20" ht="15.75" hidden="1" x14ac:dyDescent="0.25">
      <c r="B1884" s="21" t="s">
        <v>395</v>
      </c>
      <c r="C1884" s="22" t="s">
        <v>2460</v>
      </c>
      <c r="D1884" s="22"/>
      <c r="E1884" s="21" t="s">
        <v>0</v>
      </c>
      <c r="F1884" s="21"/>
      <c r="G1884" s="147" t="s">
        <v>509</v>
      </c>
      <c r="H1884" s="23" t="s">
        <v>2776</v>
      </c>
      <c r="I1884" s="23" t="s">
        <v>7909</v>
      </c>
      <c r="J1884" s="21" t="s">
        <v>2778</v>
      </c>
      <c r="K1884" s="120"/>
      <c r="L1884" s="47" t="s">
        <v>3839</v>
      </c>
      <c r="M1884" s="26">
        <v>44104</v>
      </c>
      <c r="N1884" s="44">
        <v>0</v>
      </c>
      <c r="O1884" s="22" t="s">
        <v>15</v>
      </c>
      <c r="P1884" s="44" t="s">
        <v>19</v>
      </c>
      <c r="Q1884" s="24">
        <f t="shared" si="116"/>
        <v>0</v>
      </c>
      <c r="R1884" s="24">
        <f t="shared" si="118"/>
        <v>0</v>
      </c>
      <c r="S1884" s="5"/>
      <c r="T1884" s="5"/>
    </row>
    <row r="1885" spans="2:20" ht="15.75" hidden="1" x14ac:dyDescent="0.25">
      <c r="B1885" s="21" t="s">
        <v>395</v>
      </c>
      <c r="C1885" s="22" t="s">
        <v>2460</v>
      </c>
      <c r="D1885" s="22"/>
      <c r="E1885" s="21" t="s">
        <v>0</v>
      </c>
      <c r="F1885" s="21"/>
      <c r="G1885" s="147" t="s">
        <v>509</v>
      </c>
      <c r="H1885" s="23" t="s">
        <v>2776</v>
      </c>
      <c r="I1885" s="23" t="s">
        <v>7909</v>
      </c>
      <c r="J1885" s="21" t="s">
        <v>2778</v>
      </c>
      <c r="K1885" s="120"/>
      <c r="L1885" s="47" t="s">
        <v>4023</v>
      </c>
      <c r="M1885" s="26">
        <v>44134</v>
      </c>
      <c r="N1885" s="44">
        <v>0</v>
      </c>
      <c r="O1885" s="22" t="s">
        <v>15</v>
      </c>
      <c r="P1885" s="44" t="s">
        <v>19</v>
      </c>
      <c r="Q1885" s="24">
        <f t="shared" si="116"/>
        <v>0</v>
      </c>
      <c r="R1885" s="24">
        <f t="shared" si="118"/>
        <v>0</v>
      </c>
      <c r="S1885" s="5"/>
      <c r="T1885" s="5"/>
    </row>
    <row r="1886" spans="2:20" ht="15.75" hidden="1" x14ac:dyDescent="0.25">
      <c r="B1886" s="21" t="s">
        <v>395</v>
      </c>
      <c r="C1886" s="22" t="s">
        <v>2460</v>
      </c>
      <c r="D1886" s="22"/>
      <c r="E1886" s="21" t="s">
        <v>0</v>
      </c>
      <c r="F1886" s="21"/>
      <c r="G1886" s="147" t="s">
        <v>509</v>
      </c>
      <c r="H1886" s="23" t="s">
        <v>2776</v>
      </c>
      <c r="I1886" s="23" t="s">
        <v>7909</v>
      </c>
      <c r="J1886" s="21" t="s">
        <v>2778</v>
      </c>
      <c r="K1886" s="120"/>
      <c r="L1886" s="47" t="s">
        <v>4167</v>
      </c>
      <c r="M1886" s="26">
        <v>44165</v>
      </c>
      <c r="N1886" s="44">
        <v>0</v>
      </c>
      <c r="O1886" s="22" t="s">
        <v>15</v>
      </c>
      <c r="P1886" s="44" t="s">
        <v>19</v>
      </c>
      <c r="Q1886" s="24">
        <f t="shared" si="116"/>
        <v>0</v>
      </c>
      <c r="R1886" s="24">
        <f t="shared" si="118"/>
        <v>0</v>
      </c>
      <c r="S1886" s="5"/>
      <c r="T1886" s="5"/>
    </row>
    <row r="1887" spans="2:20" ht="15.75" hidden="1" x14ac:dyDescent="0.25">
      <c r="B1887" s="21" t="s">
        <v>395</v>
      </c>
      <c r="C1887" s="22" t="s">
        <v>2460</v>
      </c>
      <c r="D1887" s="22"/>
      <c r="E1887" s="21" t="s">
        <v>0</v>
      </c>
      <c r="F1887" s="21"/>
      <c r="G1887" s="147" t="s">
        <v>509</v>
      </c>
      <c r="H1887" s="23" t="s">
        <v>2776</v>
      </c>
      <c r="I1887" s="23" t="s">
        <v>7909</v>
      </c>
      <c r="J1887" s="21" t="s">
        <v>2778</v>
      </c>
      <c r="K1887" s="120"/>
      <c r="L1887" s="47" t="s">
        <v>4273</v>
      </c>
      <c r="M1887" s="26">
        <v>44196</v>
      </c>
      <c r="N1887" s="44">
        <v>0</v>
      </c>
      <c r="O1887" s="22" t="s">
        <v>15</v>
      </c>
      <c r="P1887" s="44" t="s">
        <v>19</v>
      </c>
      <c r="Q1887" s="24">
        <f t="shared" si="116"/>
        <v>0</v>
      </c>
      <c r="R1887" s="24">
        <f t="shared" si="118"/>
        <v>0</v>
      </c>
      <c r="S1887" s="5"/>
      <c r="T1887" s="5"/>
    </row>
    <row r="1888" spans="2:20" ht="15.75" hidden="1" x14ac:dyDescent="0.25">
      <c r="B1888" s="21" t="s">
        <v>395</v>
      </c>
      <c r="C1888" s="22" t="s">
        <v>2460</v>
      </c>
      <c r="D1888" s="22"/>
      <c r="E1888" s="21" t="s">
        <v>0</v>
      </c>
      <c r="F1888" s="21"/>
      <c r="G1888" s="147" t="s">
        <v>509</v>
      </c>
      <c r="H1888" s="23" t="s">
        <v>2776</v>
      </c>
      <c r="I1888" s="23" t="s">
        <v>7909</v>
      </c>
      <c r="J1888" s="21" t="s">
        <v>2778</v>
      </c>
      <c r="K1888" s="120"/>
      <c r="L1888" s="47" t="s">
        <v>4366</v>
      </c>
      <c r="M1888" s="26">
        <v>44225</v>
      </c>
      <c r="N1888" s="44">
        <v>0</v>
      </c>
      <c r="O1888" s="22" t="s">
        <v>15</v>
      </c>
      <c r="P1888" s="44" t="s">
        <v>19</v>
      </c>
      <c r="Q1888" s="24">
        <f t="shared" si="116"/>
        <v>0</v>
      </c>
      <c r="R1888" s="24">
        <f t="shared" si="118"/>
        <v>0</v>
      </c>
      <c r="S1888" s="5"/>
      <c r="T1888" s="5"/>
    </row>
    <row r="1889" spans="2:20" ht="15.75" hidden="1" x14ac:dyDescent="0.25">
      <c r="B1889" s="21" t="s">
        <v>395</v>
      </c>
      <c r="C1889" s="22" t="s">
        <v>2460</v>
      </c>
      <c r="D1889" s="22"/>
      <c r="E1889" s="21" t="s">
        <v>0</v>
      </c>
      <c r="F1889" s="21"/>
      <c r="G1889" s="147" t="s">
        <v>509</v>
      </c>
      <c r="H1889" s="23" t="s">
        <v>2776</v>
      </c>
      <c r="I1889" s="23" t="s">
        <v>7909</v>
      </c>
      <c r="J1889" s="21" t="s">
        <v>2778</v>
      </c>
      <c r="K1889" s="120"/>
      <c r="L1889" s="47" t="s">
        <v>4560</v>
      </c>
      <c r="M1889" s="26">
        <v>44253</v>
      </c>
      <c r="N1889" s="44">
        <v>0</v>
      </c>
      <c r="O1889" s="22" t="s">
        <v>15</v>
      </c>
      <c r="P1889" s="44" t="s">
        <v>19</v>
      </c>
      <c r="Q1889" s="24">
        <f t="shared" si="116"/>
        <v>0</v>
      </c>
      <c r="R1889" s="24">
        <f t="shared" si="118"/>
        <v>0</v>
      </c>
      <c r="S1889" s="5"/>
      <c r="T1889" s="5"/>
    </row>
    <row r="1890" spans="2:20" ht="15.75" hidden="1" x14ac:dyDescent="0.25">
      <c r="B1890" s="21" t="s">
        <v>395</v>
      </c>
      <c r="C1890" s="22" t="s">
        <v>2460</v>
      </c>
      <c r="D1890" s="22"/>
      <c r="E1890" s="21" t="s">
        <v>0</v>
      </c>
      <c r="F1890" s="21"/>
      <c r="G1890" s="147" t="s">
        <v>509</v>
      </c>
      <c r="H1890" s="23" t="s">
        <v>2776</v>
      </c>
      <c r="I1890" s="23" t="s">
        <v>7909</v>
      </c>
      <c r="J1890" s="21" t="s">
        <v>2778</v>
      </c>
      <c r="K1890" s="120"/>
      <c r="L1890" s="47" t="s">
        <v>5189</v>
      </c>
      <c r="M1890" s="26">
        <v>44286</v>
      </c>
      <c r="N1890" s="44">
        <v>0</v>
      </c>
      <c r="O1890" s="22" t="s">
        <v>15</v>
      </c>
      <c r="P1890" s="44" t="s">
        <v>19</v>
      </c>
      <c r="Q1890" s="24">
        <f t="shared" si="116"/>
        <v>0</v>
      </c>
      <c r="R1890" s="24">
        <f t="shared" si="118"/>
        <v>0</v>
      </c>
      <c r="S1890" s="5"/>
      <c r="T1890" s="5"/>
    </row>
    <row r="1891" spans="2:20" ht="15.75" hidden="1" x14ac:dyDescent="0.25">
      <c r="B1891" s="21" t="s">
        <v>395</v>
      </c>
      <c r="C1891" s="22" t="s">
        <v>2460</v>
      </c>
      <c r="D1891" s="22"/>
      <c r="E1891" s="21" t="s">
        <v>0</v>
      </c>
      <c r="F1891" s="21"/>
      <c r="G1891" s="147" t="s">
        <v>509</v>
      </c>
      <c r="H1891" s="23" t="s">
        <v>2776</v>
      </c>
      <c r="I1891" s="23" t="s">
        <v>7909</v>
      </c>
      <c r="J1891" s="21" t="s">
        <v>2778</v>
      </c>
      <c r="K1891" s="120"/>
      <c r="L1891" s="47" t="s">
        <v>4966</v>
      </c>
      <c r="M1891" s="26">
        <v>44316</v>
      </c>
      <c r="N1891" s="44">
        <v>0</v>
      </c>
      <c r="O1891" s="22" t="s">
        <v>15</v>
      </c>
      <c r="P1891" s="44" t="s">
        <v>19</v>
      </c>
      <c r="Q1891" s="24">
        <f t="shared" si="116"/>
        <v>0</v>
      </c>
      <c r="R1891" s="24">
        <f t="shared" si="118"/>
        <v>0</v>
      </c>
      <c r="S1891" s="5"/>
      <c r="T1891" s="5"/>
    </row>
    <row r="1892" spans="2:20" ht="15.75" hidden="1" x14ac:dyDescent="0.25">
      <c r="B1892" s="21" t="s">
        <v>395</v>
      </c>
      <c r="C1892" s="22" t="s">
        <v>2460</v>
      </c>
      <c r="D1892" s="22"/>
      <c r="E1892" s="21" t="s">
        <v>0</v>
      </c>
      <c r="F1892" s="21"/>
      <c r="G1892" s="147" t="s">
        <v>509</v>
      </c>
      <c r="H1892" s="23" t="s">
        <v>2776</v>
      </c>
      <c r="I1892" s="23" t="s">
        <v>7909</v>
      </c>
      <c r="J1892" s="21" t="s">
        <v>2778</v>
      </c>
      <c r="K1892" s="120"/>
      <c r="L1892" s="47" t="s">
        <v>5181</v>
      </c>
      <c r="M1892" s="26">
        <v>44347</v>
      </c>
      <c r="N1892" s="44">
        <v>0</v>
      </c>
      <c r="O1892" s="22" t="s">
        <v>15</v>
      </c>
      <c r="P1892" s="44" t="s">
        <v>19</v>
      </c>
      <c r="Q1892" s="24">
        <f t="shared" si="116"/>
        <v>0</v>
      </c>
      <c r="R1892" s="24">
        <f t="shared" si="118"/>
        <v>0</v>
      </c>
      <c r="S1892" s="5"/>
      <c r="T1892" s="5"/>
    </row>
    <row r="1893" spans="2:20" ht="15.75" hidden="1" x14ac:dyDescent="0.25">
      <c r="B1893" s="21" t="s">
        <v>395</v>
      </c>
      <c r="C1893" s="22" t="s">
        <v>2460</v>
      </c>
      <c r="D1893" s="22"/>
      <c r="E1893" s="21" t="s">
        <v>0</v>
      </c>
      <c r="F1893" s="21"/>
      <c r="G1893" s="147" t="s">
        <v>509</v>
      </c>
      <c r="H1893" s="23" t="s">
        <v>2776</v>
      </c>
      <c r="I1893" s="23" t="s">
        <v>7909</v>
      </c>
      <c r="J1893" s="21" t="s">
        <v>2778</v>
      </c>
      <c r="K1893" s="120"/>
      <c r="L1893" s="47" t="s">
        <v>5399</v>
      </c>
      <c r="M1893" s="26">
        <v>44377</v>
      </c>
      <c r="N1893" s="44">
        <v>0</v>
      </c>
      <c r="O1893" s="22" t="s">
        <v>15</v>
      </c>
      <c r="P1893" s="44" t="s">
        <v>19</v>
      </c>
      <c r="Q1893" s="24">
        <f t="shared" si="116"/>
        <v>0</v>
      </c>
      <c r="R1893" s="24">
        <f t="shared" si="118"/>
        <v>0</v>
      </c>
      <c r="S1893" s="5"/>
      <c r="T1893" s="5"/>
    </row>
    <row r="1894" spans="2:20" ht="15.75" hidden="1" x14ac:dyDescent="0.25">
      <c r="B1894" s="21" t="s">
        <v>395</v>
      </c>
      <c r="C1894" s="22" t="s">
        <v>2460</v>
      </c>
      <c r="D1894" s="22"/>
      <c r="E1894" s="21" t="s">
        <v>0</v>
      </c>
      <c r="F1894" s="21"/>
      <c r="G1894" s="147" t="s">
        <v>509</v>
      </c>
      <c r="H1894" s="23" t="s">
        <v>2776</v>
      </c>
      <c r="I1894" s="23" t="s">
        <v>7909</v>
      </c>
      <c r="J1894" s="21" t="s">
        <v>2778</v>
      </c>
      <c r="K1894" s="120"/>
      <c r="L1894" s="47" t="s">
        <v>5591</v>
      </c>
      <c r="M1894" s="26">
        <v>44407</v>
      </c>
      <c r="N1894" s="44">
        <v>0</v>
      </c>
      <c r="O1894" s="22" t="s">
        <v>15</v>
      </c>
      <c r="P1894" s="44" t="s">
        <v>19</v>
      </c>
      <c r="Q1894" s="24">
        <f t="shared" si="116"/>
        <v>0</v>
      </c>
      <c r="R1894" s="24">
        <f t="shared" si="118"/>
        <v>0</v>
      </c>
      <c r="S1894" s="5"/>
      <c r="T1894" s="5"/>
    </row>
    <row r="1895" spans="2:20" ht="15.75" hidden="1" x14ac:dyDescent="0.25">
      <c r="B1895" s="21" t="s">
        <v>395</v>
      </c>
      <c r="C1895" s="22" t="s">
        <v>2460</v>
      </c>
      <c r="D1895" s="22"/>
      <c r="E1895" s="21" t="s">
        <v>0</v>
      </c>
      <c r="F1895" s="21"/>
      <c r="G1895" s="147" t="s">
        <v>509</v>
      </c>
      <c r="H1895" s="23" t="s">
        <v>2776</v>
      </c>
      <c r="I1895" s="23" t="s">
        <v>7909</v>
      </c>
      <c r="J1895" s="21" t="s">
        <v>2778</v>
      </c>
      <c r="K1895" s="120"/>
      <c r="L1895" s="47" t="s">
        <v>5661</v>
      </c>
      <c r="M1895" s="26">
        <v>44439</v>
      </c>
      <c r="N1895" s="44">
        <v>0</v>
      </c>
      <c r="O1895" s="22" t="s">
        <v>15</v>
      </c>
      <c r="P1895" s="44" t="s">
        <v>19</v>
      </c>
      <c r="Q1895" s="24">
        <f t="shared" si="116"/>
        <v>0</v>
      </c>
      <c r="R1895" s="24">
        <f t="shared" si="118"/>
        <v>0</v>
      </c>
      <c r="S1895" s="5"/>
      <c r="T1895" s="5"/>
    </row>
    <row r="1896" spans="2:20" ht="15.75" hidden="1" x14ac:dyDescent="0.25">
      <c r="B1896" s="21" t="s">
        <v>395</v>
      </c>
      <c r="C1896" s="22" t="s">
        <v>2460</v>
      </c>
      <c r="D1896" s="22"/>
      <c r="E1896" s="21" t="s">
        <v>0</v>
      </c>
      <c r="F1896" s="21"/>
      <c r="G1896" s="147" t="s">
        <v>509</v>
      </c>
      <c r="H1896" s="23" t="s">
        <v>2776</v>
      </c>
      <c r="I1896" s="23" t="s">
        <v>7909</v>
      </c>
      <c r="J1896" s="21" t="s">
        <v>2778</v>
      </c>
      <c r="K1896" s="120"/>
      <c r="L1896" s="47" t="s">
        <v>5918</v>
      </c>
      <c r="M1896" s="26">
        <v>44469</v>
      </c>
      <c r="N1896" s="44">
        <v>0</v>
      </c>
      <c r="O1896" s="22" t="s">
        <v>15</v>
      </c>
      <c r="P1896" s="44" t="s">
        <v>19</v>
      </c>
      <c r="Q1896" s="24">
        <f t="shared" si="116"/>
        <v>0</v>
      </c>
      <c r="R1896" s="24">
        <f t="shared" si="118"/>
        <v>0</v>
      </c>
      <c r="S1896" s="5"/>
      <c r="T1896" s="5"/>
    </row>
    <row r="1897" spans="2:20" ht="15.75" hidden="1" x14ac:dyDescent="0.25">
      <c r="B1897" s="21" t="s">
        <v>395</v>
      </c>
      <c r="C1897" s="22" t="s">
        <v>2460</v>
      </c>
      <c r="D1897" s="22"/>
      <c r="E1897" s="21" t="s">
        <v>0</v>
      </c>
      <c r="F1897" s="21"/>
      <c r="G1897" s="147" t="s">
        <v>509</v>
      </c>
      <c r="H1897" s="23" t="s">
        <v>2776</v>
      </c>
      <c r="I1897" s="23" t="s">
        <v>7909</v>
      </c>
      <c r="J1897" s="21" t="s">
        <v>2778</v>
      </c>
      <c r="K1897" s="120"/>
      <c r="L1897" s="47" t="s">
        <v>6041</v>
      </c>
      <c r="M1897" s="26">
        <v>44498</v>
      </c>
      <c r="N1897" s="44">
        <v>0</v>
      </c>
      <c r="O1897" s="22" t="s">
        <v>15</v>
      </c>
      <c r="P1897" s="44" t="s">
        <v>19</v>
      </c>
      <c r="Q1897" s="24">
        <f t="shared" si="116"/>
        <v>0</v>
      </c>
      <c r="R1897" s="24">
        <f t="shared" si="118"/>
        <v>0</v>
      </c>
      <c r="S1897" s="5"/>
      <c r="T1897" s="5"/>
    </row>
    <row r="1898" spans="2:20" ht="15.75" hidden="1" x14ac:dyDescent="0.25">
      <c r="B1898" s="21" t="s">
        <v>395</v>
      </c>
      <c r="C1898" s="22" t="s">
        <v>2460</v>
      </c>
      <c r="D1898" s="22"/>
      <c r="E1898" s="21" t="s">
        <v>0</v>
      </c>
      <c r="F1898" s="21"/>
      <c r="G1898" s="147" t="s">
        <v>509</v>
      </c>
      <c r="H1898" s="23" t="s">
        <v>2776</v>
      </c>
      <c r="I1898" s="23" t="s">
        <v>7909</v>
      </c>
      <c r="J1898" s="21" t="s">
        <v>2778</v>
      </c>
      <c r="K1898" s="120"/>
      <c r="L1898" s="47" t="s">
        <v>6261</v>
      </c>
      <c r="M1898" s="26">
        <v>44530</v>
      </c>
      <c r="N1898" s="44">
        <v>0</v>
      </c>
      <c r="O1898" s="22" t="s">
        <v>15</v>
      </c>
      <c r="P1898" s="44" t="s">
        <v>19</v>
      </c>
      <c r="Q1898" s="24">
        <f t="shared" si="116"/>
        <v>0</v>
      </c>
      <c r="R1898" s="24">
        <f t="shared" si="118"/>
        <v>0</v>
      </c>
      <c r="S1898" s="5"/>
      <c r="T1898" s="5"/>
    </row>
    <row r="1899" spans="2:20" ht="15.75" hidden="1" x14ac:dyDescent="0.25">
      <c r="B1899" s="21" t="s">
        <v>395</v>
      </c>
      <c r="C1899" s="22" t="s">
        <v>2460</v>
      </c>
      <c r="D1899" s="22"/>
      <c r="E1899" s="21" t="s">
        <v>0</v>
      </c>
      <c r="F1899" s="21"/>
      <c r="G1899" s="147" t="s">
        <v>509</v>
      </c>
      <c r="H1899" s="23" t="s">
        <v>2776</v>
      </c>
      <c r="I1899" s="23" t="s">
        <v>7909</v>
      </c>
      <c r="J1899" s="21" t="s">
        <v>2778</v>
      </c>
      <c r="K1899" s="120"/>
      <c r="L1899" s="47" t="s">
        <v>6322</v>
      </c>
      <c r="M1899" s="26">
        <v>44561</v>
      </c>
      <c r="N1899" s="44">
        <v>0</v>
      </c>
      <c r="O1899" s="22" t="s">
        <v>15</v>
      </c>
      <c r="P1899" s="44" t="s">
        <v>19</v>
      </c>
      <c r="Q1899" s="24">
        <f t="shared" ref="Q1899:Q1939" si="119">IF(P1899="en cours",N1899,IF(P1899="OK",0,IF(N1899-P1899&lt;0,0,N1899-P1899)))</f>
        <v>0</v>
      </c>
      <c r="R1899" s="24">
        <f t="shared" si="118"/>
        <v>0</v>
      </c>
      <c r="S1899" s="5"/>
      <c r="T1899" s="5"/>
    </row>
    <row r="1900" spans="2:20" ht="15.75" hidden="1" x14ac:dyDescent="0.25">
      <c r="B1900" s="21" t="s">
        <v>395</v>
      </c>
      <c r="C1900" s="22" t="s">
        <v>2460</v>
      </c>
      <c r="D1900" s="22"/>
      <c r="E1900" s="21" t="s">
        <v>0</v>
      </c>
      <c r="F1900" s="21"/>
      <c r="G1900" s="147" t="s">
        <v>509</v>
      </c>
      <c r="H1900" s="23" t="s">
        <v>2776</v>
      </c>
      <c r="I1900" s="23" t="s">
        <v>7909</v>
      </c>
      <c r="J1900" s="21" t="s">
        <v>2778</v>
      </c>
      <c r="K1900" s="120"/>
      <c r="L1900" s="47" t="s">
        <v>6465</v>
      </c>
      <c r="M1900" s="26">
        <v>44592</v>
      </c>
      <c r="N1900" s="44">
        <v>0</v>
      </c>
      <c r="O1900" s="22" t="s">
        <v>15</v>
      </c>
      <c r="P1900" s="44" t="s">
        <v>19</v>
      </c>
      <c r="Q1900" s="24">
        <f t="shared" si="119"/>
        <v>0</v>
      </c>
      <c r="R1900" s="24">
        <f t="shared" si="118"/>
        <v>0</v>
      </c>
      <c r="S1900" s="5"/>
      <c r="T1900" s="5"/>
    </row>
    <row r="1901" spans="2:20" ht="15.75" hidden="1" x14ac:dyDescent="0.25">
      <c r="B1901" s="21" t="s">
        <v>395</v>
      </c>
      <c r="C1901" s="22" t="s">
        <v>2460</v>
      </c>
      <c r="D1901" s="22"/>
      <c r="E1901" s="21" t="s">
        <v>0</v>
      </c>
      <c r="F1901" s="21"/>
      <c r="G1901" s="147" t="s">
        <v>509</v>
      </c>
      <c r="H1901" s="23" t="s">
        <v>2776</v>
      </c>
      <c r="I1901" s="23" t="s">
        <v>7909</v>
      </c>
      <c r="J1901" s="21" t="s">
        <v>2779</v>
      </c>
      <c r="K1901" s="120"/>
      <c r="L1901" s="47" t="s">
        <v>3024</v>
      </c>
      <c r="M1901" s="26" t="s">
        <v>3022</v>
      </c>
      <c r="N1901" s="44">
        <v>0</v>
      </c>
      <c r="O1901" s="22" t="s">
        <v>15</v>
      </c>
      <c r="P1901" s="44" t="s">
        <v>19</v>
      </c>
      <c r="Q1901" s="24">
        <f t="shared" si="119"/>
        <v>0</v>
      </c>
      <c r="R1901" s="24">
        <f t="shared" si="118"/>
        <v>0</v>
      </c>
      <c r="S1901" s="5"/>
      <c r="T1901" s="5"/>
    </row>
    <row r="1902" spans="2:20" ht="15.75" hidden="1" x14ac:dyDescent="0.25">
      <c r="B1902" s="21" t="s">
        <v>395</v>
      </c>
      <c r="C1902" s="22" t="s">
        <v>2460</v>
      </c>
      <c r="D1902" s="22"/>
      <c r="E1902" s="21" t="s">
        <v>0</v>
      </c>
      <c r="F1902" s="21"/>
      <c r="G1902" s="147" t="s">
        <v>509</v>
      </c>
      <c r="H1902" s="23" t="s">
        <v>2776</v>
      </c>
      <c r="I1902" s="23" t="s">
        <v>7909</v>
      </c>
      <c r="J1902" s="21" t="s">
        <v>2779</v>
      </c>
      <c r="K1902" s="120"/>
      <c r="L1902" s="47" t="s">
        <v>3344</v>
      </c>
      <c r="M1902" s="26" t="s">
        <v>3341</v>
      </c>
      <c r="N1902" s="44">
        <v>0</v>
      </c>
      <c r="O1902" s="22" t="s">
        <v>15</v>
      </c>
      <c r="P1902" s="44" t="s">
        <v>19</v>
      </c>
      <c r="Q1902" s="24">
        <f t="shared" si="119"/>
        <v>0</v>
      </c>
      <c r="R1902" s="24">
        <f t="shared" si="118"/>
        <v>0</v>
      </c>
      <c r="S1902" s="5"/>
      <c r="T1902" s="5"/>
    </row>
    <row r="1903" spans="2:20" ht="15.75" hidden="1" x14ac:dyDescent="0.25">
      <c r="B1903" s="21" t="s">
        <v>395</v>
      </c>
      <c r="C1903" s="22" t="s">
        <v>2460</v>
      </c>
      <c r="D1903" s="22"/>
      <c r="E1903" s="21" t="s">
        <v>0</v>
      </c>
      <c r="F1903" s="21"/>
      <c r="G1903" s="147" t="s">
        <v>509</v>
      </c>
      <c r="H1903" s="23" t="s">
        <v>2776</v>
      </c>
      <c r="I1903" s="23" t="s">
        <v>7909</v>
      </c>
      <c r="J1903" s="21" t="s">
        <v>2779</v>
      </c>
      <c r="K1903" s="120"/>
      <c r="L1903" s="47" t="s">
        <v>3837</v>
      </c>
      <c r="M1903" s="26" t="s">
        <v>3838</v>
      </c>
      <c r="N1903" s="44">
        <v>0</v>
      </c>
      <c r="O1903" s="22" t="s">
        <v>15</v>
      </c>
      <c r="P1903" s="44" t="s">
        <v>19</v>
      </c>
      <c r="Q1903" s="24">
        <f t="shared" si="119"/>
        <v>0</v>
      </c>
      <c r="R1903" s="24">
        <f t="shared" si="118"/>
        <v>0</v>
      </c>
      <c r="S1903" s="5"/>
      <c r="T1903" s="5"/>
    </row>
    <row r="1904" spans="2:20" ht="15.75" hidden="1" x14ac:dyDescent="0.25">
      <c r="B1904" s="21" t="s">
        <v>395</v>
      </c>
      <c r="C1904" s="22" t="s">
        <v>2460</v>
      </c>
      <c r="D1904" s="22"/>
      <c r="E1904" s="21" t="s">
        <v>0</v>
      </c>
      <c r="F1904" s="21"/>
      <c r="G1904" s="147" t="s">
        <v>509</v>
      </c>
      <c r="H1904" s="23" t="s">
        <v>2776</v>
      </c>
      <c r="I1904" s="23" t="s">
        <v>7909</v>
      </c>
      <c r="J1904" s="21" t="s">
        <v>2779</v>
      </c>
      <c r="K1904" s="120"/>
      <c r="L1904" s="47" t="s">
        <v>4168</v>
      </c>
      <c r="M1904" s="26" t="s">
        <v>4166</v>
      </c>
      <c r="N1904" s="44">
        <v>0</v>
      </c>
      <c r="O1904" s="22" t="s">
        <v>15</v>
      </c>
      <c r="P1904" s="44" t="s">
        <v>19</v>
      </c>
      <c r="Q1904" s="24">
        <f t="shared" si="119"/>
        <v>0</v>
      </c>
      <c r="R1904" s="24">
        <f t="shared" si="118"/>
        <v>0</v>
      </c>
      <c r="S1904" s="5"/>
      <c r="T1904" s="5"/>
    </row>
    <row r="1905" spans="2:20" ht="15.75" hidden="1" x14ac:dyDescent="0.25">
      <c r="B1905" s="21" t="s">
        <v>395</v>
      </c>
      <c r="C1905" s="22" t="s">
        <v>2460</v>
      </c>
      <c r="D1905" s="22"/>
      <c r="E1905" s="21" t="s">
        <v>0</v>
      </c>
      <c r="F1905" s="21"/>
      <c r="G1905" s="147" t="s">
        <v>509</v>
      </c>
      <c r="H1905" s="23" t="s">
        <v>2776</v>
      </c>
      <c r="I1905" s="23" t="s">
        <v>7909</v>
      </c>
      <c r="J1905" s="21" t="s">
        <v>2779</v>
      </c>
      <c r="K1905" s="120"/>
      <c r="L1905" s="47" t="s">
        <v>4367</v>
      </c>
      <c r="M1905" s="26" t="s">
        <v>4365</v>
      </c>
      <c r="N1905" s="44">
        <v>0</v>
      </c>
      <c r="O1905" s="22" t="s">
        <v>15</v>
      </c>
      <c r="P1905" s="44" t="s">
        <v>19</v>
      </c>
      <c r="Q1905" s="24">
        <f t="shared" si="119"/>
        <v>0</v>
      </c>
      <c r="R1905" s="24">
        <f t="shared" si="118"/>
        <v>0</v>
      </c>
      <c r="S1905" s="5"/>
      <c r="T1905" s="5"/>
    </row>
    <row r="1906" spans="2:20" ht="15.75" hidden="1" x14ac:dyDescent="0.25">
      <c r="B1906" s="21" t="s">
        <v>395</v>
      </c>
      <c r="C1906" s="22" t="s">
        <v>2460</v>
      </c>
      <c r="D1906" s="22"/>
      <c r="E1906" s="21" t="s">
        <v>0</v>
      </c>
      <c r="F1906" s="21"/>
      <c r="G1906" s="147" t="s">
        <v>509</v>
      </c>
      <c r="H1906" s="23" t="s">
        <v>2776</v>
      </c>
      <c r="I1906" s="23" t="s">
        <v>7909</v>
      </c>
      <c r="J1906" s="21" t="s">
        <v>2779</v>
      </c>
      <c r="K1906" s="120"/>
      <c r="L1906" s="47" t="s">
        <v>4560</v>
      </c>
      <c r="M1906" s="26">
        <v>44253</v>
      </c>
      <c r="N1906" s="44">
        <v>0</v>
      </c>
      <c r="O1906" s="22" t="s">
        <v>15</v>
      </c>
      <c r="P1906" s="44" t="s">
        <v>19</v>
      </c>
      <c r="Q1906" s="24">
        <f t="shared" si="119"/>
        <v>0</v>
      </c>
      <c r="R1906" s="24">
        <f t="shared" si="118"/>
        <v>0</v>
      </c>
      <c r="S1906" s="5"/>
      <c r="T1906" s="5"/>
    </row>
    <row r="1907" spans="2:20" ht="15.75" hidden="1" x14ac:dyDescent="0.25">
      <c r="B1907" s="21" t="s">
        <v>395</v>
      </c>
      <c r="C1907" s="22" t="s">
        <v>2460</v>
      </c>
      <c r="D1907" s="22"/>
      <c r="E1907" s="21" t="s">
        <v>0</v>
      </c>
      <c r="F1907" s="21"/>
      <c r="G1907" s="147" t="s">
        <v>509</v>
      </c>
      <c r="H1907" s="23" t="s">
        <v>2776</v>
      </c>
      <c r="I1907" s="23" t="s">
        <v>7909</v>
      </c>
      <c r="J1907" s="21" t="s">
        <v>2779</v>
      </c>
      <c r="K1907" s="120"/>
      <c r="L1907" s="47" t="s">
        <v>5188</v>
      </c>
      <c r="M1907" s="26">
        <v>44286</v>
      </c>
      <c r="N1907" s="44">
        <v>0</v>
      </c>
      <c r="O1907" s="22" t="s">
        <v>15</v>
      </c>
      <c r="P1907" s="44" t="s">
        <v>19</v>
      </c>
      <c r="Q1907" s="24">
        <f t="shared" si="119"/>
        <v>0</v>
      </c>
      <c r="R1907" s="24">
        <f t="shared" si="118"/>
        <v>0</v>
      </c>
      <c r="S1907" s="5"/>
      <c r="T1907" s="5"/>
    </row>
    <row r="1908" spans="2:20" ht="15.75" hidden="1" x14ac:dyDescent="0.25">
      <c r="B1908" s="21" t="s">
        <v>395</v>
      </c>
      <c r="C1908" s="22" t="s">
        <v>2460</v>
      </c>
      <c r="D1908" s="22"/>
      <c r="E1908" s="21" t="s">
        <v>0</v>
      </c>
      <c r="F1908" s="21"/>
      <c r="G1908" s="147" t="s">
        <v>509</v>
      </c>
      <c r="H1908" s="23" t="s">
        <v>2776</v>
      </c>
      <c r="I1908" s="23" t="s">
        <v>7909</v>
      </c>
      <c r="J1908" s="21" t="s">
        <v>2779</v>
      </c>
      <c r="K1908" s="120"/>
      <c r="L1908" s="47" t="s">
        <v>4967</v>
      </c>
      <c r="M1908" s="26">
        <v>44316</v>
      </c>
      <c r="N1908" s="44">
        <v>0</v>
      </c>
      <c r="O1908" s="22" t="s">
        <v>15</v>
      </c>
      <c r="P1908" s="44" t="s">
        <v>19</v>
      </c>
      <c r="Q1908" s="24">
        <f t="shared" si="119"/>
        <v>0</v>
      </c>
      <c r="R1908" s="24">
        <f t="shared" si="118"/>
        <v>0</v>
      </c>
      <c r="S1908" s="5"/>
      <c r="T1908" s="5"/>
    </row>
    <row r="1909" spans="2:20" ht="15.75" hidden="1" x14ac:dyDescent="0.25">
      <c r="B1909" s="21" t="s">
        <v>395</v>
      </c>
      <c r="C1909" s="22" t="s">
        <v>2460</v>
      </c>
      <c r="D1909" s="22"/>
      <c r="E1909" s="21" t="s">
        <v>0</v>
      </c>
      <c r="F1909" s="21"/>
      <c r="G1909" s="147" t="s">
        <v>509</v>
      </c>
      <c r="H1909" s="23" t="s">
        <v>2776</v>
      </c>
      <c r="I1909" s="23" t="s">
        <v>7909</v>
      </c>
      <c r="J1909" s="21" t="s">
        <v>2779</v>
      </c>
      <c r="K1909" s="120"/>
      <c r="L1909" s="47" t="s">
        <v>5181</v>
      </c>
      <c r="M1909" s="26">
        <v>44347</v>
      </c>
      <c r="N1909" s="44">
        <v>0</v>
      </c>
      <c r="O1909" s="22" t="s">
        <v>15</v>
      </c>
      <c r="P1909" s="44" t="s">
        <v>19</v>
      </c>
      <c r="Q1909" s="24">
        <f t="shared" si="119"/>
        <v>0</v>
      </c>
      <c r="R1909" s="24">
        <f t="shared" si="118"/>
        <v>0</v>
      </c>
      <c r="S1909" s="5"/>
      <c r="T1909" s="5"/>
    </row>
    <row r="1910" spans="2:20" ht="15.75" hidden="1" x14ac:dyDescent="0.25">
      <c r="B1910" s="21" t="s">
        <v>395</v>
      </c>
      <c r="C1910" s="22" t="s">
        <v>2460</v>
      </c>
      <c r="D1910" s="22"/>
      <c r="E1910" s="21" t="s">
        <v>0</v>
      </c>
      <c r="F1910" s="21"/>
      <c r="G1910" s="147" t="s">
        <v>509</v>
      </c>
      <c r="H1910" s="23" t="s">
        <v>2776</v>
      </c>
      <c r="I1910" s="23" t="s">
        <v>7909</v>
      </c>
      <c r="J1910" s="21" t="s">
        <v>2779</v>
      </c>
      <c r="K1910" s="120"/>
      <c r="L1910" s="47" t="s">
        <v>5399</v>
      </c>
      <c r="M1910" s="26">
        <v>44377</v>
      </c>
      <c r="N1910" s="44">
        <v>0</v>
      </c>
      <c r="O1910" s="22" t="s">
        <v>15</v>
      </c>
      <c r="P1910" s="44" t="s">
        <v>19</v>
      </c>
      <c r="Q1910" s="24">
        <f t="shared" si="119"/>
        <v>0</v>
      </c>
      <c r="R1910" s="24">
        <f t="shared" si="118"/>
        <v>0</v>
      </c>
      <c r="S1910" s="5"/>
      <c r="T1910" s="5"/>
    </row>
    <row r="1911" spans="2:20" ht="15.75" hidden="1" x14ac:dyDescent="0.25">
      <c r="B1911" s="21" t="s">
        <v>395</v>
      </c>
      <c r="C1911" s="22" t="s">
        <v>2460</v>
      </c>
      <c r="D1911" s="22"/>
      <c r="E1911" s="21" t="s">
        <v>0</v>
      </c>
      <c r="F1911" s="21"/>
      <c r="G1911" s="147" t="s">
        <v>509</v>
      </c>
      <c r="H1911" s="23" t="s">
        <v>2776</v>
      </c>
      <c r="I1911" s="23" t="s">
        <v>7909</v>
      </c>
      <c r="J1911" s="21" t="s">
        <v>2779</v>
      </c>
      <c r="K1911" s="120"/>
      <c r="L1911" s="47" t="s">
        <v>5591</v>
      </c>
      <c r="M1911" s="26">
        <v>44407</v>
      </c>
      <c r="N1911" s="44">
        <v>0</v>
      </c>
      <c r="O1911" s="22" t="s">
        <v>15</v>
      </c>
      <c r="P1911" s="44" t="s">
        <v>19</v>
      </c>
      <c r="Q1911" s="24">
        <f t="shared" si="119"/>
        <v>0</v>
      </c>
      <c r="R1911" s="24">
        <f t="shared" si="118"/>
        <v>0</v>
      </c>
      <c r="S1911" s="5"/>
      <c r="T1911" s="5"/>
    </row>
    <row r="1912" spans="2:20" ht="15.75" hidden="1" x14ac:dyDescent="0.25">
      <c r="B1912" s="21" t="s">
        <v>395</v>
      </c>
      <c r="C1912" s="22" t="s">
        <v>2460</v>
      </c>
      <c r="D1912" s="22"/>
      <c r="E1912" s="21" t="s">
        <v>0</v>
      </c>
      <c r="F1912" s="21"/>
      <c r="G1912" s="147" t="s">
        <v>509</v>
      </c>
      <c r="H1912" s="23" t="s">
        <v>2776</v>
      </c>
      <c r="I1912" s="23" t="s">
        <v>7909</v>
      </c>
      <c r="J1912" s="21" t="s">
        <v>2779</v>
      </c>
      <c r="K1912" s="120"/>
      <c r="L1912" s="47" t="s">
        <v>5661</v>
      </c>
      <c r="M1912" s="26">
        <v>44439</v>
      </c>
      <c r="N1912" s="44">
        <v>0</v>
      </c>
      <c r="O1912" s="22" t="s">
        <v>15</v>
      </c>
      <c r="P1912" s="44" t="s">
        <v>19</v>
      </c>
      <c r="Q1912" s="24">
        <f t="shared" si="119"/>
        <v>0</v>
      </c>
      <c r="R1912" s="24">
        <f t="shared" si="118"/>
        <v>0</v>
      </c>
      <c r="S1912" s="5"/>
      <c r="T1912" s="5"/>
    </row>
    <row r="1913" spans="2:20" ht="15.75" hidden="1" x14ac:dyDescent="0.25">
      <c r="B1913" s="21" t="s">
        <v>395</v>
      </c>
      <c r="C1913" s="22" t="s">
        <v>2460</v>
      </c>
      <c r="D1913" s="22"/>
      <c r="E1913" s="21" t="s">
        <v>0</v>
      </c>
      <c r="F1913" s="21"/>
      <c r="G1913" s="147" t="s">
        <v>509</v>
      </c>
      <c r="H1913" s="23" t="s">
        <v>2776</v>
      </c>
      <c r="I1913" s="23" t="s">
        <v>7909</v>
      </c>
      <c r="J1913" s="21" t="s">
        <v>2779</v>
      </c>
      <c r="K1913" s="120"/>
      <c r="L1913" s="47" t="s">
        <v>5918</v>
      </c>
      <c r="M1913" s="26">
        <v>44469</v>
      </c>
      <c r="N1913" s="44">
        <v>0</v>
      </c>
      <c r="O1913" s="22" t="s">
        <v>15</v>
      </c>
      <c r="P1913" s="44" t="s">
        <v>19</v>
      </c>
      <c r="Q1913" s="24">
        <f t="shared" si="119"/>
        <v>0</v>
      </c>
      <c r="R1913" s="24">
        <f t="shared" si="118"/>
        <v>0</v>
      </c>
      <c r="S1913" s="5"/>
      <c r="T1913" s="5"/>
    </row>
    <row r="1914" spans="2:20" ht="15.75" hidden="1" x14ac:dyDescent="0.25">
      <c r="B1914" s="21" t="s">
        <v>395</v>
      </c>
      <c r="C1914" s="22" t="s">
        <v>2460</v>
      </c>
      <c r="D1914" s="22"/>
      <c r="E1914" s="21" t="s">
        <v>0</v>
      </c>
      <c r="F1914" s="21"/>
      <c r="G1914" s="147" t="s">
        <v>509</v>
      </c>
      <c r="H1914" s="23" t="s">
        <v>2776</v>
      </c>
      <c r="I1914" s="23" t="s">
        <v>7909</v>
      </c>
      <c r="J1914" s="21" t="s">
        <v>2779</v>
      </c>
      <c r="K1914" s="120"/>
      <c r="L1914" s="47" t="s">
        <v>6041</v>
      </c>
      <c r="M1914" s="26">
        <v>44498</v>
      </c>
      <c r="N1914" s="44">
        <v>0</v>
      </c>
      <c r="O1914" s="22" t="s">
        <v>15</v>
      </c>
      <c r="P1914" s="44" t="s">
        <v>19</v>
      </c>
      <c r="Q1914" s="24">
        <f t="shared" si="119"/>
        <v>0</v>
      </c>
      <c r="R1914" s="24">
        <f t="shared" si="118"/>
        <v>0</v>
      </c>
      <c r="S1914" s="5"/>
      <c r="T1914" s="5"/>
    </row>
    <row r="1915" spans="2:20" ht="15.75" hidden="1" x14ac:dyDescent="0.25">
      <c r="B1915" s="21" t="s">
        <v>395</v>
      </c>
      <c r="C1915" s="22" t="s">
        <v>2460</v>
      </c>
      <c r="D1915" s="22"/>
      <c r="E1915" s="21" t="s">
        <v>0</v>
      </c>
      <c r="F1915" s="21"/>
      <c r="G1915" s="147" t="s">
        <v>509</v>
      </c>
      <c r="H1915" s="23" t="s">
        <v>2776</v>
      </c>
      <c r="I1915" s="23" t="s">
        <v>7909</v>
      </c>
      <c r="J1915" s="21" t="s">
        <v>2779</v>
      </c>
      <c r="K1915" s="120"/>
      <c r="L1915" s="47" t="s">
        <v>6261</v>
      </c>
      <c r="M1915" s="26">
        <v>44530</v>
      </c>
      <c r="N1915" s="44">
        <v>0</v>
      </c>
      <c r="O1915" s="22" t="s">
        <v>15</v>
      </c>
      <c r="P1915" s="44" t="s">
        <v>19</v>
      </c>
      <c r="Q1915" s="24">
        <f t="shared" si="119"/>
        <v>0</v>
      </c>
      <c r="R1915" s="24">
        <f t="shared" si="118"/>
        <v>0</v>
      </c>
      <c r="S1915" s="5"/>
      <c r="T1915" s="5"/>
    </row>
    <row r="1916" spans="2:20" ht="15.75" hidden="1" x14ac:dyDescent="0.25">
      <c r="B1916" s="21" t="s">
        <v>395</v>
      </c>
      <c r="C1916" s="22" t="s">
        <v>2460</v>
      </c>
      <c r="D1916" s="22"/>
      <c r="E1916" s="21" t="s">
        <v>0</v>
      </c>
      <c r="F1916" s="21"/>
      <c r="G1916" s="147" t="s">
        <v>509</v>
      </c>
      <c r="H1916" s="23" t="s">
        <v>2776</v>
      </c>
      <c r="I1916" s="23" t="s">
        <v>7909</v>
      </c>
      <c r="J1916" s="21" t="s">
        <v>2779</v>
      </c>
      <c r="K1916" s="120"/>
      <c r="L1916" s="47" t="s">
        <v>6322</v>
      </c>
      <c r="M1916" s="26">
        <v>44561</v>
      </c>
      <c r="N1916" s="44">
        <v>0</v>
      </c>
      <c r="O1916" s="22" t="s">
        <v>15</v>
      </c>
      <c r="P1916" s="44" t="s">
        <v>19</v>
      </c>
      <c r="Q1916" s="24">
        <f t="shared" si="119"/>
        <v>0</v>
      </c>
      <c r="R1916" s="24">
        <f t="shared" si="118"/>
        <v>0</v>
      </c>
      <c r="S1916" s="5"/>
      <c r="T1916" s="5"/>
    </row>
    <row r="1917" spans="2:20" ht="15.75" hidden="1" x14ac:dyDescent="0.25">
      <c r="B1917" s="21" t="s">
        <v>395</v>
      </c>
      <c r="C1917" s="22" t="s">
        <v>2460</v>
      </c>
      <c r="D1917" s="22"/>
      <c r="E1917" s="21" t="s">
        <v>0</v>
      </c>
      <c r="F1917" s="21"/>
      <c r="G1917" s="147" t="s">
        <v>509</v>
      </c>
      <c r="H1917" s="23" t="s">
        <v>2776</v>
      </c>
      <c r="I1917" s="23" t="s">
        <v>7909</v>
      </c>
      <c r="J1917" s="21" t="s">
        <v>2779</v>
      </c>
      <c r="K1917" s="120"/>
      <c r="L1917" s="47" t="s">
        <v>6465</v>
      </c>
      <c r="M1917" s="26">
        <v>44592</v>
      </c>
      <c r="N1917" s="44">
        <v>0</v>
      </c>
      <c r="O1917" s="22" t="s">
        <v>15</v>
      </c>
      <c r="P1917" s="44" t="s">
        <v>19</v>
      </c>
      <c r="Q1917" s="24">
        <f t="shared" si="119"/>
        <v>0</v>
      </c>
      <c r="R1917" s="24">
        <f t="shared" si="118"/>
        <v>0</v>
      </c>
      <c r="S1917" s="5"/>
      <c r="T1917" s="5"/>
    </row>
    <row r="1918" spans="2:20" ht="15.75" hidden="1" x14ac:dyDescent="0.25">
      <c r="B1918" s="21" t="s">
        <v>395</v>
      </c>
      <c r="C1918" s="22" t="s">
        <v>2460</v>
      </c>
      <c r="D1918" s="22"/>
      <c r="E1918" s="21" t="s">
        <v>0</v>
      </c>
      <c r="F1918" s="21"/>
      <c r="G1918" s="147" t="s">
        <v>509</v>
      </c>
      <c r="H1918" s="23" t="s">
        <v>2776</v>
      </c>
      <c r="I1918" s="23" t="s">
        <v>7909</v>
      </c>
      <c r="J1918" s="21" t="s">
        <v>2779</v>
      </c>
      <c r="K1918" s="120"/>
      <c r="L1918" s="47" t="s">
        <v>6575</v>
      </c>
      <c r="M1918" s="26">
        <v>44620</v>
      </c>
      <c r="N1918" s="44">
        <v>0</v>
      </c>
      <c r="O1918" s="22" t="s">
        <v>15</v>
      </c>
      <c r="P1918" s="44" t="s">
        <v>19</v>
      </c>
      <c r="Q1918" s="24">
        <f t="shared" si="119"/>
        <v>0</v>
      </c>
      <c r="R1918" s="24">
        <f t="shared" si="118"/>
        <v>0</v>
      </c>
      <c r="S1918" s="5"/>
      <c r="T1918" s="5"/>
    </row>
    <row r="1919" spans="2:20" ht="15.75" hidden="1" x14ac:dyDescent="0.25">
      <c r="B1919" s="21" t="s">
        <v>395</v>
      </c>
      <c r="C1919" s="22" t="s">
        <v>2460</v>
      </c>
      <c r="D1919" s="22"/>
      <c r="E1919" s="21" t="s">
        <v>0</v>
      </c>
      <c r="F1919" s="21"/>
      <c r="G1919" s="147" t="s">
        <v>509</v>
      </c>
      <c r="H1919" s="23" t="s">
        <v>2776</v>
      </c>
      <c r="I1919" s="23" t="s">
        <v>7909</v>
      </c>
      <c r="J1919" s="21" t="s">
        <v>2779</v>
      </c>
      <c r="K1919" s="120"/>
      <c r="L1919" s="47" t="s">
        <v>6660</v>
      </c>
      <c r="M1919" s="26">
        <v>44651</v>
      </c>
      <c r="N1919" s="44">
        <v>0</v>
      </c>
      <c r="O1919" s="22" t="s">
        <v>15</v>
      </c>
      <c r="P1919" s="44" t="s">
        <v>19</v>
      </c>
      <c r="Q1919" s="24">
        <f t="shared" si="119"/>
        <v>0</v>
      </c>
      <c r="R1919" s="24">
        <f t="shared" si="118"/>
        <v>0</v>
      </c>
      <c r="S1919" s="5"/>
      <c r="T1919" s="5"/>
    </row>
    <row r="1920" spans="2:20" ht="15.75" hidden="1" x14ac:dyDescent="0.25">
      <c r="B1920" s="21" t="s">
        <v>395</v>
      </c>
      <c r="C1920" s="22" t="s">
        <v>2460</v>
      </c>
      <c r="D1920" s="22"/>
      <c r="E1920" s="21" t="s">
        <v>0</v>
      </c>
      <c r="F1920" s="21"/>
      <c r="G1920" s="147" t="s">
        <v>509</v>
      </c>
      <c r="H1920" s="23" t="s">
        <v>2776</v>
      </c>
      <c r="I1920" s="23" t="s">
        <v>7909</v>
      </c>
      <c r="J1920" s="21" t="s">
        <v>2779</v>
      </c>
      <c r="K1920" s="120"/>
      <c r="L1920" s="47" t="s">
        <v>6730</v>
      </c>
      <c r="M1920" s="26">
        <v>44680</v>
      </c>
      <c r="N1920" s="44">
        <v>0</v>
      </c>
      <c r="O1920" s="22" t="s">
        <v>15</v>
      </c>
      <c r="P1920" s="44" t="s">
        <v>19</v>
      </c>
      <c r="Q1920" s="24">
        <f t="shared" si="119"/>
        <v>0</v>
      </c>
      <c r="R1920" s="24">
        <f t="shared" si="118"/>
        <v>0</v>
      </c>
      <c r="S1920" s="5"/>
      <c r="T1920" s="5"/>
    </row>
    <row r="1921" spans="2:20" ht="15.75" hidden="1" x14ac:dyDescent="0.25">
      <c r="B1921" s="21" t="s">
        <v>395</v>
      </c>
      <c r="C1921" s="22" t="s">
        <v>2460</v>
      </c>
      <c r="D1921" s="22"/>
      <c r="E1921" s="21" t="s">
        <v>0</v>
      </c>
      <c r="F1921" s="21"/>
      <c r="G1921" s="147" t="s">
        <v>509</v>
      </c>
      <c r="H1921" s="23" t="s">
        <v>2776</v>
      </c>
      <c r="I1921" s="23" t="s">
        <v>7909</v>
      </c>
      <c r="J1921" s="21" t="s">
        <v>2779</v>
      </c>
      <c r="K1921" s="120"/>
      <c r="L1921" s="47" t="s">
        <v>6788</v>
      </c>
      <c r="M1921" s="26">
        <v>44712</v>
      </c>
      <c r="N1921" s="44">
        <v>0</v>
      </c>
      <c r="O1921" s="22" t="s">
        <v>15</v>
      </c>
      <c r="P1921" s="44" t="s">
        <v>19</v>
      </c>
      <c r="Q1921" s="24">
        <f t="shared" si="119"/>
        <v>0</v>
      </c>
      <c r="R1921" s="24">
        <f t="shared" si="118"/>
        <v>0</v>
      </c>
      <c r="S1921" s="5"/>
      <c r="T1921" s="5"/>
    </row>
    <row r="1922" spans="2:20" ht="15.75" hidden="1" x14ac:dyDescent="0.25">
      <c r="B1922" s="21" t="s">
        <v>395</v>
      </c>
      <c r="C1922" s="22" t="s">
        <v>2460</v>
      </c>
      <c r="D1922" s="22"/>
      <c r="E1922" s="21" t="s">
        <v>0</v>
      </c>
      <c r="F1922" s="21"/>
      <c r="G1922" s="147" t="s">
        <v>509</v>
      </c>
      <c r="H1922" s="23" t="s">
        <v>2776</v>
      </c>
      <c r="I1922" s="23" t="s">
        <v>7909</v>
      </c>
      <c r="J1922" s="21" t="s">
        <v>2779</v>
      </c>
      <c r="K1922" s="120"/>
      <c r="L1922" s="47" t="s">
        <v>6893</v>
      </c>
      <c r="M1922" s="26">
        <v>44743</v>
      </c>
      <c r="N1922" s="44">
        <v>0</v>
      </c>
      <c r="O1922" s="22" t="s">
        <v>15</v>
      </c>
      <c r="P1922" s="44" t="s">
        <v>19</v>
      </c>
      <c r="Q1922" s="24">
        <f t="shared" si="119"/>
        <v>0</v>
      </c>
      <c r="R1922" s="24">
        <f t="shared" si="118"/>
        <v>0</v>
      </c>
      <c r="S1922" s="5"/>
      <c r="T1922" s="5"/>
    </row>
    <row r="1923" spans="2:20" ht="15.75" hidden="1" x14ac:dyDescent="0.25">
      <c r="B1923" s="21" t="s">
        <v>395</v>
      </c>
      <c r="C1923" s="22" t="s">
        <v>2460</v>
      </c>
      <c r="D1923" s="22"/>
      <c r="E1923" s="21" t="s">
        <v>0</v>
      </c>
      <c r="F1923" s="21"/>
      <c r="G1923" s="147" t="s">
        <v>509</v>
      </c>
      <c r="H1923" s="23" t="s">
        <v>2776</v>
      </c>
      <c r="I1923" s="23" t="s">
        <v>7909</v>
      </c>
      <c r="J1923" s="21" t="s">
        <v>2779</v>
      </c>
      <c r="K1923" s="120"/>
      <c r="L1923" s="47" t="s">
        <v>7019</v>
      </c>
      <c r="M1923" s="26">
        <v>44771</v>
      </c>
      <c r="N1923" s="44">
        <v>0</v>
      </c>
      <c r="O1923" s="22" t="s">
        <v>15</v>
      </c>
      <c r="P1923" s="44" t="s">
        <v>19</v>
      </c>
      <c r="Q1923" s="24">
        <f t="shared" si="119"/>
        <v>0</v>
      </c>
      <c r="R1923" s="24">
        <f t="shared" si="118"/>
        <v>0</v>
      </c>
      <c r="S1923" s="5"/>
      <c r="T1923" s="5"/>
    </row>
    <row r="1924" spans="2:20" ht="15.75" hidden="1" x14ac:dyDescent="0.25">
      <c r="B1924" s="21" t="s">
        <v>395</v>
      </c>
      <c r="C1924" s="22" t="s">
        <v>2460</v>
      </c>
      <c r="D1924" s="22"/>
      <c r="E1924" s="21" t="s">
        <v>0</v>
      </c>
      <c r="F1924" s="21"/>
      <c r="G1924" s="147" t="s">
        <v>509</v>
      </c>
      <c r="H1924" s="23" t="s">
        <v>2776</v>
      </c>
      <c r="I1924" s="23" t="s">
        <v>7909</v>
      </c>
      <c r="J1924" s="21" t="s">
        <v>2779</v>
      </c>
      <c r="K1924" s="120"/>
      <c r="L1924" s="47" t="s">
        <v>7086</v>
      </c>
      <c r="M1924" s="26">
        <v>44804</v>
      </c>
      <c r="N1924" s="44">
        <v>0</v>
      </c>
      <c r="O1924" s="22" t="s">
        <v>15</v>
      </c>
      <c r="P1924" s="44" t="s">
        <v>19</v>
      </c>
      <c r="Q1924" s="24">
        <f t="shared" si="119"/>
        <v>0</v>
      </c>
      <c r="R1924" s="24">
        <f t="shared" si="118"/>
        <v>0</v>
      </c>
      <c r="S1924" s="5"/>
      <c r="T1924" s="5"/>
    </row>
    <row r="1925" spans="2:20" ht="15.75" hidden="1" x14ac:dyDescent="0.25">
      <c r="B1925" s="21" t="s">
        <v>395</v>
      </c>
      <c r="C1925" s="22" t="s">
        <v>2460</v>
      </c>
      <c r="D1925" s="22"/>
      <c r="E1925" s="21" t="s">
        <v>0</v>
      </c>
      <c r="F1925" s="21"/>
      <c r="G1925" s="147" t="s">
        <v>509</v>
      </c>
      <c r="H1925" s="23" t="s">
        <v>2776</v>
      </c>
      <c r="I1925" s="23" t="s">
        <v>7909</v>
      </c>
      <c r="J1925" s="21" t="s">
        <v>2779</v>
      </c>
      <c r="K1925" s="120"/>
      <c r="L1925" s="47" t="s">
        <v>7200</v>
      </c>
      <c r="M1925" s="26">
        <v>44834</v>
      </c>
      <c r="N1925" s="44">
        <v>0</v>
      </c>
      <c r="O1925" s="22" t="s">
        <v>15</v>
      </c>
      <c r="P1925" s="44" t="s">
        <v>19</v>
      </c>
      <c r="Q1925" s="24">
        <f t="shared" si="119"/>
        <v>0</v>
      </c>
      <c r="R1925" s="24">
        <f t="shared" si="118"/>
        <v>0</v>
      </c>
      <c r="S1925" s="5"/>
      <c r="T1925" s="5"/>
    </row>
    <row r="1926" spans="2:20" ht="15.75" hidden="1" x14ac:dyDescent="0.25">
      <c r="B1926" s="21" t="s">
        <v>395</v>
      </c>
      <c r="C1926" s="22" t="s">
        <v>2460</v>
      </c>
      <c r="D1926" s="22"/>
      <c r="E1926" s="21" t="s">
        <v>0</v>
      </c>
      <c r="F1926" s="21"/>
      <c r="G1926" s="147" t="s">
        <v>509</v>
      </c>
      <c r="H1926" s="23" t="s">
        <v>2776</v>
      </c>
      <c r="I1926" s="23" t="s">
        <v>7909</v>
      </c>
      <c r="J1926" s="21" t="s">
        <v>2779</v>
      </c>
      <c r="K1926" s="120"/>
      <c r="L1926" s="47" t="s">
        <v>7273</v>
      </c>
      <c r="M1926" s="26">
        <v>44865</v>
      </c>
      <c r="N1926" s="44">
        <v>0</v>
      </c>
      <c r="O1926" s="22" t="s">
        <v>15</v>
      </c>
      <c r="P1926" s="44" t="s">
        <v>19</v>
      </c>
      <c r="Q1926" s="24">
        <f t="shared" si="119"/>
        <v>0</v>
      </c>
      <c r="R1926" s="24">
        <f t="shared" si="118"/>
        <v>0</v>
      </c>
      <c r="S1926" s="5"/>
      <c r="T1926" s="5"/>
    </row>
    <row r="1927" spans="2:20" ht="15.75" hidden="1" x14ac:dyDescent="0.25">
      <c r="B1927" s="21" t="s">
        <v>395</v>
      </c>
      <c r="C1927" s="22" t="s">
        <v>2460</v>
      </c>
      <c r="D1927" s="22"/>
      <c r="E1927" s="21" t="s">
        <v>0</v>
      </c>
      <c r="F1927" s="21"/>
      <c r="G1927" s="147" t="s">
        <v>509</v>
      </c>
      <c r="H1927" s="23" t="s">
        <v>2776</v>
      </c>
      <c r="I1927" s="23" t="s">
        <v>7909</v>
      </c>
      <c r="J1927" s="21" t="s">
        <v>2780</v>
      </c>
      <c r="K1927" s="120"/>
      <c r="L1927" s="47"/>
      <c r="M1927" s="26"/>
      <c r="N1927" s="44">
        <v>0</v>
      </c>
      <c r="O1927" s="22" t="s">
        <v>15</v>
      </c>
      <c r="P1927" s="44" t="s">
        <v>19</v>
      </c>
      <c r="Q1927" s="44">
        <f t="shared" si="119"/>
        <v>0</v>
      </c>
      <c r="R1927" s="24">
        <f t="shared" si="118"/>
        <v>0</v>
      </c>
      <c r="S1927" s="5"/>
      <c r="T1927" s="5"/>
    </row>
    <row r="1928" spans="2:20" ht="15.75" hidden="1" x14ac:dyDescent="0.25">
      <c r="B1928" s="21" t="s">
        <v>395</v>
      </c>
      <c r="C1928" s="22" t="s">
        <v>2460</v>
      </c>
      <c r="D1928" s="22"/>
      <c r="E1928" s="21" t="s">
        <v>0</v>
      </c>
      <c r="F1928" s="21"/>
      <c r="G1928" s="147" t="s">
        <v>509</v>
      </c>
      <c r="H1928" s="23" t="s">
        <v>6042</v>
      </c>
      <c r="I1928" s="23" t="s">
        <v>7910</v>
      </c>
      <c r="J1928" s="21" t="s">
        <v>6043</v>
      </c>
      <c r="K1928" s="120"/>
      <c r="L1928" s="47" t="s">
        <v>6323</v>
      </c>
      <c r="M1928" s="26" t="s">
        <v>6324</v>
      </c>
      <c r="N1928" s="44">
        <v>0</v>
      </c>
      <c r="O1928" s="22" t="s">
        <v>15</v>
      </c>
      <c r="P1928" s="44" t="s">
        <v>19</v>
      </c>
      <c r="Q1928" s="24">
        <f t="shared" si="119"/>
        <v>0</v>
      </c>
      <c r="R1928" s="24">
        <f t="shared" si="118"/>
        <v>0</v>
      </c>
      <c r="S1928" s="5"/>
      <c r="T1928" s="5"/>
    </row>
    <row r="1929" spans="2:20" ht="15.75" hidden="1" x14ac:dyDescent="0.25">
      <c r="B1929" s="21" t="s">
        <v>395</v>
      </c>
      <c r="C1929" s="22" t="s">
        <v>2460</v>
      </c>
      <c r="D1929" s="22"/>
      <c r="E1929" s="21" t="s">
        <v>0</v>
      </c>
      <c r="F1929" s="21"/>
      <c r="G1929" s="147" t="s">
        <v>509</v>
      </c>
      <c r="H1929" s="23" t="s">
        <v>3094</v>
      </c>
      <c r="I1929" s="23" t="s">
        <v>7918</v>
      </c>
      <c r="J1929" s="21" t="s">
        <v>3095</v>
      </c>
      <c r="K1929" s="120"/>
      <c r="L1929" s="165" t="s">
        <v>7418</v>
      </c>
      <c r="M1929" s="47" t="s">
        <v>7419</v>
      </c>
      <c r="N1929" s="44">
        <v>0</v>
      </c>
      <c r="O1929" s="22" t="s">
        <v>15</v>
      </c>
      <c r="P1929" s="44" t="s">
        <v>19</v>
      </c>
      <c r="Q1929" s="44">
        <f t="shared" si="119"/>
        <v>0</v>
      </c>
      <c r="R1929" s="24">
        <f t="shared" ref="R1929:R1977" si="120">IF(P1929="OK",N1929-Q1929,IF(P1929="en cours",N1929-Q1929,P1929))</f>
        <v>0</v>
      </c>
      <c r="S1929" s="5"/>
      <c r="T1929" s="5"/>
    </row>
    <row r="1930" spans="2:20" ht="15.75" hidden="1" x14ac:dyDescent="0.25">
      <c r="B1930" s="21" t="s">
        <v>395</v>
      </c>
      <c r="C1930" s="22" t="s">
        <v>2460</v>
      </c>
      <c r="D1930" s="22"/>
      <c r="E1930" s="21" t="s">
        <v>0</v>
      </c>
      <c r="F1930" s="21"/>
      <c r="G1930" s="147" t="s">
        <v>509</v>
      </c>
      <c r="H1930" s="23" t="s">
        <v>6407</v>
      </c>
      <c r="I1930" s="23" t="s">
        <v>7919</v>
      </c>
      <c r="J1930" s="21" t="s">
        <v>6408</v>
      </c>
      <c r="K1930" s="120"/>
      <c r="L1930" s="165" t="s">
        <v>6576</v>
      </c>
      <c r="M1930" s="47" t="s">
        <v>6541</v>
      </c>
      <c r="N1930" s="44">
        <v>0</v>
      </c>
      <c r="O1930" s="22" t="s">
        <v>15</v>
      </c>
      <c r="P1930" s="44" t="s">
        <v>19</v>
      </c>
      <c r="Q1930" s="44">
        <f t="shared" si="119"/>
        <v>0</v>
      </c>
      <c r="R1930" s="24">
        <f t="shared" si="120"/>
        <v>0</v>
      </c>
      <c r="S1930" s="5"/>
      <c r="T1930" s="5"/>
    </row>
    <row r="1931" spans="2:20" ht="15.75" hidden="1" x14ac:dyDescent="0.25">
      <c r="B1931" s="21" t="s">
        <v>395</v>
      </c>
      <c r="C1931" s="22" t="s">
        <v>2450</v>
      </c>
      <c r="D1931" s="22"/>
      <c r="E1931" s="21" t="s">
        <v>0</v>
      </c>
      <c r="F1931" s="21"/>
      <c r="G1931" s="147" t="s">
        <v>509</v>
      </c>
      <c r="H1931" s="23" t="s">
        <v>5478</v>
      </c>
      <c r="I1931" s="23" t="s">
        <v>8078</v>
      </c>
      <c r="J1931" s="21" t="s">
        <v>5479</v>
      </c>
      <c r="K1931" s="120"/>
      <c r="L1931" s="21" t="s">
        <v>6326</v>
      </c>
      <c r="M1931" s="47" t="s">
        <v>6327</v>
      </c>
      <c r="N1931" s="44">
        <v>145603</v>
      </c>
      <c r="O1931" s="22" t="s">
        <v>15</v>
      </c>
      <c r="P1931" s="22">
        <f>106100+30851+11701</f>
        <v>148652</v>
      </c>
      <c r="Q1931" s="24">
        <f t="shared" si="119"/>
        <v>0</v>
      </c>
      <c r="R1931" s="24">
        <f t="shared" si="120"/>
        <v>148652</v>
      </c>
      <c r="S1931" s="5"/>
      <c r="T1931" s="5"/>
    </row>
    <row r="1932" spans="2:20" ht="15.75" hidden="1" x14ac:dyDescent="0.25">
      <c r="B1932" s="21" t="s">
        <v>395</v>
      </c>
      <c r="C1932" s="22" t="s">
        <v>2450</v>
      </c>
      <c r="D1932" s="22"/>
      <c r="E1932" s="21" t="s">
        <v>0</v>
      </c>
      <c r="F1932" s="21" t="s">
        <v>9749</v>
      </c>
      <c r="G1932" s="147" t="s">
        <v>509</v>
      </c>
      <c r="H1932" s="23" t="s">
        <v>6661</v>
      </c>
      <c r="I1932" s="23" t="s">
        <v>8152</v>
      </c>
      <c r="J1932" s="21" t="s">
        <v>6621</v>
      </c>
      <c r="K1932" s="21"/>
      <c r="L1932" s="21" t="s">
        <v>6663</v>
      </c>
      <c r="M1932" s="26">
        <v>44651</v>
      </c>
      <c r="N1932" s="44">
        <v>0</v>
      </c>
      <c r="O1932" s="22" t="s">
        <v>15</v>
      </c>
      <c r="P1932" s="44"/>
      <c r="Q1932" s="24">
        <f t="shared" si="119"/>
        <v>0</v>
      </c>
      <c r="R1932" s="24">
        <f t="shared" si="120"/>
        <v>0</v>
      </c>
      <c r="S1932" s="5"/>
      <c r="T1932" s="5"/>
    </row>
    <row r="1933" spans="2:20" ht="15.75" hidden="1" x14ac:dyDescent="0.25">
      <c r="B1933" s="21" t="s">
        <v>395</v>
      </c>
      <c r="C1933" s="22" t="s">
        <v>2450</v>
      </c>
      <c r="D1933" s="22"/>
      <c r="E1933" s="21" t="s">
        <v>0</v>
      </c>
      <c r="F1933" s="21" t="s">
        <v>9749</v>
      </c>
      <c r="G1933" s="147" t="s">
        <v>509</v>
      </c>
      <c r="H1933" s="23" t="s">
        <v>5445</v>
      </c>
      <c r="I1933" s="23" t="s">
        <v>8075</v>
      </c>
      <c r="J1933" s="21" t="s">
        <v>5446</v>
      </c>
      <c r="K1933" s="120"/>
      <c r="L1933" s="21" t="s">
        <v>5590</v>
      </c>
      <c r="M1933" s="47">
        <v>44407</v>
      </c>
      <c r="N1933" s="44">
        <v>0</v>
      </c>
      <c r="O1933" s="22" t="s">
        <v>15</v>
      </c>
      <c r="P1933" s="22"/>
      <c r="Q1933" s="24">
        <f t="shared" si="119"/>
        <v>0</v>
      </c>
      <c r="R1933" s="24">
        <f t="shared" si="120"/>
        <v>0</v>
      </c>
      <c r="S1933" s="5"/>
      <c r="T1933" s="5"/>
    </row>
    <row r="1934" spans="2:20" ht="15.75" hidden="1" x14ac:dyDescent="0.25">
      <c r="B1934" s="21" t="s">
        <v>395</v>
      </c>
      <c r="C1934" s="22" t="s">
        <v>2450</v>
      </c>
      <c r="D1934" s="22"/>
      <c r="E1934" s="21" t="s">
        <v>0</v>
      </c>
      <c r="F1934" s="21" t="s">
        <v>9749</v>
      </c>
      <c r="G1934" s="147" t="s">
        <v>509</v>
      </c>
      <c r="H1934" s="23" t="s">
        <v>5705</v>
      </c>
      <c r="I1934" s="23" t="s">
        <v>8076</v>
      </c>
      <c r="J1934" s="21" t="s">
        <v>5706</v>
      </c>
      <c r="K1934" s="21"/>
      <c r="L1934" s="21"/>
      <c r="M1934" s="26"/>
      <c r="N1934" s="44">
        <v>0</v>
      </c>
      <c r="O1934" s="22" t="s">
        <v>15</v>
      </c>
      <c r="P1934" s="44"/>
      <c r="Q1934" s="24">
        <f t="shared" si="119"/>
        <v>0</v>
      </c>
      <c r="R1934" s="24">
        <f t="shared" si="120"/>
        <v>0</v>
      </c>
      <c r="S1934" s="5"/>
      <c r="T1934" s="5"/>
    </row>
    <row r="1935" spans="2:20" ht="15.75" hidden="1" x14ac:dyDescent="0.25">
      <c r="B1935" s="21" t="s">
        <v>395</v>
      </c>
      <c r="C1935" s="22" t="s">
        <v>2450</v>
      </c>
      <c r="D1935" s="22"/>
      <c r="E1935" s="21" t="s">
        <v>0</v>
      </c>
      <c r="F1935" s="21" t="s">
        <v>9749</v>
      </c>
      <c r="G1935" s="147" t="s">
        <v>509</v>
      </c>
      <c r="H1935" s="23" t="s">
        <v>5796</v>
      </c>
      <c r="I1935" s="23" t="s">
        <v>8101</v>
      </c>
      <c r="J1935" s="21" t="s">
        <v>5797</v>
      </c>
      <c r="K1935" s="21"/>
      <c r="L1935" s="21" t="s">
        <v>6039</v>
      </c>
      <c r="M1935" s="46" t="s">
        <v>6040</v>
      </c>
      <c r="N1935" s="44">
        <v>0</v>
      </c>
      <c r="O1935" s="22" t="s">
        <v>15</v>
      </c>
      <c r="P1935" s="44"/>
      <c r="Q1935" s="24">
        <f t="shared" si="119"/>
        <v>0</v>
      </c>
      <c r="R1935" s="24">
        <f t="shared" si="120"/>
        <v>0</v>
      </c>
      <c r="S1935" s="5"/>
      <c r="T1935" s="5"/>
    </row>
    <row r="1936" spans="2:20" ht="15.75" hidden="1" x14ac:dyDescent="0.25">
      <c r="B1936" s="21" t="s">
        <v>395</v>
      </c>
      <c r="C1936" s="22" t="s">
        <v>2450</v>
      </c>
      <c r="D1936" s="22"/>
      <c r="E1936" s="21" t="s">
        <v>0</v>
      </c>
      <c r="F1936" s="21" t="s">
        <v>9749</v>
      </c>
      <c r="G1936" s="147" t="s">
        <v>509</v>
      </c>
      <c r="H1936" s="23" t="s">
        <v>6291</v>
      </c>
      <c r="I1936" s="23" t="s">
        <v>8129</v>
      </c>
      <c r="J1936" s="21" t="s">
        <v>6292</v>
      </c>
      <c r="K1936" s="21"/>
      <c r="L1936" s="21" t="s">
        <v>6325</v>
      </c>
      <c r="M1936" s="26">
        <v>44561</v>
      </c>
      <c r="N1936" s="44">
        <v>0</v>
      </c>
      <c r="O1936" s="22" t="s">
        <v>15</v>
      </c>
      <c r="P1936" s="44"/>
      <c r="Q1936" s="24">
        <f t="shared" si="119"/>
        <v>0</v>
      </c>
      <c r="R1936" s="24">
        <f t="shared" si="120"/>
        <v>0</v>
      </c>
      <c r="S1936" s="5"/>
      <c r="T1936" s="5"/>
    </row>
    <row r="1937" spans="2:20" ht="15.75" hidden="1" x14ac:dyDescent="0.25">
      <c r="B1937" s="21" t="s">
        <v>395</v>
      </c>
      <c r="C1937" s="22" t="s">
        <v>2450</v>
      </c>
      <c r="D1937" s="22"/>
      <c r="E1937" s="21" t="s">
        <v>0</v>
      </c>
      <c r="F1937" s="21" t="s">
        <v>9749</v>
      </c>
      <c r="G1937" s="147" t="s">
        <v>509</v>
      </c>
      <c r="H1937" s="23" t="s">
        <v>6466</v>
      </c>
      <c r="I1937" s="23" t="s">
        <v>8140</v>
      </c>
      <c r="J1937" s="21" t="s">
        <v>6292</v>
      </c>
      <c r="K1937" s="21"/>
      <c r="L1937" s="21" t="s">
        <v>6662</v>
      </c>
      <c r="M1937" s="26" t="s">
        <v>6657</v>
      </c>
      <c r="N1937" s="44">
        <v>0</v>
      </c>
      <c r="O1937" s="22" t="s">
        <v>15</v>
      </c>
      <c r="P1937" s="44"/>
      <c r="Q1937" s="24">
        <f t="shared" si="119"/>
        <v>0</v>
      </c>
      <c r="R1937" s="24">
        <f t="shared" si="120"/>
        <v>0</v>
      </c>
      <c r="S1937" s="5"/>
      <c r="T1937" s="5"/>
    </row>
    <row r="1938" spans="2:20" ht="15.75" hidden="1" x14ac:dyDescent="0.25">
      <c r="B1938" s="21" t="s">
        <v>395</v>
      </c>
      <c r="C1938" s="22" t="s">
        <v>2450</v>
      </c>
      <c r="D1938" s="22"/>
      <c r="E1938" s="21" t="s">
        <v>0</v>
      </c>
      <c r="F1938" s="21" t="s">
        <v>9749</v>
      </c>
      <c r="G1938" s="147" t="s">
        <v>509</v>
      </c>
      <c r="H1938" s="23" t="s">
        <v>6913</v>
      </c>
      <c r="I1938" s="23" t="s">
        <v>8178</v>
      </c>
      <c r="J1938" s="21" t="s">
        <v>6914</v>
      </c>
      <c r="K1938" s="21"/>
      <c r="L1938" s="21" t="s">
        <v>7018</v>
      </c>
      <c r="M1938" s="26">
        <v>44771</v>
      </c>
      <c r="N1938" s="44">
        <v>0</v>
      </c>
      <c r="O1938" s="22" t="s">
        <v>15</v>
      </c>
      <c r="P1938" s="44"/>
      <c r="Q1938" s="24">
        <f t="shared" si="119"/>
        <v>0</v>
      </c>
      <c r="R1938" s="24">
        <f t="shared" si="120"/>
        <v>0</v>
      </c>
      <c r="S1938" s="5"/>
      <c r="T1938" s="5"/>
    </row>
    <row r="1939" spans="2:20" ht="15.75" hidden="1" x14ac:dyDescent="0.25">
      <c r="B1939" s="21" t="s">
        <v>395</v>
      </c>
      <c r="C1939" s="22" t="s">
        <v>5793</v>
      </c>
      <c r="D1939" s="22"/>
      <c r="E1939" s="21" t="s">
        <v>0</v>
      </c>
      <c r="F1939" s="21"/>
      <c r="G1939" s="147" t="s">
        <v>509</v>
      </c>
      <c r="H1939" s="23" t="s">
        <v>5794</v>
      </c>
      <c r="I1939" s="23" t="s">
        <v>8100</v>
      </c>
      <c r="J1939" s="21" t="s">
        <v>5795</v>
      </c>
      <c r="K1939" s="21"/>
      <c r="L1939" s="21" t="s">
        <v>5871</v>
      </c>
      <c r="M1939" s="26">
        <v>44462</v>
      </c>
      <c r="N1939" s="44">
        <v>49797</v>
      </c>
      <c r="O1939" s="22" t="s">
        <v>15</v>
      </c>
      <c r="P1939" s="22">
        <v>49797</v>
      </c>
      <c r="Q1939" s="24">
        <f t="shared" si="119"/>
        <v>0</v>
      </c>
      <c r="R1939" s="24">
        <f t="shared" si="120"/>
        <v>49797</v>
      </c>
      <c r="S1939" s="5"/>
      <c r="T1939" s="5"/>
    </row>
    <row r="1940" spans="2:20" ht="15.75" hidden="1" x14ac:dyDescent="0.25">
      <c r="B1940" s="21" t="s">
        <v>395</v>
      </c>
      <c r="C1940" s="22" t="s">
        <v>5387</v>
      </c>
      <c r="D1940" s="22" t="s">
        <v>5388</v>
      </c>
      <c r="E1940" s="21" t="s">
        <v>0</v>
      </c>
      <c r="F1940" s="21"/>
      <c r="G1940" s="147" t="s">
        <v>509</v>
      </c>
      <c r="H1940" s="23" t="s">
        <v>5389</v>
      </c>
      <c r="I1940" s="23" t="s">
        <v>8068</v>
      </c>
      <c r="J1940" s="21" t="s">
        <v>5390</v>
      </c>
      <c r="K1940" s="120"/>
      <c r="L1940" s="21" t="s">
        <v>5916</v>
      </c>
      <c r="M1940" s="47" t="s">
        <v>5917</v>
      </c>
      <c r="N1940" s="44">
        <v>7385.77</v>
      </c>
      <c r="O1940" s="22" t="s">
        <v>15</v>
      </c>
      <c r="P1940" s="22">
        <f>6875.77+505</f>
        <v>7380.77</v>
      </c>
      <c r="Q1940" s="24">
        <v>0</v>
      </c>
      <c r="R1940" s="24">
        <f t="shared" si="120"/>
        <v>7380.77</v>
      </c>
      <c r="S1940" s="5"/>
      <c r="T1940" s="5"/>
    </row>
    <row r="1941" spans="2:20" ht="15.75" hidden="1" x14ac:dyDescent="0.25">
      <c r="B1941" s="21" t="s">
        <v>395</v>
      </c>
      <c r="C1941" s="22" t="s">
        <v>2450</v>
      </c>
      <c r="D1941" s="22"/>
      <c r="E1941" s="21" t="s">
        <v>0</v>
      </c>
      <c r="F1941" s="21"/>
      <c r="G1941" s="147" t="s">
        <v>509</v>
      </c>
      <c r="H1941" s="23" t="s">
        <v>7608</v>
      </c>
      <c r="I1941" s="23"/>
      <c r="J1941" s="165" t="s">
        <v>7609</v>
      </c>
      <c r="K1941" s="21"/>
      <c r="L1941" s="21" t="s">
        <v>7768</v>
      </c>
      <c r="M1941" s="26" t="s">
        <v>7769</v>
      </c>
      <c r="N1941" s="44">
        <v>6039</v>
      </c>
      <c r="O1941" s="22" t="s">
        <v>15</v>
      </c>
      <c r="P1941" s="44">
        <f>3889.38+154+154+154+154+154+154+154+154+154+154+154+163.25+163.24+163.24</f>
        <v>6073.11</v>
      </c>
      <c r="Q1941" s="44">
        <f t="shared" ref="Q1941:Q1943" si="121">IF(P1941="en cours",N1941,IF(P1941="OK",0,IF(N1941-P1941&lt;0,0,N1941-P1941)))</f>
        <v>0</v>
      </c>
      <c r="R1941" s="24">
        <f t="shared" si="120"/>
        <v>6073.11</v>
      </c>
      <c r="S1941" s="5"/>
      <c r="T1941" s="5"/>
    </row>
    <row r="1942" spans="2:20" ht="15.75" hidden="1" x14ac:dyDescent="0.25">
      <c r="B1942" s="21" t="s">
        <v>395</v>
      </c>
      <c r="C1942" s="22" t="s">
        <v>2450</v>
      </c>
      <c r="D1942" s="22"/>
      <c r="E1942" s="21" t="s">
        <v>0</v>
      </c>
      <c r="F1942" s="21"/>
      <c r="G1942" s="147" t="s">
        <v>509</v>
      </c>
      <c r="H1942" s="23" t="s">
        <v>5586</v>
      </c>
      <c r="I1942" s="23" t="s">
        <v>8090</v>
      </c>
      <c r="J1942" s="21" t="s">
        <v>5587</v>
      </c>
      <c r="K1942" s="21"/>
      <c r="L1942" s="21" t="s">
        <v>6032</v>
      </c>
      <c r="M1942" s="26">
        <v>44498</v>
      </c>
      <c r="N1942" s="44">
        <v>3850</v>
      </c>
      <c r="O1942" s="22" t="s">
        <v>15</v>
      </c>
      <c r="P1942" s="22">
        <v>3850</v>
      </c>
      <c r="Q1942" s="24">
        <f t="shared" si="121"/>
        <v>0</v>
      </c>
      <c r="R1942" s="24">
        <f t="shared" si="120"/>
        <v>3850</v>
      </c>
      <c r="S1942" s="5"/>
      <c r="T1942" s="5"/>
    </row>
    <row r="1943" spans="2:20" ht="15.75" hidden="1" x14ac:dyDescent="0.25">
      <c r="B1943" s="21" t="s">
        <v>395</v>
      </c>
      <c r="C1943" s="22" t="s">
        <v>3536</v>
      </c>
      <c r="D1943" s="22"/>
      <c r="E1943" s="21" t="s">
        <v>0</v>
      </c>
      <c r="F1943" s="21"/>
      <c r="G1943" s="147" t="s">
        <v>509</v>
      </c>
      <c r="H1943" s="23" t="s">
        <v>4990</v>
      </c>
      <c r="I1943" s="23" t="s">
        <v>8038</v>
      </c>
      <c r="J1943" s="21" t="s">
        <v>4991</v>
      </c>
      <c r="K1943" s="120"/>
      <c r="L1943" s="21" t="s">
        <v>5180</v>
      </c>
      <c r="M1943" s="47">
        <v>44347</v>
      </c>
      <c r="N1943" s="44">
        <v>3486.17</v>
      </c>
      <c r="O1943" s="22" t="s">
        <v>15</v>
      </c>
      <c r="P1943" s="22">
        <v>3486.17</v>
      </c>
      <c r="Q1943" s="24">
        <f t="shared" si="121"/>
        <v>0</v>
      </c>
      <c r="R1943" s="24">
        <f t="shared" si="120"/>
        <v>3486.17</v>
      </c>
      <c r="S1943" s="5"/>
      <c r="T1943" s="5"/>
    </row>
    <row r="1944" spans="2:20" ht="15.75" hidden="1" x14ac:dyDescent="0.25">
      <c r="B1944" s="21" t="s">
        <v>395</v>
      </c>
      <c r="C1944" s="22" t="s">
        <v>2460</v>
      </c>
      <c r="D1944" s="22"/>
      <c r="E1944" s="21" t="s">
        <v>0</v>
      </c>
      <c r="F1944" s="21"/>
      <c r="G1944" s="147" t="s">
        <v>509</v>
      </c>
      <c r="H1944" s="23" t="s">
        <v>5581</v>
      </c>
      <c r="I1944" s="23" t="s">
        <v>8088</v>
      </c>
      <c r="J1944" s="21" t="s">
        <v>5580</v>
      </c>
      <c r="K1944" s="120"/>
      <c r="L1944" s="21" t="s">
        <v>5655</v>
      </c>
      <c r="M1944" s="47">
        <v>44439</v>
      </c>
      <c r="N1944" s="44">
        <v>15103.85</v>
      </c>
      <c r="O1944" s="22" t="s">
        <v>15</v>
      </c>
      <c r="P1944" s="22">
        <v>15102.27</v>
      </c>
      <c r="Q1944" s="24">
        <v>0</v>
      </c>
      <c r="R1944" s="24">
        <f t="shared" si="120"/>
        <v>15102.27</v>
      </c>
      <c r="S1944" s="5"/>
      <c r="T1944" s="5"/>
    </row>
    <row r="1945" spans="2:20" ht="15.75" hidden="1" x14ac:dyDescent="0.25">
      <c r="B1945" s="21" t="s">
        <v>395</v>
      </c>
      <c r="C1945" s="22" t="s">
        <v>5792</v>
      </c>
      <c r="D1945" s="22"/>
      <c r="E1945" s="21" t="s">
        <v>0</v>
      </c>
      <c r="F1945" s="21"/>
      <c r="G1945" s="147" t="s">
        <v>509</v>
      </c>
      <c r="H1945" s="23" t="s">
        <v>6281</v>
      </c>
      <c r="I1945" s="23" t="s">
        <v>8099</v>
      </c>
      <c r="J1945" s="21" t="s">
        <v>6282</v>
      </c>
      <c r="K1945" s="21"/>
      <c r="L1945" s="21" t="s">
        <v>7426</v>
      </c>
      <c r="M1945" s="26" t="s">
        <v>7427</v>
      </c>
      <c r="N1945" s="44">
        <v>0</v>
      </c>
      <c r="O1945" s="22" t="s">
        <v>15</v>
      </c>
      <c r="P1945" s="24" t="s">
        <v>19</v>
      </c>
      <c r="Q1945" s="24">
        <f t="shared" ref="Q1945:Q1970" si="122">IF(P1945="en cours",N1945,IF(P1945="OK",0,IF(N1945-P1945&lt;0,0,N1945-P1945)))</f>
        <v>0</v>
      </c>
      <c r="R1945" s="24">
        <f t="shared" si="120"/>
        <v>0</v>
      </c>
      <c r="S1945" s="5"/>
      <c r="T1945" s="5"/>
    </row>
    <row r="1946" spans="2:20" ht="15.75" hidden="1" x14ac:dyDescent="0.25">
      <c r="B1946" s="21" t="s">
        <v>395</v>
      </c>
      <c r="C1946" s="22" t="s">
        <v>6047</v>
      </c>
      <c r="D1946" s="22"/>
      <c r="E1946" s="21" t="s">
        <v>0</v>
      </c>
      <c r="F1946" s="21"/>
      <c r="G1946" s="147" t="s">
        <v>509</v>
      </c>
      <c r="H1946" s="23" t="s">
        <v>6665</v>
      </c>
      <c r="I1946" s="23" t="s">
        <v>8143</v>
      </c>
      <c r="J1946" s="21" t="s">
        <v>6666</v>
      </c>
      <c r="K1946" s="21" t="s">
        <v>7425</v>
      </c>
      <c r="L1946" s="21" t="s">
        <v>7423</v>
      </c>
      <c r="M1946" s="26" t="s">
        <v>7424</v>
      </c>
      <c r="N1946" s="44">
        <v>0</v>
      </c>
      <c r="O1946" s="22" t="s">
        <v>15</v>
      </c>
      <c r="P1946" s="44" t="s">
        <v>19</v>
      </c>
      <c r="Q1946" s="44">
        <f t="shared" si="122"/>
        <v>0</v>
      </c>
      <c r="R1946" s="24">
        <f t="shared" si="120"/>
        <v>0</v>
      </c>
      <c r="S1946" s="5"/>
      <c r="T1946" s="5"/>
    </row>
    <row r="1947" spans="2:20" ht="15.75" hidden="1" x14ac:dyDescent="0.25">
      <c r="B1947" s="21" t="s">
        <v>395</v>
      </c>
      <c r="C1947" s="22" t="s">
        <v>6047</v>
      </c>
      <c r="D1947" s="22"/>
      <c r="E1947" s="21" t="s">
        <v>0</v>
      </c>
      <c r="F1947" s="21"/>
      <c r="G1947" s="147" t="s">
        <v>509</v>
      </c>
      <c r="H1947" s="23" t="s">
        <v>7603</v>
      </c>
      <c r="I1947" s="23"/>
      <c r="J1947" s="21" t="s">
        <v>9349</v>
      </c>
      <c r="K1947" s="21"/>
      <c r="L1947" s="21" t="s">
        <v>11498</v>
      </c>
      <c r="M1947" s="26" t="s">
        <v>11499</v>
      </c>
      <c r="N1947" s="44">
        <f>171195.53+15830.73+1494624.23+113378.13+64691.81+3158.19+70413.84+128416.08+221544.72+1682+98337.56+188939.36+191158+689252.94+64726+7390</f>
        <v>3524739.12</v>
      </c>
      <c r="O1947" s="22" t="s">
        <v>15</v>
      </c>
      <c r="P1947" s="44">
        <f>400629.39+40524.26-8601+73082.84+33795.2+39220.45+41058.59+4901.21+47592.65+132526.43+31726+34674.89+687+3158.19+33263+52378.16+47053.62+44853.5+1223+17490.21+127871.08+65416.19+124042.29+74694.88-2457.08-931.22+69084.2+62329.71+1682+72638.8+20081.11+122311.24+11427.4+125207.18+62007.58+7257.79+92784.61+9645.14+105108.01+77224.36+11107+970.36+62995.05+230337.39+40061+191165.66+166693+44422.19+159211.48+177352.59-40061+187797.77+69524.34+10972.95+268971.58+17989.6+142554.78</f>
        <v>4040728.5999999992</v>
      </c>
      <c r="Q1947" s="44">
        <f t="shared" si="122"/>
        <v>0</v>
      </c>
      <c r="R1947" s="24">
        <f t="shared" si="120"/>
        <v>4040728.5999999992</v>
      </c>
      <c r="S1947" s="5"/>
      <c r="T1947" s="5"/>
    </row>
    <row r="1948" spans="2:20" ht="15.75" hidden="1" x14ac:dyDescent="0.25">
      <c r="B1948" s="21" t="s">
        <v>395</v>
      </c>
      <c r="C1948" s="22" t="s">
        <v>6047</v>
      </c>
      <c r="D1948" s="22"/>
      <c r="E1948" s="21" t="s">
        <v>0</v>
      </c>
      <c r="F1948" s="21"/>
      <c r="G1948" s="147" t="s">
        <v>509</v>
      </c>
      <c r="H1948" s="23" t="s">
        <v>6802</v>
      </c>
      <c r="I1948" s="23" t="s">
        <v>8144</v>
      </c>
      <c r="J1948" s="21" t="s">
        <v>6512</v>
      </c>
      <c r="K1948" s="21"/>
      <c r="L1948" s="21"/>
      <c r="M1948" s="26" t="s">
        <v>6664</v>
      </c>
      <c r="N1948" s="44">
        <v>0</v>
      </c>
      <c r="O1948" s="22" t="s">
        <v>15</v>
      </c>
      <c r="P1948" s="44" t="s">
        <v>19</v>
      </c>
      <c r="Q1948" s="44">
        <f t="shared" si="122"/>
        <v>0</v>
      </c>
      <c r="R1948" s="24">
        <f t="shared" si="120"/>
        <v>0</v>
      </c>
      <c r="S1948" s="5"/>
      <c r="T1948" s="5"/>
    </row>
    <row r="1949" spans="2:20" ht="15.75" hidden="1" x14ac:dyDescent="0.25">
      <c r="B1949" s="21" t="s">
        <v>395</v>
      </c>
      <c r="C1949" s="22" t="s">
        <v>6047</v>
      </c>
      <c r="D1949" s="22"/>
      <c r="E1949" s="21" t="s">
        <v>0</v>
      </c>
      <c r="F1949" s="21"/>
      <c r="G1949" s="147" t="s">
        <v>509</v>
      </c>
      <c r="H1949" s="23" t="s">
        <v>6803</v>
      </c>
      <c r="I1949" s="23" t="s">
        <v>8145</v>
      </c>
      <c r="J1949" s="21" t="s">
        <v>6804</v>
      </c>
      <c r="K1949" s="21"/>
      <c r="L1949" s="21"/>
      <c r="M1949" s="26"/>
      <c r="N1949" s="44">
        <v>0</v>
      </c>
      <c r="O1949" s="22" t="s">
        <v>15</v>
      </c>
      <c r="P1949" s="44" t="s">
        <v>19</v>
      </c>
      <c r="Q1949" s="44">
        <f t="shared" si="122"/>
        <v>0</v>
      </c>
      <c r="R1949" s="24">
        <f t="shared" si="120"/>
        <v>0</v>
      </c>
      <c r="S1949" s="5"/>
      <c r="T1949" s="5"/>
    </row>
    <row r="1950" spans="2:20" ht="15.75" hidden="1" x14ac:dyDescent="0.25">
      <c r="B1950" s="21" t="s">
        <v>395</v>
      </c>
      <c r="C1950" s="22" t="s">
        <v>6047</v>
      </c>
      <c r="D1950" s="22"/>
      <c r="E1950" s="21" t="s">
        <v>0</v>
      </c>
      <c r="F1950" s="21"/>
      <c r="G1950" s="147" t="s">
        <v>509</v>
      </c>
      <c r="H1950" s="23" t="s">
        <v>7329</v>
      </c>
      <c r="I1950" s="23" t="s">
        <v>8222</v>
      </c>
      <c r="J1950" s="21" t="s">
        <v>7331</v>
      </c>
      <c r="K1950" s="21"/>
      <c r="L1950" s="21"/>
      <c r="M1950" s="26"/>
      <c r="N1950" s="44">
        <v>0</v>
      </c>
      <c r="O1950" s="22" t="s">
        <v>15</v>
      </c>
      <c r="P1950" s="44" t="s">
        <v>19</v>
      </c>
      <c r="Q1950" s="44">
        <f t="shared" si="122"/>
        <v>0</v>
      </c>
      <c r="R1950" s="24">
        <f t="shared" si="120"/>
        <v>0</v>
      </c>
      <c r="S1950" s="5"/>
      <c r="T1950" s="5"/>
    </row>
    <row r="1951" spans="2:20" ht="15.75" hidden="1" x14ac:dyDescent="0.25">
      <c r="B1951" s="21" t="s">
        <v>395</v>
      </c>
      <c r="C1951" s="22" t="s">
        <v>6047</v>
      </c>
      <c r="D1951" s="22"/>
      <c r="E1951" s="21" t="s">
        <v>0</v>
      </c>
      <c r="F1951" s="21"/>
      <c r="G1951" s="147" t="s">
        <v>509</v>
      </c>
      <c r="H1951" s="23" t="s">
        <v>7566</v>
      </c>
      <c r="I1951" s="23" t="s">
        <v>8254</v>
      </c>
      <c r="J1951" s="21" t="s">
        <v>7567</v>
      </c>
      <c r="K1951" s="21"/>
      <c r="L1951" s="21"/>
      <c r="M1951" s="26"/>
      <c r="N1951" s="44">
        <v>0</v>
      </c>
      <c r="O1951" s="22" t="s">
        <v>15</v>
      </c>
      <c r="P1951" s="44" t="s">
        <v>19</v>
      </c>
      <c r="Q1951" s="44">
        <f t="shared" si="122"/>
        <v>0</v>
      </c>
      <c r="R1951" s="24">
        <f t="shared" si="120"/>
        <v>0</v>
      </c>
      <c r="S1951" s="5"/>
      <c r="T1951" s="5"/>
    </row>
    <row r="1952" spans="2:20" ht="15.75" hidden="1" x14ac:dyDescent="0.25">
      <c r="B1952" s="21" t="s">
        <v>395</v>
      </c>
      <c r="C1952" s="22" t="s">
        <v>6267</v>
      </c>
      <c r="D1952" s="22"/>
      <c r="E1952" s="21" t="s">
        <v>0</v>
      </c>
      <c r="F1952" s="21"/>
      <c r="G1952" s="147" t="s">
        <v>509</v>
      </c>
      <c r="H1952" s="23" t="s">
        <v>6268</v>
      </c>
      <c r="I1952" s="23" t="s">
        <v>8119</v>
      </c>
      <c r="J1952" s="21" t="s">
        <v>6269</v>
      </c>
      <c r="K1952" s="21"/>
      <c r="L1952" s="21" t="s">
        <v>7087</v>
      </c>
      <c r="M1952" s="26" t="s">
        <v>7088</v>
      </c>
      <c r="N1952" s="44">
        <v>0</v>
      </c>
      <c r="O1952" s="22" t="s">
        <v>15</v>
      </c>
      <c r="P1952" s="44" t="s">
        <v>19</v>
      </c>
      <c r="Q1952" s="44">
        <f t="shared" si="122"/>
        <v>0</v>
      </c>
      <c r="R1952" s="24">
        <f t="shared" si="120"/>
        <v>0</v>
      </c>
      <c r="S1952" s="5"/>
      <c r="T1952" s="5"/>
    </row>
    <row r="1953" spans="2:20" ht="15.75" hidden="1" x14ac:dyDescent="0.25">
      <c r="B1953" s="21" t="s">
        <v>395</v>
      </c>
      <c r="C1953" s="22" t="s">
        <v>6267</v>
      </c>
      <c r="D1953" s="22"/>
      <c r="E1953" s="21" t="s">
        <v>0</v>
      </c>
      <c r="F1953" s="21"/>
      <c r="G1953" s="147" t="s">
        <v>509</v>
      </c>
      <c r="H1953" s="23" t="s">
        <v>7238</v>
      </c>
      <c r="I1953" s="23" t="s">
        <v>8142</v>
      </c>
      <c r="J1953" s="21" t="s">
        <v>6511</v>
      </c>
      <c r="K1953" s="21"/>
      <c r="L1953" s="21"/>
      <c r="M1953" s="26"/>
      <c r="N1953" s="44">
        <v>0</v>
      </c>
      <c r="O1953" s="22" t="s">
        <v>15</v>
      </c>
      <c r="P1953" s="44" t="s">
        <v>19</v>
      </c>
      <c r="Q1953" s="44">
        <f t="shared" si="122"/>
        <v>0</v>
      </c>
      <c r="R1953" s="24">
        <f t="shared" si="120"/>
        <v>0</v>
      </c>
      <c r="S1953" s="5"/>
      <c r="T1953" s="5"/>
    </row>
    <row r="1954" spans="2:20" ht="15.75" hidden="1" x14ac:dyDescent="0.25">
      <c r="B1954" s="21" t="s">
        <v>395</v>
      </c>
      <c r="C1954" s="22" t="s">
        <v>6267</v>
      </c>
      <c r="D1954" s="22"/>
      <c r="E1954" s="21" t="s">
        <v>0</v>
      </c>
      <c r="F1954" s="21"/>
      <c r="G1954" s="147" t="s">
        <v>509</v>
      </c>
      <c r="H1954" s="23" t="s">
        <v>7239</v>
      </c>
      <c r="I1954" s="23" t="s">
        <v>8150</v>
      </c>
      <c r="J1954" s="21" t="s">
        <v>6592</v>
      </c>
      <c r="K1954" s="21"/>
      <c r="L1954" s="21"/>
      <c r="M1954" s="26"/>
      <c r="N1954" s="44">
        <v>0</v>
      </c>
      <c r="O1954" s="22" t="s">
        <v>15</v>
      </c>
      <c r="P1954" s="44" t="s">
        <v>19</v>
      </c>
      <c r="Q1954" s="44">
        <f t="shared" si="122"/>
        <v>0</v>
      </c>
      <c r="R1954" s="24">
        <f t="shared" si="120"/>
        <v>0</v>
      </c>
      <c r="S1954" s="5"/>
      <c r="T1954" s="5"/>
    </row>
    <row r="1955" spans="2:20" ht="15.75" hidden="1" x14ac:dyDescent="0.25">
      <c r="B1955" s="21" t="s">
        <v>395</v>
      </c>
      <c r="C1955" s="22" t="s">
        <v>2450</v>
      </c>
      <c r="D1955" s="22"/>
      <c r="E1955" s="21" t="s">
        <v>0</v>
      </c>
      <c r="F1955" s="21"/>
      <c r="G1955" s="147" t="s">
        <v>509</v>
      </c>
      <c r="H1955" s="23" t="s">
        <v>7240</v>
      </c>
      <c r="I1955" s="23" t="s">
        <v>8160</v>
      </c>
      <c r="J1955" s="21" t="s">
        <v>6709</v>
      </c>
      <c r="K1955" s="21"/>
      <c r="L1955" s="21"/>
      <c r="M1955" s="26"/>
      <c r="N1955" s="44">
        <v>0</v>
      </c>
      <c r="O1955" s="22" t="s">
        <v>15</v>
      </c>
      <c r="P1955" s="44" t="s">
        <v>19</v>
      </c>
      <c r="Q1955" s="44">
        <f t="shared" si="122"/>
        <v>0</v>
      </c>
      <c r="R1955" s="24">
        <f t="shared" si="120"/>
        <v>0</v>
      </c>
      <c r="S1955" s="5"/>
      <c r="T1955" s="5"/>
    </row>
    <row r="1956" spans="2:20" ht="15.75" hidden="1" x14ac:dyDescent="0.25">
      <c r="B1956" s="21" t="s">
        <v>395</v>
      </c>
      <c r="C1956" s="22" t="s">
        <v>2450</v>
      </c>
      <c r="D1956" s="22"/>
      <c r="E1956" s="21" t="s">
        <v>0</v>
      </c>
      <c r="F1956" s="21"/>
      <c r="G1956" s="147" t="s">
        <v>509</v>
      </c>
      <c r="H1956" s="23" t="s">
        <v>7241</v>
      </c>
      <c r="I1956" s="23" t="s">
        <v>8177</v>
      </c>
      <c r="J1956" s="21" t="s">
        <v>6912</v>
      </c>
      <c r="K1956" s="21"/>
      <c r="L1956" s="21" t="s">
        <v>6956</v>
      </c>
      <c r="M1956" s="26">
        <v>44771</v>
      </c>
      <c r="N1956" s="44">
        <v>0</v>
      </c>
      <c r="O1956" s="22" t="s">
        <v>15</v>
      </c>
      <c r="P1956" s="44" t="s">
        <v>19</v>
      </c>
      <c r="Q1956" s="44">
        <f t="shared" si="122"/>
        <v>0</v>
      </c>
      <c r="R1956" s="24">
        <f t="shared" si="120"/>
        <v>0</v>
      </c>
      <c r="S1956" s="5"/>
      <c r="T1956" s="5"/>
    </row>
    <row r="1957" spans="2:20" ht="15.75" hidden="1" x14ac:dyDescent="0.25">
      <c r="B1957" s="21" t="s">
        <v>395</v>
      </c>
      <c r="C1957" s="22" t="s">
        <v>6267</v>
      </c>
      <c r="D1957" s="22"/>
      <c r="E1957" s="21" t="s">
        <v>0</v>
      </c>
      <c r="F1957" s="21"/>
      <c r="G1957" s="147" t="s">
        <v>509</v>
      </c>
      <c r="H1957" s="23" t="s">
        <v>7288</v>
      </c>
      <c r="I1957" s="23" t="s">
        <v>8209</v>
      </c>
      <c r="J1957" s="21" t="s">
        <v>7263</v>
      </c>
      <c r="K1957" s="21"/>
      <c r="L1957" s="21" t="s">
        <v>7420</v>
      </c>
      <c r="M1957" s="26" t="s">
        <v>7421</v>
      </c>
      <c r="N1957" s="44">
        <v>0</v>
      </c>
      <c r="O1957" s="22" t="s">
        <v>15</v>
      </c>
      <c r="P1957" s="44" t="s">
        <v>19</v>
      </c>
      <c r="Q1957" s="44">
        <f t="shared" si="122"/>
        <v>0</v>
      </c>
      <c r="R1957" s="24">
        <f t="shared" si="120"/>
        <v>0</v>
      </c>
      <c r="S1957" s="5"/>
      <c r="T1957" s="5"/>
    </row>
    <row r="1958" spans="2:20" ht="15.75" hidden="1" x14ac:dyDescent="0.25">
      <c r="B1958" s="21" t="s">
        <v>395</v>
      </c>
      <c r="C1958" s="22" t="s">
        <v>6267</v>
      </c>
      <c r="D1958" s="22"/>
      <c r="E1958" s="21" t="s">
        <v>0</v>
      </c>
      <c r="F1958" s="21"/>
      <c r="G1958" s="147" t="s">
        <v>509</v>
      </c>
      <c r="H1958" s="23" t="s">
        <v>7242</v>
      </c>
      <c r="I1958" s="23" t="s">
        <v>8204</v>
      </c>
      <c r="J1958" s="21" t="s">
        <v>7243</v>
      </c>
      <c r="K1958" s="21"/>
      <c r="L1958" s="21"/>
      <c r="M1958" s="26"/>
      <c r="N1958" s="44">
        <v>0</v>
      </c>
      <c r="O1958" s="22" t="s">
        <v>15</v>
      </c>
      <c r="P1958" s="44" t="s">
        <v>19</v>
      </c>
      <c r="Q1958" s="44">
        <f t="shared" si="122"/>
        <v>0</v>
      </c>
      <c r="R1958" s="24">
        <f t="shared" si="120"/>
        <v>0</v>
      </c>
      <c r="S1958" s="5"/>
      <c r="T1958" s="5"/>
    </row>
    <row r="1959" spans="2:20" ht="15.75" hidden="1" x14ac:dyDescent="0.25">
      <c r="B1959" s="21" t="s">
        <v>395</v>
      </c>
      <c r="C1959" s="22" t="s">
        <v>6267</v>
      </c>
      <c r="D1959" s="22"/>
      <c r="E1959" s="21" t="s">
        <v>0</v>
      </c>
      <c r="F1959" s="21"/>
      <c r="G1959" s="147" t="s">
        <v>509</v>
      </c>
      <c r="H1959" s="23" t="s">
        <v>7289</v>
      </c>
      <c r="I1959" s="23" t="s">
        <v>8213</v>
      </c>
      <c r="J1959" s="21" t="s">
        <v>7290</v>
      </c>
      <c r="K1959" s="21"/>
      <c r="L1959" s="21" t="s">
        <v>7341</v>
      </c>
      <c r="M1959" s="26" t="s">
        <v>7342</v>
      </c>
      <c r="N1959" s="44">
        <v>0</v>
      </c>
      <c r="O1959" s="22" t="s">
        <v>15</v>
      </c>
      <c r="P1959" s="44" t="s">
        <v>19</v>
      </c>
      <c r="Q1959" s="44">
        <f t="shared" si="122"/>
        <v>0</v>
      </c>
      <c r="R1959" s="24">
        <f t="shared" si="120"/>
        <v>0</v>
      </c>
      <c r="S1959" s="5"/>
      <c r="T1959" s="5"/>
    </row>
    <row r="1960" spans="2:20" ht="15.75" hidden="1" x14ac:dyDescent="0.25">
      <c r="B1960" s="21" t="s">
        <v>395</v>
      </c>
      <c r="C1960" s="22" t="s">
        <v>6267</v>
      </c>
      <c r="D1960" s="22"/>
      <c r="E1960" s="21" t="s">
        <v>0</v>
      </c>
      <c r="F1960" s="21"/>
      <c r="G1960" s="147" t="s">
        <v>509</v>
      </c>
      <c r="H1960" s="23" t="s">
        <v>7328</v>
      </c>
      <c r="I1960" s="23" t="s">
        <v>8221</v>
      </c>
      <c r="J1960" s="21" t="s">
        <v>7330</v>
      </c>
      <c r="K1960" s="21"/>
      <c r="L1960" s="21" t="s">
        <v>7422</v>
      </c>
      <c r="M1960" s="26">
        <v>44925</v>
      </c>
      <c r="N1960" s="44">
        <v>0</v>
      </c>
      <c r="O1960" s="22" t="s">
        <v>15</v>
      </c>
      <c r="P1960" s="44" t="s">
        <v>19</v>
      </c>
      <c r="Q1960" s="44">
        <f t="shared" si="122"/>
        <v>0</v>
      </c>
      <c r="R1960" s="24">
        <f t="shared" si="120"/>
        <v>0</v>
      </c>
      <c r="S1960" s="5"/>
      <c r="T1960" s="5"/>
    </row>
    <row r="1961" spans="2:20" ht="15.75" hidden="1" x14ac:dyDescent="0.25">
      <c r="B1961" s="21" t="s">
        <v>395</v>
      </c>
      <c r="C1961" s="22" t="s">
        <v>2450</v>
      </c>
      <c r="D1961" s="22"/>
      <c r="E1961" s="21" t="s">
        <v>0</v>
      </c>
      <c r="F1961" s="21"/>
      <c r="G1961" s="147" t="s">
        <v>509</v>
      </c>
      <c r="H1961" s="23" t="s">
        <v>6399</v>
      </c>
      <c r="I1961" s="23" t="s">
        <v>8138</v>
      </c>
      <c r="J1961" s="21" t="s">
        <v>6398</v>
      </c>
      <c r="K1961" s="21"/>
      <c r="L1961" s="21" t="s">
        <v>7428</v>
      </c>
      <c r="M1961" s="26" t="s">
        <v>7429</v>
      </c>
      <c r="N1961" s="44">
        <v>61650</v>
      </c>
      <c r="O1961" s="22" t="s">
        <v>15</v>
      </c>
      <c r="P1961" s="44">
        <f>4950+5062.5+5062.5+5175+5250+5250+5175+5121.5+5287.5+4687.5+4687.5+6937.5</f>
        <v>62646.5</v>
      </c>
      <c r="Q1961" s="44">
        <f t="shared" si="122"/>
        <v>0</v>
      </c>
      <c r="R1961" s="24">
        <f t="shared" si="120"/>
        <v>62646.5</v>
      </c>
      <c r="S1961" s="5"/>
      <c r="T1961" s="5"/>
    </row>
    <row r="1962" spans="2:20" ht="15.75" hidden="1" x14ac:dyDescent="0.25">
      <c r="B1962" s="21" t="s">
        <v>395</v>
      </c>
      <c r="C1962" s="22" t="s">
        <v>7408</v>
      </c>
      <c r="D1962" s="22"/>
      <c r="E1962" s="21" t="s">
        <v>0</v>
      </c>
      <c r="F1962" s="21"/>
      <c r="G1962" s="147" t="s">
        <v>509</v>
      </c>
      <c r="H1962" s="23" t="s">
        <v>7712</v>
      </c>
      <c r="I1962" s="23" t="s">
        <v>8285</v>
      </c>
      <c r="J1962" s="21" t="s">
        <v>7767</v>
      </c>
      <c r="K1962" s="21"/>
      <c r="L1962" s="21" t="s">
        <v>7770</v>
      </c>
      <c r="M1962" s="26">
        <v>45016</v>
      </c>
      <c r="N1962" s="44">
        <v>1312</v>
      </c>
      <c r="O1962" s="22" t="s">
        <v>15</v>
      </c>
      <c r="P1962" s="44">
        <v>1519</v>
      </c>
      <c r="Q1962" s="24">
        <f t="shared" si="122"/>
        <v>0</v>
      </c>
      <c r="R1962" s="24">
        <f t="shared" si="120"/>
        <v>1519</v>
      </c>
      <c r="S1962" s="5"/>
      <c r="T1962" s="5"/>
    </row>
    <row r="1963" spans="2:20" ht="15.75" hidden="1" x14ac:dyDescent="0.25">
      <c r="B1963" s="21" t="s">
        <v>395</v>
      </c>
      <c r="C1963" s="22" t="s">
        <v>7408</v>
      </c>
      <c r="D1963" s="22"/>
      <c r="E1963" s="21" t="s">
        <v>0</v>
      </c>
      <c r="F1963" s="21"/>
      <c r="G1963" s="147" t="s">
        <v>509</v>
      </c>
      <c r="H1963" s="23" t="s">
        <v>8362</v>
      </c>
      <c r="I1963" s="23" t="s">
        <v>8363</v>
      </c>
      <c r="J1963" s="21" t="s">
        <v>8364</v>
      </c>
      <c r="K1963" s="21"/>
      <c r="L1963" s="21" t="s">
        <v>11095</v>
      </c>
      <c r="M1963" s="26" t="s">
        <v>11096</v>
      </c>
      <c r="N1963" s="44">
        <v>43946.55</v>
      </c>
      <c r="O1963" s="22" t="s">
        <v>15</v>
      </c>
      <c r="P1963" s="44">
        <f>23714.28+666+10830.23+679+1326+666+666+666+666+666+666+666+692+692+692+692+692+679+679</f>
        <v>46695.509999999995</v>
      </c>
      <c r="Q1963" s="24">
        <f t="shared" si="122"/>
        <v>0</v>
      </c>
      <c r="R1963" s="24">
        <f t="shared" si="120"/>
        <v>46695.509999999995</v>
      </c>
      <c r="S1963" s="5"/>
      <c r="T1963" s="5"/>
    </row>
    <row r="1964" spans="2:20" ht="15.75" hidden="1" x14ac:dyDescent="0.25">
      <c r="B1964" s="21" t="s">
        <v>395</v>
      </c>
      <c r="C1964" s="22" t="s">
        <v>2450</v>
      </c>
      <c r="D1964" s="22"/>
      <c r="E1964" s="21" t="s">
        <v>0</v>
      </c>
      <c r="F1964" s="21"/>
      <c r="G1964" s="147" t="s">
        <v>509</v>
      </c>
      <c r="H1964" s="23" t="s">
        <v>811</v>
      </c>
      <c r="I1964" s="23" t="s">
        <v>8331</v>
      </c>
      <c r="J1964" s="21" t="s">
        <v>510</v>
      </c>
      <c r="K1964" s="21"/>
      <c r="L1964" s="21"/>
      <c r="M1964" s="120" t="s">
        <v>1215</v>
      </c>
      <c r="N1964" s="44">
        <f>0.5*8151</f>
        <v>4075.5</v>
      </c>
      <c r="O1964" s="22" t="s">
        <v>15</v>
      </c>
      <c r="P1964" s="22">
        <v>4912.3999999999996</v>
      </c>
      <c r="Q1964" s="24">
        <f t="shared" si="122"/>
        <v>0</v>
      </c>
      <c r="R1964" s="24">
        <f t="shared" si="120"/>
        <v>4912.3999999999996</v>
      </c>
      <c r="S1964" s="5"/>
      <c r="T1964" s="5"/>
    </row>
    <row r="1965" spans="2:20" ht="15.75" hidden="1" x14ac:dyDescent="0.25">
      <c r="B1965" s="21" t="s">
        <v>395</v>
      </c>
      <c r="C1965" s="22" t="s">
        <v>2450</v>
      </c>
      <c r="D1965" s="22"/>
      <c r="E1965" s="21" t="s">
        <v>0</v>
      </c>
      <c r="F1965" s="21"/>
      <c r="G1965" s="147" t="s">
        <v>509</v>
      </c>
      <c r="H1965" s="23" t="s">
        <v>811</v>
      </c>
      <c r="I1965" s="23" t="s">
        <v>8331</v>
      </c>
      <c r="J1965" s="21" t="s">
        <v>511</v>
      </c>
      <c r="K1965" s="21"/>
      <c r="L1965" s="21"/>
      <c r="M1965" s="120" t="s">
        <v>1215</v>
      </c>
      <c r="N1965" s="44">
        <f>0.5*8151</f>
        <v>4075.5</v>
      </c>
      <c r="O1965" s="22" t="s">
        <v>15</v>
      </c>
      <c r="P1965" s="22">
        <v>4912.3999999999996</v>
      </c>
      <c r="Q1965" s="24">
        <f t="shared" si="122"/>
        <v>0</v>
      </c>
      <c r="R1965" s="24">
        <f t="shared" si="120"/>
        <v>4912.3999999999996</v>
      </c>
      <c r="S1965" s="5"/>
      <c r="T1965" s="5"/>
    </row>
    <row r="1966" spans="2:20" ht="15.75" hidden="1" x14ac:dyDescent="0.25">
      <c r="B1966" s="21" t="s">
        <v>395</v>
      </c>
      <c r="C1966" s="22" t="s">
        <v>2454</v>
      </c>
      <c r="D1966" s="22"/>
      <c r="E1966" s="21" t="s">
        <v>0</v>
      </c>
      <c r="F1966" s="21"/>
      <c r="G1966" s="147" t="s">
        <v>509</v>
      </c>
      <c r="H1966" s="23" t="s">
        <v>1214</v>
      </c>
      <c r="I1966" s="23"/>
      <c r="J1966" s="21" t="s">
        <v>637</v>
      </c>
      <c r="K1966" s="21"/>
      <c r="L1966" s="21"/>
      <c r="M1966" s="120" t="s">
        <v>638</v>
      </c>
      <c r="N1966" s="44">
        <v>13357.25</v>
      </c>
      <c r="O1966" s="22" t="s">
        <v>15</v>
      </c>
      <c r="P1966" s="22" t="s">
        <v>19</v>
      </c>
      <c r="Q1966" s="24">
        <f t="shared" si="122"/>
        <v>0</v>
      </c>
      <c r="R1966" s="24">
        <f t="shared" si="120"/>
        <v>13357.25</v>
      </c>
      <c r="S1966" s="5"/>
      <c r="T1966" s="5"/>
    </row>
    <row r="1967" spans="2:20" ht="15.75" hidden="1" x14ac:dyDescent="0.25">
      <c r="B1967" s="21" t="s">
        <v>395</v>
      </c>
      <c r="C1967" s="22" t="s">
        <v>2454</v>
      </c>
      <c r="D1967" s="22"/>
      <c r="E1967" s="21" t="s">
        <v>0</v>
      </c>
      <c r="F1967" s="21"/>
      <c r="G1967" s="147" t="s">
        <v>509</v>
      </c>
      <c r="H1967" s="23" t="s">
        <v>770</v>
      </c>
      <c r="I1967" s="23"/>
      <c r="J1967" s="21" t="s">
        <v>772</v>
      </c>
      <c r="K1967" s="21"/>
      <c r="L1967" s="21"/>
      <c r="M1967" s="70" t="s">
        <v>774</v>
      </c>
      <c r="N1967" s="44">
        <v>825</v>
      </c>
      <c r="O1967" s="22" t="s">
        <v>15</v>
      </c>
      <c r="P1967" s="22" t="s">
        <v>19</v>
      </c>
      <c r="Q1967" s="24">
        <f t="shared" si="122"/>
        <v>0</v>
      </c>
      <c r="R1967" s="24">
        <f t="shared" si="120"/>
        <v>825</v>
      </c>
      <c r="S1967" s="5"/>
      <c r="T1967" s="5"/>
    </row>
    <row r="1968" spans="2:20" ht="15.75" hidden="1" x14ac:dyDescent="0.25">
      <c r="B1968" s="21" t="s">
        <v>395</v>
      </c>
      <c r="C1968" s="22" t="s">
        <v>2454</v>
      </c>
      <c r="D1968" s="22"/>
      <c r="E1968" s="21" t="s">
        <v>0</v>
      </c>
      <c r="F1968" s="21"/>
      <c r="G1968" s="147" t="s">
        <v>509</v>
      </c>
      <c r="H1968" s="23" t="s">
        <v>770</v>
      </c>
      <c r="I1968" s="23"/>
      <c r="J1968" s="21" t="s">
        <v>773</v>
      </c>
      <c r="K1968" s="21"/>
      <c r="L1968" s="21"/>
      <c r="M1968" s="70" t="s">
        <v>774</v>
      </c>
      <c r="N1968" s="44">
        <v>60</v>
      </c>
      <c r="O1968" s="22" t="s">
        <v>15</v>
      </c>
      <c r="P1968" s="22" t="s">
        <v>19</v>
      </c>
      <c r="Q1968" s="24">
        <f t="shared" si="122"/>
        <v>0</v>
      </c>
      <c r="R1968" s="24">
        <f t="shared" si="120"/>
        <v>60</v>
      </c>
      <c r="S1968" s="5"/>
      <c r="T1968" s="5"/>
    </row>
    <row r="1969" spans="2:20" ht="15.75" hidden="1" x14ac:dyDescent="0.25">
      <c r="B1969" s="21" t="s">
        <v>395</v>
      </c>
      <c r="C1969" s="22" t="s">
        <v>2454</v>
      </c>
      <c r="D1969" s="22"/>
      <c r="E1969" s="21" t="s">
        <v>0</v>
      </c>
      <c r="F1969" s="21"/>
      <c r="G1969" s="147" t="s">
        <v>509</v>
      </c>
      <c r="H1969" s="23" t="s">
        <v>1212</v>
      </c>
      <c r="I1969" s="23"/>
      <c r="J1969" s="21" t="s">
        <v>692</v>
      </c>
      <c r="K1969" s="21"/>
      <c r="L1969" s="21"/>
      <c r="M1969" s="66" t="s">
        <v>771</v>
      </c>
      <c r="N1969" s="44">
        <v>1800</v>
      </c>
      <c r="O1969" s="22" t="s">
        <v>15</v>
      </c>
      <c r="P1969" s="22" t="s">
        <v>19</v>
      </c>
      <c r="Q1969" s="24">
        <f t="shared" si="122"/>
        <v>0</v>
      </c>
      <c r="R1969" s="24">
        <f t="shared" si="120"/>
        <v>1800</v>
      </c>
      <c r="S1969" s="5"/>
      <c r="T1969" s="5"/>
    </row>
    <row r="1970" spans="2:20" ht="15.75" hidden="1" x14ac:dyDescent="0.25">
      <c r="B1970" s="21" t="s">
        <v>395</v>
      </c>
      <c r="C1970" s="22" t="s">
        <v>2454</v>
      </c>
      <c r="D1970" s="22"/>
      <c r="E1970" s="21" t="s">
        <v>0</v>
      </c>
      <c r="F1970" s="21"/>
      <c r="G1970" s="147" t="s">
        <v>509</v>
      </c>
      <c r="H1970" s="23" t="s">
        <v>1212</v>
      </c>
      <c r="I1970" s="23"/>
      <c r="J1970" s="21" t="s">
        <v>693</v>
      </c>
      <c r="K1970" s="21"/>
      <c r="L1970" s="21"/>
      <c r="M1970" s="23" t="s">
        <v>1792</v>
      </c>
      <c r="N1970" s="44">
        <v>188.88</v>
      </c>
      <c r="O1970" s="22" t="s">
        <v>15</v>
      </c>
      <c r="P1970" s="22">
        <v>188.88</v>
      </c>
      <c r="Q1970" s="24">
        <f t="shared" si="122"/>
        <v>0</v>
      </c>
      <c r="R1970" s="24">
        <f t="shared" si="120"/>
        <v>188.88</v>
      </c>
      <c r="S1970" s="5" t="s">
        <v>5458</v>
      </c>
      <c r="T1970" s="5"/>
    </row>
    <row r="1971" spans="2:20" ht="15.75" hidden="1" x14ac:dyDescent="0.25">
      <c r="B1971" s="21" t="s">
        <v>395</v>
      </c>
      <c r="C1971" s="22" t="s">
        <v>2454</v>
      </c>
      <c r="D1971" s="22"/>
      <c r="E1971" s="21" t="s">
        <v>0</v>
      </c>
      <c r="F1971" s="21"/>
      <c r="G1971" s="147" t="s">
        <v>509</v>
      </c>
      <c r="H1971" s="23" t="s">
        <v>1212</v>
      </c>
      <c r="I1971" s="23"/>
      <c r="J1971" s="21" t="s">
        <v>694</v>
      </c>
      <c r="K1971" s="21"/>
      <c r="L1971" s="21"/>
      <c r="M1971" s="66" t="s">
        <v>1211</v>
      </c>
      <c r="N1971" s="44">
        <f>12268</f>
        <v>12268</v>
      </c>
      <c r="O1971" s="22" t="s">
        <v>15</v>
      </c>
      <c r="P1971" s="22">
        <v>12132.8</v>
      </c>
      <c r="Q1971" s="24">
        <v>0</v>
      </c>
      <c r="R1971" s="24">
        <f t="shared" si="120"/>
        <v>12132.8</v>
      </c>
      <c r="S1971" s="5"/>
      <c r="T1971" s="5"/>
    </row>
    <row r="1972" spans="2:20" ht="15.75" hidden="1" x14ac:dyDescent="0.25">
      <c r="B1972" s="21" t="s">
        <v>395</v>
      </c>
      <c r="C1972" s="22" t="s">
        <v>2454</v>
      </c>
      <c r="D1972" s="22"/>
      <c r="E1972" s="21" t="s">
        <v>0</v>
      </c>
      <c r="F1972" s="21"/>
      <c r="G1972" s="147" t="s">
        <v>509</v>
      </c>
      <c r="H1972" s="23" t="s">
        <v>1212</v>
      </c>
      <c r="I1972" s="23"/>
      <c r="J1972" s="21" t="s">
        <v>695</v>
      </c>
      <c r="K1972" s="21"/>
      <c r="L1972" s="21"/>
      <c r="M1972" s="66" t="s">
        <v>771</v>
      </c>
      <c r="N1972" s="44">
        <v>9350</v>
      </c>
      <c r="O1972" s="22" t="s">
        <v>15</v>
      </c>
      <c r="P1972" s="22" t="s">
        <v>19</v>
      </c>
      <c r="Q1972" s="24">
        <f>IF(P1972="en cours",N1972,IF(P1972="OK",0,IF(N1972-P1972&lt;0,0,N1972-P1972)))</f>
        <v>0</v>
      </c>
      <c r="R1972" s="24">
        <f t="shared" si="120"/>
        <v>9350</v>
      </c>
      <c r="S1972" s="5"/>
      <c r="T1972" s="5"/>
    </row>
    <row r="1973" spans="2:20" ht="15.75" hidden="1" x14ac:dyDescent="0.25">
      <c r="B1973" s="21" t="s">
        <v>395</v>
      </c>
      <c r="C1973" s="22" t="s">
        <v>2454</v>
      </c>
      <c r="D1973" s="22"/>
      <c r="E1973" s="21" t="s">
        <v>0</v>
      </c>
      <c r="F1973" s="21"/>
      <c r="G1973" s="147" t="s">
        <v>509</v>
      </c>
      <c r="H1973" s="23" t="s">
        <v>1212</v>
      </c>
      <c r="I1973" s="23"/>
      <c r="J1973" s="21" t="s">
        <v>698</v>
      </c>
      <c r="K1973" s="21"/>
      <c r="L1973" s="21"/>
      <c r="M1973" s="66" t="s">
        <v>1211</v>
      </c>
      <c r="N1973" s="44">
        <v>4800</v>
      </c>
      <c r="O1973" s="22" t="s">
        <v>15</v>
      </c>
      <c r="P1973" s="22" t="s">
        <v>19</v>
      </c>
      <c r="Q1973" s="24">
        <f>IF(P1973="en cours",N1973,IF(P1973="OK",0,IF(N1973-P1973&lt;0,0,N1973-P1973)))</f>
        <v>0</v>
      </c>
      <c r="R1973" s="24">
        <f t="shared" si="120"/>
        <v>4800</v>
      </c>
      <c r="S1973" s="5"/>
      <c r="T1973" s="5"/>
    </row>
    <row r="1974" spans="2:20" ht="15.75" hidden="1" x14ac:dyDescent="0.25">
      <c r="B1974" s="21" t="s">
        <v>395</v>
      </c>
      <c r="C1974" s="22" t="s">
        <v>2454</v>
      </c>
      <c r="D1974" s="22"/>
      <c r="E1974" s="21" t="s">
        <v>0</v>
      </c>
      <c r="F1974" s="21"/>
      <c r="G1974" s="147" t="s">
        <v>509</v>
      </c>
      <c r="H1974" s="23" t="s">
        <v>1212</v>
      </c>
      <c r="I1974" s="23"/>
      <c r="J1974" s="21" t="s">
        <v>696</v>
      </c>
      <c r="K1974" s="21"/>
      <c r="L1974" s="21"/>
      <c r="M1974" s="66" t="s">
        <v>1211</v>
      </c>
      <c r="N1974" s="44">
        <v>10306</v>
      </c>
      <c r="O1974" s="22" t="s">
        <v>15</v>
      </c>
      <c r="P1974" s="22">
        <v>10297.24</v>
      </c>
      <c r="Q1974" s="24">
        <v>0</v>
      </c>
      <c r="R1974" s="24">
        <f t="shared" si="120"/>
        <v>10297.24</v>
      </c>
      <c r="S1974" s="5"/>
      <c r="T1974" s="5"/>
    </row>
    <row r="1975" spans="2:20" ht="15.75" hidden="1" x14ac:dyDescent="0.25">
      <c r="B1975" s="21" t="s">
        <v>395</v>
      </c>
      <c r="C1975" s="22" t="s">
        <v>2454</v>
      </c>
      <c r="D1975" s="22"/>
      <c r="E1975" s="21" t="s">
        <v>0</v>
      </c>
      <c r="F1975" s="21"/>
      <c r="G1975" s="147" t="s">
        <v>509</v>
      </c>
      <c r="H1975" s="23" t="s">
        <v>1212</v>
      </c>
      <c r="I1975" s="23"/>
      <c r="J1975" s="21" t="s">
        <v>697</v>
      </c>
      <c r="K1975" s="21"/>
      <c r="L1975" s="21"/>
      <c r="M1975" s="66" t="s">
        <v>5660</v>
      </c>
      <c r="N1975" s="44">
        <f>135*2.5</f>
        <v>337.5</v>
      </c>
      <c r="O1975" s="22" t="s">
        <v>15</v>
      </c>
      <c r="P1975" s="22">
        <f>337.5+1080</f>
        <v>1417.5</v>
      </c>
      <c r="Q1975" s="24">
        <f t="shared" ref="Q1975:Q2038" si="123">IF(P1975="en cours",N1975,IF(P1975="OK",0,IF(N1975-P1975&lt;0,0,N1975-P1975)))</f>
        <v>0</v>
      </c>
      <c r="R1975" s="24">
        <f t="shared" si="120"/>
        <v>1417.5</v>
      </c>
      <c r="S1975" s="5"/>
      <c r="T1975" s="5"/>
    </row>
    <row r="1976" spans="2:20" ht="15.75" hidden="1" x14ac:dyDescent="0.25">
      <c r="B1976" s="21" t="s">
        <v>395</v>
      </c>
      <c r="C1976" s="22" t="s">
        <v>2454</v>
      </c>
      <c r="D1976" s="22"/>
      <c r="E1976" s="21" t="s">
        <v>0</v>
      </c>
      <c r="F1976" s="21"/>
      <c r="G1976" s="147" t="s">
        <v>509</v>
      </c>
      <c r="H1976" s="23" t="s">
        <v>1213</v>
      </c>
      <c r="I1976" s="23"/>
      <c r="J1976" s="21" t="s">
        <v>759</v>
      </c>
      <c r="K1976" s="21"/>
      <c r="L1976" s="21"/>
      <c r="M1976" s="66" t="s">
        <v>1211</v>
      </c>
      <c r="N1976" s="44">
        <v>728</v>
      </c>
      <c r="O1976" s="22" t="s">
        <v>15</v>
      </c>
      <c r="P1976" s="22" t="s">
        <v>19</v>
      </c>
      <c r="Q1976" s="24">
        <f t="shared" si="123"/>
        <v>0</v>
      </c>
      <c r="R1976" s="24">
        <f t="shared" si="120"/>
        <v>728</v>
      </c>
      <c r="S1976" s="5"/>
      <c r="T1976" s="5"/>
    </row>
    <row r="1977" spans="2:20" ht="15.75" hidden="1" x14ac:dyDescent="0.25">
      <c r="B1977" s="21" t="s">
        <v>395</v>
      </c>
      <c r="C1977" s="22" t="s">
        <v>8972</v>
      </c>
      <c r="D1977" s="22"/>
      <c r="E1977" s="21" t="s">
        <v>0</v>
      </c>
      <c r="F1977" s="21"/>
      <c r="G1977" s="147" t="s">
        <v>509</v>
      </c>
      <c r="H1977" s="23" t="s">
        <v>9249</v>
      </c>
      <c r="I1977" s="23"/>
      <c r="J1977" s="21" t="s">
        <v>9250</v>
      </c>
      <c r="K1977" s="21"/>
      <c r="L1977" s="21" t="s">
        <v>9781</v>
      </c>
      <c r="M1977" s="26" t="s">
        <v>9782</v>
      </c>
      <c r="N1977" s="44">
        <f>13748+10339+10653</f>
        <v>34740</v>
      </c>
      <c r="O1977" s="22" t="s">
        <v>15</v>
      </c>
      <c r="P1977" s="44">
        <f>13201.49+10979+640+10653+640</f>
        <v>36113.49</v>
      </c>
      <c r="Q1977" s="44">
        <f t="shared" si="123"/>
        <v>0</v>
      </c>
      <c r="R1977" s="24">
        <f t="shared" si="120"/>
        <v>36113.49</v>
      </c>
      <c r="S1977" s="5"/>
      <c r="T1977" s="5"/>
    </row>
    <row r="1978" spans="2:20" ht="15.75" hidden="1" x14ac:dyDescent="0.25">
      <c r="B1978" s="21"/>
      <c r="C1978" s="22" t="s">
        <v>9747</v>
      </c>
      <c r="D1978" s="22"/>
      <c r="E1978" s="21" t="s">
        <v>0</v>
      </c>
      <c r="F1978" s="21" t="s">
        <v>9749</v>
      </c>
      <c r="G1978" s="147" t="s">
        <v>509</v>
      </c>
      <c r="H1978" s="23" t="s">
        <v>10196</v>
      </c>
      <c r="I1978" s="23" t="s">
        <v>10197</v>
      </c>
      <c r="J1978" s="21" t="s">
        <v>10198</v>
      </c>
      <c r="K1978" s="21"/>
      <c r="L1978" s="21" t="s">
        <v>11494</v>
      </c>
      <c r="M1978" s="26" t="s">
        <v>11495</v>
      </c>
      <c r="N1978" s="44">
        <v>24718.74</v>
      </c>
      <c r="O1978" s="22" t="s">
        <v>15</v>
      </c>
      <c r="P1978" s="44">
        <f>8477.7+7649.75+653+5389.55+653+653+679.12+679.12</f>
        <v>24834.239999999998</v>
      </c>
      <c r="Q1978" s="24">
        <f t="shared" si="123"/>
        <v>0</v>
      </c>
      <c r="R1978" s="24">
        <f>IF(P1978="OK",N1978-Q1978,IF(P1978="en cours",M1978-Q1978,P1978))</f>
        <v>24834.239999999998</v>
      </c>
      <c r="S1978" s="5"/>
      <c r="T1978" s="5"/>
    </row>
    <row r="1979" spans="2:20" ht="15.75" hidden="1" x14ac:dyDescent="0.25">
      <c r="B1979" s="21" t="s">
        <v>395</v>
      </c>
      <c r="C1979" s="22" t="s">
        <v>2450</v>
      </c>
      <c r="D1979" s="22"/>
      <c r="E1979" s="21" t="s">
        <v>10</v>
      </c>
      <c r="F1979" s="21"/>
      <c r="G1979" s="147" t="s">
        <v>1319</v>
      </c>
      <c r="H1979" s="23" t="s">
        <v>1842</v>
      </c>
      <c r="I1979" s="23" t="s">
        <v>7877</v>
      </c>
      <c r="J1979" s="21" t="s">
        <v>1825</v>
      </c>
      <c r="K1979" s="120"/>
      <c r="L1979" s="21" t="s">
        <v>1924</v>
      </c>
      <c r="M1979" s="26">
        <v>43693</v>
      </c>
      <c r="N1979" s="44">
        <f>32080*0.5</f>
        <v>16040</v>
      </c>
      <c r="O1979" s="22" t="s">
        <v>276</v>
      </c>
      <c r="P1979" s="22" t="s">
        <v>19</v>
      </c>
      <c r="Q1979" s="24">
        <f t="shared" si="123"/>
        <v>0</v>
      </c>
      <c r="R1979" s="24">
        <f>IF(P1979="OK",N1979-Q1979,IF(P1979="en cours",N1979-Q1979,P1979))</f>
        <v>16040</v>
      </c>
      <c r="S1979" s="5"/>
      <c r="T1979" s="5"/>
    </row>
    <row r="1980" spans="2:20" ht="15.75" hidden="1" x14ac:dyDescent="0.25">
      <c r="B1980" s="21" t="s">
        <v>395</v>
      </c>
      <c r="C1980" s="22" t="s">
        <v>2450</v>
      </c>
      <c r="D1980" s="22"/>
      <c r="E1980" s="21" t="s">
        <v>10</v>
      </c>
      <c r="F1980" s="21"/>
      <c r="G1980" s="147" t="s">
        <v>1319</v>
      </c>
      <c r="H1980" s="23" t="s">
        <v>1842</v>
      </c>
      <c r="I1980" s="23" t="s">
        <v>7877</v>
      </c>
      <c r="J1980" s="21" t="s">
        <v>1844</v>
      </c>
      <c r="K1980" s="120"/>
      <c r="L1980" s="21" t="s">
        <v>3096</v>
      </c>
      <c r="M1980" s="26">
        <v>43896</v>
      </c>
      <c r="N1980" s="44">
        <f>32080*0.4</f>
        <v>12832</v>
      </c>
      <c r="O1980" s="22" t="s">
        <v>276</v>
      </c>
      <c r="P1980" s="22" t="s">
        <v>19</v>
      </c>
      <c r="Q1980" s="24">
        <f t="shared" si="123"/>
        <v>0</v>
      </c>
      <c r="R1980" s="24">
        <f>IF(P1980="OK",N1980-Q1980,IF(P1980="en cours",N1980-Q1980,P1980))</f>
        <v>12832</v>
      </c>
      <c r="S1980" s="5" t="s">
        <v>2800</v>
      </c>
      <c r="T1980" s="5"/>
    </row>
    <row r="1981" spans="2:20" ht="15.75" hidden="1" x14ac:dyDescent="0.25">
      <c r="B1981" s="21" t="s">
        <v>395</v>
      </c>
      <c r="C1981" s="22" t="s">
        <v>2450</v>
      </c>
      <c r="D1981" s="22"/>
      <c r="E1981" s="21" t="s">
        <v>10</v>
      </c>
      <c r="F1981" s="21"/>
      <c r="G1981" s="147" t="s">
        <v>1319</v>
      </c>
      <c r="H1981" s="23" t="s">
        <v>1842</v>
      </c>
      <c r="I1981" s="23" t="s">
        <v>7877</v>
      </c>
      <c r="J1981" s="21" t="s">
        <v>1843</v>
      </c>
      <c r="K1981" s="120"/>
      <c r="L1981" s="21" t="s">
        <v>3096</v>
      </c>
      <c r="M1981" s="26">
        <v>43896</v>
      </c>
      <c r="N1981" s="44">
        <f>32080*0.1</f>
        <v>3208</v>
      </c>
      <c r="O1981" s="22" t="s">
        <v>276</v>
      </c>
      <c r="P1981" s="22" t="s">
        <v>19</v>
      </c>
      <c r="Q1981" s="24">
        <f t="shared" si="123"/>
        <v>0</v>
      </c>
      <c r="R1981" s="24">
        <f>IF(P1981="OK",N1981-Q1981,IF(P1981="en cours",N1981-Q1981,P1981))</f>
        <v>3208</v>
      </c>
      <c r="S1981" s="5"/>
      <c r="T1981" s="5"/>
    </row>
    <row r="1982" spans="2:20" ht="15.75" hidden="1" x14ac:dyDescent="0.25">
      <c r="B1982" s="21" t="s">
        <v>395</v>
      </c>
      <c r="C1982" s="22" t="s">
        <v>2450</v>
      </c>
      <c r="D1982" s="22"/>
      <c r="E1982" s="21" t="s">
        <v>0</v>
      </c>
      <c r="F1982" s="21"/>
      <c r="G1982" s="147" t="s">
        <v>99</v>
      </c>
      <c r="H1982" s="23" t="s">
        <v>121</v>
      </c>
      <c r="I1982" s="23"/>
      <c r="J1982" s="21" t="s">
        <v>125</v>
      </c>
      <c r="K1982" s="21"/>
      <c r="L1982" s="21"/>
      <c r="M1982" s="28" t="s">
        <v>287</v>
      </c>
      <c r="N1982" s="44">
        <v>720</v>
      </c>
      <c r="O1982" s="22" t="s">
        <v>15</v>
      </c>
      <c r="P1982" s="22" t="s">
        <v>19</v>
      </c>
      <c r="Q1982" s="24">
        <f t="shared" si="123"/>
        <v>0</v>
      </c>
      <c r="R1982" s="24">
        <f t="shared" ref="R1982:R2045" si="124">IF(P1982="OK",N1982-Q1982,IF(P1982="en cours",N1982-Q1982,P1982))</f>
        <v>720</v>
      </c>
      <c r="S1982" s="5"/>
      <c r="T1982" s="5"/>
    </row>
    <row r="1983" spans="2:20" ht="15.75" hidden="1" x14ac:dyDescent="0.25">
      <c r="B1983" s="21" t="s">
        <v>395</v>
      </c>
      <c r="C1983" s="22" t="s">
        <v>2450</v>
      </c>
      <c r="D1983" s="22"/>
      <c r="E1983" s="21" t="s">
        <v>0</v>
      </c>
      <c r="F1983" s="21"/>
      <c r="G1983" s="147" t="s">
        <v>99</v>
      </c>
      <c r="H1983" s="23" t="s">
        <v>121</v>
      </c>
      <c r="I1983" s="23"/>
      <c r="J1983" s="21" t="s">
        <v>123</v>
      </c>
      <c r="K1983" s="21"/>
      <c r="L1983" s="21"/>
      <c r="M1983" s="26" t="s">
        <v>287</v>
      </c>
      <c r="N1983" s="44">
        <v>2620</v>
      </c>
      <c r="O1983" s="22" t="s">
        <v>15</v>
      </c>
      <c r="P1983" s="22" t="s">
        <v>19</v>
      </c>
      <c r="Q1983" s="24">
        <f t="shared" si="123"/>
        <v>0</v>
      </c>
      <c r="R1983" s="24">
        <f t="shared" si="124"/>
        <v>2620</v>
      </c>
      <c r="S1983" s="5"/>
      <c r="T1983" s="5"/>
    </row>
    <row r="1984" spans="2:20" ht="15.75" hidden="1" x14ac:dyDescent="0.25">
      <c r="B1984" s="21" t="s">
        <v>395</v>
      </c>
      <c r="C1984" s="22" t="s">
        <v>2450</v>
      </c>
      <c r="D1984" s="22"/>
      <c r="E1984" s="21" t="s">
        <v>0</v>
      </c>
      <c r="F1984" s="21"/>
      <c r="G1984" s="147" t="s">
        <v>99</v>
      </c>
      <c r="H1984" s="23" t="s">
        <v>121</v>
      </c>
      <c r="I1984" s="23"/>
      <c r="J1984" s="21" t="s">
        <v>124</v>
      </c>
      <c r="K1984" s="21"/>
      <c r="L1984" s="21"/>
      <c r="M1984" s="26" t="s">
        <v>287</v>
      </c>
      <c r="N1984" s="44">
        <v>14440</v>
      </c>
      <c r="O1984" s="22" t="s">
        <v>15</v>
      </c>
      <c r="P1984" s="22" t="s">
        <v>19</v>
      </c>
      <c r="Q1984" s="24">
        <f t="shared" si="123"/>
        <v>0</v>
      </c>
      <c r="R1984" s="24">
        <f t="shared" si="124"/>
        <v>14440</v>
      </c>
      <c r="S1984" s="5"/>
      <c r="T1984" s="5"/>
    </row>
    <row r="1985" spans="2:20" ht="15.75" hidden="1" x14ac:dyDescent="0.25">
      <c r="B1985" s="21" t="s">
        <v>395</v>
      </c>
      <c r="C1985" s="22" t="s">
        <v>2450</v>
      </c>
      <c r="D1985" s="22"/>
      <c r="E1985" s="21" t="s">
        <v>0</v>
      </c>
      <c r="F1985" s="21"/>
      <c r="G1985" s="147" t="s">
        <v>99</v>
      </c>
      <c r="H1985" s="23" t="s">
        <v>121</v>
      </c>
      <c r="I1985" s="23"/>
      <c r="J1985" s="21" t="s">
        <v>122</v>
      </c>
      <c r="K1985" s="21"/>
      <c r="L1985" s="21"/>
      <c r="M1985" s="28" t="s">
        <v>557</v>
      </c>
      <c r="N1985" s="44">
        <v>780</v>
      </c>
      <c r="O1985" s="22" t="s">
        <v>15</v>
      </c>
      <c r="P1985" s="22" t="s">
        <v>19</v>
      </c>
      <c r="Q1985" s="24">
        <f t="shared" si="123"/>
        <v>0</v>
      </c>
      <c r="R1985" s="24">
        <f t="shared" si="124"/>
        <v>780</v>
      </c>
      <c r="S1985" s="5"/>
      <c r="T1985" s="5"/>
    </row>
    <row r="1986" spans="2:20" ht="15.75" hidden="1" x14ac:dyDescent="0.25">
      <c r="B1986" s="21" t="s">
        <v>395</v>
      </c>
      <c r="C1986" s="22" t="s">
        <v>2450</v>
      </c>
      <c r="D1986" s="22"/>
      <c r="E1986" s="21" t="s">
        <v>0</v>
      </c>
      <c r="F1986" s="21"/>
      <c r="G1986" s="147" t="s">
        <v>99</v>
      </c>
      <c r="H1986" s="23" t="s">
        <v>1773</v>
      </c>
      <c r="I1986" s="23" t="s">
        <v>8336</v>
      </c>
      <c r="J1986" s="21" t="s">
        <v>469</v>
      </c>
      <c r="K1986" s="21"/>
      <c r="L1986" s="21"/>
      <c r="M1986" s="26">
        <v>43059</v>
      </c>
      <c r="N1986" s="44">
        <f>0.25*8140</f>
        <v>2035</v>
      </c>
      <c r="O1986" s="22" t="s">
        <v>15</v>
      </c>
      <c r="P1986" s="22" t="s">
        <v>19</v>
      </c>
      <c r="Q1986" s="24">
        <f t="shared" si="123"/>
        <v>0</v>
      </c>
      <c r="R1986" s="24">
        <f t="shared" si="124"/>
        <v>2035</v>
      </c>
      <c r="S1986" s="5"/>
      <c r="T1986" s="5"/>
    </row>
    <row r="1987" spans="2:20" ht="15.75" hidden="1" x14ac:dyDescent="0.25">
      <c r="B1987" s="21" t="s">
        <v>395</v>
      </c>
      <c r="C1987" s="22" t="s">
        <v>2450</v>
      </c>
      <c r="D1987" s="22"/>
      <c r="E1987" s="21" t="s">
        <v>0</v>
      </c>
      <c r="F1987" s="21"/>
      <c r="G1987" s="147" t="s">
        <v>99</v>
      </c>
      <c r="H1987" s="23" t="s">
        <v>1773</v>
      </c>
      <c r="I1987" s="23" t="s">
        <v>8336</v>
      </c>
      <c r="J1987" s="21" t="s">
        <v>470</v>
      </c>
      <c r="K1987" s="21"/>
      <c r="L1987" s="21"/>
      <c r="M1987" s="26">
        <v>43165</v>
      </c>
      <c r="N1987" s="44">
        <f>0.75*8140</f>
        <v>6105</v>
      </c>
      <c r="O1987" s="22" t="s">
        <v>15</v>
      </c>
      <c r="P1987" s="22">
        <f>6105+1454.96</f>
        <v>7559.96</v>
      </c>
      <c r="Q1987" s="24">
        <f t="shared" si="123"/>
        <v>0</v>
      </c>
      <c r="R1987" s="24">
        <f t="shared" si="124"/>
        <v>7559.96</v>
      </c>
      <c r="S1987" s="5"/>
      <c r="T1987" s="5"/>
    </row>
    <row r="1988" spans="2:20" ht="15.75" hidden="1" x14ac:dyDescent="0.25">
      <c r="B1988" s="21" t="s">
        <v>395</v>
      </c>
      <c r="C1988" s="22" t="s">
        <v>2450</v>
      </c>
      <c r="D1988" s="22"/>
      <c r="E1988" s="21" t="s">
        <v>0</v>
      </c>
      <c r="F1988" s="21"/>
      <c r="G1988" s="147" t="s">
        <v>99</v>
      </c>
      <c r="H1988" s="23" t="s">
        <v>1775</v>
      </c>
      <c r="I1988" s="23"/>
      <c r="J1988" s="21" t="s">
        <v>670</v>
      </c>
      <c r="K1988" s="21"/>
      <c r="L1988" s="21"/>
      <c r="M1988" s="26">
        <v>43245</v>
      </c>
      <c r="N1988" s="44">
        <v>3000</v>
      </c>
      <c r="O1988" s="22" t="s">
        <v>15</v>
      </c>
      <c r="P1988" s="22" t="s">
        <v>19</v>
      </c>
      <c r="Q1988" s="24">
        <f t="shared" si="123"/>
        <v>0</v>
      </c>
      <c r="R1988" s="24">
        <f t="shared" si="124"/>
        <v>3000</v>
      </c>
      <c r="S1988" s="5"/>
      <c r="T1988" s="5"/>
    </row>
    <row r="1989" spans="2:20" ht="15.75" hidden="1" x14ac:dyDescent="0.25">
      <c r="B1989" s="21" t="s">
        <v>1088</v>
      </c>
      <c r="C1989" s="108" t="s">
        <v>2450</v>
      </c>
      <c r="D1989" s="108"/>
      <c r="E1989" s="109" t="s">
        <v>0</v>
      </c>
      <c r="F1989" s="109"/>
      <c r="G1989" s="148" t="s">
        <v>99</v>
      </c>
      <c r="H1989" s="110" t="s">
        <v>894</v>
      </c>
      <c r="I1989" s="110"/>
      <c r="J1989" s="109" t="s">
        <v>899</v>
      </c>
      <c r="K1989" s="109"/>
      <c r="L1989" s="109"/>
      <c r="M1989" s="110" t="s">
        <v>1158</v>
      </c>
      <c r="N1989" s="111">
        <f>0.25*4320</f>
        <v>1080</v>
      </c>
      <c r="O1989" s="22" t="s">
        <v>15</v>
      </c>
      <c r="P1989" s="22">
        <v>1620</v>
      </c>
      <c r="Q1989" s="24">
        <f t="shared" si="123"/>
        <v>0</v>
      </c>
      <c r="R1989" s="24">
        <f t="shared" si="124"/>
        <v>1620</v>
      </c>
      <c r="S1989" s="5"/>
      <c r="T1989" s="5"/>
    </row>
    <row r="1990" spans="2:20" ht="15.75" hidden="1" x14ac:dyDescent="0.25">
      <c r="B1990" s="21" t="s">
        <v>1088</v>
      </c>
      <c r="C1990" s="108" t="s">
        <v>2450</v>
      </c>
      <c r="D1990" s="108"/>
      <c r="E1990" s="109" t="s">
        <v>0</v>
      </c>
      <c r="F1990" s="109"/>
      <c r="G1990" s="148" t="s">
        <v>99</v>
      </c>
      <c r="H1990" s="110" t="s">
        <v>894</v>
      </c>
      <c r="I1990" s="110"/>
      <c r="J1990" s="109" t="s">
        <v>899</v>
      </c>
      <c r="K1990" s="109"/>
      <c r="L1990" s="109"/>
      <c r="M1990" s="110"/>
      <c r="N1990" s="111">
        <f>0.75*4320</f>
        <v>3240</v>
      </c>
      <c r="O1990" s="4" t="s">
        <v>15</v>
      </c>
      <c r="P1990" s="4"/>
      <c r="Q1990" s="3">
        <f t="shared" si="123"/>
        <v>3240</v>
      </c>
      <c r="R1990" s="3">
        <f t="shared" si="124"/>
        <v>0</v>
      </c>
      <c r="S1990" s="5"/>
      <c r="T1990" s="5"/>
    </row>
    <row r="1991" spans="2:20" ht="15.75" hidden="1" x14ac:dyDescent="0.25">
      <c r="B1991" s="21" t="s">
        <v>395</v>
      </c>
      <c r="C1991" s="22" t="s">
        <v>2450</v>
      </c>
      <c r="D1991" s="22"/>
      <c r="E1991" s="21" t="s">
        <v>0</v>
      </c>
      <c r="F1991" s="21"/>
      <c r="G1991" s="147" t="s">
        <v>99</v>
      </c>
      <c r="H1991" s="23" t="s">
        <v>894</v>
      </c>
      <c r="I1991" s="23"/>
      <c r="J1991" s="21" t="s">
        <v>928</v>
      </c>
      <c r="K1991" s="21"/>
      <c r="L1991" s="21"/>
      <c r="M1991" s="26" t="s">
        <v>1157</v>
      </c>
      <c r="N1991" s="44">
        <f>4920</f>
        <v>4920</v>
      </c>
      <c r="O1991" s="22" t="s">
        <v>15</v>
      </c>
      <c r="P1991" s="22">
        <f>1640+1640+1640</f>
        <v>4920</v>
      </c>
      <c r="Q1991" s="24">
        <f t="shared" si="123"/>
        <v>0</v>
      </c>
      <c r="R1991" s="24">
        <f t="shared" si="124"/>
        <v>4920</v>
      </c>
      <c r="S1991" s="5"/>
      <c r="T1991" s="5"/>
    </row>
    <row r="1992" spans="2:20" ht="15.75" hidden="1" x14ac:dyDescent="0.25">
      <c r="B1992" s="21" t="s">
        <v>395</v>
      </c>
      <c r="C1992" s="22" t="s">
        <v>2450</v>
      </c>
      <c r="D1992" s="22"/>
      <c r="E1992" s="21" t="s">
        <v>0</v>
      </c>
      <c r="F1992" s="21"/>
      <c r="G1992" s="147" t="s">
        <v>99</v>
      </c>
      <c r="H1992" s="23" t="s">
        <v>894</v>
      </c>
      <c r="I1992" s="23"/>
      <c r="J1992" s="21" t="s">
        <v>895</v>
      </c>
      <c r="K1992" s="21"/>
      <c r="L1992" s="21"/>
      <c r="M1992" s="26" t="s">
        <v>927</v>
      </c>
      <c r="N1992" s="99">
        <f>0.25*8370</f>
        <v>2092.5</v>
      </c>
      <c r="O1992" s="22" t="s">
        <v>15</v>
      </c>
      <c r="P1992" s="22" t="s">
        <v>19</v>
      </c>
      <c r="Q1992" s="24">
        <f t="shared" si="123"/>
        <v>0</v>
      </c>
      <c r="R1992" s="24">
        <f t="shared" si="124"/>
        <v>2092.5</v>
      </c>
      <c r="S1992" s="5"/>
      <c r="T1992" s="5"/>
    </row>
    <row r="1993" spans="2:20" ht="15.75" hidden="1" x14ac:dyDescent="0.25">
      <c r="B1993" s="21" t="s">
        <v>395</v>
      </c>
      <c r="C1993" s="22" t="s">
        <v>2450</v>
      </c>
      <c r="D1993" s="22"/>
      <c r="E1993" s="21" t="s">
        <v>0</v>
      </c>
      <c r="F1993" s="21"/>
      <c r="G1993" s="147" t="s">
        <v>99</v>
      </c>
      <c r="H1993" s="23" t="s">
        <v>894</v>
      </c>
      <c r="I1993" s="23"/>
      <c r="J1993" s="21" t="s">
        <v>896</v>
      </c>
      <c r="K1993" s="21"/>
      <c r="L1993" s="21"/>
      <c r="M1993" s="26"/>
      <c r="N1993" s="99">
        <f>0.75*8370</f>
        <v>6277.5</v>
      </c>
      <c r="O1993" s="22" t="s">
        <v>15</v>
      </c>
      <c r="P1993" s="22" t="s">
        <v>19</v>
      </c>
      <c r="Q1993" s="24">
        <f t="shared" si="123"/>
        <v>0</v>
      </c>
      <c r="R1993" s="24">
        <f t="shared" si="124"/>
        <v>6277.5</v>
      </c>
      <c r="S1993" s="5"/>
      <c r="T1993" s="5"/>
    </row>
    <row r="1994" spans="2:20" ht="15.75" hidden="1" x14ac:dyDescent="0.25">
      <c r="B1994" s="21" t="s">
        <v>395</v>
      </c>
      <c r="C1994" s="22" t="s">
        <v>2450</v>
      </c>
      <c r="D1994" s="22"/>
      <c r="E1994" s="21" t="s">
        <v>0</v>
      </c>
      <c r="F1994" s="21"/>
      <c r="G1994" s="147" t="s">
        <v>99</v>
      </c>
      <c r="H1994" s="23" t="s">
        <v>894</v>
      </c>
      <c r="I1994" s="23"/>
      <c r="J1994" s="21" t="s">
        <v>897</v>
      </c>
      <c r="K1994" s="21"/>
      <c r="L1994" s="21"/>
      <c r="M1994" s="26" t="s">
        <v>1082</v>
      </c>
      <c r="N1994" s="89">
        <f>0.25*50910</f>
        <v>12727.5</v>
      </c>
      <c r="O1994" s="22" t="s">
        <v>15</v>
      </c>
      <c r="P1994" s="22">
        <f>7687.5+882+4158</f>
        <v>12727.5</v>
      </c>
      <c r="Q1994" s="24">
        <f t="shared" si="123"/>
        <v>0</v>
      </c>
      <c r="R1994" s="24">
        <f t="shared" si="124"/>
        <v>12727.5</v>
      </c>
      <c r="S1994" s="5"/>
      <c r="T1994" s="5"/>
    </row>
    <row r="1995" spans="2:20" ht="15.75" hidden="1" x14ac:dyDescent="0.25">
      <c r="B1995" s="21" t="s">
        <v>395</v>
      </c>
      <c r="C1995" s="22" t="s">
        <v>2450</v>
      </c>
      <c r="D1995" s="22"/>
      <c r="E1995" s="21" t="s">
        <v>0</v>
      </c>
      <c r="F1995" s="21"/>
      <c r="G1995" s="147" t="s">
        <v>99</v>
      </c>
      <c r="H1995" s="23" t="s">
        <v>894</v>
      </c>
      <c r="I1995" s="23"/>
      <c r="J1995" s="21" t="s">
        <v>898</v>
      </c>
      <c r="K1995" s="21"/>
      <c r="L1995" s="21"/>
      <c r="M1995" s="26" t="s">
        <v>1156</v>
      </c>
      <c r="N1995" s="89">
        <v>38182.5</v>
      </c>
      <c r="O1995" s="22" t="s">
        <v>15</v>
      </c>
      <c r="P1995" s="22">
        <f>23062.5+2646+12474</f>
        <v>38182.5</v>
      </c>
      <c r="Q1995" s="24">
        <f t="shared" si="123"/>
        <v>0</v>
      </c>
      <c r="R1995" s="24">
        <f t="shared" si="124"/>
        <v>38182.5</v>
      </c>
      <c r="T1995" s="5"/>
    </row>
    <row r="1996" spans="2:20" ht="15.75" hidden="1" x14ac:dyDescent="0.25">
      <c r="B1996" s="21" t="s">
        <v>395</v>
      </c>
      <c r="C1996" s="22" t="s">
        <v>2450</v>
      </c>
      <c r="D1996" s="22"/>
      <c r="E1996" s="21" t="s">
        <v>0</v>
      </c>
      <c r="F1996" s="21"/>
      <c r="G1996" s="147" t="s">
        <v>99</v>
      </c>
      <c r="H1996" s="23" t="s">
        <v>1009</v>
      </c>
      <c r="I1996" s="23"/>
      <c r="J1996" s="21" t="s">
        <v>1032</v>
      </c>
      <c r="K1996" s="21"/>
      <c r="L1996" s="21" t="s">
        <v>2249</v>
      </c>
      <c r="M1996" s="26" t="s">
        <v>2248</v>
      </c>
      <c r="N1996" s="44">
        <v>1217</v>
      </c>
      <c r="O1996" s="22" t="s">
        <v>15</v>
      </c>
      <c r="P1996" s="22" t="s">
        <v>19</v>
      </c>
      <c r="Q1996" s="24">
        <f t="shared" si="123"/>
        <v>0</v>
      </c>
      <c r="R1996" s="24">
        <f t="shared" si="124"/>
        <v>1217</v>
      </c>
      <c r="S1996" s="5"/>
      <c r="T1996" s="5"/>
    </row>
    <row r="1997" spans="2:20" ht="15.75" hidden="1" x14ac:dyDescent="0.25">
      <c r="B1997" s="21" t="s">
        <v>395</v>
      </c>
      <c r="C1997" s="22" t="s">
        <v>2450</v>
      </c>
      <c r="D1997" s="22"/>
      <c r="E1997" s="21" t="s">
        <v>0</v>
      </c>
      <c r="F1997" s="21"/>
      <c r="G1997" s="147" t="s">
        <v>99</v>
      </c>
      <c r="H1997" s="23" t="s">
        <v>1009</v>
      </c>
      <c r="I1997" s="23"/>
      <c r="J1997" s="21" t="s">
        <v>1041</v>
      </c>
      <c r="K1997" s="21"/>
      <c r="L1997" s="21" t="s">
        <v>2249</v>
      </c>
      <c r="M1997" s="26" t="s">
        <v>2248</v>
      </c>
      <c r="N1997" s="44">
        <v>1460.3999999999999</v>
      </c>
      <c r="O1997" s="22" t="s">
        <v>15</v>
      </c>
      <c r="P1997" s="22" t="s">
        <v>19</v>
      </c>
      <c r="Q1997" s="24">
        <f t="shared" si="123"/>
        <v>0</v>
      </c>
      <c r="R1997" s="24">
        <f t="shared" si="124"/>
        <v>1460.3999999999999</v>
      </c>
      <c r="S1997" s="5"/>
      <c r="T1997" s="5"/>
    </row>
    <row r="1998" spans="2:20" ht="15.75" hidden="1" x14ac:dyDescent="0.25">
      <c r="B1998" s="21" t="s">
        <v>395</v>
      </c>
      <c r="C1998" s="22" t="s">
        <v>2450</v>
      </c>
      <c r="D1998" s="22"/>
      <c r="E1998" s="21" t="s">
        <v>0</v>
      </c>
      <c r="F1998" s="21"/>
      <c r="G1998" s="147" t="s">
        <v>99</v>
      </c>
      <c r="H1998" s="23" t="s">
        <v>1009</v>
      </c>
      <c r="I1998" s="23"/>
      <c r="J1998" s="21" t="s">
        <v>1050</v>
      </c>
      <c r="K1998" s="21"/>
      <c r="L1998" s="21" t="s">
        <v>2249</v>
      </c>
      <c r="M1998" s="26" t="s">
        <v>2248</v>
      </c>
      <c r="N1998" s="44">
        <v>2190.6</v>
      </c>
      <c r="O1998" s="22" t="s">
        <v>15</v>
      </c>
      <c r="P1998" s="22" t="s">
        <v>19</v>
      </c>
      <c r="Q1998" s="24">
        <f t="shared" si="123"/>
        <v>0</v>
      </c>
      <c r="R1998" s="24">
        <f t="shared" si="124"/>
        <v>2190.6</v>
      </c>
      <c r="S1998" s="5"/>
      <c r="T1998" s="5"/>
    </row>
    <row r="1999" spans="2:20" ht="15.75" hidden="1" x14ac:dyDescent="0.25">
      <c r="B1999" s="21" t="s">
        <v>395</v>
      </c>
      <c r="C1999" s="22" t="s">
        <v>2450</v>
      </c>
      <c r="D1999" s="22"/>
      <c r="E1999" s="21" t="s">
        <v>0</v>
      </c>
      <c r="F1999" s="21"/>
      <c r="G1999" s="147" t="s">
        <v>99</v>
      </c>
      <c r="H1999" s="23" t="s">
        <v>1009</v>
      </c>
      <c r="I1999" s="23"/>
      <c r="J1999" s="21" t="s">
        <v>1036</v>
      </c>
      <c r="K1999" s="21"/>
      <c r="L1999" s="21" t="s">
        <v>3162</v>
      </c>
      <c r="M1999" s="26">
        <v>43948</v>
      </c>
      <c r="N1999" s="44">
        <v>1867</v>
      </c>
      <c r="O1999" s="22" t="s">
        <v>15</v>
      </c>
      <c r="P1999" s="22" t="s">
        <v>19</v>
      </c>
      <c r="Q1999" s="24">
        <f t="shared" si="123"/>
        <v>0</v>
      </c>
      <c r="R1999" s="24">
        <f t="shared" si="124"/>
        <v>1867</v>
      </c>
      <c r="S1999" s="5"/>
      <c r="T1999" s="5"/>
    </row>
    <row r="2000" spans="2:20" ht="15.75" hidden="1" x14ac:dyDescent="0.25">
      <c r="B2000" s="21" t="s">
        <v>395</v>
      </c>
      <c r="C2000" s="22" t="s">
        <v>2450</v>
      </c>
      <c r="D2000" s="22"/>
      <c r="E2000" s="21" t="s">
        <v>0</v>
      </c>
      <c r="F2000" s="21"/>
      <c r="G2000" s="147" t="s">
        <v>99</v>
      </c>
      <c r="H2000" s="23" t="s">
        <v>1009</v>
      </c>
      <c r="I2000" s="23"/>
      <c r="J2000" s="21" t="s">
        <v>1045</v>
      </c>
      <c r="K2000" s="21"/>
      <c r="L2000" s="21" t="s">
        <v>3162</v>
      </c>
      <c r="M2000" s="26">
        <v>43948</v>
      </c>
      <c r="N2000" s="44">
        <v>2240.4</v>
      </c>
      <c r="O2000" s="22" t="s">
        <v>15</v>
      </c>
      <c r="P2000" s="22" t="s">
        <v>19</v>
      </c>
      <c r="Q2000" s="24">
        <f t="shared" si="123"/>
        <v>0</v>
      </c>
      <c r="R2000" s="24">
        <f t="shared" si="124"/>
        <v>2240.4</v>
      </c>
      <c r="S2000" s="5"/>
      <c r="T2000" s="5"/>
    </row>
    <row r="2001" spans="2:20" ht="15.75" hidden="1" x14ac:dyDescent="0.25">
      <c r="B2001" s="21" t="s">
        <v>395</v>
      </c>
      <c r="C2001" s="22" t="s">
        <v>2450</v>
      </c>
      <c r="D2001" s="22"/>
      <c r="E2001" s="21" t="s">
        <v>0</v>
      </c>
      <c r="F2001" s="21"/>
      <c r="G2001" s="147" t="s">
        <v>99</v>
      </c>
      <c r="H2001" s="23" t="s">
        <v>1009</v>
      </c>
      <c r="I2001" s="23"/>
      <c r="J2001" s="21" t="s">
        <v>1054</v>
      </c>
      <c r="K2001" s="21"/>
      <c r="L2001" s="21" t="s">
        <v>3162</v>
      </c>
      <c r="M2001" s="26">
        <v>43948</v>
      </c>
      <c r="N2001" s="44">
        <v>3360.6</v>
      </c>
      <c r="O2001" s="22" t="s">
        <v>15</v>
      </c>
      <c r="P2001" s="22" t="s">
        <v>19</v>
      </c>
      <c r="Q2001" s="24">
        <f t="shared" si="123"/>
        <v>0</v>
      </c>
      <c r="R2001" s="24">
        <f t="shared" si="124"/>
        <v>3360.6</v>
      </c>
      <c r="S2001" s="5"/>
      <c r="T2001" s="5"/>
    </row>
    <row r="2002" spans="2:20" ht="15.75" hidden="1" x14ac:dyDescent="0.25">
      <c r="B2002" s="21" t="s">
        <v>395</v>
      </c>
      <c r="C2002" s="22" t="s">
        <v>2450</v>
      </c>
      <c r="D2002" s="22"/>
      <c r="E2002" s="21" t="s">
        <v>0</v>
      </c>
      <c r="F2002" s="21"/>
      <c r="G2002" s="147" t="s">
        <v>99</v>
      </c>
      <c r="H2002" s="23" t="s">
        <v>1009</v>
      </c>
      <c r="I2002" s="23"/>
      <c r="J2002" s="21" t="s">
        <v>1037</v>
      </c>
      <c r="K2002" s="21"/>
      <c r="L2002" s="21" t="s">
        <v>3795</v>
      </c>
      <c r="M2002" s="26">
        <v>44104</v>
      </c>
      <c r="N2002" s="44">
        <v>852</v>
      </c>
      <c r="O2002" s="22" t="s">
        <v>15</v>
      </c>
      <c r="P2002" s="22" t="s">
        <v>19</v>
      </c>
      <c r="Q2002" s="24">
        <f t="shared" si="123"/>
        <v>0</v>
      </c>
      <c r="R2002" s="24">
        <f t="shared" si="124"/>
        <v>852</v>
      </c>
      <c r="S2002" s="5"/>
      <c r="T2002" s="5"/>
    </row>
    <row r="2003" spans="2:20" ht="15.75" hidden="1" x14ac:dyDescent="0.25">
      <c r="B2003" s="21" t="s">
        <v>395</v>
      </c>
      <c r="C2003" s="22" t="s">
        <v>2450</v>
      </c>
      <c r="D2003" s="22"/>
      <c r="E2003" s="21" t="s">
        <v>0</v>
      </c>
      <c r="F2003" s="21"/>
      <c r="G2003" s="147" t="s">
        <v>99</v>
      </c>
      <c r="H2003" s="23" t="s">
        <v>1009</v>
      </c>
      <c r="I2003" s="23"/>
      <c r="J2003" s="21" t="s">
        <v>1046</v>
      </c>
      <c r="K2003" s="21"/>
      <c r="L2003" s="21" t="s">
        <v>3795</v>
      </c>
      <c r="M2003" s="26">
        <v>44104</v>
      </c>
      <c r="N2003" s="44">
        <v>1022.4</v>
      </c>
      <c r="O2003" s="22" t="s">
        <v>15</v>
      </c>
      <c r="P2003" s="22" t="s">
        <v>19</v>
      </c>
      <c r="Q2003" s="24">
        <f t="shared" si="123"/>
        <v>0</v>
      </c>
      <c r="R2003" s="24">
        <f t="shared" si="124"/>
        <v>1022.4</v>
      </c>
      <c r="S2003" s="5"/>
      <c r="T2003" s="5"/>
    </row>
    <row r="2004" spans="2:20" ht="15.75" hidden="1" x14ac:dyDescent="0.25">
      <c r="B2004" s="21" t="s">
        <v>395</v>
      </c>
      <c r="C2004" s="22" t="s">
        <v>2450</v>
      </c>
      <c r="D2004" s="22"/>
      <c r="E2004" s="21" t="s">
        <v>0</v>
      </c>
      <c r="F2004" s="21"/>
      <c r="G2004" s="147" t="s">
        <v>99</v>
      </c>
      <c r="H2004" s="23" t="s">
        <v>1009</v>
      </c>
      <c r="I2004" s="23"/>
      <c r="J2004" s="21" t="s">
        <v>1055</v>
      </c>
      <c r="K2004" s="21"/>
      <c r="L2004" s="21" t="s">
        <v>3795</v>
      </c>
      <c r="M2004" s="26">
        <v>44104</v>
      </c>
      <c r="N2004" s="44">
        <v>1533.6000000000001</v>
      </c>
      <c r="O2004" s="22" t="s">
        <v>15</v>
      </c>
      <c r="P2004" s="22" t="s">
        <v>19</v>
      </c>
      <c r="Q2004" s="24">
        <f t="shared" si="123"/>
        <v>0</v>
      </c>
      <c r="R2004" s="24">
        <f t="shared" si="124"/>
        <v>1533.6000000000001</v>
      </c>
      <c r="S2004" s="5"/>
      <c r="T2004" s="5"/>
    </row>
    <row r="2005" spans="2:20" ht="15.75" hidden="1" x14ac:dyDescent="0.25">
      <c r="B2005" s="21" t="s">
        <v>395</v>
      </c>
      <c r="C2005" s="22" t="s">
        <v>2450</v>
      </c>
      <c r="D2005" s="22"/>
      <c r="E2005" s="21" t="s">
        <v>0</v>
      </c>
      <c r="F2005" s="21"/>
      <c r="G2005" s="147" t="s">
        <v>99</v>
      </c>
      <c r="H2005" s="23" t="s">
        <v>1009</v>
      </c>
      <c r="I2005" s="23"/>
      <c r="J2005" s="21" t="s">
        <v>1056</v>
      </c>
      <c r="K2005" s="21"/>
      <c r="L2005" s="21" t="s">
        <v>4698</v>
      </c>
      <c r="M2005" s="26">
        <v>44288</v>
      </c>
      <c r="N2005" s="44">
        <v>1938.6000000000001</v>
      </c>
      <c r="O2005" s="22" t="s">
        <v>15</v>
      </c>
      <c r="P2005" s="22" t="s">
        <v>19</v>
      </c>
      <c r="Q2005" s="24">
        <f t="shared" si="123"/>
        <v>0</v>
      </c>
      <c r="R2005" s="24">
        <f t="shared" si="124"/>
        <v>1938.6000000000001</v>
      </c>
      <c r="S2005" s="5"/>
      <c r="T2005" s="5"/>
    </row>
    <row r="2006" spans="2:20" ht="15.75" hidden="1" x14ac:dyDescent="0.25">
      <c r="B2006" s="21" t="s">
        <v>395</v>
      </c>
      <c r="C2006" s="22" t="s">
        <v>2450</v>
      </c>
      <c r="D2006" s="22"/>
      <c r="E2006" s="21" t="s">
        <v>0</v>
      </c>
      <c r="F2006" s="21"/>
      <c r="G2006" s="147" t="s">
        <v>99</v>
      </c>
      <c r="H2006" s="23" t="s">
        <v>1009</v>
      </c>
      <c r="I2006" s="23"/>
      <c r="J2006" s="21" t="s">
        <v>1038</v>
      </c>
      <c r="K2006" s="21"/>
      <c r="L2006" s="21" t="s">
        <v>4698</v>
      </c>
      <c r="M2006" s="26">
        <v>44288</v>
      </c>
      <c r="N2006" s="44">
        <v>1077</v>
      </c>
      <c r="O2006" s="22" t="s">
        <v>15</v>
      </c>
      <c r="P2006" s="22" t="s">
        <v>19</v>
      </c>
      <c r="Q2006" s="24">
        <f t="shared" si="123"/>
        <v>0</v>
      </c>
      <c r="R2006" s="24">
        <f t="shared" si="124"/>
        <v>1077</v>
      </c>
      <c r="S2006" s="5"/>
      <c r="T2006" s="5"/>
    </row>
    <row r="2007" spans="2:20" ht="15.75" hidden="1" x14ac:dyDescent="0.25">
      <c r="B2007" s="21" t="s">
        <v>395</v>
      </c>
      <c r="C2007" s="22" t="s">
        <v>2450</v>
      </c>
      <c r="D2007" s="22"/>
      <c r="E2007" s="21" t="s">
        <v>0</v>
      </c>
      <c r="F2007" s="21"/>
      <c r="G2007" s="147" t="s">
        <v>99</v>
      </c>
      <c r="H2007" s="23" t="s">
        <v>1009</v>
      </c>
      <c r="I2007" s="23"/>
      <c r="J2007" s="21" t="s">
        <v>1047</v>
      </c>
      <c r="K2007" s="21"/>
      <c r="L2007" s="21" t="s">
        <v>4698</v>
      </c>
      <c r="M2007" s="26">
        <v>44288</v>
      </c>
      <c r="N2007" s="44">
        <v>1292.3999999999999</v>
      </c>
      <c r="O2007" s="22" t="s">
        <v>15</v>
      </c>
      <c r="P2007" s="22" t="s">
        <v>19</v>
      </c>
      <c r="Q2007" s="24">
        <f t="shared" si="123"/>
        <v>0</v>
      </c>
      <c r="R2007" s="24">
        <f t="shared" si="124"/>
        <v>1292.3999999999999</v>
      </c>
      <c r="S2007" s="5"/>
      <c r="T2007" s="5"/>
    </row>
    <row r="2008" spans="2:20" ht="15.75" hidden="1" x14ac:dyDescent="0.25">
      <c r="B2008" s="21" t="s">
        <v>395</v>
      </c>
      <c r="C2008" s="22" t="s">
        <v>2450</v>
      </c>
      <c r="D2008" s="22"/>
      <c r="E2008" s="21" t="s">
        <v>0</v>
      </c>
      <c r="F2008" s="21"/>
      <c r="G2008" s="147" t="s">
        <v>99</v>
      </c>
      <c r="H2008" s="23" t="s">
        <v>1009</v>
      </c>
      <c r="I2008" s="23"/>
      <c r="J2008" s="21" t="s">
        <v>1039</v>
      </c>
      <c r="K2008" s="21"/>
      <c r="L2008" s="21" t="s">
        <v>6623</v>
      </c>
      <c r="M2008" s="26">
        <v>44651</v>
      </c>
      <c r="N2008" s="44">
        <v>1077</v>
      </c>
      <c r="O2008" s="22" t="s">
        <v>15</v>
      </c>
      <c r="P2008" s="22" t="s">
        <v>19</v>
      </c>
      <c r="Q2008" s="24">
        <f t="shared" si="123"/>
        <v>0</v>
      </c>
      <c r="R2008" s="24">
        <f t="shared" si="124"/>
        <v>1077</v>
      </c>
      <c r="S2008" s="5"/>
      <c r="T2008" s="5"/>
    </row>
    <row r="2009" spans="2:20" ht="15.75" hidden="1" x14ac:dyDescent="0.25">
      <c r="B2009" s="21" t="s">
        <v>395</v>
      </c>
      <c r="C2009" s="22" t="s">
        <v>2450</v>
      </c>
      <c r="D2009" s="22"/>
      <c r="E2009" s="21" t="s">
        <v>0</v>
      </c>
      <c r="F2009" s="21"/>
      <c r="G2009" s="147" t="s">
        <v>99</v>
      </c>
      <c r="H2009" s="23" t="s">
        <v>1009</v>
      </c>
      <c r="I2009" s="23"/>
      <c r="J2009" s="21" t="s">
        <v>1048</v>
      </c>
      <c r="K2009" s="21"/>
      <c r="L2009" s="21" t="s">
        <v>6623</v>
      </c>
      <c r="M2009" s="26">
        <v>44651</v>
      </c>
      <c r="N2009" s="44">
        <v>1292.3999999999999</v>
      </c>
      <c r="O2009" s="22" t="s">
        <v>15</v>
      </c>
      <c r="P2009" s="22" t="s">
        <v>19</v>
      </c>
      <c r="Q2009" s="24">
        <f t="shared" si="123"/>
        <v>0</v>
      </c>
      <c r="R2009" s="24">
        <f t="shared" si="124"/>
        <v>1292.3999999999999</v>
      </c>
      <c r="S2009" s="5"/>
      <c r="T2009" s="5"/>
    </row>
    <row r="2010" spans="2:20" ht="15.75" hidden="1" x14ac:dyDescent="0.25">
      <c r="B2010" s="21" t="s">
        <v>395</v>
      </c>
      <c r="C2010" s="22" t="s">
        <v>2450</v>
      </c>
      <c r="D2010" s="22"/>
      <c r="E2010" s="21" t="s">
        <v>0</v>
      </c>
      <c r="F2010" s="21"/>
      <c r="G2010" s="147" t="s">
        <v>99</v>
      </c>
      <c r="H2010" s="23" t="s">
        <v>1009</v>
      </c>
      <c r="I2010" s="23"/>
      <c r="J2010" s="21" t="s">
        <v>1057</v>
      </c>
      <c r="K2010" s="21"/>
      <c r="L2010" s="21" t="s">
        <v>6623</v>
      </c>
      <c r="M2010" s="26">
        <v>44651</v>
      </c>
      <c r="N2010" s="44">
        <v>1938.6000000000001</v>
      </c>
      <c r="O2010" s="22" t="s">
        <v>15</v>
      </c>
      <c r="P2010" s="22" t="s">
        <v>19</v>
      </c>
      <c r="Q2010" s="24">
        <f t="shared" si="123"/>
        <v>0</v>
      </c>
      <c r="R2010" s="24">
        <f t="shared" si="124"/>
        <v>1938.6000000000001</v>
      </c>
      <c r="S2010" s="5"/>
      <c r="T2010" s="5"/>
    </row>
    <row r="2011" spans="2:20" ht="15.75" hidden="1" x14ac:dyDescent="0.25">
      <c r="B2011" s="21" t="s">
        <v>395</v>
      </c>
      <c r="C2011" s="22" t="s">
        <v>2450</v>
      </c>
      <c r="D2011" s="22"/>
      <c r="E2011" s="21" t="s">
        <v>0</v>
      </c>
      <c r="F2011" s="21"/>
      <c r="G2011" s="147" t="s">
        <v>99</v>
      </c>
      <c r="H2011" s="23" t="s">
        <v>1009</v>
      </c>
      <c r="I2011" s="23"/>
      <c r="J2011" s="21" t="s">
        <v>1033</v>
      </c>
      <c r="K2011" s="21"/>
      <c r="L2011" s="21" t="s">
        <v>2247</v>
      </c>
      <c r="M2011" s="26">
        <v>43642</v>
      </c>
      <c r="N2011" s="44">
        <v>1757</v>
      </c>
      <c r="O2011" s="22" t="s">
        <v>15</v>
      </c>
      <c r="P2011" s="22" t="s">
        <v>19</v>
      </c>
      <c r="Q2011" s="24">
        <f t="shared" si="123"/>
        <v>0</v>
      </c>
      <c r="R2011" s="24">
        <f t="shared" si="124"/>
        <v>1757</v>
      </c>
      <c r="S2011" s="5"/>
      <c r="T2011" s="5"/>
    </row>
    <row r="2012" spans="2:20" ht="15.75" hidden="1" x14ac:dyDescent="0.25">
      <c r="B2012" s="21" t="s">
        <v>395</v>
      </c>
      <c r="C2012" s="22" t="s">
        <v>2450</v>
      </c>
      <c r="D2012" s="22"/>
      <c r="E2012" s="21" t="s">
        <v>0</v>
      </c>
      <c r="F2012" s="21"/>
      <c r="G2012" s="147" t="s">
        <v>99</v>
      </c>
      <c r="H2012" s="23" t="s">
        <v>1009</v>
      </c>
      <c r="I2012" s="23"/>
      <c r="J2012" s="21" t="s">
        <v>1042</v>
      </c>
      <c r="K2012" s="21"/>
      <c r="L2012" s="21" t="s">
        <v>2247</v>
      </c>
      <c r="M2012" s="26">
        <v>43642</v>
      </c>
      <c r="N2012" s="44">
        <v>2108.4</v>
      </c>
      <c r="O2012" s="22" t="s">
        <v>15</v>
      </c>
      <c r="P2012" s="22" t="s">
        <v>19</v>
      </c>
      <c r="Q2012" s="24">
        <f t="shared" si="123"/>
        <v>0</v>
      </c>
      <c r="R2012" s="24">
        <f t="shared" si="124"/>
        <v>2108.4</v>
      </c>
      <c r="S2012" s="5"/>
      <c r="T2012" s="5"/>
    </row>
    <row r="2013" spans="2:20" ht="15.75" hidden="1" x14ac:dyDescent="0.25">
      <c r="B2013" s="21" t="s">
        <v>395</v>
      </c>
      <c r="C2013" s="22" t="s">
        <v>2450</v>
      </c>
      <c r="D2013" s="22"/>
      <c r="E2013" s="21" t="s">
        <v>0</v>
      </c>
      <c r="F2013" s="21"/>
      <c r="G2013" s="147" t="s">
        <v>99</v>
      </c>
      <c r="H2013" s="23" t="s">
        <v>1009</v>
      </c>
      <c r="I2013" s="23"/>
      <c r="J2013" s="21" t="s">
        <v>1051</v>
      </c>
      <c r="K2013" s="21"/>
      <c r="L2013" s="21" t="s">
        <v>2247</v>
      </c>
      <c r="M2013" s="26">
        <v>43642</v>
      </c>
      <c r="N2013" s="44">
        <v>3162.6</v>
      </c>
      <c r="O2013" s="22" t="s">
        <v>15</v>
      </c>
      <c r="P2013" s="22" t="s">
        <v>19</v>
      </c>
      <c r="Q2013" s="24">
        <f t="shared" si="123"/>
        <v>0</v>
      </c>
      <c r="R2013" s="24">
        <f t="shared" si="124"/>
        <v>3162.6</v>
      </c>
      <c r="S2013" s="5"/>
      <c r="T2013" s="5"/>
    </row>
    <row r="2014" spans="2:20" ht="15.75" hidden="1" x14ac:dyDescent="0.25">
      <c r="B2014" s="21" t="s">
        <v>395</v>
      </c>
      <c r="C2014" s="22" t="s">
        <v>2450</v>
      </c>
      <c r="D2014" s="22"/>
      <c r="E2014" s="21" t="s">
        <v>0</v>
      </c>
      <c r="F2014" s="21"/>
      <c r="G2014" s="147" t="s">
        <v>99</v>
      </c>
      <c r="H2014" s="23" t="s">
        <v>1009</v>
      </c>
      <c r="I2014" s="23"/>
      <c r="J2014" s="21" t="s">
        <v>1040</v>
      </c>
      <c r="K2014" s="21"/>
      <c r="L2014" s="21" t="s">
        <v>7787</v>
      </c>
      <c r="M2014" s="26">
        <v>45033</v>
      </c>
      <c r="N2014" s="44">
        <v>1052</v>
      </c>
      <c r="O2014" s="22" t="s">
        <v>15</v>
      </c>
      <c r="P2014" s="22" t="s">
        <v>19</v>
      </c>
      <c r="Q2014" s="24">
        <f t="shared" si="123"/>
        <v>0</v>
      </c>
      <c r="R2014" s="24">
        <f t="shared" si="124"/>
        <v>1052</v>
      </c>
      <c r="S2014" s="5"/>
      <c r="T2014" s="5"/>
    </row>
    <row r="2015" spans="2:20" ht="15.75" hidden="1" x14ac:dyDescent="0.25">
      <c r="B2015" s="21" t="s">
        <v>395</v>
      </c>
      <c r="C2015" s="22" t="s">
        <v>2450</v>
      </c>
      <c r="D2015" s="22"/>
      <c r="E2015" s="21" t="s">
        <v>0</v>
      </c>
      <c r="F2015" s="21"/>
      <c r="G2015" s="147" t="s">
        <v>99</v>
      </c>
      <c r="H2015" s="23" t="s">
        <v>1009</v>
      </c>
      <c r="I2015" s="23"/>
      <c r="J2015" s="21" t="s">
        <v>1049</v>
      </c>
      <c r="K2015" s="21"/>
      <c r="L2015" s="21" t="s">
        <v>7787</v>
      </c>
      <c r="M2015" s="26">
        <v>45033</v>
      </c>
      <c r="N2015" s="44">
        <v>1262.3999999999999</v>
      </c>
      <c r="O2015" s="22" t="s">
        <v>15</v>
      </c>
      <c r="P2015" s="22" t="s">
        <v>19</v>
      </c>
      <c r="Q2015" s="24">
        <f t="shared" si="123"/>
        <v>0</v>
      </c>
      <c r="R2015" s="24">
        <f t="shared" si="124"/>
        <v>1262.3999999999999</v>
      </c>
      <c r="S2015" s="5"/>
      <c r="T2015" s="5"/>
    </row>
    <row r="2016" spans="2:20" ht="15.75" hidden="1" x14ac:dyDescent="0.25">
      <c r="B2016" s="21" t="s">
        <v>395</v>
      </c>
      <c r="C2016" s="22" t="s">
        <v>2450</v>
      </c>
      <c r="D2016" s="22"/>
      <c r="E2016" s="21" t="s">
        <v>0</v>
      </c>
      <c r="F2016" s="21"/>
      <c r="G2016" s="147" t="s">
        <v>99</v>
      </c>
      <c r="H2016" s="23" t="s">
        <v>1009</v>
      </c>
      <c r="I2016" s="23"/>
      <c r="J2016" s="21" t="s">
        <v>1058</v>
      </c>
      <c r="K2016" s="21"/>
      <c r="L2016" s="21" t="s">
        <v>7787</v>
      </c>
      <c r="M2016" s="26">
        <v>45033</v>
      </c>
      <c r="N2016" s="44">
        <v>1893.6000000000001</v>
      </c>
      <c r="O2016" s="22" t="s">
        <v>15</v>
      </c>
      <c r="P2016" s="22" t="s">
        <v>19</v>
      </c>
      <c r="Q2016" s="24">
        <f t="shared" si="123"/>
        <v>0</v>
      </c>
      <c r="R2016" s="24">
        <f t="shared" si="124"/>
        <v>1893.6000000000001</v>
      </c>
      <c r="S2016" s="5"/>
      <c r="T2016" s="5"/>
    </row>
    <row r="2017" spans="2:20" ht="15.75" hidden="1" x14ac:dyDescent="0.25">
      <c r="B2017" s="21" t="s">
        <v>395</v>
      </c>
      <c r="C2017" s="22" t="s">
        <v>2450</v>
      </c>
      <c r="D2017" s="22"/>
      <c r="E2017" s="21" t="s">
        <v>0</v>
      </c>
      <c r="F2017" s="21"/>
      <c r="G2017" s="147" t="s">
        <v>99</v>
      </c>
      <c r="H2017" s="23" t="s">
        <v>1009</v>
      </c>
      <c r="I2017" s="23"/>
      <c r="J2017" s="21" t="s">
        <v>1034</v>
      </c>
      <c r="K2017" s="21"/>
      <c r="L2017" s="21" t="s">
        <v>2246</v>
      </c>
      <c r="M2017" s="26">
        <v>43752</v>
      </c>
      <c r="N2017" s="44">
        <v>1869.5</v>
      </c>
      <c r="O2017" s="22" t="s">
        <v>15</v>
      </c>
      <c r="P2017" s="22" t="s">
        <v>19</v>
      </c>
      <c r="Q2017" s="24">
        <f t="shared" si="123"/>
        <v>0</v>
      </c>
      <c r="R2017" s="24">
        <f t="shared" si="124"/>
        <v>1869.5</v>
      </c>
      <c r="S2017" s="5"/>
      <c r="T2017" s="5"/>
    </row>
    <row r="2018" spans="2:20" ht="15.75" hidden="1" x14ac:dyDescent="0.25">
      <c r="B2018" s="21" t="s">
        <v>395</v>
      </c>
      <c r="C2018" s="22" t="s">
        <v>2450</v>
      </c>
      <c r="D2018" s="22"/>
      <c r="E2018" s="21" t="s">
        <v>0</v>
      </c>
      <c r="F2018" s="21"/>
      <c r="G2018" s="147" t="s">
        <v>99</v>
      </c>
      <c r="H2018" s="23" t="s">
        <v>1009</v>
      </c>
      <c r="I2018" s="23"/>
      <c r="J2018" s="21" t="s">
        <v>1043</v>
      </c>
      <c r="K2018" s="21"/>
      <c r="L2018" s="21" t="s">
        <v>2246</v>
      </c>
      <c r="M2018" s="26">
        <v>43752</v>
      </c>
      <c r="N2018" s="44">
        <v>2243.4</v>
      </c>
      <c r="O2018" s="22" t="s">
        <v>15</v>
      </c>
      <c r="P2018" s="22" t="s">
        <v>19</v>
      </c>
      <c r="Q2018" s="24">
        <f t="shared" si="123"/>
        <v>0</v>
      </c>
      <c r="R2018" s="24">
        <f t="shared" si="124"/>
        <v>2243.4</v>
      </c>
      <c r="S2018" s="5"/>
      <c r="T2018" s="5"/>
    </row>
    <row r="2019" spans="2:20" ht="15.75" hidden="1" x14ac:dyDescent="0.25">
      <c r="B2019" s="21" t="s">
        <v>395</v>
      </c>
      <c r="C2019" s="22" t="s">
        <v>2450</v>
      </c>
      <c r="D2019" s="22"/>
      <c r="E2019" s="21" t="s">
        <v>0</v>
      </c>
      <c r="F2019" s="21"/>
      <c r="G2019" s="147" t="s">
        <v>99</v>
      </c>
      <c r="H2019" s="23" t="s">
        <v>1009</v>
      </c>
      <c r="I2019" s="23"/>
      <c r="J2019" s="21" t="s">
        <v>1052</v>
      </c>
      <c r="K2019" s="21"/>
      <c r="L2019" s="21" t="s">
        <v>2246</v>
      </c>
      <c r="M2019" s="26">
        <v>43752</v>
      </c>
      <c r="N2019" s="44">
        <v>3365.1</v>
      </c>
      <c r="O2019" s="22" t="s">
        <v>15</v>
      </c>
      <c r="P2019" s="22" t="s">
        <v>19</v>
      </c>
      <c r="Q2019" s="24">
        <f t="shared" si="123"/>
        <v>0</v>
      </c>
      <c r="R2019" s="24">
        <f t="shared" si="124"/>
        <v>3365.1</v>
      </c>
      <c r="S2019" s="5"/>
      <c r="T2019" s="5"/>
    </row>
    <row r="2020" spans="2:20" ht="15.75" hidden="1" x14ac:dyDescent="0.25">
      <c r="B2020" s="21" t="s">
        <v>395</v>
      </c>
      <c r="C2020" s="22" t="s">
        <v>2450</v>
      </c>
      <c r="D2020" s="22"/>
      <c r="E2020" s="21" t="s">
        <v>0</v>
      </c>
      <c r="F2020" s="21"/>
      <c r="G2020" s="147" t="s">
        <v>99</v>
      </c>
      <c r="H2020" s="23" t="s">
        <v>1009</v>
      </c>
      <c r="I2020" s="23"/>
      <c r="J2020" s="21" t="s">
        <v>1035</v>
      </c>
      <c r="K2020" s="21"/>
      <c r="L2020" s="21" t="s">
        <v>2675</v>
      </c>
      <c r="M2020" s="26">
        <v>43818</v>
      </c>
      <c r="N2020" s="44">
        <v>1304.5</v>
      </c>
      <c r="O2020" s="22" t="s">
        <v>15</v>
      </c>
      <c r="P2020" s="22" t="s">
        <v>19</v>
      </c>
      <c r="Q2020" s="24">
        <f t="shared" si="123"/>
        <v>0</v>
      </c>
      <c r="R2020" s="24">
        <f t="shared" si="124"/>
        <v>1304.5</v>
      </c>
      <c r="S2020" s="5"/>
      <c r="T2020" s="5"/>
    </row>
    <row r="2021" spans="2:20" ht="15.75" hidden="1" x14ac:dyDescent="0.25">
      <c r="B2021" s="21" t="s">
        <v>395</v>
      </c>
      <c r="C2021" s="22" t="s">
        <v>2450</v>
      </c>
      <c r="D2021" s="22"/>
      <c r="E2021" s="21" t="s">
        <v>0</v>
      </c>
      <c r="F2021" s="21"/>
      <c r="G2021" s="147" t="s">
        <v>99</v>
      </c>
      <c r="H2021" s="23" t="s">
        <v>1009</v>
      </c>
      <c r="I2021" s="23"/>
      <c r="J2021" s="21" t="s">
        <v>1044</v>
      </c>
      <c r="K2021" s="21"/>
      <c r="L2021" s="21" t="s">
        <v>2675</v>
      </c>
      <c r="M2021" s="26">
        <v>43818</v>
      </c>
      <c r="N2021" s="44">
        <v>1565.3999999999999</v>
      </c>
      <c r="O2021" s="22" t="s">
        <v>15</v>
      </c>
      <c r="P2021" s="22" t="s">
        <v>19</v>
      </c>
      <c r="Q2021" s="24">
        <f t="shared" si="123"/>
        <v>0</v>
      </c>
      <c r="R2021" s="24">
        <f t="shared" si="124"/>
        <v>1565.3999999999999</v>
      </c>
      <c r="S2021" s="5"/>
      <c r="T2021" s="5"/>
    </row>
    <row r="2022" spans="2:20" ht="15.75" hidden="1" x14ac:dyDescent="0.25">
      <c r="B2022" s="21" t="s">
        <v>395</v>
      </c>
      <c r="C2022" s="22" t="s">
        <v>2450</v>
      </c>
      <c r="D2022" s="22"/>
      <c r="E2022" s="21" t="s">
        <v>0</v>
      </c>
      <c r="F2022" s="21"/>
      <c r="G2022" s="147" t="s">
        <v>99</v>
      </c>
      <c r="H2022" s="23" t="s">
        <v>1009</v>
      </c>
      <c r="I2022" s="23"/>
      <c r="J2022" s="21" t="s">
        <v>1053</v>
      </c>
      <c r="K2022" s="21"/>
      <c r="L2022" s="21" t="s">
        <v>2675</v>
      </c>
      <c r="M2022" s="26">
        <v>43818</v>
      </c>
      <c r="N2022" s="44">
        <v>2348.1</v>
      </c>
      <c r="O2022" s="22" t="s">
        <v>15</v>
      </c>
      <c r="P2022" s="22" t="s">
        <v>19</v>
      </c>
      <c r="Q2022" s="24">
        <f t="shared" si="123"/>
        <v>0</v>
      </c>
      <c r="R2022" s="24">
        <f t="shared" si="124"/>
        <v>2348.1</v>
      </c>
      <c r="S2022" s="5"/>
      <c r="T2022" s="5"/>
    </row>
    <row r="2023" spans="2:20" ht="15.75" hidden="1" x14ac:dyDescent="0.25">
      <c r="B2023" s="21" t="s">
        <v>395</v>
      </c>
      <c r="C2023" s="22" t="s">
        <v>2450</v>
      </c>
      <c r="D2023" s="22"/>
      <c r="E2023" s="21" t="s">
        <v>0</v>
      </c>
      <c r="F2023" s="21"/>
      <c r="G2023" s="147" t="s">
        <v>99</v>
      </c>
      <c r="H2023" s="23" t="s">
        <v>1533</v>
      </c>
      <c r="I2023" s="23"/>
      <c r="J2023" s="21" t="s">
        <v>1192</v>
      </c>
      <c r="K2023" s="21"/>
      <c r="L2023" s="21"/>
      <c r="M2023" s="26" t="s">
        <v>1334</v>
      </c>
      <c r="N2023" s="89">
        <v>1890</v>
      </c>
      <c r="O2023" s="22" t="s">
        <v>15</v>
      </c>
      <c r="P2023" s="22" t="s">
        <v>19</v>
      </c>
      <c r="Q2023" s="24">
        <f t="shared" si="123"/>
        <v>0</v>
      </c>
      <c r="R2023" s="24">
        <f t="shared" si="124"/>
        <v>1890</v>
      </c>
      <c r="S2023" s="5"/>
      <c r="T2023" s="5"/>
    </row>
    <row r="2024" spans="2:20" ht="15.75" hidden="1" x14ac:dyDescent="0.25">
      <c r="B2024" s="21" t="s">
        <v>395</v>
      </c>
      <c r="C2024" s="22" t="s">
        <v>2450</v>
      </c>
      <c r="D2024" s="22"/>
      <c r="E2024" s="21" t="s">
        <v>0</v>
      </c>
      <c r="F2024" s="21"/>
      <c r="G2024" s="147" t="s">
        <v>99</v>
      </c>
      <c r="H2024" s="23" t="s">
        <v>1669</v>
      </c>
      <c r="I2024" s="23" t="s">
        <v>7860</v>
      </c>
      <c r="J2024" s="21" t="s">
        <v>1670</v>
      </c>
      <c r="K2024" s="13"/>
      <c r="L2024" s="21"/>
      <c r="M2024" s="28" t="s">
        <v>1776</v>
      </c>
      <c r="N2024" s="44">
        <v>2027</v>
      </c>
      <c r="O2024" s="22" t="s">
        <v>15</v>
      </c>
      <c r="P2024" s="22" t="s">
        <v>19</v>
      </c>
      <c r="Q2024" s="24">
        <f t="shared" si="123"/>
        <v>0</v>
      </c>
      <c r="R2024" s="24">
        <f t="shared" si="124"/>
        <v>2027</v>
      </c>
      <c r="S2024" s="5"/>
      <c r="T2024" s="5"/>
    </row>
    <row r="2025" spans="2:20" ht="15.75" hidden="1" x14ac:dyDescent="0.25">
      <c r="B2025" s="21" t="s">
        <v>395</v>
      </c>
      <c r="C2025" s="22" t="s">
        <v>2450</v>
      </c>
      <c r="D2025" s="22"/>
      <c r="E2025" s="21" t="s">
        <v>0</v>
      </c>
      <c r="F2025" s="21"/>
      <c r="G2025" s="147" t="s">
        <v>99</v>
      </c>
      <c r="H2025" s="23" t="s">
        <v>3400</v>
      </c>
      <c r="I2025" s="23" t="s">
        <v>7937</v>
      </c>
      <c r="J2025" s="21" t="s">
        <v>3401</v>
      </c>
      <c r="K2025" s="120"/>
      <c r="L2025" s="21" t="s">
        <v>3605</v>
      </c>
      <c r="M2025" s="26">
        <v>44043</v>
      </c>
      <c r="N2025" s="44">
        <f>0.25*2633</f>
        <v>658.25</v>
      </c>
      <c r="O2025" s="22" t="s">
        <v>15</v>
      </c>
      <c r="P2025" s="22" t="s">
        <v>19</v>
      </c>
      <c r="Q2025" s="24">
        <f t="shared" si="123"/>
        <v>0</v>
      </c>
      <c r="R2025" s="24">
        <f t="shared" si="124"/>
        <v>658.25</v>
      </c>
      <c r="S2025" s="5"/>
      <c r="T2025" s="5"/>
    </row>
    <row r="2026" spans="2:20" ht="15.75" hidden="1" x14ac:dyDescent="0.25">
      <c r="B2026" s="21" t="s">
        <v>395</v>
      </c>
      <c r="C2026" s="22" t="s">
        <v>2450</v>
      </c>
      <c r="D2026" s="22"/>
      <c r="E2026" s="21" t="s">
        <v>0</v>
      </c>
      <c r="F2026" s="21"/>
      <c r="G2026" s="147" t="s">
        <v>99</v>
      </c>
      <c r="H2026" s="23" t="s">
        <v>3400</v>
      </c>
      <c r="I2026" s="23" t="s">
        <v>7937</v>
      </c>
      <c r="J2026" s="21" t="s">
        <v>3402</v>
      </c>
      <c r="K2026" s="120"/>
      <c r="L2026" s="21" t="s">
        <v>3605</v>
      </c>
      <c r="M2026" s="26">
        <v>44043</v>
      </c>
      <c r="N2026" s="44">
        <f>0.75*2633</f>
        <v>1974.75</v>
      </c>
      <c r="O2026" s="22" t="s">
        <v>15</v>
      </c>
      <c r="P2026" s="22" t="s">
        <v>19</v>
      </c>
      <c r="Q2026" s="24">
        <f t="shared" si="123"/>
        <v>0</v>
      </c>
      <c r="R2026" s="24">
        <f t="shared" si="124"/>
        <v>1974.75</v>
      </c>
      <c r="S2026" s="5"/>
      <c r="T2026" s="5"/>
    </row>
    <row r="2027" spans="2:20" ht="15.75" hidden="1" x14ac:dyDescent="0.25">
      <c r="B2027" s="21" t="s">
        <v>395</v>
      </c>
      <c r="C2027" s="22" t="s">
        <v>2450</v>
      </c>
      <c r="D2027" s="22"/>
      <c r="E2027" s="21" t="s">
        <v>0</v>
      </c>
      <c r="F2027" s="21"/>
      <c r="G2027" s="147" t="s">
        <v>99</v>
      </c>
      <c r="H2027" s="23" t="s">
        <v>3400</v>
      </c>
      <c r="I2027" s="23" t="s">
        <v>7937</v>
      </c>
      <c r="J2027" s="21" t="s">
        <v>3403</v>
      </c>
      <c r="K2027" s="120"/>
      <c r="L2027" s="21" t="s">
        <v>3605</v>
      </c>
      <c r="M2027" s="26">
        <v>44043</v>
      </c>
      <c r="N2027" s="44">
        <v>1640</v>
      </c>
      <c r="O2027" s="22" t="s">
        <v>15</v>
      </c>
      <c r="P2027" s="22" t="s">
        <v>19</v>
      </c>
      <c r="Q2027" s="24">
        <f t="shared" si="123"/>
        <v>0</v>
      </c>
      <c r="R2027" s="24">
        <f t="shared" si="124"/>
        <v>1640</v>
      </c>
      <c r="S2027" s="5"/>
      <c r="T2027" s="5"/>
    </row>
    <row r="2028" spans="2:20" ht="15.75" hidden="1" x14ac:dyDescent="0.25">
      <c r="B2028" s="21" t="s">
        <v>395</v>
      </c>
      <c r="C2028" s="22" t="s">
        <v>2450</v>
      </c>
      <c r="D2028" s="22"/>
      <c r="E2028" s="21" t="s">
        <v>0</v>
      </c>
      <c r="F2028" s="21"/>
      <c r="G2028" s="147" t="s">
        <v>99</v>
      </c>
      <c r="H2028" s="23" t="s">
        <v>3400</v>
      </c>
      <c r="I2028" s="23" t="s">
        <v>7937</v>
      </c>
      <c r="J2028" s="21" t="s">
        <v>3403</v>
      </c>
      <c r="K2028" s="120"/>
      <c r="L2028" s="21" t="s">
        <v>4111</v>
      </c>
      <c r="M2028" s="23" t="s">
        <v>4112</v>
      </c>
      <c r="N2028" s="44">
        <v>1640</v>
      </c>
      <c r="O2028" s="22" t="s">
        <v>15</v>
      </c>
      <c r="P2028" s="22" t="s">
        <v>19</v>
      </c>
      <c r="Q2028" s="24">
        <f t="shared" si="123"/>
        <v>0</v>
      </c>
      <c r="R2028" s="24">
        <f t="shared" si="124"/>
        <v>1640</v>
      </c>
      <c r="S2028" s="5"/>
      <c r="T2028" s="5"/>
    </row>
    <row r="2029" spans="2:20" ht="15.75" hidden="1" x14ac:dyDescent="0.25">
      <c r="B2029" s="21" t="s">
        <v>395</v>
      </c>
      <c r="C2029" s="22" t="s">
        <v>2450</v>
      </c>
      <c r="D2029" s="22"/>
      <c r="E2029" s="21" t="s">
        <v>0</v>
      </c>
      <c r="F2029" s="21"/>
      <c r="G2029" s="147" t="s">
        <v>99</v>
      </c>
      <c r="H2029" s="23" t="s">
        <v>3400</v>
      </c>
      <c r="I2029" s="23" t="s">
        <v>7937</v>
      </c>
      <c r="J2029" s="21" t="s">
        <v>3403</v>
      </c>
      <c r="K2029" s="120"/>
      <c r="L2029" s="21" t="s">
        <v>3769</v>
      </c>
      <c r="M2029" s="26">
        <v>44096</v>
      </c>
      <c r="N2029" s="44">
        <v>1640</v>
      </c>
      <c r="O2029" s="22" t="s">
        <v>15</v>
      </c>
      <c r="P2029" s="22" t="s">
        <v>19</v>
      </c>
      <c r="Q2029" s="24">
        <f t="shared" si="123"/>
        <v>0</v>
      </c>
      <c r="R2029" s="24">
        <f t="shared" si="124"/>
        <v>1640</v>
      </c>
      <c r="S2029" s="5"/>
      <c r="T2029" s="5"/>
    </row>
    <row r="2030" spans="2:20" ht="15.75" hidden="1" x14ac:dyDescent="0.25">
      <c r="B2030" s="21" t="s">
        <v>395</v>
      </c>
      <c r="C2030" s="22" t="s">
        <v>2450</v>
      </c>
      <c r="D2030" s="22"/>
      <c r="E2030" s="21" t="s">
        <v>0</v>
      </c>
      <c r="F2030" s="21"/>
      <c r="G2030" s="147" t="s">
        <v>99</v>
      </c>
      <c r="H2030" s="23" t="s">
        <v>3566</v>
      </c>
      <c r="I2030" s="23" t="s">
        <v>7929</v>
      </c>
      <c r="J2030" s="21" t="s">
        <v>4113</v>
      </c>
      <c r="K2030" s="120"/>
      <c r="L2030" s="21" t="s">
        <v>3605</v>
      </c>
      <c r="M2030" s="26">
        <v>44043</v>
      </c>
      <c r="N2030" s="44">
        <f>2500*0.25</f>
        <v>625</v>
      </c>
      <c r="O2030" s="22" t="s">
        <v>15</v>
      </c>
      <c r="P2030" s="22" t="s">
        <v>19</v>
      </c>
      <c r="Q2030" s="24">
        <f t="shared" si="123"/>
        <v>0</v>
      </c>
      <c r="R2030" s="24">
        <f t="shared" si="124"/>
        <v>625</v>
      </c>
      <c r="S2030" s="5"/>
      <c r="T2030" s="5"/>
    </row>
    <row r="2031" spans="2:20" ht="15.75" hidden="1" x14ac:dyDescent="0.25">
      <c r="B2031" s="21" t="s">
        <v>395</v>
      </c>
      <c r="C2031" s="22" t="s">
        <v>2450</v>
      </c>
      <c r="D2031" s="22"/>
      <c r="E2031" s="21" t="s">
        <v>0</v>
      </c>
      <c r="F2031" s="21"/>
      <c r="G2031" s="147" t="s">
        <v>99</v>
      </c>
      <c r="H2031" s="23" t="s">
        <v>3566</v>
      </c>
      <c r="I2031" s="23" t="s">
        <v>7929</v>
      </c>
      <c r="J2031" s="21" t="s">
        <v>4114</v>
      </c>
      <c r="K2031" s="120"/>
      <c r="L2031" s="21" t="s">
        <v>4126</v>
      </c>
      <c r="M2031" s="26" t="s">
        <v>4127</v>
      </c>
      <c r="N2031" s="44">
        <f>2500*0.75</f>
        <v>1875</v>
      </c>
      <c r="O2031" s="22" t="s">
        <v>15</v>
      </c>
      <c r="P2031" s="22" t="s">
        <v>19</v>
      </c>
      <c r="Q2031" s="24">
        <f t="shared" si="123"/>
        <v>0</v>
      </c>
      <c r="R2031" s="24">
        <f t="shared" si="124"/>
        <v>1875</v>
      </c>
      <c r="S2031" s="5"/>
      <c r="T2031" s="5"/>
    </row>
    <row r="2032" spans="2:20" ht="15.75" hidden="1" x14ac:dyDescent="0.25">
      <c r="B2032" s="21" t="s">
        <v>395</v>
      </c>
      <c r="C2032" s="22" t="s">
        <v>2450</v>
      </c>
      <c r="D2032" s="22"/>
      <c r="E2032" s="21" t="s">
        <v>0</v>
      </c>
      <c r="F2032" s="21"/>
      <c r="G2032" s="147" t="s">
        <v>99</v>
      </c>
      <c r="H2032" s="23" t="s">
        <v>3566</v>
      </c>
      <c r="I2032" s="23" t="s">
        <v>7929</v>
      </c>
      <c r="J2032" s="21" t="s">
        <v>4115</v>
      </c>
      <c r="K2032" s="120"/>
      <c r="L2032" s="21" t="s">
        <v>3605</v>
      </c>
      <c r="M2032" s="26">
        <v>44043</v>
      </c>
      <c r="N2032" s="44">
        <f>0.25*4312</f>
        <v>1078</v>
      </c>
      <c r="O2032" s="22" t="s">
        <v>15</v>
      </c>
      <c r="P2032" s="22" t="s">
        <v>19</v>
      </c>
      <c r="Q2032" s="24">
        <f t="shared" si="123"/>
        <v>0</v>
      </c>
      <c r="R2032" s="24">
        <f t="shared" si="124"/>
        <v>1078</v>
      </c>
      <c r="S2032" s="5"/>
      <c r="T2032" s="5"/>
    </row>
    <row r="2033" spans="2:20" ht="15.75" hidden="1" x14ac:dyDescent="0.25">
      <c r="B2033" s="21" t="s">
        <v>395</v>
      </c>
      <c r="C2033" s="22" t="s">
        <v>2450</v>
      </c>
      <c r="D2033" s="22"/>
      <c r="E2033" s="21" t="s">
        <v>0</v>
      </c>
      <c r="F2033" s="21"/>
      <c r="G2033" s="147" t="s">
        <v>99</v>
      </c>
      <c r="H2033" s="23" t="s">
        <v>3566</v>
      </c>
      <c r="I2033" s="23" t="s">
        <v>7929</v>
      </c>
      <c r="J2033" s="21" t="s">
        <v>4116</v>
      </c>
      <c r="K2033" s="120"/>
      <c r="L2033" s="21" t="s">
        <v>3769</v>
      </c>
      <c r="M2033" s="26">
        <v>44096</v>
      </c>
      <c r="N2033" s="44">
        <f>0.75*4312</f>
        <v>3234</v>
      </c>
      <c r="O2033" s="22" t="s">
        <v>15</v>
      </c>
      <c r="P2033" s="22" t="s">
        <v>19</v>
      </c>
      <c r="Q2033" s="24">
        <f t="shared" si="123"/>
        <v>0</v>
      </c>
      <c r="R2033" s="24">
        <f t="shared" si="124"/>
        <v>3234</v>
      </c>
      <c r="S2033" s="5"/>
      <c r="T2033" s="5"/>
    </row>
    <row r="2034" spans="2:20" ht="15.75" hidden="1" x14ac:dyDescent="0.25">
      <c r="B2034" s="21" t="s">
        <v>395</v>
      </c>
      <c r="C2034" s="22" t="s">
        <v>2450</v>
      </c>
      <c r="D2034" s="22"/>
      <c r="E2034" s="21" t="s">
        <v>0</v>
      </c>
      <c r="F2034" s="21"/>
      <c r="G2034" s="147" t="s">
        <v>99</v>
      </c>
      <c r="H2034" s="23" t="s">
        <v>3566</v>
      </c>
      <c r="I2034" s="23" t="s">
        <v>7929</v>
      </c>
      <c r="J2034" s="21" t="s">
        <v>4117</v>
      </c>
      <c r="K2034" s="120"/>
      <c r="L2034" s="21" t="s">
        <v>3605</v>
      </c>
      <c r="M2034" s="26">
        <v>44043</v>
      </c>
      <c r="N2034" s="44">
        <f>0.25*25444</f>
        <v>6361</v>
      </c>
      <c r="O2034" s="22" t="s">
        <v>15</v>
      </c>
      <c r="P2034" s="22" t="s">
        <v>19</v>
      </c>
      <c r="Q2034" s="24">
        <f t="shared" si="123"/>
        <v>0</v>
      </c>
      <c r="R2034" s="24">
        <f t="shared" si="124"/>
        <v>6361</v>
      </c>
      <c r="S2034" s="5"/>
      <c r="T2034" s="5"/>
    </row>
    <row r="2035" spans="2:20" ht="15.75" hidden="1" x14ac:dyDescent="0.25">
      <c r="B2035" s="21" t="s">
        <v>395</v>
      </c>
      <c r="C2035" s="22" t="s">
        <v>2450</v>
      </c>
      <c r="D2035" s="22"/>
      <c r="E2035" s="21" t="s">
        <v>0</v>
      </c>
      <c r="F2035" s="21"/>
      <c r="G2035" s="147" t="s">
        <v>99</v>
      </c>
      <c r="H2035" s="23" t="s">
        <v>3566</v>
      </c>
      <c r="I2035" s="23" t="s">
        <v>7929</v>
      </c>
      <c r="J2035" s="21" t="s">
        <v>4118</v>
      </c>
      <c r="K2035" s="120"/>
      <c r="L2035" s="21" t="s">
        <v>4124</v>
      </c>
      <c r="M2035" s="26" t="s">
        <v>4125</v>
      </c>
      <c r="N2035" s="44">
        <f>0.75*25444</f>
        <v>19083</v>
      </c>
      <c r="O2035" s="22" t="s">
        <v>15</v>
      </c>
      <c r="P2035" s="22" t="s">
        <v>19</v>
      </c>
      <c r="Q2035" s="24">
        <f t="shared" si="123"/>
        <v>0</v>
      </c>
      <c r="R2035" s="24">
        <f t="shared" si="124"/>
        <v>19083</v>
      </c>
      <c r="S2035" s="5"/>
      <c r="T2035" s="5"/>
    </row>
    <row r="2036" spans="2:20" ht="15.75" hidden="1" x14ac:dyDescent="0.25">
      <c r="B2036" s="21" t="s">
        <v>395</v>
      </c>
      <c r="C2036" s="22" t="s">
        <v>2450</v>
      </c>
      <c r="D2036" s="22"/>
      <c r="E2036" s="21" t="s">
        <v>0</v>
      </c>
      <c r="F2036" s="21"/>
      <c r="G2036" s="147" t="s">
        <v>99</v>
      </c>
      <c r="H2036" s="23" t="s">
        <v>3566</v>
      </c>
      <c r="I2036" s="23" t="s">
        <v>7929</v>
      </c>
      <c r="J2036" s="21" t="s">
        <v>4119</v>
      </c>
      <c r="K2036" s="120"/>
      <c r="L2036" s="21" t="s">
        <v>4124</v>
      </c>
      <c r="M2036" s="26" t="s">
        <v>4125</v>
      </c>
      <c r="N2036" s="44">
        <f>0.25*13482</f>
        <v>3370.5</v>
      </c>
      <c r="O2036" s="22" t="s">
        <v>15</v>
      </c>
      <c r="P2036" s="22" t="s">
        <v>19</v>
      </c>
      <c r="Q2036" s="24">
        <f t="shared" si="123"/>
        <v>0</v>
      </c>
      <c r="R2036" s="24">
        <f t="shared" si="124"/>
        <v>3370.5</v>
      </c>
      <c r="S2036" s="5"/>
      <c r="T2036" s="5"/>
    </row>
    <row r="2037" spans="2:20" ht="15.75" hidden="1" x14ac:dyDescent="0.25">
      <c r="B2037" s="21" t="s">
        <v>395</v>
      </c>
      <c r="C2037" s="22" t="s">
        <v>2450</v>
      </c>
      <c r="D2037" s="22"/>
      <c r="E2037" s="21" t="s">
        <v>0</v>
      </c>
      <c r="F2037" s="21"/>
      <c r="G2037" s="147" t="s">
        <v>99</v>
      </c>
      <c r="H2037" s="23" t="s">
        <v>3566</v>
      </c>
      <c r="I2037" s="23" t="s">
        <v>7929</v>
      </c>
      <c r="J2037" s="21" t="s">
        <v>4120</v>
      </c>
      <c r="K2037" s="120"/>
      <c r="L2037" s="21" t="s">
        <v>4123</v>
      </c>
      <c r="M2037" s="26">
        <v>44096</v>
      </c>
      <c r="N2037" s="44">
        <f>0.75*13482</f>
        <v>10111.5</v>
      </c>
      <c r="O2037" s="22" t="s">
        <v>15</v>
      </c>
      <c r="P2037" s="22" t="s">
        <v>19</v>
      </c>
      <c r="Q2037" s="24">
        <f t="shared" si="123"/>
        <v>0</v>
      </c>
      <c r="R2037" s="24">
        <f t="shared" si="124"/>
        <v>10111.5</v>
      </c>
      <c r="S2037" s="5"/>
      <c r="T2037" s="5"/>
    </row>
    <row r="2038" spans="2:20" ht="15.75" hidden="1" x14ac:dyDescent="0.25">
      <c r="B2038" s="21" t="s">
        <v>395</v>
      </c>
      <c r="C2038" s="22" t="s">
        <v>2450</v>
      </c>
      <c r="D2038" s="22"/>
      <c r="E2038" s="21" t="s">
        <v>0</v>
      </c>
      <c r="F2038" s="21"/>
      <c r="G2038" s="147" t="s">
        <v>99</v>
      </c>
      <c r="H2038" s="23" t="s">
        <v>3566</v>
      </c>
      <c r="I2038" s="23" t="s">
        <v>7929</v>
      </c>
      <c r="J2038" s="21" t="s">
        <v>4121</v>
      </c>
      <c r="K2038" s="120"/>
      <c r="L2038" s="21" t="s">
        <v>4124</v>
      </c>
      <c r="M2038" s="26" t="s">
        <v>4125</v>
      </c>
      <c r="N2038" s="44">
        <f>0.25*((3000*2500)/1000)</f>
        <v>1875</v>
      </c>
      <c r="O2038" s="22" t="s">
        <v>15</v>
      </c>
      <c r="P2038" s="22" t="s">
        <v>19</v>
      </c>
      <c r="Q2038" s="24">
        <f t="shared" si="123"/>
        <v>0</v>
      </c>
      <c r="R2038" s="24">
        <f t="shared" si="124"/>
        <v>1875</v>
      </c>
      <c r="S2038" s="5"/>
      <c r="T2038" s="5"/>
    </row>
    <row r="2039" spans="2:20" ht="15.75" hidden="1" x14ac:dyDescent="0.25">
      <c r="B2039" s="21" t="s">
        <v>395</v>
      </c>
      <c r="C2039" s="22" t="s">
        <v>2450</v>
      </c>
      <c r="D2039" s="22"/>
      <c r="E2039" s="21" t="s">
        <v>0</v>
      </c>
      <c r="F2039" s="21"/>
      <c r="G2039" s="147" t="s">
        <v>99</v>
      </c>
      <c r="H2039" s="23" t="s">
        <v>3566</v>
      </c>
      <c r="I2039" s="23" t="s">
        <v>7929</v>
      </c>
      <c r="J2039" s="21" t="s">
        <v>4122</v>
      </c>
      <c r="K2039" s="120"/>
      <c r="L2039" s="21" t="s">
        <v>4123</v>
      </c>
      <c r="M2039" s="26">
        <v>44096</v>
      </c>
      <c r="N2039" s="44">
        <f>0.75*((3000*2500)/1000)</f>
        <v>5625</v>
      </c>
      <c r="O2039" s="22" t="s">
        <v>15</v>
      </c>
      <c r="P2039" s="22" t="s">
        <v>19</v>
      </c>
      <c r="Q2039" s="24">
        <f t="shared" ref="Q2039:Q2098" si="125">IF(P2039="en cours",N2039,IF(P2039="OK",0,IF(N2039-P2039&lt;0,0,N2039-P2039)))</f>
        <v>0</v>
      </c>
      <c r="R2039" s="24">
        <f t="shared" si="124"/>
        <v>5625</v>
      </c>
      <c r="S2039" s="5"/>
      <c r="T2039" s="5"/>
    </row>
    <row r="2040" spans="2:20" ht="15.75" hidden="1" x14ac:dyDescent="0.25">
      <c r="B2040" s="21" t="s">
        <v>395</v>
      </c>
      <c r="C2040" s="22" t="s">
        <v>2450</v>
      </c>
      <c r="D2040" s="22"/>
      <c r="E2040" s="21" t="s">
        <v>0</v>
      </c>
      <c r="F2040" s="21"/>
      <c r="G2040" s="147" t="s">
        <v>99</v>
      </c>
      <c r="H2040" s="23" t="s">
        <v>3565</v>
      </c>
      <c r="I2040" s="23" t="s">
        <v>7929</v>
      </c>
      <c r="J2040" s="21" t="s">
        <v>3567</v>
      </c>
      <c r="K2040" s="120"/>
      <c r="L2040" s="21" t="s">
        <v>3897</v>
      </c>
      <c r="M2040" s="26">
        <v>44130</v>
      </c>
      <c r="N2040" s="44">
        <v>1325</v>
      </c>
      <c r="O2040" s="22" t="s">
        <v>15</v>
      </c>
      <c r="P2040" s="22" t="s">
        <v>19</v>
      </c>
      <c r="Q2040" s="24">
        <f t="shared" si="125"/>
        <v>0</v>
      </c>
      <c r="R2040" s="24">
        <f t="shared" si="124"/>
        <v>1325</v>
      </c>
      <c r="S2040" s="5"/>
      <c r="T2040" s="5"/>
    </row>
    <row r="2041" spans="2:20" ht="15.75" hidden="1" x14ac:dyDescent="0.25">
      <c r="B2041" s="21" t="s">
        <v>395</v>
      </c>
      <c r="C2041" s="22" t="s">
        <v>2450</v>
      </c>
      <c r="D2041" s="22"/>
      <c r="E2041" s="21" t="s">
        <v>0</v>
      </c>
      <c r="F2041" s="21"/>
      <c r="G2041" s="147" t="s">
        <v>6365</v>
      </c>
      <c r="H2041" s="23" t="s">
        <v>1774</v>
      </c>
      <c r="I2041" s="23" t="s">
        <v>8305</v>
      </c>
      <c r="J2041" s="21" t="s">
        <v>5443</v>
      </c>
      <c r="K2041" s="21"/>
      <c r="L2041" s="21" t="s">
        <v>6622</v>
      </c>
      <c r="M2041" s="26">
        <v>44651</v>
      </c>
      <c r="N2041" s="44">
        <v>2665</v>
      </c>
      <c r="O2041" s="22" t="s">
        <v>15</v>
      </c>
      <c r="P2041" s="22" t="s">
        <v>19</v>
      </c>
      <c r="Q2041" s="24">
        <f t="shared" si="125"/>
        <v>0</v>
      </c>
      <c r="R2041" s="24">
        <f t="shared" si="124"/>
        <v>2665</v>
      </c>
      <c r="S2041" s="5"/>
      <c r="T2041" s="5"/>
    </row>
    <row r="2042" spans="2:20" ht="15.75" hidden="1" x14ac:dyDescent="0.25">
      <c r="B2042" s="21" t="s">
        <v>395</v>
      </c>
      <c r="C2042" s="22" t="s">
        <v>2450</v>
      </c>
      <c r="D2042" s="22"/>
      <c r="E2042" s="21" t="s">
        <v>0</v>
      </c>
      <c r="F2042" s="21"/>
      <c r="G2042" s="147" t="s">
        <v>6365</v>
      </c>
      <c r="H2042" s="23" t="s">
        <v>5441</v>
      </c>
      <c r="I2042" s="23"/>
      <c r="J2042" s="21" t="s">
        <v>5444</v>
      </c>
      <c r="K2042" s="21"/>
      <c r="L2042" s="21" t="s">
        <v>5999</v>
      </c>
      <c r="M2042" s="26">
        <v>44495</v>
      </c>
      <c r="N2042" s="44">
        <v>2765</v>
      </c>
      <c r="O2042" s="22" t="s">
        <v>15</v>
      </c>
      <c r="P2042" s="22" t="s">
        <v>19</v>
      </c>
      <c r="Q2042" s="24">
        <f t="shared" si="125"/>
        <v>0</v>
      </c>
      <c r="R2042" s="24">
        <f t="shared" si="124"/>
        <v>2765</v>
      </c>
      <c r="S2042" s="5"/>
      <c r="T2042" s="5"/>
    </row>
    <row r="2043" spans="2:20" ht="15.75" hidden="1" x14ac:dyDescent="0.25">
      <c r="B2043" s="21" t="s">
        <v>395</v>
      </c>
      <c r="C2043" s="22" t="s">
        <v>2450</v>
      </c>
      <c r="D2043" s="22"/>
      <c r="E2043" s="21" t="s">
        <v>0</v>
      </c>
      <c r="F2043" s="21"/>
      <c r="G2043" s="147" t="s">
        <v>6365</v>
      </c>
      <c r="H2043" s="23" t="s">
        <v>5441</v>
      </c>
      <c r="I2043" s="23"/>
      <c r="J2043" s="21" t="s">
        <v>5442</v>
      </c>
      <c r="K2043" s="21"/>
      <c r="L2043" s="21" t="s">
        <v>7788</v>
      </c>
      <c r="M2043" s="26">
        <v>45033</v>
      </c>
      <c r="N2043" s="44">
        <v>2665</v>
      </c>
      <c r="O2043" s="22" t="s">
        <v>15</v>
      </c>
      <c r="P2043" s="22" t="s">
        <v>19</v>
      </c>
      <c r="Q2043" s="24">
        <f t="shared" si="125"/>
        <v>0</v>
      </c>
      <c r="R2043" s="24">
        <f t="shared" si="124"/>
        <v>2665</v>
      </c>
      <c r="S2043" s="5"/>
      <c r="T2043" s="5"/>
    </row>
    <row r="2044" spans="2:20" ht="15.75" hidden="1" x14ac:dyDescent="0.25">
      <c r="B2044" s="21" t="s">
        <v>395</v>
      </c>
      <c r="C2044" s="22" t="s">
        <v>2450</v>
      </c>
      <c r="D2044" s="22"/>
      <c r="E2044" s="21" t="s">
        <v>0</v>
      </c>
      <c r="F2044" s="21"/>
      <c r="G2044" s="147" t="s">
        <v>6365</v>
      </c>
      <c r="H2044" s="23" t="s">
        <v>3686</v>
      </c>
      <c r="I2044" s="23"/>
      <c r="J2044" s="21" t="s">
        <v>3685</v>
      </c>
      <c r="K2044" s="120"/>
      <c r="L2044" s="21" t="s">
        <v>4128</v>
      </c>
      <c r="M2044" s="26" t="s">
        <v>4129</v>
      </c>
      <c r="N2044" s="44">
        <v>2281</v>
      </c>
      <c r="O2044" s="22" t="s">
        <v>15</v>
      </c>
      <c r="P2044" s="22">
        <f>282.75+1150+848.25</f>
        <v>2281</v>
      </c>
      <c r="Q2044" s="24">
        <f t="shared" si="125"/>
        <v>0</v>
      </c>
      <c r="R2044" s="24">
        <f t="shared" si="124"/>
        <v>2281</v>
      </c>
      <c r="S2044" s="5"/>
      <c r="T2044" s="5"/>
    </row>
    <row r="2045" spans="2:20" ht="15.75" hidden="1" x14ac:dyDescent="0.25">
      <c r="B2045" s="21" t="s">
        <v>395</v>
      </c>
      <c r="C2045" s="22" t="s">
        <v>2450</v>
      </c>
      <c r="D2045" s="22"/>
      <c r="E2045" s="21" t="s">
        <v>0</v>
      </c>
      <c r="F2045" s="21"/>
      <c r="G2045" s="147" t="s">
        <v>6365</v>
      </c>
      <c r="H2045" s="23" t="s">
        <v>3963</v>
      </c>
      <c r="I2045" s="23" t="s">
        <v>7982</v>
      </c>
      <c r="J2045" s="21" t="s">
        <v>3964</v>
      </c>
      <c r="K2045" s="120"/>
      <c r="L2045" s="21" t="s">
        <v>4305</v>
      </c>
      <c r="M2045" s="26">
        <v>44209</v>
      </c>
      <c r="N2045" s="44">
        <v>5500</v>
      </c>
      <c r="O2045" s="22" t="s">
        <v>15</v>
      </c>
      <c r="P2045" s="22" t="s">
        <v>19</v>
      </c>
      <c r="Q2045" s="24">
        <f t="shared" si="125"/>
        <v>0</v>
      </c>
      <c r="R2045" s="24">
        <f t="shared" si="124"/>
        <v>5500</v>
      </c>
      <c r="S2045" s="5"/>
      <c r="T2045" s="5"/>
    </row>
    <row r="2046" spans="2:20" ht="15.75" hidden="1" x14ac:dyDescent="0.25">
      <c r="B2046" s="21" t="s">
        <v>395</v>
      </c>
      <c r="C2046" s="22" t="s">
        <v>2450</v>
      </c>
      <c r="D2046" s="22"/>
      <c r="E2046" s="21" t="s">
        <v>0</v>
      </c>
      <c r="F2046" s="21"/>
      <c r="G2046" s="147" t="s">
        <v>6365</v>
      </c>
      <c r="H2046" s="23" t="s">
        <v>4068</v>
      </c>
      <c r="I2046" s="23" t="s">
        <v>7989</v>
      </c>
      <c r="J2046" s="21" t="s">
        <v>4069</v>
      </c>
      <c r="K2046" s="47"/>
      <c r="L2046" s="21" t="s">
        <v>4072</v>
      </c>
      <c r="M2046" s="26">
        <v>44160</v>
      </c>
      <c r="N2046" s="44">
        <f>0.25*3332</f>
        <v>833</v>
      </c>
      <c r="O2046" s="22" t="s">
        <v>15</v>
      </c>
      <c r="P2046" s="22" t="s">
        <v>19</v>
      </c>
      <c r="Q2046" s="44">
        <f t="shared" si="125"/>
        <v>0</v>
      </c>
      <c r="R2046" s="24">
        <f t="shared" ref="R2046:R2092" si="126">IF(P2046="OK",N2046-Q2046,IF(P2046="en cours",N2046-Q2046,P2046))</f>
        <v>833</v>
      </c>
      <c r="S2046" s="5"/>
      <c r="T2046" s="5"/>
    </row>
    <row r="2047" spans="2:20" ht="15.75" hidden="1" x14ac:dyDescent="0.25">
      <c r="B2047" s="21" t="s">
        <v>395</v>
      </c>
      <c r="C2047" s="22" t="s">
        <v>2450</v>
      </c>
      <c r="D2047" s="22"/>
      <c r="E2047" s="21" t="s">
        <v>0</v>
      </c>
      <c r="F2047" s="21"/>
      <c r="G2047" s="147" t="s">
        <v>6365</v>
      </c>
      <c r="H2047" s="23" t="s">
        <v>4068</v>
      </c>
      <c r="I2047" s="23" t="s">
        <v>7989</v>
      </c>
      <c r="J2047" s="21" t="s">
        <v>4070</v>
      </c>
      <c r="K2047" s="47"/>
      <c r="L2047" s="21" t="s">
        <v>4280</v>
      </c>
      <c r="M2047" s="26">
        <v>44214</v>
      </c>
      <c r="N2047" s="44">
        <f>0.75*3332</f>
        <v>2499</v>
      </c>
      <c r="O2047" s="22" t="s">
        <v>15</v>
      </c>
      <c r="P2047" s="22" t="s">
        <v>19</v>
      </c>
      <c r="Q2047" s="24">
        <f t="shared" si="125"/>
        <v>0</v>
      </c>
      <c r="R2047" s="24">
        <f t="shared" si="126"/>
        <v>2499</v>
      </c>
      <c r="S2047" s="5"/>
      <c r="T2047" s="5"/>
    </row>
    <row r="2048" spans="2:20" ht="15.75" hidden="1" x14ac:dyDescent="0.25">
      <c r="B2048" s="21" t="s">
        <v>395</v>
      </c>
      <c r="C2048" s="22" t="s">
        <v>2450</v>
      </c>
      <c r="D2048" s="22"/>
      <c r="E2048" s="21" t="s">
        <v>0</v>
      </c>
      <c r="F2048" s="21"/>
      <c r="G2048" s="147" t="s">
        <v>6365</v>
      </c>
      <c r="H2048" s="23" t="s">
        <v>4068</v>
      </c>
      <c r="I2048" s="23" t="s">
        <v>7989</v>
      </c>
      <c r="J2048" s="21" t="s">
        <v>4071</v>
      </c>
      <c r="K2048" s="47"/>
      <c r="L2048" s="21" t="s">
        <v>4280</v>
      </c>
      <c r="M2048" s="26">
        <v>44214</v>
      </c>
      <c r="N2048" s="44">
        <v>820</v>
      </c>
      <c r="O2048" s="22" t="s">
        <v>15</v>
      </c>
      <c r="P2048" s="22" t="s">
        <v>19</v>
      </c>
      <c r="Q2048" s="24">
        <f t="shared" si="125"/>
        <v>0</v>
      </c>
      <c r="R2048" s="24">
        <f t="shared" si="126"/>
        <v>820</v>
      </c>
      <c r="S2048" s="5"/>
      <c r="T2048" s="5"/>
    </row>
    <row r="2049" spans="1:20" ht="15.75" hidden="1" x14ac:dyDescent="0.25">
      <c r="B2049" s="21" t="s">
        <v>395</v>
      </c>
      <c r="C2049" s="22" t="s">
        <v>2450</v>
      </c>
      <c r="D2049" s="22"/>
      <c r="E2049" s="21" t="s">
        <v>0</v>
      </c>
      <c r="F2049" s="21"/>
      <c r="G2049" s="147" t="s">
        <v>6365</v>
      </c>
      <c r="H2049" s="23" t="s">
        <v>4223</v>
      </c>
      <c r="I2049" s="23" t="s">
        <v>8004</v>
      </c>
      <c r="J2049" s="21" t="s">
        <v>4224</v>
      </c>
      <c r="K2049" s="21"/>
      <c r="L2049" s="21" t="s">
        <v>4225</v>
      </c>
      <c r="M2049" s="26">
        <v>44202</v>
      </c>
      <c r="N2049" s="44">
        <v>1947</v>
      </c>
      <c r="O2049" s="22" t="s">
        <v>15</v>
      </c>
      <c r="P2049" s="22" t="s">
        <v>19</v>
      </c>
      <c r="Q2049" s="24">
        <f t="shared" si="125"/>
        <v>0</v>
      </c>
      <c r="R2049" s="24">
        <f t="shared" si="126"/>
        <v>1947</v>
      </c>
      <c r="S2049" s="5"/>
      <c r="T2049" s="5"/>
    </row>
    <row r="2050" spans="1:20" ht="15.75" hidden="1" x14ac:dyDescent="0.25">
      <c r="B2050" s="21" t="s">
        <v>395</v>
      </c>
      <c r="C2050" s="22" t="s">
        <v>2450</v>
      </c>
      <c r="D2050" s="22"/>
      <c r="E2050" s="21" t="s">
        <v>0</v>
      </c>
      <c r="F2050" s="21"/>
      <c r="G2050" s="147" t="s">
        <v>6365</v>
      </c>
      <c r="H2050" s="23" t="s">
        <v>5111</v>
      </c>
      <c r="I2050" s="23" t="s">
        <v>8054</v>
      </c>
      <c r="J2050" s="21" t="s">
        <v>5112</v>
      </c>
      <c r="K2050" s="21"/>
      <c r="L2050" s="21" t="s">
        <v>5249</v>
      </c>
      <c r="M2050" s="26">
        <v>44368</v>
      </c>
      <c r="N2050" s="44">
        <v>1632</v>
      </c>
      <c r="O2050" s="22" t="s">
        <v>15</v>
      </c>
      <c r="P2050" s="22" t="s">
        <v>19</v>
      </c>
      <c r="Q2050" s="24">
        <f t="shared" si="125"/>
        <v>0</v>
      </c>
      <c r="R2050" s="24">
        <f t="shared" si="126"/>
        <v>1632</v>
      </c>
      <c r="S2050" s="5"/>
      <c r="T2050" s="5"/>
    </row>
    <row r="2051" spans="1:20" ht="15.75" hidden="1" x14ac:dyDescent="0.25">
      <c r="B2051" s="21" t="s">
        <v>395</v>
      </c>
      <c r="C2051" s="22" t="s">
        <v>2450</v>
      </c>
      <c r="D2051" s="22"/>
      <c r="E2051" s="21" t="s">
        <v>0</v>
      </c>
      <c r="F2051" s="21"/>
      <c r="G2051" s="147" t="s">
        <v>6365</v>
      </c>
      <c r="H2051" s="23" t="s">
        <v>5226</v>
      </c>
      <c r="I2051" s="23" t="s">
        <v>8061</v>
      </c>
      <c r="J2051" s="21" t="s">
        <v>5227</v>
      </c>
      <c r="K2051" s="21"/>
      <c r="L2051" s="21" t="s">
        <v>5284</v>
      </c>
      <c r="M2051" s="26" t="s">
        <v>5285</v>
      </c>
      <c r="N2051" s="44">
        <v>5198</v>
      </c>
      <c r="O2051" s="22" t="s">
        <v>15</v>
      </c>
      <c r="P2051" s="22">
        <f>1299.5+3898.5</f>
        <v>5198</v>
      </c>
      <c r="Q2051" s="24">
        <f t="shared" si="125"/>
        <v>0</v>
      </c>
      <c r="R2051" s="24">
        <f t="shared" si="126"/>
        <v>5198</v>
      </c>
      <c r="S2051" s="5"/>
      <c r="T2051" s="5"/>
    </row>
    <row r="2052" spans="1:20" ht="15.75" hidden="1" x14ac:dyDescent="0.25">
      <c r="B2052" s="21" t="s">
        <v>395</v>
      </c>
      <c r="C2052" s="22" t="s">
        <v>2450</v>
      </c>
      <c r="D2052" s="22"/>
      <c r="E2052" s="21" t="s">
        <v>0</v>
      </c>
      <c r="F2052" s="21"/>
      <c r="G2052" s="147" t="s">
        <v>6365</v>
      </c>
      <c r="H2052" s="23" t="s">
        <v>6026</v>
      </c>
      <c r="I2052" s="23" t="s">
        <v>8109</v>
      </c>
      <c r="J2052" s="21" t="s">
        <v>6027</v>
      </c>
      <c r="K2052" s="21"/>
      <c r="L2052" s="21" t="s">
        <v>6602</v>
      </c>
      <c r="M2052" s="26" t="s">
        <v>6603</v>
      </c>
      <c r="N2052" s="44">
        <v>39416.1</v>
      </c>
      <c r="O2052" s="22" t="s">
        <v>15</v>
      </c>
      <c r="P2052" s="44">
        <f>9854.03+29562.07</f>
        <v>39416.1</v>
      </c>
      <c r="Q2052" s="24">
        <f t="shared" si="125"/>
        <v>0</v>
      </c>
      <c r="R2052" s="24">
        <f t="shared" si="126"/>
        <v>39416.1</v>
      </c>
      <c r="S2052" s="5"/>
      <c r="T2052" s="5"/>
    </row>
    <row r="2053" spans="1:20" ht="15.75" hidden="1" x14ac:dyDescent="0.25">
      <c r="B2053" s="21" t="s">
        <v>395</v>
      </c>
      <c r="C2053" s="22" t="s">
        <v>2450</v>
      </c>
      <c r="D2053" s="22"/>
      <c r="E2053" s="21" t="s">
        <v>0</v>
      </c>
      <c r="F2053" s="21"/>
      <c r="G2053" s="147" t="s">
        <v>6365</v>
      </c>
      <c r="H2053" s="23" t="s">
        <v>8999</v>
      </c>
      <c r="I2053" s="23" t="s">
        <v>9000</v>
      </c>
      <c r="J2053" s="21" t="s">
        <v>9001</v>
      </c>
      <c r="K2053" s="21"/>
      <c r="L2053" s="21" t="s">
        <v>9052</v>
      </c>
      <c r="M2053" s="26">
        <v>45216</v>
      </c>
      <c r="N2053" s="44">
        <v>235.64</v>
      </c>
      <c r="O2053" s="22" t="s">
        <v>15</v>
      </c>
      <c r="P2053" s="44">
        <v>235.64</v>
      </c>
      <c r="Q2053" s="44">
        <f t="shared" si="125"/>
        <v>0</v>
      </c>
      <c r="R2053" s="24">
        <f t="shared" si="126"/>
        <v>235.64</v>
      </c>
      <c r="S2053" s="5"/>
      <c r="T2053" s="5"/>
    </row>
    <row r="2054" spans="1:20" ht="15.75" hidden="1" x14ac:dyDescent="0.25">
      <c r="B2054" s="21" t="s">
        <v>395</v>
      </c>
      <c r="C2054" s="22" t="s">
        <v>2450</v>
      </c>
      <c r="D2054" s="22"/>
      <c r="E2054" s="21" t="s">
        <v>0</v>
      </c>
      <c r="F2054" s="21"/>
      <c r="G2054" s="147" t="s">
        <v>6365</v>
      </c>
      <c r="H2054" s="23" t="s">
        <v>9122</v>
      </c>
      <c r="I2054" s="23" t="s">
        <v>8971</v>
      </c>
      <c r="J2054" s="21" t="s">
        <v>9050</v>
      </c>
      <c r="K2054" s="21"/>
      <c r="L2054" s="21" t="s">
        <v>9554</v>
      </c>
      <c r="M2054" s="26" t="s">
        <v>9555</v>
      </c>
      <c r="N2054" s="44">
        <v>116134</v>
      </c>
      <c r="O2054" s="22" t="s">
        <v>15</v>
      </c>
      <c r="P2054" s="44">
        <f>23228.5+10451.25+22353.75+60100.5</f>
        <v>116134</v>
      </c>
      <c r="Q2054" s="44">
        <f t="shared" si="125"/>
        <v>0</v>
      </c>
      <c r="R2054" s="24">
        <f t="shared" si="126"/>
        <v>116134</v>
      </c>
      <c r="S2054" s="5" t="s">
        <v>9123</v>
      </c>
      <c r="T2054" s="5"/>
    </row>
    <row r="2055" spans="1:20" ht="15.75" hidden="1" x14ac:dyDescent="0.25">
      <c r="B2055" s="21" t="s">
        <v>395</v>
      </c>
      <c r="C2055" s="22" t="s">
        <v>2450</v>
      </c>
      <c r="D2055" s="22"/>
      <c r="E2055" s="21" t="s">
        <v>0</v>
      </c>
      <c r="F2055" s="21"/>
      <c r="G2055" s="147" t="s">
        <v>6365</v>
      </c>
      <c r="H2055" s="23" t="s">
        <v>9263</v>
      </c>
      <c r="I2055" s="23" t="s">
        <v>9264</v>
      </c>
      <c r="J2055" s="21" t="s">
        <v>9265</v>
      </c>
      <c r="K2055" s="21"/>
      <c r="L2055" s="21" t="s">
        <v>9379</v>
      </c>
      <c r="M2055" s="26">
        <v>45292</v>
      </c>
      <c r="N2055" s="44">
        <v>4822.66</v>
      </c>
      <c r="O2055" s="22" t="s">
        <v>15</v>
      </c>
      <c r="P2055" s="44">
        <v>4822.66</v>
      </c>
      <c r="Q2055" s="44">
        <f t="shared" si="125"/>
        <v>0</v>
      </c>
      <c r="R2055" s="24">
        <f t="shared" si="126"/>
        <v>4822.66</v>
      </c>
      <c r="S2055" s="5"/>
      <c r="T2055" s="5"/>
    </row>
    <row r="2056" spans="1:20" ht="15.75" hidden="1" x14ac:dyDescent="0.25">
      <c r="B2056" s="21" t="s">
        <v>395</v>
      </c>
      <c r="C2056" s="22" t="s">
        <v>2450</v>
      </c>
      <c r="D2056" s="22"/>
      <c r="E2056" s="21" t="s">
        <v>0</v>
      </c>
      <c r="F2056" s="21" t="s">
        <v>9807</v>
      </c>
      <c r="G2056" s="147" t="s">
        <v>6365</v>
      </c>
      <c r="H2056" s="23" t="s">
        <v>9916</v>
      </c>
      <c r="I2056" s="23" t="s">
        <v>9917</v>
      </c>
      <c r="J2056" s="21" t="s">
        <v>9918</v>
      </c>
      <c r="K2056" s="21"/>
      <c r="L2056" s="21" t="s">
        <v>10512</v>
      </c>
      <c r="M2056" s="26" t="s">
        <v>10513</v>
      </c>
      <c r="N2056" s="44">
        <v>51560</v>
      </c>
      <c r="O2056" s="22" t="s">
        <v>15</v>
      </c>
      <c r="P2056" s="44">
        <f>12440+2745+36375</f>
        <v>51560</v>
      </c>
      <c r="Q2056" s="24">
        <f t="shared" si="125"/>
        <v>0</v>
      </c>
      <c r="R2056" s="24">
        <f t="shared" si="126"/>
        <v>51560</v>
      </c>
      <c r="S2056" s="5"/>
      <c r="T2056" s="5"/>
    </row>
    <row r="2057" spans="1:20" ht="15.75" hidden="1" x14ac:dyDescent="0.25">
      <c r="B2057" s="21" t="s">
        <v>395</v>
      </c>
      <c r="C2057" s="22" t="s">
        <v>2450</v>
      </c>
      <c r="D2057" s="22"/>
      <c r="E2057" s="21" t="s">
        <v>0</v>
      </c>
      <c r="F2057" s="21" t="s">
        <v>9766</v>
      </c>
      <c r="G2057" s="147" t="s">
        <v>6365</v>
      </c>
      <c r="H2057" s="23" t="s">
        <v>10045</v>
      </c>
      <c r="I2057" s="23" t="s">
        <v>10046</v>
      </c>
      <c r="J2057" s="21" t="s">
        <v>10047</v>
      </c>
      <c r="K2057" s="21"/>
      <c r="L2057" s="21" t="s">
        <v>10080</v>
      </c>
      <c r="M2057" s="26">
        <v>45474</v>
      </c>
      <c r="N2057" s="44">
        <v>5330.42</v>
      </c>
      <c r="O2057" s="22" t="s">
        <v>15</v>
      </c>
      <c r="P2057" s="44">
        <v>5330.42</v>
      </c>
      <c r="Q2057" s="44">
        <f t="shared" si="125"/>
        <v>0</v>
      </c>
      <c r="R2057" s="3">
        <f t="shared" si="126"/>
        <v>5330.42</v>
      </c>
      <c r="S2057" s="5"/>
      <c r="T2057" s="5"/>
    </row>
    <row r="2058" spans="1:20" ht="15.75" hidden="1" x14ac:dyDescent="0.25">
      <c r="A2058" s="265"/>
      <c r="B2058" s="21" t="s">
        <v>395</v>
      </c>
      <c r="C2058" s="22" t="s">
        <v>2450</v>
      </c>
      <c r="D2058" s="22"/>
      <c r="E2058" s="21" t="s">
        <v>0</v>
      </c>
      <c r="F2058" s="21" t="s">
        <v>9807</v>
      </c>
      <c r="G2058" s="147" t="s">
        <v>6365</v>
      </c>
      <c r="H2058" s="23" t="s">
        <v>10328</v>
      </c>
      <c r="I2058" s="23" t="s">
        <v>10329</v>
      </c>
      <c r="J2058" s="21" t="s">
        <v>10330</v>
      </c>
      <c r="K2058" s="21"/>
      <c r="L2058" s="21" t="s">
        <v>10791</v>
      </c>
      <c r="M2058" s="26" t="s">
        <v>10792</v>
      </c>
      <c r="N2058" s="44">
        <v>6806.5</v>
      </c>
      <c r="O2058" s="22" t="s">
        <v>15</v>
      </c>
      <c r="P2058" s="44">
        <f>1861.95+4344.55+600</f>
        <v>6806.5</v>
      </c>
      <c r="Q2058" s="44">
        <f t="shared" si="125"/>
        <v>0</v>
      </c>
      <c r="R2058" s="24">
        <f t="shared" si="126"/>
        <v>6806.5</v>
      </c>
      <c r="S2058" s="5"/>
      <c r="T2058" s="5"/>
    </row>
    <row r="2059" spans="1:20" ht="15.75" hidden="1" x14ac:dyDescent="0.25">
      <c r="B2059" s="21" t="s">
        <v>395</v>
      </c>
      <c r="C2059" s="22" t="s">
        <v>2450</v>
      </c>
      <c r="D2059" s="22"/>
      <c r="E2059" s="21" t="s">
        <v>0</v>
      </c>
      <c r="F2059" s="21" t="s">
        <v>9807</v>
      </c>
      <c r="G2059" s="147" t="s">
        <v>6365</v>
      </c>
      <c r="H2059" s="23" t="s">
        <v>10537</v>
      </c>
      <c r="I2059" s="23" t="s">
        <v>10538</v>
      </c>
      <c r="J2059" s="21" t="s">
        <v>9918</v>
      </c>
      <c r="K2059" s="21"/>
      <c r="L2059" s="21" t="s">
        <v>10715</v>
      </c>
      <c r="M2059" s="26" t="s">
        <v>10716</v>
      </c>
      <c r="N2059" s="44">
        <v>51560</v>
      </c>
      <c r="O2059" s="22" t="s">
        <v>15</v>
      </c>
      <c r="P2059" s="44">
        <f>12440+2745+36375</f>
        <v>51560</v>
      </c>
      <c r="Q2059" s="44">
        <f t="shared" si="125"/>
        <v>0</v>
      </c>
      <c r="R2059" s="24">
        <f t="shared" si="126"/>
        <v>51560</v>
      </c>
      <c r="S2059" s="5"/>
      <c r="T2059" s="5"/>
    </row>
    <row r="2060" spans="1:20" ht="15.75" hidden="1" x14ac:dyDescent="0.25">
      <c r="B2060" s="21" t="s">
        <v>395</v>
      </c>
      <c r="C2060" s="22" t="s">
        <v>2450</v>
      </c>
      <c r="D2060" s="22"/>
      <c r="E2060" s="21" t="s">
        <v>0</v>
      </c>
      <c r="F2060" s="21" t="s">
        <v>9807</v>
      </c>
      <c r="G2060" s="147" t="s">
        <v>6365</v>
      </c>
      <c r="H2060" s="23" t="s">
        <v>10539</v>
      </c>
      <c r="I2060" s="23" t="s">
        <v>10540</v>
      </c>
      <c r="J2060" s="21" t="s">
        <v>10541</v>
      </c>
      <c r="K2060" s="21"/>
      <c r="L2060" s="21" t="s">
        <v>10576</v>
      </c>
      <c r="M2060" s="26">
        <v>45567</v>
      </c>
      <c r="N2060" s="44">
        <v>2700</v>
      </c>
      <c r="O2060" s="22" t="s">
        <v>15</v>
      </c>
      <c r="P2060" s="44">
        <v>2700</v>
      </c>
      <c r="Q2060" s="44">
        <f t="shared" si="125"/>
        <v>0</v>
      </c>
      <c r="R2060" s="24">
        <f t="shared" si="126"/>
        <v>2700</v>
      </c>
      <c r="S2060" s="5"/>
      <c r="T2060" s="5"/>
    </row>
    <row r="2061" spans="1:20" ht="15.75" hidden="1" x14ac:dyDescent="0.25">
      <c r="B2061" s="21" t="s">
        <v>395</v>
      </c>
      <c r="C2061" s="22" t="s">
        <v>2450</v>
      </c>
      <c r="D2061" s="22"/>
      <c r="E2061" s="21" t="s">
        <v>0</v>
      </c>
      <c r="F2061" s="21" t="s">
        <v>9823</v>
      </c>
      <c r="G2061" s="147" t="s">
        <v>6365</v>
      </c>
      <c r="H2061" s="23" t="s">
        <v>10628</v>
      </c>
      <c r="I2061" s="23" t="s">
        <v>10629</v>
      </c>
      <c r="J2061" s="21" t="s">
        <v>10630</v>
      </c>
      <c r="K2061" s="21"/>
      <c r="L2061" s="21" t="s">
        <v>11099</v>
      </c>
      <c r="M2061" s="26">
        <v>45686</v>
      </c>
      <c r="N2061" s="44">
        <v>2100</v>
      </c>
      <c r="O2061" s="22" t="s">
        <v>15</v>
      </c>
      <c r="P2061" s="44">
        <v>2100</v>
      </c>
      <c r="Q2061" s="44">
        <f t="shared" si="125"/>
        <v>0</v>
      </c>
      <c r="R2061" s="24">
        <f t="shared" si="126"/>
        <v>2100</v>
      </c>
      <c r="S2061" s="5"/>
      <c r="T2061" s="5"/>
    </row>
    <row r="2062" spans="1:20" ht="15.75" hidden="1" x14ac:dyDescent="0.25">
      <c r="B2062" s="21" t="s">
        <v>395</v>
      </c>
      <c r="C2062" s="22" t="s">
        <v>2450</v>
      </c>
      <c r="D2062" s="22"/>
      <c r="E2062" s="21" t="s">
        <v>0</v>
      </c>
      <c r="F2062" s="21"/>
      <c r="G2062" s="147" t="s">
        <v>5405</v>
      </c>
      <c r="H2062" s="23" t="s">
        <v>5406</v>
      </c>
      <c r="I2062" s="23"/>
      <c r="J2062" s="21" t="s">
        <v>5407</v>
      </c>
      <c r="K2062" s="21"/>
      <c r="L2062" s="21"/>
      <c r="M2062" s="23"/>
      <c r="N2062" s="44">
        <v>0</v>
      </c>
      <c r="O2062" s="22" t="s">
        <v>15</v>
      </c>
      <c r="P2062" s="44"/>
      <c r="Q2062" s="44">
        <f t="shared" si="125"/>
        <v>0</v>
      </c>
      <c r="R2062" s="24">
        <f t="shared" si="126"/>
        <v>0</v>
      </c>
      <c r="S2062" s="5"/>
      <c r="T2062" s="5"/>
    </row>
    <row r="2063" spans="1:20" ht="15.75" hidden="1" x14ac:dyDescent="0.25">
      <c r="B2063" s="21" t="s">
        <v>395</v>
      </c>
      <c r="C2063" s="22" t="s">
        <v>2450</v>
      </c>
      <c r="D2063" s="22"/>
      <c r="E2063" s="21" t="s">
        <v>0</v>
      </c>
      <c r="F2063" s="21"/>
      <c r="G2063" s="147" t="s">
        <v>5405</v>
      </c>
      <c r="H2063" s="23" t="s">
        <v>8777</v>
      </c>
      <c r="I2063" s="23" t="s">
        <v>8776</v>
      </c>
      <c r="J2063" s="21" t="s">
        <v>8778</v>
      </c>
      <c r="K2063" s="21"/>
      <c r="L2063" s="21" t="s">
        <v>8877</v>
      </c>
      <c r="M2063" s="26">
        <v>45197</v>
      </c>
      <c r="N2063" s="44">
        <v>9630</v>
      </c>
      <c r="O2063" s="22" t="s">
        <v>15</v>
      </c>
      <c r="P2063" s="44">
        <v>9630</v>
      </c>
      <c r="Q2063" s="44">
        <f t="shared" si="125"/>
        <v>0</v>
      </c>
      <c r="R2063" s="116">
        <f t="shared" si="126"/>
        <v>9630</v>
      </c>
      <c r="S2063" s="5"/>
      <c r="T2063" s="5"/>
    </row>
    <row r="2064" spans="1:20" ht="15.75" hidden="1" x14ac:dyDescent="0.25">
      <c r="B2064" s="21" t="s">
        <v>395</v>
      </c>
      <c r="C2064" s="22" t="s">
        <v>2450</v>
      </c>
      <c r="D2064" s="22"/>
      <c r="E2064" s="21" t="s">
        <v>0</v>
      </c>
      <c r="F2064" s="21"/>
      <c r="G2064" s="147" t="s">
        <v>3687</v>
      </c>
      <c r="H2064" s="23" t="s">
        <v>7827</v>
      </c>
      <c r="I2064" s="23" t="s">
        <v>8308</v>
      </c>
      <c r="J2064" s="21" t="s">
        <v>4986</v>
      </c>
      <c r="K2064" s="47"/>
      <c r="L2064" s="21" t="s">
        <v>5093</v>
      </c>
      <c r="M2064" s="26">
        <v>44337</v>
      </c>
      <c r="N2064" s="44">
        <v>1166</v>
      </c>
      <c r="O2064" s="22" t="s">
        <v>15</v>
      </c>
      <c r="P2064" s="44">
        <v>1166</v>
      </c>
      <c r="Q2064" s="24">
        <f t="shared" si="125"/>
        <v>0</v>
      </c>
      <c r="R2064" s="24">
        <f t="shared" si="126"/>
        <v>1166</v>
      </c>
      <c r="S2064" s="5"/>
      <c r="T2064" s="5"/>
    </row>
    <row r="2065" spans="2:20" ht="15.75" hidden="1" x14ac:dyDescent="0.25">
      <c r="B2065" s="21" t="s">
        <v>395</v>
      </c>
      <c r="C2065" s="22" t="s">
        <v>2450</v>
      </c>
      <c r="D2065" s="22"/>
      <c r="E2065" s="21" t="s">
        <v>0</v>
      </c>
      <c r="F2065" s="21"/>
      <c r="G2065" s="147" t="s">
        <v>3687</v>
      </c>
      <c r="H2065" s="23" t="s">
        <v>7823</v>
      </c>
      <c r="I2065" s="23"/>
      <c r="J2065" s="21" t="s">
        <v>5258</v>
      </c>
      <c r="K2065" s="47"/>
      <c r="L2065" s="21" t="s">
        <v>5257</v>
      </c>
      <c r="M2065" s="26">
        <v>44372</v>
      </c>
      <c r="N2065" s="44">
        <v>24100</v>
      </c>
      <c r="O2065" s="22" t="s">
        <v>15</v>
      </c>
      <c r="P2065" s="44">
        <v>24100</v>
      </c>
      <c r="Q2065" s="24">
        <f t="shared" si="125"/>
        <v>0</v>
      </c>
      <c r="R2065" s="24">
        <f t="shared" si="126"/>
        <v>24100</v>
      </c>
      <c r="S2065" s="5"/>
      <c r="T2065" s="5"/>
    </row>
    <row r="2066" spans="2:20" ht="15.75" hidden="1" x14ac:dyDescent="0.25">
      <c r="B2066" s="21" t="s">
        <v>395</v>
      </c>
      <c r="C2066" s="22" t="s">
        <v>2450</v>
      </c>
      <c r="D2066" s="22"/>
      <c r="E2066" s="21" t="s">
        <v>0</v>
      </c>
      <c r="F2066" s="21"/>
      <c r="G2066" s="147" t="s">
        <v>3687</v>
      </c>
      <c r="H2066" s="23" t="s">
        <v>6760</v>
      </c>
      <c r="I2066" s="23" t="s">
        <v>8161</v>
      </c>
      <c r="J2066" s="21" t="s">
        <v>6761</v>
      </c>
      <c r="K2066" s="21"/>
      <c r="L2066" s="21" t="s">
        <v>6772</v>
      </c>
      <c r="M2066" s="26">
        <v>44705</v>
      </c>
      <c r="N2066" s="44">
        <v>1400</v>
      </c>
      <c r="O2066" s="22" t="s">
        <v>15</v>
      </c>
      <c r="P2066" s="44">
        <v>1400</v>
      </c>
      <c r="Q2066" s="44">
        <f t="shared" si="125"/>
        <v>0</v>
      </c>
      <c r="R2066" s="24">
        <f t="shared" si="126"/>
        <v>1400</v>
      </c>
      <c r="S2066" s="5"/>
      <c r="T2066" s="5"/>
    </row>
    <row r="2067" spans="2:20" ht="15.75" hidden="1" x14ac:dyDescent="0.25">
      <c r="B2067" s="21" t="s">
        <v>395</v>
      </c>
      <c r="C2067" s="22" t="s">
        <v>2450</v>
      </c>
      <c r="D2067" s="22"/>
      <c r="E2067" s="21" t="s">
        <v>0</v>
      </c>
      <c r="F2067" s="21"/>
      <c r="G2067" s="147" t="s">
        <v>3687</v>
      </c>
      <c r="H2067" s="23" t="s">
        <v>8450</v>
      </c>
      <c r="I2067" s="23" t="s">
        <v>8451</v>
      </c>
      <c r="J2067" s="21" t="s">
        <v>8452</v>
      </c>
      <c r="K2067" s="21"/>
      <c r="L2067" s="21" t="s">
        <v>8528</v>
      </c>
      <c r="M2067" s="26">
        <v>45103</v>
      </c>
      <c r="N2067" s="44">
        <v>3800</v>
      </c>
      <c r="O2067" s="22" t="s">
        <v>15</v>
      </c>
      <c r="P2067" s="44">
        <f>3800</f>
        <v>3800</v>
      </c>
      <c r="Q2067" s="44">
        <f t="shared" si="125"/>
        <v>0</v>
      </c>
      <c r="R2067" s="24">
        <f t="shared" si="126"/>
        <v>3800</v>
      </c>
      <c r="S2067" s="5"/>
      <c r="T2067" s="5"/>
    </row>
    <row r="2068" spans="2:20" ht="15.75" hidden="1" x14ac:dyDescent="0.25">
      <c r="B2068" s="21" t="s">
        <v>395</v>
      </c>
      <c r="C2068" s="22" t="s">
        <v>2450</v>
      </c>
      <c r="D2068" s="22"/>
      <c r="E2068" s="21" t="s">
        <v>0</v>
      </c>
      <c r="F2068" s="21"/>
      <c r="G2068" s="147" t="s">
        <v>3687</v>
      </c>
      <c r="H2068" s="23" t="s">
        <v>7820</v>
      </c>
      <c r="I2068" s="23"/>
      <c r="J2068" s="21" t="s">
        <v>3278</v>
      </c>
      <c r="K2068" s="120"/>
      <c r="L2068" s="21" t="s">
        <v>3420</v>
      </c>
      <c r="M2068" s="46">
        <v>44006</v>
      </c>
      <c r="N2068" s="44">
        <f>0.3*10600</f>
        <v>3180</v>
      </c>
      <c r="O2068" s="22" t="s">
        <v>15</v>
      </c>
      <c r="P2068" s="44">
        <v>3180</v>
      </c>
      <c r="Q2068" s="24">
        <f t="shared" si="125"/>
        <v>0</v>
      </c>
      <c r="R2068" s="24">
        <f t="shared" si="126"/>
        <v>3180</v>
      </c>
      <c r="S2068" s="5"/>
      <c r="T2068" s="5"/>
    </row>
    <row r="2069" spans="2:20" ht="15.75" hidden="1" x14ac:dyDescent="0.25">
      <c r="B2069" s="21" t="s">
        <v>395</v>
      </c>
      <c r="C2069" s="22" t="s">
        <v>2450</v>
      </c>
      <c r="D2069" s="22"/>
      <c r="E2069" s="21" t="s">
        <v>0</v>
      </c>
      <c r="F2069" s="21"/>
      <c r="G2069" s="147" t="s">
        <v>3687</v>
      </c>
      <c r="H2069" s="23" t="s">
        <v>7820</v>
      </c>
      <c r="I2069" s="23"/>
      <c r="J2069" s="21" t="s">
        <v>3279</v>
      </c>
      <c r="K2069" s="120"/>
      <c r="L2069" s="21" t="s">
        <v>3564</v>
      </c>
      <c r="M2069" s="26">
        <v>44041</v>
      </c>
      <c r="N2069" s="44">
        <f>0.7*10600</f>
        <v>7419.9999999999991</v>
      </c>
      <c r="O2069" s="22" t="s">
        <v>15</v>
      </c>
      <c r="P2069" s="44" t="s">
        <v>19</v>
      </c>
      <c r="Q2069" s="24">
        <f t="shared" si="125"/>
        <v>0</v>
      </c>
      <c r="R2069" s="24">
        <f t="shared" si="126"/>
        <v>7419.9999999999991</v>
      </c>
      <c r="S2069" s="5"/>
      <c r="T2069" s="5"/>
    </row>
    <row r="2070" spans="2:20" ht="15.75" hidden="1" x14ac:dyDescent="0.25">
      <c r="B2070" s="21" t="s">
        <v>395</v>
      </c>
      <c r="C2070" s="22" t="s">
        <v>2450</v>
      </c>
      <c r="D2070" s="22"/>
      <c r="E2070" s="21" t="s">
        <v>0</v>
      </c>
      <c r="F2070" s="21"/>
      <c r="G2070" s="147" t="s">
        <v>3687</v>
      </c>
      <c r="H2070" s="23" t="s">
        <v>7820</v>
      </c>
      <c r="I2070" s="23"/>
      <c r="J2070" s="21" t="s">
        <v>3280</v>
      </c>
      <c r="K2070" s="120"/>
      <c r="L2070" s="21" t="s">
        <v>3733</v>
      </c>
      <c r="M2070" s="26" t="s">
        <v>3734</v>
      </c>
      <c r="N2070" s="44">
        <f>0.3*63900</f>
        <v>19170</v>
      </c>
      <c r="O2070" s="22" t="s">
        <v>15</v>
      </c>
      <c r="P2070" s="44">
        <f>540+18630</f>
        <v>19170</v>
      </c>
      <c r="Q2070" s="24">
        <f t="shared" si="125"/>
        <v>0</v>
      </c>
      <c r="R2070" s="24">
        <f t="shared" si="126"/>
        <v>19170</v>
      </c>
      <c r="S2070" s="5"/>
      <c r="T2070" s="5"/>
    </row>
    <row r="2071" spans="2:20" ht="15.75" hidden="1" x14ac:dyDescent="0.25">
      <c r="B2071" s="21" t="s">
        <v>395</v>
      </c>
      <c r="C2071" s="22" t="s">
        <v>2450</v>
      </c>
      <c r="D2071" s="22"/>
      <c r="E2071" s="21" t="s">
        <v>0</v>
      </c>
      <c r="F2071" s="21"/>
      <c r="G2071" s="147" t="s">
        <v>3687</v>
      </c>
      <c r="H2071" s="23" t="s">
        <v>7820</v>
      </c>
      <c r="I2071" s="23"/>
      <c r="J2071" s="21" t="s">
        <v>4076</v>
      </c>
      <c r="K2071" s="120"/>
      <c r="L2071" s="21" t="s">
        <v>4261</v>
      </c>
      <c r="M2071" s="26" t="s">
        <v>4262</v>
      </c>
      <c r="N2071" s="44">
        <f>0.7*63900</f>
        <v>44730</v>
      </c>
      <c r="O2071" s="22" t="s">
        <v>15</v>
      </c>
      <c r="P2071" s="44">
        <f>8200+3062+21630+2980+2900+5960</f>
        <v>44732</v>
      </c>
      <c r="Q2071" s="24">
        <f t="shared" si="125"/>
        <v>0</v>
      </c>
      <c r="R2071" s="24">
        <f t="shared" si="126"/>
        <v>44732</v>
      </c>
      <c r="S2071" s="5"/>
      <c r="T2071" s="5"/>
    </row>
    <row r="2072" spans="2:20" ht="15.75" hidden="1" x14ac:dyDescent="0.25">
      <c r="B2072" s="21" t="s">
        <v>395</v>
      </c>
      <c r="C2072" s="22" t="s">
        <v>2450</v>
      </c>
      <c r="D2072" s="22"/>
      <c r="E2072" s="21" t="s">
        <v>0</v>
      </c>
      <c r="F2072" s="21"/>
      <c r="G2072" s="147" t="s">
        <v>3687</v>
      </c>
      <c r="H2072" s="23" t="s">
        <v>7820</v>
      </c>
      <c r="I2072" s="23"/>
      <c r="J2072" s="21" t="s">
        <v>3578</v>
      </c>
      <c r="K2072" s="120"/>
      <c r="L2072" s="21" t="s">
        <v>3579</v>
      </c>
      <c r="M2072" s="26">
        <v>44041</v>
      </c>
      <c r="N2072" s="44">
        <v>5780</v>
      </c>
      <c r="O2072" s="22" t="s">
        <v>15</v>
      </c>
      <c r="P2072" s="44">
        <v>5780</v>
      </c>
      <c r="Q2072" s="24">
        <f t="shared" si="125"/>
        <v>0</v>
      </c>
      <c r="R2072" s="24">
        <f t="shared" si="126"/>
        <v>5780</v>
      </c>
      <c r="S2072" s="5"/>
      <c r="T2072" s="5"/>
    </row>
    <row r="2073" spans="2:20" ht="15.75" hidden="1" x14ac:dyDescent="0.25">
      <c r="B2073" s="21" t="s">
        <v>395</v>
      </c>
      <c r="C2073" s="22" t="s">
        <v>2450</v>
      </c>
      <c r="D2073" s="22"/>
      <c r="E2073" s="21" t="s">
        <v>0</v>
      </c>
      <c r="F2073" s="21"/>
      <c r="G2073" s="147" t="s">
        <v>3687</v>
      </c>
      <c r="H2073" s="23" t="s">
        <v>6092</v>
      </c>
      <c r="I2073" s="23" t="s">
        <v>7929</v>
      </c>
      <c r="J2073" s="21" t="s">
        <v>3495</v>
      </c>
      <c r="K2073" s="120"/>
      <c r="L2073" s="21" t="s">
        <v>3496</v>
      </c>
      <c r="M2073" s="26">
        <v>44036</v>
      </c>
      <c r="N2073" s="44">
        <f>0.3*107400</f>
        <v>32220</v>
      </c>
      <c r="O2073" s="22" t="s">
        <v>15</v>
      </c>
      <c r="P2073" s="44" t="s">
        <v>19</v>
      </c>
      <c r="Q2073" s="44">
        <f t="shared" si="125"/>
        <v>0</v>
      </c>
      <c r="R2073" s="24">
        <f t="shared" si="126"/>
        <v>32220</v>
      </c>
      <c r="S2073" s="5"/>
      <c r="T2073" s="5"/>
    </row>
    <row r="2074" spans="2:20" ht="15.75" hidden="1" x14ac:dyDescent="0.25">
      <c r="B2074" s="21" t="s">
        <v>395</v>
      </c>
      <c r="C2074" s="22" t="s">
        <v>2450</v>
      </c>
      <c r="D2074" s="22"/>
      <c r="E2074" s="21" t="s">
        <v>0</v>
      </c>
      <c r="F2074" s="21"/>
      <c r="G2074" s="147" t="s">
        <v>3687</v>
      </c>
      <c r="H2074" s="23" t="s">
        <v>6092</v>
      </c>
      <c r="I2074" s="23" t="s">
        <v>7929</v>
      </c>
      <c r="J2074" s="21" t="s">
        <v>4075</v>
      </c>
      <c r="K2074" s="120"/>
      <c r="L2074" s="21" t="s">
        <v>4705</v>
      </c>
      <c r="M2074" s="26" t="s">
        <v>4706</v>
      </c>
      <c r="N2074" s="44">
        <f>0.7*107400</f>
        <v>75180</v>
      </c>
      <c r="O2074" s="22" t="s">
        <v>15</v>
      </c>
      <c r="P2074" s="44">
        <f>21350+53830</f>
        <v>75180</v>
      </c>
      <c r="Q2074" s="44">
        <f t="shared" si="125"/>
        <v>0</v>
      </c>
      <c r="R2074" s="24">
        <f t="shared" si="126"/>
        <v>75180</v>
      </c>
      <c r="S2074" s="5"/>
      <c r="T2074" s="5"/>
    </row>
    <row r="2075" spans="2:20" ht="15.75" hidden="1" x14ac:dyDescent="0.25">
      <c r="B2075" s="21" t="s">
        <v>395</v>
      </c>
      <c r="C2075" s="22" t="s">
        <v>2450</v>
      </c>
      <c r="D2075" s="22"/>
      <c r="E2075" s="21" t="s">
        <v>0</v>
      </c>
      <c r="F2075" s="21"/>
      <c r="G2075" s="147" t="s">
        <v>3687</v>
      </c>
      <c r="H2075" s="23" t="s">
        <v>3688</v>
      </c>
      <c r="I2075" s="23" t="s">
        <v>8324</v>
      </c>
      <c r="J2075" s="21" t="s">
        <v>3690</v>
      </c>
      <c r="K2075" s="120"/>
      <c r="L2075" s="21" t="s">
        <v>3689</v>
      </c>
      <c r="M2075" s="26">
        <v>44084</v>
      </c>
      <c r="N2075" s="44">
        <f>0.3*39100</f>
        <v>11730</v>
      </c>
      <c r="O2075" s="22" t="s">
        <v>15</v>
      </c>
      <c r="P2075" s="44" t="s">
        <v>19</v>
      </c>
      <c r="Q2075" s="24">
        <f t="shared" si="125"/>
        <v>0</v>
      </c>
      <c r="R2075" s="24">
        <f t="shared" si="126"/>
        <v>11730</v>
      </c>
      <c r="S2075" s="5"/>
      <c r="T2075" s="5"/>
    </row>
    <row r="2076" spans="2:20" ht="15.75" hidden="1" x14ac:dyDescent="0.25">
      <c r="B2076" s="21" t="s">
        <v>395</v>
      </c>
      <c r="C2076" s="22" t="s">
        <v>2450</v>
      </c>
      <c r="D2076" s="22"/>
      <c r="E2076" s="21" t="s">
        <v>0</v>
      </c>
      <c r="F2076" s="21"/>
      <c r="G2076" s="147" t="s">
        <v>3687</v>
      </c>
      <c r="H2076" s="23" t="s">
        <v>3688</v>
      </c>
      <c r="I2076" s="23" t="s">
        <v>8324</v>
      </c>
      <c r="J2076" s="21" t="s">
        <v>3691</v>
      </c>
      <c r="K2076" s="120"/>
      <c r="L2076" s="21" t="s">
        <v>4299</v>
      </c>
      <c r="M2076" s="26">
        <v>44133</v>
      </c>
      <c r="N2076" s="44">
        <f>0.7*39100</f>
        <v>27370</v>
      </c>
      <c r="O2076" s="22" t="s">
        <v>15</v>
      </c>
      <c r="P2076" s="44" t="s">
        <v>19</v>
      </c>
      <c r="Q2076" s="24">
        <f t="shared" si="125"/>
        <v>0</v>
      </c>
      <c r="R2076" s="24">
        <f t="shared" si="126"/>
        <v>27370</v>
      </c>
      <c r="S2076" s="5"/>
      <c r="T2076" s="5"/>
    </row>
    <row r="2077" spans="2:20" ht="15.75" hidden="1" x14ac:dyDescent="0.25">
      <c r="B2077" s="21" t="s">
        <v>395</v>
      </c>
      <c r="C2077" s="22" t="s">
        <v>2450</v>
      </c>
      <c r="D2077" s="22"/>
      <c r="E2077" s="21" t="s">
        <v>0</v>
      </c>
      <c r="F2077" s="21"/>
      <c r="G2077" s="147" t="s">
        <v>3687</v>
      </c>
      <c r="H2077" s="23" t="s">
        <v>7826</v>
      </c>
      <c r="I2077" s="23" t="s">
        <v>8315</v>
      </c>
      <c r="J2077" s="21" t="s">
        <v>4274</v>
      </c>
      <c r="K2077" s="47"/>
      <c r="L2077" s="21" t="s">
        <v>4276</v>
      </c>
      <c r="M2077" s="26">
        <v>44215</v>
      </c>
      <c r="N2077" s="44">
        <f>(0.3*(9000+9000+3150))+(950+550+300+1350)</f>
        <v>9495</v>
      </c>
      <c r="O2077" s="22" t="s">
        <v>15</v>
      </c>
      <c r="P2077" s="44">
        <v>9495</v>
      </c>
      <c r="Q2077" s="44">
        <f t="shared" si="125"/>
        <v>0</v>
      </c>
      <c r="R2077" s="24">
        <f t="shared" si="126"/>
        <v>9495</v>
      </c>
      <c r="S2077" s="5"/>
      <c r="T2077" s="5"/>
    </row>
    <row r="2078" spans="2:20" ht="15.75" hidden="1" x14ac:dyDescent="0.25">
      <c r="B2078" s="21" t="s">
        <v>395</v>
      </c>
      <c r="C2078" s="22" t="s">
        <v>2450</v>
      </c>
      <c r="D2078" s="22"/>
      <c r="E2078" s="21" t="s">
        <v>0</v>
      </c>
      <c r="F2078" s="21"/>
      <c r="G2078" s="147" t="s">
        <v>3687</v>
      </c>
      <c r="H2078" s="23" t="s">
        <v>7826</v>
      </c>
      <c r="I2078" s="23" t="s">
        <v>8315</v>
      </c>
      <c r="J2078" s="21" t="s">
        <v>4275</v>
      </c>
      <c r="K2078" s="47"/>
      <c r="L2078" s="21" t="s">
        <v>7533</v>
      </c>
      <c r="M2078" s="26" t="s">
        <v>7534</v>
      </c>
      <c r="N2078" s="44">
        <f>(0.7*(9000+9000+3150))+42500</f>
        <v>57305</v>
      </c>
      <c r="O2078" s="22" t="s">
        <v>15</v>
      </c>
      <c r="P2078" s="44">
        <f>14805+10949+10949+5313+5313+5312+5312</f>
        <v>57953</v>
      </c>
      <c r="Q2078" s="44">
        <f t="shared" si="125"/>
        <v>0</v>
      </c>
      <c r="R2078" s="24">
        <f t="shared" si="126"/>
        <v>57953</v>
      </c>
      <c r="S2078" s="5"/>
      <c r="T2078" s="5"/>
    </row>
    <row r="2079" spans="2:20" ht="15.75" hidden="1" x14ac:dyDescent="0.25">
      <c r="B2079" s="21" t="s">
        <v>395</v>
      </c>
      <c r="C2079" s="22" t="s">
        <v>2450</v>
      </c>
      <c r="D2079" s="22"/>
      <c r="E2079" s="21" t="s">
        <v>0</v>
      </c>
      <c r="F2079" s="21"/>
      <c r="G2079" s="147" t="s">
        <v>3687</v>
      </c>
      <c r="H2079" s="23" t="s">
        <v>5113</v>
      </c>
      <c r="I2079" s="23" t="s">
        <v>8055</v>
      </c>
      <c r="J2079" s="21" t="s">
        <v>5114</v>
      </c>
      <c r="K2079" s="21"/>
      <c r="L2079" s="21" t="s">
        <v>5286</v>
      </c>
      <c r="M2079" s="26">
        <v>44377</v>
      </c>
      <c r="N2079" s="44">
        <v>4200</v>
      </c>
      <c r="O2079" s="22" t="s">
        <v>15</v>
      </c>
      <c r="P2079" s="44" t="s">
        <v>19</v>
      </c>
      <c r="Q2079" s="44">
        <f t="shared" si="125"/>
        <v>0</v>
      </c>
      <c r="R2079" s="24">
        <f t="shared" si="126"/>
        <v>4200</v>
      </c>
      <c r="S2079" s="5"/>
      <c r="T2079" s="5"/>
    </row>
    <row r="2080" spans="2:20" ht="15.75" hidden="1" x14ac:dyDescent="0.25">
      <c r="B2080" s="21" t="s">
        <v>395</v>
      </c>
      <c r="C2080" s="22" t="s">
        <v>2450</v>
      </c>
      <c r="D2080" s="22"/>
      <c r="E2080" s="21" t="s">
        <v>0</v>
      </c>
      <c r="F2080" s="21"/>
      <c r="G2080" s="147" t="s">
        <v>3687</v>
      </c>
      <c r="H2080" s="23" t="s">
        <v>5113</v>
      </c>
      <c r="I2080" s="23" t="s">
        <v>8055</v>
      </c>
      <c r="J2080" s="21" t="s">
        <v>5115</v>
      </c>
      <c r="K2080" s="21"/>
      <c r="L2080" s="21" t="s">
        <v>5286</v>
      </c>
      <c r="M2080" s="26">
        <v>44377</v>
      </c>
      <c r="N2080" s="44">
        <v>1000</v>
      </c>
      <c r="O2080" s="22" t="s">
        <v>15</v>
      </c>
      <c r="P2080" s="44" t="s">
        <v>19</v>
      </c>
      <c r="Q2080" s="44">
        <f t="shared" si="125"/>
        <v>0</v>
      </c>
      <c r="R2080" s="24">
        <f t="shared" si="126"/>
        <v>1000</v>
      </c>
      <c r="S2080" s="5"/>
      <c r="T2080" s="5"/>
    </row>
    <row r="2081" spans="2:20" ht="15.75" hidden="1" x14ac:dyDescent="0.25">
      <c r="B2081" s="21" t="s">
        <v>395</v>
      </c>
      <c r="C2081" s="22" t="s">
        <v>2450</v>
      </c>
      <c r="D2081" s="22"/>
      <c r="E2081" s="21" t="s">
        <v>0</v>
      </c>
      <c r="F2081" s="21"/>
      <c r="G2081" s="147" t="s">
        <v>3687</v>
      </c>
      <c r="H2081" s="23" t="s">
        <v>4987</v>
      </c>
      <c r="I2081" s="23" t="s">
        <v>8307</v>
      </c>
      <c r="J2081" s="21" t="s">
        <v>4988</v>
      </c>
      <c r="K2081" s="21"/>
      <c r="L2081" s="21" t="s">
        <v>5081</v>
      </c>
      <c r="M2081" s="26">
        <v>44337</v>
      </c>
      <c r="N2081" s="44">
        <v>10400</v>
      </c>
      <c r="O2081" s="22" t="s">
        <v>15</v>
      </c>
      <c r="P2081" s="44" t="s">
        <v>19</v>
      </c>
      <c r="Q2081" s="44">
        <f t="shared" si="125"/>
        <v>0</v>
      </c>
      <c r="R2081" s="24">
        <f t="shared" si="126"/>
        <v>10400</v>
      </c>
      <c r="S2081" s="5"/>
      <c r="T2081" s="5"/>
    </row>
    <row r="2082" spans="2:20" ht="15.75" hidden="1" x14ac:dyDescent="0.25">
      <c r="B2082" s="21" t="s">
        <v>395</v>
      </c>
      <c r="C2082" s="22" t="s">
        <v>2450</v>
      </c>
      <c r="D2082" s="22"/>
      <c r="E2082" s="21" t="s">
        <v>0</v>
      </c>
      <c r="F2082" s="21"/>
      <c r="G2082" s="147" t="s">
        <v>3687</v>
      </c>
      <c r="H2082" s="23" t="s">
        <v>4987</v>
      </c>
      <c r="I2082" s="23" t="s">
        <v>8307</v>
      </c>
      <c r="J2082" s="21" t="s">
        <v>4989</v>
      </c>
      <c r="K2082" s="21"/>
      <c r="L2082" s="21" t="s">
        <v>5081</v>
      </c>
      <c r="M2082" s="26">
        <v>44337</v>
      </c>
      <c r="N2082" s="44">
        <v>1700</v>
      </c>
      <c r="O2082" s="22" t="s">
        <v>15</v>
      </c>
      <c r="P2082" s="44" t="s">
        <v>19</v>
      </c>
      <c r="Q2082" s="44">
        <f t="shared" si="125"/>
        <v>0</v>
      </c>
      <c r="R2082" s="24">
        <f t="shared" si="126"/>
        <v>1700</v>
      </c>
      <c r="S2082" s="5"/>
      <c r="T2082" s="5"/>
    </row>
    <row r="2083" spans="2:20" ht="15.75" hidden="1" x14ac:dyDescent="0.25">
      <c r="B2083" s="21" t="s">
        <v>395</v>
      </c>
      <c r="C2083" s="22" t="s">
        <v>2450</v>
      </c>
      <c r="D2083" s="22"/>
      <c r="E2083" s="21" t="s">
        <v>0</v>
      </c>
      <c r="F2083" s="21"/>
      <c r="G2083" s="147" t="s">
        <v>3687</v>
      </c>
      <c r="H2083" s="23" t="s">
        <v>5380</v>
      </c>
      <c r="I2083" s="23" t="s">
        <v>8066</v>
      </c>
      <c r="J2083" s="21" t="s">
        <v>5381</v>
      </c>
      <c r="K2083" s="21"/>
      <c r="L2083" s="21" t="s">
        <v>10814</v>
      </c>
      <c r="M2083" s="26" t="s">
        <v>10815</v>
      </c>
      <c r="N2083" s="44">
        <v>179400</v>
      </c>
      <c r="O2083" s="22" t="s">
        <v>15</v>
      </c>
      <c r="P2083" s="44">
        <f>66055+8208+28280+630+31712+2100+5284+(6860+9800+9800)+(6300+1400+7770)+(6300+1400+6300)+6300+5736+6300+6300+6300+4200+3745+1400+4200+4200+4200+4200+4200+4200+4200</f>
        <v>267880</v>
      </c>
      <c r="Q2083" s="44">
        <f t="shared" si="125"/>
        <v>0</v>
      </c>
      <c r="R2083" s="24">
        <f t="shared" si="126"/>
        <v>267880</v>
      </c>
      <c r="S2083" s="5" t="s">
        <v>7397</v>
      </c>
      <c r="T2083" s="5"/>
    </row>
    <row r="2084" spans="2:20" ht="15.75" hidden="1" x14ac:dyDescent="0.25">
      <c r="B2084" s="21" t="s">
        <v>395</v>
      </c>
      <c r="C2084" s="22" t="s">
        <v>2450</v>
      </c>
      <c r="D2084" s="22"/>
      <c r="E2084" s="21" t="s">
        <v>0</v>
      </c>
      <c r="F2084" s="21"/>
      <c r="G2084" s="147" t="s">
        <v>3687</v>
      </c>
      <c r="H2084" s="23" t="s">
        <v>5380</v>
      </c>
      <c r="I2084" s="23" t="s">
        <v>8066</v>
      </c>
      <c r="J2084" s="21" t="s">
        <v>5382</v>
      </c>
      <c r="K2084" s="21"/>
      <c r="L2084" s="21" t="s">
        <v>5865</v>
      </c>
      <c r="M2084" s="26">
        <v>44466</v>
      </c>
      <c r="N2084" s="44">
        <v>36000</v>
      </c>
      <c r="O2084" s="22" t="s">
        <v>15</v>
      </c>
      <c r="P2084" s="44">
        <v>36000</v>
      </c>
      <c r="Q2084" s="44">
        <f t="shared" si="125"/>
        <v>0</v>
      </c>
      <c r="R2084" s="24">
        <f t="shared" si="126"/>
        <v>36000</v>
      </c>
      <c r="S2084" s="5"/>
      <c r="T2084" s="5"/>
    </row>
    <row r="2085" spans="2:20" ht="15.75" hidden="1" x14ac:dyDescent="0.25">
      <c r="B2085" s="21" t="s">
        <v>395</v>
      </c>
      <c r="C2085" s="22" t="s">
        <v>8367</v>
      </c>
      <c r="D2085" s="22"/>
      <c r="E2085" s="21" t="s">
        <v>0</v>
      </c>
      <c r="F2085" s="21"/>
      <c r="G2085" s="147" t="s">
        <v>3687</v>
      </c>
      <c r="H2085" s="23" t="s">
        <v>7631</v>
      </c>
      <c r="I2085" s="23" t="s">
        <v>8220</v>
      </c>
      <c r="J2085" s="21" t="s">
        <v>7327</v>
      </c>
      <c r="K2085" s="21"/>
      <c r="L2085" s="21" t="s">
        <v>7632</v>
      </c>
      <c r="M2085" s="26" t="s">
        <v>7633</v>
      </c>
      <c r="N2085" s="44">
        <v>8600</v>
      </c>
      <c r="O2085" s="22" t="s">
        <v>15</v>
      </c>
      <c r="P2085" s="44">
        <f>2580+6020</f>
        <v>8600</v>
      </c>
      <c r="Q2085" s="44">
        <f t="shared" si="125"/>
        <v>0</v>
      </c>
      <c r="R2085" s="24">
        <f t="shared" si="126"/>
        <v>8600</v>
      </c>
      <c r="S2085" s="5" t="s">
        <v>8368</v>
      </c>
      <c r="T2085" s="5"/>
    </row>
    <row r="2086" spans="2:20" ht="15.75" hidden="1" x14ac:dyDescent="0.25">
      <c r="B2086" s="21" t="s">
        <v>395</v>
      </c>
      <c r="C2086" s="22" t="s">
        <v>2450</v>
      </c>
      <c r="D2086" s="22"/>
      <c r="E2086" s="21" t="s">
        <v>0</v>
      </c>
      <c r="F2086" s="21"/>
      <c r="G2086" s="147" t="s">
        <v>3687</v>
      </c>
      <c r="H2086" s="23" t="s">
        <v>8365</v>
      </c>
      <c r="I2086" s="23" t="s">
        <v>8366</v>
      </c>
      <c r="J2086" s="21" t="s">
        <v>8415</v>
      </c>
      <c r="K2086" s="21"/>
      <c r="L2086" s="21" t="s">
        <v>8872</v>
      </c>
      <c r="M2086" s="26" t="s">
        <v>8873</v>
      </c>
      <c r="N2086" s="44">
        <v>40150</v>
      </c>
      <c r="O2086" s="22" t="s">
        <v>15</v>
      </c>
      <c r="P2086" s="44">
        <f>13620+26530</f>
        <v>40150</v>
      </c>
      <c r="Q2086" s="44">
        <f t="shared" si="125"/>
        <v>0</v>
      </c>
      <c r="R2086" s="24">
        <f t="shared" si="126"/>
        <v>40150</v>
      </c>
      <c r="S2086" s="5"/>
      <c r="T2086" s="5"/>
    </row>
    <row r="2087" spans="2:20" ht="15.75" hidden="1" x14ac:dyDescent="0.25">
      <c r="B2087" s="21" t="s">
        <v>395</v>
      </c>
      <c r="C2087" s="22" t="s">
        <v>2450</v>
      </c>
      <c r="D2087" s="22"/>
      <c r="E2087" s="21" t="s">
        <v>0</v>
      </c>
      <c r="F2087" s="21"/>
      <c r="G2087" s="147" t="s">
        <v>3687</v>
      </c>
      <c r="H2087" s="23" t="s">
        <v>3888</v>
      </c>
      <c r="I2087" s="23" t="s">
        <v>8322</v>
      </c>
      <c r="J2087" s="21" t="s">
        <v>3889</v>
      </c>
      <c r="K2087" s="120"/>
      <c r="L2087" s="21" t="s">
        <v>4300</v>
      </c>
      <c r="M2087" s="26">
        <v>44148</v>
      </c>
      <c r="N2087" s="44">
        <f>7000*0.3</f>
        <v>2100</v>
      </c>
      <c r="O2087" s="22" t="s">
        <v>15</v>
      </c>
      <c r="P2087" s="44" t="s">
        <v>19</v>
      </c>
      <c r="Q2087" s="24">
        <f t="shared" si="125"/>
        <v>0</v>
      </c>
      <c r="R2087" s="24">
        <f t="shared" si="126"/>
        <v>2100</v>
      </c>
      <c r="S2087" s="5"/>
      <c r="T2087" s="5"/>
    </row>
    <row r="2088" spans="2:20" ht="15.75" hidden="1" x14ac:dyDescent="0.25">
      <c r="B2088" s="21" t="s">
        <v>395</v>
      </c>
      <c r="C2088" s="22" t="s">
        <v>2450</v>
      </c>
      <c r="D2088" s="22"/>
      <c r="E2088" s="21" t="s">
        <v>0</v>
      </c>
      <c r="F2088" s="21"/>
      <c r="G2088" s="147" t="s">
        <v>3687</v>
      </c>
      <c r="H2088" s="23" t="s">
        <v>3888</v>
      </c>
      <c r="I2088" s="23" t="s">
        <v>8322</v>
      </c>
      <c r="J2088" s="21" t="s">
        <v>3889</v>
      </c>
      <c r="K2088" s="120"/>
      <c r="L2088" s="21" t="s">
        <v>4880</v>
      </c>
      <c r="M2088" s="26" t="s">
        <v>4881</v>
      </c>
      <c r="N2088" s="44">
        <f>7000*0.7</f>
        <v>4900</v>
      </c>
      <c r="O2088" s="22" t="s">
        <v>15</v>
      </c>
      <c r="P2088" s="44">
        <f>3430+1470</f>
        <v>4900</v>
      </c>
      <c r="Q2088" s="44">
        <f t="shared" si="125"/>
        <v>0</v>
      </c>
      <c r="R2088" s="24">
        <f t="shared" si="126"/>
        <v>4900</v>
      </c>
      <c r="S2088" s="5"/>
      <c r="T2088" s="5"/>
    </row>
    <row r="2089" spans="2:20" ht="15.75" hidden="1" x14ac:dyDescent="0.25">
      <c r="B2089" s="21" t="s">
        <v>395</v>
      </c>
      <c r="C2089" s="22" t="s">
        <v>2450</v>
      </c>
      <c r="D2089" s="22"/>
      <c r="E2089" s="21" t="s">
        <v>0</v>
      </c>
      <c r="F2089" s="21"/>
      <c r="G2089" s="147" t="s">
        <v>3687</v>
      </c>
      <c r="H2089" s="23" t="s">
        <v>9134</v>
      </c>
      <c r="I2089" s="23" t="s">
        <v>9135</v>
      </c>
      <c r="J2089" s="21" t="s">
        <v>9136</v>
      </c>
      <c r="K2089" s="21"/>
      <c r="L2089" s="21" t="s">
        <v>9412</v>
      </c>
      <c r="M2089" s="26" t="s">
        <v>9413</v>
      </c>
      <c r="N2089" s="44">
        <v>31590</v>
      </c>
      <c r="O2089" s="22" t="s">
        <v>15</v>
      </c>
      <c r="P2089" s="44">
        <f>9477+22928</f>
        <v>32405</v>
      </c>
      <c r="Q2089" s="44">
        <f t="shared" si="125"/>
        <v>0</v>
      </c>
      <c r="R2089" s="24">
        <f t="shared" si="126"/>
        <v>32405</v>
      </c>
      <c r="S2089" s="5"/>
      <c r="T2089" s="5"/>
    </row>
    <row r="2090" spans="2:20" ht="15.75" hidden="1" x14ac:dyDescent="0.25">
      <c r="B2090" s="21" t="s">
        <v>395</v>
      </c>
      <c r="C2090" s="22" t="s">
        <v>2450</v>
      </c>
      <c r="D2090" s="22"/>
      <c r="E2090" s="21" t="s">
        <v>0</v>
      </c>
      <c r="F2090" s="21"/>
      <c r="G2090" s="147" t="s">
        <v>3687</v>
      </c>
      <c r="H2090" s="23" t="s">
        <v>9246</v>
      </c>
      <c r="I2090" s="23" t="s">
        <v>9247</v>
      </c>
      <c r="J2090" s="21" t="s">
        <v>9248</v>
      </c>
      <c r="K2090" s="21"/>
      <c r="L2090" s="21" t="s">
        <v>9410</v>
      </c>
      <c r="M2090" s="26" t="s">
        <v>9411</v>
      </c>
      <c r="N2090" s="44">
        <v>32600</v>
      </c>
      <c r="O2090" s="22" t="s">
        <v>15</v>
      </c>
      <c r="P2090" s="44">
        <f>11600+21845</f>
        <v>33445</v>
      </c>
      <c r="Q2090" s="44">
        <f t="shared" si="125"/>
        <v>0</v>
      </c>
      <c r="R2090" s="24">
        <f t="shared" si="126"/>
        <v>33445</v>
      </c>
      <c r="S2090" s="5"/>
      <c r="T2090" s="5"/>
    </row>
    <row r="2091" spans="2:20" ht="15.75" hidden="1" x14ac:dyDescent="0.25">
      <c r="B2091" s="21" t="s">
        <v>395</v>
      </c>
      <c r="C2091" s="22" t="s">
        <v>2450</v>
      </c>
      <c r="D2091" s="22"/>
      <c r="E2091" s="21" t="s">
        <v>0</v>
      </c>
      <c r="F2091" s="21" t="s">
        <v>9823</v>
      </c>
      <c r="G2091" s="147" t="s">
        <v>3687</v>
      </c>
      <c r="H2091" s="23" t="s">
        <v>9824</v>
      </c>
      <c r="I2091" s="23" t="s">
        <v>9825</v>
      </c>
      <c r="J2091" s="21" t="s">
        <v>9826</v>
      </c>
      <c r="K2091" s="21"/>
      <c r="L2091" s="21" t="s">
        <v>11100</v>
      </c>
      <c r="M2091" s="26" t="s">
        <v>11101</v>
      </c>
      <c r="N2091" s="44">
        <v>43500</v>
      </c>
      <c r="O2091" s="22" t="s">
        <v>15</v>
      </c>
      <c r="P2091" s="44">
        <f>17304+910+3704.58+8652+14884+983.25</f>
        <v>46437.83</v>
      </c>
      <c r="Q2091" s="24">
        <f t="shared" si="125"/>
        <v>0</v>
      </c>
      <c r="R2091" s="24">
        <f t="shared" si="126"/>
        <v>46437.83</v>
      </c>
      <c r="S2091" s="5"/>
      <c r="T2091" s="5"/>
    </row>
    <row r="2092" spans="2:20" ht="15.75" hidden="1" x14ac:dyDescent="0.25">
      <c r="B2092" s="21" t="s">
        <v>395</v>
      </c>
      <c r="C2092" s="22" t="s">
        <v>2450</v>
      </c>
      <c r="D2092" s="22"/>
      <c r="E2092" s="21" t="s">
        <v>0</v>
      </c>
      <c r="F2092" s="21" t="s">
        <v>9807</v>
      </c>
      <c r="G2092" s="147" t="s">
        <v>3687</v>
      </c>
      <c r="H2092" s="23" t="s">
        <v>9925</v>
      </c>
      <c r="I2092" s="23" t="s">
        <v>9926</v>
      </c>
      <c r="J2092" s="21" t="s">
        <v>9927</v>
      </c>
      <c r="K2092" s="21"/>
      <c r="L2092" s="21" t="s">
        <v>9929</v>
      </c>
      <c r="M2092" s="26">
        <v>45457</v>
      </c>
      <c r="N2092" s="44">
        <v>3300</v>
      </c>
      <c r="O2092" s="22" t="s">
        <v>15</v>
      </c>
      <c r="P2092" s="44">
        <v>3300</v>
      </c>
      <c r="Q2092" s="24">
        <f t="shared" si="125"/>
        <v>0</v>
      </c>
      <c r="R2092" s="24">
        <f t="shared" si="126"/>
        <v>3300</v>
      </c>
      <c r="S2092" s="5"/>
      <c r="T2092" s="5"/>
    </row>
    <row r="2093" spans="2:20" ht="15.75" hidden="1" x14ac:dyDescent="0.25">
      <c r="B2093" s="21" t="s">
        <v>395</v>
      </c>
      <c r="C2093" s="22" t="s">
        <v>2427</v>
      </c>
      <c r="D2093" s="22"/>
      <c r="E2093" s="21" t="s">
        <v>0</v>
      </c>
      <c r="F2093" s="21"/>
      <c r="G2093" s="147" t="s">
        <v>340</v>
      </c>
      <c r="H2093" s="23" t="s">
        <v>7644</v>
      </c>
      <c r="I2093" s="23" t="s">
        <v>8272</v>
      </c>
      <c r="J2093" s="21" t="s">
        <v>7645</v>
      </c>
      <c r="K2093" s="47">
        <v>45000</v>
      </c>
      <c r="L2093" s="21" t="s">
        <v>7734</v>
      </c>
      <c r="M2093" s="26">
        <v>45015</v>
      </c>
      <c r="N2093" s="44">
        <v>2667</v>
      </c>
      <c r="O2093" s="22" t="s">
        <v>341</v>
      </c>
      <c r="P2093" s="44">
        <f>2667</f>
        <v>2667</v>
      </c>
      <c r="Q2093" s="24">
        <f t="shared" si="125"/>
        <v>0</v>
      </c>
      <c r="R2093" s="24">
        <f>IF(P2093="OK",N2093-Q2093,IF(P2093="en cours",M2093-Q2093,P2093))</f>
        <v>2667</v>
      </c>
      <c r="S2093" s="5"/>
      <c r="T2093" s="5"/>
    </row>
    <row r="2094" spans="2:20" ht="15.75" hidden="1" x14ac:dyDescent="0.25">
      <c r="B2094" s="21" t="s">
        <v>395</v>
      </c>
      <c r="C2094" s="22" t="s">
        <v>2450</v>
      </c>
      <c r="D2094" s="22"/>
      <c r="E2094" s="21" t="s">
        <v>159</v>
      </c>
      <c r="F2094" s="21"/>
      <c r="G2094" s="147" t="s">
        <v>1817</v>
      </c>
      <c r="H2094" s="107" t="s">
        <v>1819</v>
      </c>
      <c r="I2094" s="107" t="s">
        <v>1819</v>
      </c>
      <c r="J2094" s="21" t="s">
        <v>1818</v>
      </c>
      <c r="K2094" s="120"/>
      <c r="L2094" s="21" t="s">
        <v>1914</v>
      </c>
      <c r="M2094" s="26">
        <v>43677</v>
      </c>
      <c r="N2094" s="44">
        <v>17292.5</v>
      </c>
      <c r="O2094" s="22" t="s">
        <v>341</v>
      </c>
      <c r="P2094" s="22" t="s">
        <v>19</v>
      </c>
      <c r="Q2094" s="24">
        <f t="shared" si="125"/>
        <v>0</v>
      </c>
      <c r="R2094" s="24">
        <f t="shared" ref="R2094:R2150" si="127">IF(P2094="OK",N2094-Q2094,IF(P2094="en cours",N2094-Q2094,P2094))</f>
        <v>17292.5</v>
      </c>
      <c r="S2094" s="5"/>
      <c r="T2094" s="5"/>
    </row>
    <row r="2095" spans="2:20" ht="15.75" hidden="1" x14ac:dyDescent="0.25">
      <c r="B2095" s="21" t="s">
        <v>395</v>
      </c>
      <c r="C2095" s="22" t="s">
        <v>2450</v>
      </c>
      <c r="D2095" s="22"/>
      <c r="E2095" s="21" t="s">
        <v>159</v>
      </c>
      <c r="F2095" s="21"/>
      <c r="G2095" s="147" t="s">
        <v>1817</v>
      </c>
      <c r="H2095" s="107" t="s">
        <v>1819</v>
      </c>
      <c r="I2095" s="107" t="s">
        <v>1819</v>
      </c>
      <c r="J2095" s="21" t="s">
        <v>1818</v>
      </c>
      <c r="K2095" s="120"/>
      <c r="L2095" s="21" t="s">
        <v>1915</v>
      </c>
      <c r="M2095" s="26">
        <v>43708</v>
      </c>
      <c r="N2095" s="44">
        <f>P2095</f>
        <v>58182.5</v>
      </c>
      <c r="O2095" s="22" t="s">
        <v>341</v>
      </c>
      <c r="P2095" s="114">
        <v>58182.5</v>
      </c>
      <c r="Q2095" s="24">
        <f t="shared" si="125"/>
        <v>0</v>
      </c>
      <c r="R2095" s="24">
        <f t="shared" si="127"/>
        <v>58182.5</v>
      </c>
      <c r="S2095" s="5"/>
      <c r="T2095" s="5"/>
    </row>
    <row r="2096" spans="2:20" ht="15.75" hidden="1" x14ac:dyDescent="0.25">
      <c r="B2096" s="21" t="s">
        <v>395</v>
      </c>
      <c r="C2096" s="22" t="s">
        <v>2450</v>
      </c>
      <c r="D2096" s="22"/>
      <c r="E2096" s="21" t="s">
        <v>159</v>
      </c>
      <c r="F2096" s="21"/>
      <c r="G2096" s="147" t="s">
        <v>1817</v>
      </c>
      <c r="H2096" s="107" t="s">
        <v>1819</v>
      </c>
      <c r="I2096" s="107" t="s">
        <v>1819</v>
      </c>
      <c r="J2096" s="21" t="s">
        <v>1818</v>
      </c>
      <c r="K2096" s="120"/>
      <c r="L2096" s="21" t="s">
        <v>2116</v>
      </c>
      <c r="M2096" s="26">
        <v>43738</v>
      </c>
      <c r="N2096" s="44">
        <v>16525</v>
      </c>
      <c r="O2096" s="22" t="s">
        <v>341</v>
      </c>
      <c r="P2096" s="114" t="s">
        <v>19</v>
      </c>
      <c r="Q2096" s="24">
        <f t="shared" si="125"/>
        <v>0</v>
      </c>
      <c r="R2096" s="24">
        <f t="shared" si="127"/>
        <v>16525</v>
      </c>
      <c r="S2096" s="5"/>
      <c r="T2096" s="5"/>
    </row>
    <row r="2097" spans="1:20" ht="15.75" hidden="1" x14ac:dyDescent="0.25">
      <c r="B2097" s="21" t="s">
        <v>395</v>
      </c>
      <c r="C2097" s="22" t="s">
        <v>7235</v>
      </c>
      <c r="D2097" s="22"/>
      <c r="E2097" s="21" t="s">
        <v>0</v>
      </c>
      <c r="F2097" s="21"/>
      <c r="G2097" s="147" t="s">
        <v>961</v>
      </c>
      <c r="H2097" s="23" t="s">
        <v>7236</v>
      </c>
      <c r="I2097" s="23" t="s">
        <v>8203</v>
      </c>
      <c r="J2097" s="21" t="s">
        <v>7237</v>
      </c>
      <c r="K2097" s="21"/>
      <c r="L2097" s="21" t="s">
        <v>8390</v>
      </c>
      <c r="M2097" s="26">
        <v>45063</v>
      </c>
      <c r="N2097" s="44">
        <v>2650</v>
      </c>
      <c r="O2097" s="22" t="s">
        <v>15</v>
      </c>
      <c r="P2097" s="22">
        <f>2650</f>
        <v>2650</v>
      </c>
      <c r="Q2097" s="44">
        <f t="shared" si="125"/>
        <v>0</v>
      </c>
      <c r="R2097" s="24">
        <f t="shared" si="127"/>
        <v>2650</v>
      </c>
      <c r="S2097" s="5"/>
      <c r="T2097" s="5"/>
    </row>
    <row r="2098" spans="1:20" ht="15.75" hidden="1" x14ac:dyDescent="0.25">
      <c r="B2098" s="21" t="s">
        <v>395</v>
      </c>
      <c r="C2098" s="22" t="s">
        <v>7235</v>
      </c>
      <c r="D2098" s="22"/>
      <c r="E2098" s="21" t="s">
        <v>0</v>
      </c>
      <c r="F2098" s="21"/>
      <c r="G2098" s="147" t="s">
        <v>961</v>
      </c>
      <c r="H2098" s="23" t="s">
        <v>7468</v>
      </c>
      <c r="I2098" s="23" t="s">
        <v>8244</v>
      </c>
      <c r="J2098" s="21" t="s">
        <v>8389</v>
      </c>
      <c r="K2098" s="21"/>
      <c r="L2098" s="21" t="s">
        <v>8391</v>
      </c>
      <c r="M2098" s="26">
        <v>45063</v>
      </c>
      <c r="N2098" s="44">
        <v>1500</v>
      </c>
      <c r="O2098" s="22" t="s">
        <v>15</v>
      </c>
      <c r="P2098" s="44">
        <f>1500</f>
        <v>1500</v>
      </c>
      <c r="Q2098" s="44">
        <f t="shared" si="125"/>
        <v>0</v>
      </c>
      <c r="R2098" s="24">
        <f t="shared" si="127"/>
        <v>1500</v>
      </c>
      <c r="S2098" s="5"/>
      <c r="T2098" s="5"/>
    </row>
    <row r="2099" spans="1:20" ht="15.75" hidden="1" x14ac:dyDescent="0.25">
      <c r="B2099" s="21" t="s">
        <v>395</v>
      </c>
      <c r="C2099" s="22" t="s">
        <v>158</v>
      </c>
      <c r="D2099" s="22"/>
      <c r="E2099" s="21" t="s">
        <v>10</v>
      </c>
      <c r="F2099" s="21"/>
      <c r="G2099" s="147" t="s">
        <v>1201</v>
      </c>
      <c r="H2099" s="23" t="s">
        <v>8496</v>
      </c>
      <c r="I2099" s="23" t="s">
        <v>8497</v>
      </c>
      <c r="J2099" s="21" t="s">
        <v>8495</v>
      </c>
      <c r="K2099" s="21"/>
      <c r="L2099" s="21" t="s">
        <v>8894</v>
      </c>
      <c r="M2099" s="26" t="s">
        <v>8895</v>
      </c>
      <c r="N2099" s="44">
        <v>393</v>
      </c>
      <c r="O2099" s="22" t="s">
        <v>15</v>
      </c>
      <c r="P2099" s="44">
        <f>338.4+54.6</f>
        <v>393</v>
      </c>
      <c r="Q2099" s="44">
        <v>0</v>
      </c>
      <c r="R2099" s="116">
        <f t="shared" si="127"/>
        <v>393</v>
      </c>
      <c r="S2099" s="5"/>
      <c r="T2099" s="5"/>
    </row>
    <row r="2100" spans="1:20" ht="15.75" hidden="1" x14ac:dyDescent="0.25">
      <c r="B2100" s="21" t="s">
        <v>395</v>
      </c>
      <c r="C2100" s="22" t="s">
        <v>2450</v>
      </c>
      <c r="D2100" s="22"/>
      <c r="E2100" s="21" t="s">
        <v>10</v>
      </c>
      <c r="F2100" s="21"/>
      <c r="G2100" s="147" t="s">
        <v>1201</v>
      </c>
      <c r="H2100" s="107" t="s">
        <v>9331</v>
      </c>
      <c r="I2100" s="23" t="s">
        <v>9331</v>
      </c>
      <c r="J2100" s="21" t="s">
        <v>6557</v>
      </c>
      <c r="K2100" s="21"/>
      <c r="L2100" s="21" t="s">
        <v>9624</v>
      </c>
      <c r="M2100" s="26" t="s">
        <v>9625</v>
      </c>
      <c r="N2100" s="44">
        <v>1859.8</v>
      </c>
      <c r="O2100" s="22" t="s">
        <v>15</v>
      </c>
      <c r="P2100" s="44">
        <f>1558+301.8</f>
        <v>1859.8</v>
      </c>
      <c r="Q2100" s="44">
        <f t="shared" ref="Q2100:Q2102" si="128">IF(P2100="en cours",N2100,IF(P2100="OK",0,IF(N2100-P2100&lt;0,0,N2100-P2100)))</f>
        <v>0</v>
      </c>
      <c r="R2100" s="24">
        <f t="shared" si="127"/>
        <v>1859.8</v>
      </c>
      <c r="S2100" s="5"/>
      <c r="T2100" s="5"/>
    </row>
    <row r="2101" spans="1:20" ht="15.75" hidden="1" x14ac:dyDescent="0.25">
      <c r="B2101" s="21" t="s">
        <v>395</v>
      </c>
      <c r="C2101" s="22" t="s">
        <v>2450</v>
      </c>
      <c r="D2101" s="22"/>
      <c r="E2101" s="21" t="s">
        <v>10</v>
      </c>
      <c r="F2101" s="21" t="s">
        <v>9721</v>
      </c>
      <c r="G2101" s="147" t="s">
        <v>1201</v>
      </c>
      <c r="H2101" s="107" t="s">
        <v>10321</v>
      </c>
      <c r="I2101" s="23" t="s">
        <v>10321</v>
      </c>
      <c r="J2101" s="21" t="s">
        <v>6557</v>
      </c>
      <c r="K2101" s="21"/>
      <c r="L2101" s="21" t="s">
        <v>10357</v>
      </c>
      <c r="M2101" s="26">
        <v>45530</v>
      </c>
      <c r="N2101" s="44">
        <v>598.1</v>
      </c>
      <c r="O2101" s="22" t="s">
        <v>15</v>
      </c>
      <c r="P2101" s="44">
        <v>598.1</v>
      </c>
      <c r="Q2101" s="44">
        <f t="shared" si="128"/>
        <v>0</v>
      </c>
      <c r="R2101" s="24">
        <f t="shared" si="127"/>
        <v>598.1</v>
      </c>
      <c r="S2101" s="5"/>
      <c r="T2101" s="5"/>
    </row>
    <row r="2102" spans="1:20" ht="15.75" hidden="1" x14ac:dyDescent="0.25">
      <c r="B2102" s="21" t="s">
        <v>395</v>
      </c>
      <c r="C2102" s="22" t="s">
        <v>2450</v>
      </c>
      <c r="D2102" s="22"/>
      <c r="E2102" s="21" t="s">
        <v>10</v>
      </c>
      <c r="F2102" s="21" t="s">
        <v>9721</v>
      </c>
      <c r="G2102" s="147" t="s">
        <v>1201</v>
      </c>
      <c r="H2102" s="107" t="s">
        <v>10548</v>
      </c>
      <c r="I2102" s="23" t="s">
        <v>10549</v>
      </c>
      <c r="J2102" s="21" t="s">
        <v>6557</v>
      </c>
      <c r="K2102" s="21"/>
      <c r="L2102" s="21" t="s">
        <v>10573</v>
      </c>
      <c r="M2102" s="26">
        <v>45561</v>
      </c>
      <c r="N2102" s="44">
        <v>263</v>
      </c>
      <c r="O2102" s="22" t="s">
        <v>15</v>
      </c>
      <c r="P2102" s="44">
        <v>263</v>
      </c>
      <c r="Q2102" s="44">
        <f t="shared" si="128"/>
        <v>0</v>
      </c>
      <c r="R2102" s="24">
        <f t="shared" si="127"/>
        <v>263</v>
      </c>
      <c r="S2102" s="5"/>
      <c r="T2102" s="5"/>
    </row>
    <row r="2103" spans="1:20" ht="15.75" hidden="1" x14ac:dyDescent="0.25">
      <c r="B2103" s="21" t="s">
        <v>395</v>
      </c>
      <c r="C2103" s="22" t="s">
        <v>2450</v>
      </c>
      <c r="D2103" s="22"/>
      <c r="E2103" s="21" t="s">
        <v>10</v>
      </c>
      <c r="F2103" s="21" t="s">
        <v>8881</v>
      </c>
      <c r="G2103" s="147" t="s">
        <v>6393</v>
      </c>
      <c r="H2103" s="23" t="s">
        <v>8447</v>
      </c>
      <c r="I2103" s="23" t="s">
        <v>8448</v>
      </c>
      <c r="J2103" s="21" t="s">
        <v>8449</v>
      </c>
      <c r="K2103" s="21"/>
      <c r="L2103" s="21" t="s">
        <v>9178</v>
      </c>
      <c r="M2103" s="26" t="s">
        <v>9179</v>
      </c>
      <c r="N2103" s="44">
        <v>3230.19</v>
      </c>
      <c r="O2103" s="22" t="s">
        <v>15</v>
      </c>
      <c r="P2103" s="44">
        <f>340.02+680.04+680.04+510.03+170.01+340.02</f>
        <v>2720.1600000000003</v>
      </c>
      <c r="Q2103" s="44">
        <v>0</v>
      </c>
      <c r="R2103" s="24">
        <f t="shared" si="127"/>
        <v>2720.1600000000003</v>
      </c>
      <c r="S2103" s="5"/>
      <c r="T2103" s="5"/>
    </row>
    <row r="2104" spans="1:20" ht="15.75" hidden="1" x14ac:dyDescent="0.25">
      <c r="B2104" s="21" t="s">
        <v>395</v>
      </c>
      <c r="C2104" s="22" t="s">
        <v>2450</v>
      </c>
      <c r="D2104" s="22"/>
      <c r="E2104" s="21" t="s">
        <v>10</v>
      </c>
      <c r="F2104" s="21"/>
      <c r="G2104" s="147" t="s">
        <v>6393</v>
      </c>
      <c r="H2104" s="23" t="s">
        <v>7298</v>
      </c>
      <c r="I2104" s="23" t="s">
        <v>8215</v>
      </c>
      <c r="J2104" s="21" t="s">
        <v>6394</v>
      </c>
      <c r="K2104" s="21"/>
      <c r="L2104" s="21" t="s">
        <v>8548</v>
      </c>
      <c r="M2104" s="26" t="s">
        <v>8549</v>
      </c>
      <c r="N2104" s="44">
        <v>2970.84</v>
      </c>
      <c r="O2104" s="22" t="s">
        <v>15</v>
      </c>
      <c r="P2104" s="44">
        <f>510.03+(510.03+170.01)+850.05+340.02+680.04</f>
        <v>3060.18</v>
      </c>
      <c r="Q2104" s="44">
        <f t="shared" ref="Q2104:Q2107" si="129">IF(P2104="en cours",N2104,IF(P2104="OK",0,IF(N2104-P2104&lt;0,0,N2104-P2104)))</f>
        <v>0</v>
      </c>
      <c r="R2104" s="24">
        <f t="shared" si="127"/>
        <v>3060.18</v>
      </c>
      <c r="S2104" s="5"/>
      <c r="T2104" s="5"/>
    </row>
    <row r="2105" spans="1:20" ht="15.75" hidden="1" x14ac:dyDescent="0.25">
      <c r="B2105" s="21" t="s">
        <v>395</v>
      </c>
      <c r="C2105" s="22" t="s">
        <v>2450</v>
      </c>
      <c r="D2105" s="22"/>
      <c r="E2105" s="21" t="s">
        <v>10</v>
      </c>
      <c r="F2105" s="21"/>
      <c r="G2105" s="147" t="s">
        <v>6393</v>
      </c>
      <c r="H2105" s="23" t="s">
        <v>6805</v>
      </c>
      <c r="I2105" s="23" t="s">
        <v>8165</v>
      </c>
      <c r="J2105" s="21" t="s">
        <v>6394</v>
      </c>
      <c r="K2105" s="21"/>
      <c r="L2105" s="21" t="s">
        <v>7517</v>
      </c>
      <c r="M2105" s="26" t="s">
        <v>7518</v>
      </c>
      <c r="N2105" s="44">
        <v>1819.8</v>
      </c>
      <c r="O2105" s="22" t="s">
        <v>15</v>
      </c>
      <c r="P2105" s="44">
        <f>(101.1+303.3)+101.1+(101.1+202.2+101.1)+(101.1+303.3)+202.2+202.2</f>
        <v>1718.7</v>
      </c>
      <c r="Q2105" s="44">
        <v>0</v>
      </c>
      <c r="R2105" s="24">
        <f t="shared" si="127"/>
        <v>1718.7</v>
      </c>
      <c r="S2105" s="5"/>
      <c r="T2105" s="5"/>
    </row>
    <row r="2106" spans="1:20" ht="15.75" hidden="1" x14ac:dyDescent="0.25">
      <c r="B2106" s="21" t="s">
        <v>395</v>
      </c>
      <c r="C2106" s="22" t="s">
        <v>2450</v>
      </c>
      <c r="D2106" s="22"/>
      <c r="E2106" s="21" t="s">
        <v>10</v>
      </c>
      <c r="F2106" s="21"/>
      <c r="G2106" s="147" t="s">
        <v>6393</v>
      </c>
      <c r="H2106" s="23" t="s">
        <v>6806</v>
      </c>
      <c r="I2106" s="23" t="s">
        <v>8166</v>
      </c>
      <c r="J2106" s="21" t="s">
        <v>6394</v>
      </c>
      <c r="K2106" s="21"/>
      <c r="L2106" s="21" t="s">
        <v>9370</v>
      </c>
      <c r="M2106" s="26" t="s">
        <v>9371</v>
      </c>
      <c r="N2106" s="44">
        <v>1011</v>
      </c>
      <c r="O2106" s="22" t="s">
        <v>15</v>
      </c>
      <c r="P2106" s="44">
        <f>303.3+(50.55+50.55)+(151.65+50.55)+202.2+151.65+101.1+340.02</f>
        <v>1401.57</v>
      </c>
      <c r="Q2106" s="44">
        <f t="shared" si="129"/>
        <v>0</v>
      </c>
      <c r="R2106" s="24">
        <f t="shared" si="127"/>
        <v>1401.57</v>
      </c>
      <c r="S2106" s="5"/>
      <c r="T2106" s="5"/>
    </row>
    <row r="2107" spans="1:20" ht="15.75" hidden="1" x14ac:dyDescent="0.25">
      <c r="B2107" s="21" t="s">
        <v>395</v>
      </c>
      <c r="C2107" s="22" t="s">
        <v>2450</v>
      </c>
      <c r="D2107" s="22"/>
      <c r="E2107" s="21" t="s">
        <v>10</v>
      </c>
      <c r="F2107" s="21"/>
      <c r="G2107" s="147" t="s">
        <v>6393</v>
      </c>
      <c r="H2107" s="107" t="s">
        <v>9158</v>
      </c>
      <c r="I2107" s="23" t="s">
        <v>9158</v>
      </c>
      <c r="J2107" s="21" t="s">
        <v>9159</v>
      </c>
      <c r="K2107" s="21"/>
      <c r="L2107" s="21"/>
      <c r="M2107" s="23"/>
      <c r="N2107" s="44">
        <v>0</v>
      </c>
      <c r="O2107" s="22" t="s">
        <v>15</v>
      </c>
      <c r="P2107" s="44" t="s">
        <v>19</v>
      </c>
      <c r="Q2107" s="44">
        <f t="shared" si="129"/>
        <v>0</v>
      </c>
      <c r="R2107" s="116">
        <f t="shared" si="127"/>
        <v>0</v>
      </c>
      <c r="S2107" s="5" t="s">
        <v>9351</v>
      </c>
      <c r="T2107" s="5"/>
    </row>
    <row r="2108" spans="1:20" ht="15.75" hidden="1" x14ac:dyDescent="0.25">
      <c r="B2108" s="21" t="s">
        <v>395</v>
      </c>
      <c r="C2108" s="22" t="s">
        <v>2450</v>
      </c>
      <c r="D2108" s="22"/>
      <c r="E2108" s="21" t="s">
        <v>10</v>
      </c>
      <c r="F2108" s="21"/>
      <c r="G2108" s="147" t="s">
        <v>6393</v>
      </c>
      <c r="H2108" s="107" t="s">
        <v>9348</v>
      </c>
      <c r="I2108" s="23" t="s">
        <v>9348</v>
      </c>
      <c r="J2108" s="21" t="s">
        <v>9159</v>
      </c>
      <c r="K2108" s="21"/>
      <c r="L2108" s="21" t="s">
        <v>11025</v>
      </c>
      <c r="M2108" s="26" t="s">
        <v>11026</v>
      </c>
      <c r="N2108" s="44">
        <v>2047.31</v>
      </c>
      <c r="O2108" s="22" t="s">
        <v>15</v>
      </c>
      <c r="P2108" s="44">
        <f>120.43+244.21+123.78+120.43+120.43+182.32+182.32+240.86</f>
        <v>1334.7799999999997</v>
      </c>
      <c r="Q2108" s="44">
        <v>0</v>
      </c>
      <c r="R2108" s="116">
        <f t="shared" si="127"/>
        <v>1334.7799999999997</v>
      </c>
      <c r="S2108" s="5"/>
      <c r="T2108" s="5"/>
    </row>
    <row r="2109" spans="1:20" ht="15.75" hidden="1" x14ac:dyDescent="0.25">
      <c r="B2109" s="21" t="s">
        <v>395</v>
      </c>
      <c r="C2109" s="22" t="s">
        <v>2450</v>
      </c>
      <c r="D2109" s="22"/>
      <c r="E2109" s="21" t="s">
        <v>10</v>
      </c>
      <c r="F2109" s="21"/>
      <c r="G2109" s="147" t="s">
        <v>6393</v>
      </c>
      <c r="H2109" s="107" t="s">
        <v>9352</v>
      </c>
      <c r="I2109" s="23" t="s">
        <v>9350</v>
      </c>
      <c r="J2109" s="21" t="s">
        <v>9159</v>
      </c>
      <c r="K2109" s="21"/>
      <c r="L2109" s="21" t="s">
        <v>10162</v>
      </c>
      <c r="M2109" s="26" t="s">
        <v>10163</v>
      </c>
      <c r="N2109" s="44">
        <v>1806.45</v>
      </c>
      <c r="O2109" s="22" t="s">
        <v>15</v>
      </c>
      <c r="P2109" s="44">
        <f>481.72+120.43+240.86+120.43</f>
        <v>963.44</v>
      </c>
      <c r="Q2109" s="44">
        <v>0</v>
      </c>
      <c r="R2109" s="116">
        <f t="shared" si="127"/>
        <v>963.44</v>
      </c>
      <c r="S2109" s="5"/>
      <c r="T2109" s="5"/>
    </row>
    <row r="2110" spans="1:20" ht="15.75" hidden="1" x14ac:dyDescent="0.25">
      <c r="B2110" s="21" t="s">
        <v>395</v>
      </c>
      <c r="C2110" s="22" t="s">
        <v>2450</v>
      </c>
      <c r="D2110" s="22"/>
      <c r="E2110" s="21" t="s">
        <v>10</v>
      </c>
      <c r="F2110" s="21" t="s">
        <v>9721</v>
      </c>
      <c r="G2110" s="147" t="s">
        <v>6393</v>
      </c>
      <c r="H2110" s="107" t="s">
        <v>10012</v>
      </c>
      <c r="I2110" s="23" t="s">
        <v>10012</v>
      </c>
      <c r="J2110" s="21" t="s">
        <v>6557</v>
      </c>
      <c r="K2110" s="21"/>
      <c r="L2110" s="21"/>
      <c r="M2110" s="23"/>
      <c r="N2110" s="44">
        <v>1052.1300000000001</v>
      </c>
      <c r="O2110" s="22" t="s">
        <v>15</v>
      </c>
      <c r="P2110" s="44"/>
      <c r="Q2110" s="44">
        <v>0</v>
      </c>
      <c r="R2110" s="24">
        <f t="shared" si="127"/>
        <v>0</v>
      </c>
      <c r="S2110" s="5"/>
      <c r="T2110" s="5"/>
    </row>
    <row r="2111" spans="1:20" ht="15.75" hidden="1" x14ac:dyDescent="0.25">
      <c r="A2111" t="s">
        <v>6753</v>
      </c>
      <c r="B2111" s="21" t="s">
        <v>395</v>
      </c>
      <c r="C2111" s="22" t="s">
        <v>2450</v>
      </c>
      <c r="D2111" s="22"/>
      <c r="E2111" s="21" t="s">
        <v>10</v>
      </c>
      <c r="F2111" s="21"/>
      <c r="G2111" s="147" t="s">
        <v>6508</v>
      </c>
      <c r="H2111" s="23" t="s">
        <v>9329</v>
      </c>
      <c r="I2111" s="23" t="s">
        <v>9330</v>
      </c>
      <c r="J2111" s="21" t="s">
        <v>6557</v>
      </c>
      <c r="K2111" s="21"/>
      <c r="L2111" s="21" t="s">
        <v>9409</v>
      </c>
      <c r="M2111" s="26">
        <v>45309</v>
      </c>
      <c r="N2111" s="44">
        <v>1307.9000000000001</v>
      </c>
      <c r="O2111" s="22" t="s">
        <v>15</v>
      </c>
      <c r="P2111" s="44">
        <v>1307.9000000000001</v>
      </c>
      <c r="Q2111" s="44">
        <f t="shared" ref="Q2111:Q2174" si="130">IF(P2111="en cours",N2111,IF(P2111="OK",0,IF(N2111-P2111&lt;0,0,N2111-P2111)))</f>
        <v>0</v>
      </c>
      <c r="R2111" s="24">
        <f t="shared" si="127"/>
        <v>1307.9000000000001</v>
      </c>
      <c r="S2111" s="5"/>
      <c r="T2111" s="5"/>
    </row>
    <row r="2112" spans="1:20" ht="15.75" hidden="1" x14ac:dyDescent="0.25">
      <c r="A2112" t="s">
        <v>6753</v>
      </c>
      <c r="B2112" s="21" t="s">
        <v>395</v>
      </c>
      <c r="C2112" s="22" t="s">
        <v>2450</v>
      </c>
      <c r="D2112" s="22"/>
      <c r="E2112" s="21" t="s">
        <v>10</v>
      </c>
      <c r="F2112" s="21"/>
      <c r="G2112" s="147" t="s">
        <v>7315</v>
      </c>
      <c r="H2112" s="23" t="s">
        <v>7316</v>
      </c>
      <c r="I2112" s="23" t="s">
        <v>8218</v>
      </c>
      <c r="J2112" s="21" t="s">
        <v>6557</v>
      </c>
      <c r="K2112" s="21"/>
      <c r="L2112" s="21" t="s">
        <v>7379</v>
      </c>
      <c r="M2112" s="26">
        <v>44911</v>
      </c>
      <c r="N2112" s="44">
        <v>1475</v>
      </c>
      <c r="O2112" s="22" t="s">
        <v>15</v>
      </c>
      <c r="P2112" s="44">
        <v>1475</v>
      </c>
      <c r="Q2112" s="44">
        <f t="shared" si="130"/>
        <v>0</v>
      </c>
      <c r="R2112" s="24">
        <f t="shared" si="127"/>
        <v>1475</v>
      </c>
      <c r="S2112" s="5"/>
      <c r="T2112" s="5"/>
    </row>
    <row r="2113" spans="1:20" ht="15.75" hidden="1" x14ac:dyDescent="0.25">
      <c r="A2113" t="s">
        <v>6753</v>
      </c>
      <c r="B2113" s="21" t="s">
        <v>395</v>
      </c>
      <c r="C2113" s="22" t="s">
        <v>2450</v>
      </c>
      <c r="D2113" s="22"/>
      <c r="E2113" s="21" t="s">
        <v>10</v>
      </c>
      <c r="F2113" s="21"/>
      <c r="G2113" s="147" t="s">
        <v>7315</v>
      </c>
      <c r="H2113" s="23" t="s">
        <v>8859</v>
      </c>
      <c r="I2113" s="23" t="s">
        <v>8860</v>
      </c>
      <c r="J2113" s="21" t="s">
        <v>7718</v>
      </c>
      <c r="K2113" s="21"/>
      <c r="L2113" s="21" t="s">
        <v>9399</v>
      </c>
      <c r="M2113" s="23" t="s">
        <v>9400</v>
      </c>
      <c r="N2113" s="44">
        <v>2330</v>
      </c>
      <c r="O2113" s="22" t="s">
        <v>15</v>
      </c>
      <c r="P2113" s="44">
        <f>2330</f>
        <v>2330</v>
      </c>
      <c r="Q2113" s="44">
        <f t="shared" si="130"/>
        <v>0</v>
      </c>
      <c r="R2113" s="24">
        <f t="shared" si="127"/>
        <v>2330</v>
      </c>
      <c r="S2113" s="5"/>
      <c r="T2113" s="5"/>
    </row>
    <row r="2114" spans="1:20" ht="15.75" hidden="1" x14ac:dyDescent="0.25">
      <c r="A2114" t="s">
        <v>6753</v>
      </c>
      <c r="B2114" s="21" t="s">
        <v>395</v>
      </c>
      <c r="C2114" s="22" t="s">
        <v>2450</v>
      </c>
      <c r="D2114" s="22"/>
      <c r="E2114" s="21" t="s">
        <v>10</v>
      </c>
      <c r="F2114" s="21"/>
      <c r="G2114" s="147" t="s">
        <v>7315</v>
      </c>
      <c r="H2114" s="23" t="s">
        <v>8514</v>
      </c>
      <c r="I2114" s="23" t="s">
        <v>8515</v>
      </c>
      <c r="J2114" s="21" t="s">
        <v>8516</v>
      </c>
      <c r="K2114" s="21"/>
      <c r="L2114" s="21" t="s">
        <v>8545</v>
      </c>
      <c r="M2114" s="26">
        <v>45104</v>
      </c>
      <c r="N2114" s="44">
        <v>3481.1</v>
      </c>
      <c r="O2114" s="22" t="s">
        <v>15</v>
      </c>
      <c r="P2114" s="44">
        <f>3418.1</f>
        <v>3418.1</v>
      </c>
      <c r="Q2114" s="44">
        <f t="shared" si="130"/>
        <v>63</v>
      </c>
      <c r="R2114" s="116">
        <f t="shared" si="127"/>
        <v>3418.1</v>
      </c>
      <c r="S2114" s="5"/>
      <c r="T2114" s="5"/>
    </row>
    <row r="2115" spans="1:20" ht="15.75" hidden="1" x14ac:dyDescent="0.25">
      <c r="A2115" t="s">
        <v>6753</v>
      </c>
      <c r="B2115" s="21" t="s">
        <v>395</v>
      </c>
      <c r="C2115" s="22" t="s">
        <v>158</v>
      </c>
      <c r="D2115" s="22"/>
      <c r="E2115" s="21" t="s">
        <v>10</v>
      </c>
      <c r="F2115" s="21"/>
      <c r="G2115" s="147" t="s">
        <v>7315</v>
      </c>
      <c r="H2115" s="23" t="s">
        <v>9137</v>
      </c>
      <c r="I2115" s="23" t="s">
        <v>9138</v>
      </c>
      <c r="J2115" s="21" t="s">
        <v>9139</v>
      </c>
      <c r="K2115" s="21"/>
      <c r="L2115" s="21" t="s">
        <v>9280</v>
      </c>
      <c r="M2115" s="26">
        <v>45266</v>
      </c>
      <c r="N2115" s="44">
        <v>11184.9</v>
      </c>
      <c r="O2115" s="22" t="s">
        <v>15</v>
      </c>
      <c r="P2115" s="44">
        <f>11187.9</f>
        <v>11187.9</v>
      </c>
      <c r="Q2115" s="44">
        <f t="shared" si="130"/>
        <v>0</v>
      </c>
      <c r="R2115" s="24">
        <f t="shared" si="127"/>
        <v>11187.9</v>
      </c>
      <c r="S2115" s="5"/>
      <c r="T2115" s="5"/>
    </row>
    <row r="2116" spans="1:20" ht="15.75" hidden="1" x14ac:dyDescent="0.25">
      <c r="A2116" t="s">
        <v>6753</v>
      </c>
      <c r="B2116" s="21" t="s">
        <v>395</v>
      </c>
      <c r="C2116" s="22" t="s">
        <v>2450</v>
      </c>
      <c r="D2116" s="22"/>
      <c r="E2116" s="21" t="s">
        <v>10</v>
      </c>
      <c r="F2116" s="21"/>
      <c r="G2116" s="147" t="s">
        <v>7315</v>
      </c>
      <c r="H2116" s="23" t="s">
        <v>9656</v>
      </c>
      <c r="I2116" s="23" t="s">
        <v>9657</v>
      </c>
      <c r="J2116" s="21" t="s">
        <v>6557</v>
      </c>
      <c r="K2116" s="21"/>
      <c r="L2116" s="21" t="s">
        <v>12241</v>
      </c>
      <c r="M2116" s="26">
        <v>45372</v>
      </c>
      <c r="N2116" s="44">
        <v>1920.04</v>
      </c>
      <c r="O2116" s="22" t="s">
        <v>15</v>
      </c>
      <c r="P2116" s="44">
        <v>1920.04</v>
      </c>
      <c r="Q2116" s="24">
        <f t="shared" si="130"/>
        <v>0</v>
      </c>
      <c r="R2116" s="24">
        <f t="shared" si="127"/>
        <v>1920.04</v>
      </c>
      <c r="S2116" s="5"/>
      <c r="T2116" s="5"/>
    </row>
    <row r="2117" spans="1:20" ht="15.75" hidden="1" x14ac:dyDescent="0.25">
      <c r="A2117" t="s">
        <v>6753</v>
      </c>
      <c r="B2117" s="21" t="s">
        <v>395</v>
      </c>
      <c r="C2117" s="22" t="s">
        <v>2450</v>
      </c>
      <c r="D2117" s="22"/>
      <c r="E2117" s="21" t="s">
        <v>10</v>
      </c>
      <c r="F2117" s="21" t="s">
        <v>9721</v>
      </c>
      <c r="G2117" s="147" t="s">
        <v>7315</v>
      </c>
      <c r="H2117" s="23" t="s">
        <v>9759</v>
      </c>
      <c r="I2117" s="23" t="s">
        <v>9760</v>
      </c>
      <c r="J2117" s="21" t="s">
        <v>6557</v>
      </c>
      <c r="K2117" s="21"/>
      <c r="L2117" s="21" t="s">
        <v>9907</v>
      </c>
      <c r="M2117" s="26">
        <v>45420</v>
      </c>
      <c r="N2117" s="44">
        <v>2356.88</v>
      </c>
      <c r="O2117" s="22" t="s">
        <v>15</v>
      </c>
      <c r="P2117" s="44">
        <v>2356.88</v>
      </c>
      <c r="Q2117" s="24">
        <f t="shared" si="130"/>
        <v>0</v>
      </c>
      <c r="R2117" s="24">
        <f t="shared" si="127"/>
        <v>2356.88</v>
      </c>
      <c r="S2117" s="5"/>
      <c r="T2117" s="5"/>
    </row>
    <row r="2118" spans="1:20" ht="15.75" hidden="1" x14ac:dyDescent="0.25">
      <c r="A2118" t="s">
        <v>6753</v>
      </c>
      <c r="B2118" s="21" t="s">
        <v>395</v>
      </c>
      <c r="C2118" s="22" t="s">
        <v>2450</v>
      </c>
      <c r="D2118" s="22"/>
      <c r="E2118" s="21" t="s">
        <v>10</v>
      </c>
      <c r="F2118" s="21" t="s">
        <v>9721</v>
      </c>
      <c r="G2118" s="147" t="s">
        <v>7315</v>
      </c>
      <c r="H2118" s="23" t="s">
        <v>10346</v>
      </c>
      <c r="I2118" s="23" t="s">
        <v>10347</v>
      </c>
      <c r="J2118" s="21" t="s">
        <v>6557</v>
      </c>
      <c r="K2118" s="21"/>
      <c r="L2118" s="21" t="s">
        <v>10784</v>
      </c>
      <c r="M2118" s="26">
        <v>45534</v>
      </c>
      <c r="N2118" s="44">
        <v>3531.28</v>
      </c>
      <c r="O2118" s="22" t="s">
        <v>15</v>
      </c>
      <c r="P2118" s="44">
        <v>3531.28</v>
      </c>
      <c r="Q2118" s="24">
        <f t="shared" si="130"/>
        <v>0</v>
      </c>
      <c r="R2118" s="24">
        <f t="shared" si="127"/>
        <v>3531.28</v>
      </c>
      <c r="S2118" s="5"/>
      <c r="T2118" s="5"/>
    </row>
    <row r="2119" spans="1:20" ht="15.75" hidden="1" x14ac:dyDescent="0.25">
      <c r="A2119" t="s">
        <v>6753</v>
      </c>
      <c r="B2119" s="21" t="s">
        <v>395</v>
      </c>
      <c r="C2119" s="22" t="s">
        <v>2450</v>
      </c>
      <c r="D2119" s="22"/>
      <c r="E2119" s="21" t="s">
        <v>10</v>
      </c>
      <c r="F2119" s="21" t="s">
        <v>9721</v>
      </c>
      <c r="G2119" s="147" t="s">
        <v>7315</v>
      </c>
      <c r="H2119" s="23" t="s">
        <v>10591</v>
      </c>
      <c r="I2119" s="23" t="s">
        <v>10592</v>
      </c>
      <c r="J2119" s="21" t="s">
        <v>6557</v>
      </c>
      <c r="K2119" s="21"/>
      <c r="L2119" s="21" t="s">
        <v>10785</v>
      </c>
      <c r="M2119" s="26" t="s">
        <v>10786</v>
      </c>
      <c r="N2119" s="44">
        <v>1460.48</v>
      </c>
      <c r="O2119" s="22" t="s">
        <v>15</v>
      </c>
      <c r="P2119" s="44">
        <f>700.48+760</f>
        <v>1460.48</v>
      </c>
      <c r="Q2119" s="24">
        <f t="shared" si="130"/>
        <v>0</v>
      </c>
      <c r="R2119" s="24">
        <f t="shared" si="127"/>
        <v>1460.48</v>
      </c>
      <c r="S2119" s="5"/>
      <c r="T2119" s="5"/>
    </row>
    <row r="2120" spans="1:20" ht="15.75" hidden="1" x14ac:dyDescent="0.25">
      <c r="A2120" t="s">
        <v>6753</v>
      </c>
      <c r="B2120" s="21" t="s">
        <v>395</v>
      </c>
      <c r="C2120" s="22" t="s">
        <v>2456</v>
      </c>
      <c r="D2120" s="22"/>
      <c r="E2120" s="21" t="s">
        <v>75</v>
      </c>
      <c r="F2120" s="21"/>
      <c r="G2120" s="147" t="s">
        <v>238</v>
      </c>
      <c r="H2120" s="23" t="s">
        <v>954</v>
      </c>
      <c r="I2120" s="23" t="s">
        <v>8335</v>
      </c>
      <c r="J2120" s="21" t="s">
        <v>708</v>
      </c>
      <c r="K2120" s="21"/>
      <c r="L2120" s="21"/>
      <c r="M2120" s="26" t="s">
        <v>709</v>
      </c>
      <c r="N2120" s="44">
        <v>9500</v>
      </c>
      <c r="O2120" s="22" t="s">
        <v>15</v>
      </c>
      <c r="P2120" s="44">
        <v>9500</v>
      </c>
      <c r="Q2120" s="24">
        <f t="shared" si="130"/>
        <v>0</v>
      </c>
      <c r="R2120" s="24">
        <f t="shared" si="127"/>
        <v>9500</v>
      </c>
      <c r="S2120" s="5" t="s">
        <v>12267</v>
      </c>
      <c r="T2120" s="5"/>
    </row>
    <row r="2121" spans="1:20" ht="15.75" hidden="1" x14ac:dyDescent="0.25">
      <c r="A2121" t="s">
        <v>6753</v>
      </c>
      <c r="B2121" s="21" t="s">
        <v>395</v>
      </c>
      <c r="C2121" s="22" t="s">
        <v>2456</v>
      </c>
      <c r="D2121" s="22"/>
      <c r="E2121" s="21" t="s">
        <v>75</v>
      </c>
      <c r="F2121" s="21"/>
      <c r="G2121" s="147" t="s">
        <v>238</v>
      </c>
      <c r="H2121" s="23" t="s">
        <v>954</v>
      </c>
      <c r="I2121" s="23" t="s">
        <v>8335</v>
      </c>
      <c r="J2121" s="21" t="s">
        <v>739</v>
      </c>
      <c r="K2121" s="21"/>
      <c r="L2121" s="21"/>
      <c r="M2121" s="26" t="s">
        <v>1579</v>
      </c>
      <c r="N2121" s="44">
        <v>51479.03</v>
      </c>
      <c r="O2121" s="22" t="s">
        <v>15</v>
      </c>
      <c r="P2121" s="44">
        <f>1050+1050+(1062.5+450)+1169.5+(30599.42+1912.5)+(11012.23+1595)+(3808.09+1784.5)+(2956.84+2920.5)+(903.46+2981.5)+(2244)+(313)+(110)+(90.5)+(110.5)+1997.51</f>
        <v>70121.549999999974</v>
      </c>
      <c r="Q2121" s="24">
        <f t="shared" si="130"/>
        <v>0</v>
      </c>
      <c r="R2121" s="24">
        <f t="shared" si="127"/>
        <v>70121.549999999974</v>
      </c>
      <c r="S2121" s="5" t="s">
        <v>12267</v>
      </c>
      <c r="T2121" s="5"/>
    </row>
    <row r="2122" spans="1:20" ht="15.75" hidden="1" x14ac:dyDescent="0.25">
      <c r="A2122" t="s">
        <v>6753</v>
      </c>
      <c r="B2122" s="21" t="s">
        <v>395</v>
      </c>
      <c r="C2122" s="22" t="s">
        <v>2456</v>
      </c>
      <c r="D2122" s="22"/>
      <c r="E2122" s="21" t="s">
        <v>75</v>
      </c>
      <c r="F2122" s="21"/>
      <c r="G2122" s="147" t="s">
        <v>238</v>
      </c>
      <c r="H2122" s="23" t="s">
        <v>955</v>
      </c>
      <c r="I2122" s="23" t="s">
        <v>8335</v>
      </c>
      <c r="J2122" s="21" t="s">
        <v>740</v>
      </c>
      <c r="K2122" s="21"/>
      <c r="L2122" s="21"/>
      <c r="M2122" s="26" t="s">
        <v>793</v>
      </c>
      <c r="N2122" s="44">
        <v>39420.959999999999</v>
      </c>
      <c r="O2122" s="22" t="s">
        <v>15</v>
      </c>
      <c r="P2122" s="44">
        <f>1073.63+2646.6+3933.02+5038.15+9057.75+7562.23+3750.19</f>
        <v>33061.57</v>
      </c>
      <c r="Q2122" s="24">
        <f t="shared" si="130"/>
        <v>6359.3899999999994</v>
      </c>
      <c r="R2122" s="24">
        <f t="shared" si="127"/>
        <v>33061.57</v>
      </c>
      <c r="S2122" s="5" t="s">
        <v>12267</v>
      </c>
      <c r="T2122" s="5"/>
    </row>
    <row r="2123" spans="1:20" ht="15.75" hidden="1" x14ac:dyDescent="0.25">
      <c r="A2123" t="s">
        <v>6753</v>
      </c>
      <c r="B2123" s="21" t="s">
        <v>395</v>
      </c>
      <c r="C2123" s="22" t="s">
        <v>2456</v>
      </c>
      <c r="D2123" s="22"/>
      <c r="E2123" s="21" t="s">
        <v>75</v>
      </c>
      <c r="F2123" s="21"/>
      <c r="G2123" s="147" t="s">
        <v>238</v>
      </c>
      <c r="H2123" s="23" t="s">
        <v>955</v>
      </c>
      <c r="I2123" s="23" t="s">
        <v>8335</v>
      </c>
      <c r="J2123" s="21" t="s">
        <v>707</v>
      </c>
      <c r="K2123" s="21"/>
      <c r="L2123" s="21"/>
      <c r="M2123" s="26" t="s">
        <v>2952</v>
      </c>
      <c r="N2123" s="44">
        <v>38366</v>
      </c>
      <c r="O2123" s="22" t="s">
        <v>15</v>
      </c>
      <c r="P2123" s="44">
        <f>204.52+371.26+655.27+1420.14+2845.55+5734.38+6613.99+6123.69+2369.72+1937.65+113.61+256.58+133.23+558.48</f>
        <v>29338.070000000003</v>
      </c>
      <c r="Q2123" s="24">
        <f t="shared" si="130"/>
        <v>9027.9299999999967</v>
      </c>
      <c r="R2123" s="24">
        <f t="shared" si="127"/>
        <v>29338.070000000003</v>
      </c>
      <c r="S2123" s="5" t="s">
        <v>12267</v>
      </c>
      <c r="T2123" s="5"/>
    </row>
    <row r="2124" spans="1:20" ht="15.75" hidden="1" x14ac:dyDescent="0.25">
      <c r="B2124" s="21" t="s">
        <v>395</v>
      </c>
      <c r="C2124" s="22" t="s">
        <v>2450</v>
      </c>
      <c r="D2124" s="22"/>
      <c r="E2124" s="21" t="s">
        <v>0</v>
      </c>
      <c r="F2124" s="21" t="s">
        <v>9807</v>
      </c>
      <c r="G2124" s="147" t="s">
        <v>10333</v>
      </c>
      <c r="H2124" s="23" t="s">
        <v>10334</v>
      </c>
      <c r="I2124" s="23" t="s">
        <v>10335</v>
      </c>
      <c r="J2124" s="21" t="s">
        <v>10351</v>
      </c>
      <c r="K2124" s="21"/>
      <c r="L2124" s="21" t="s">
        <v>10353</v>
      </c>
      <c r="M2124" s="26">
        <v>45531</v>
      </c>
      <c r="N2124" s="44">
        <f>0.55*8245</f>
        <v>4534.75</v>
      </c>
      <c r="O2124" s="22" t="s">
        <v>15</v>
      </c>
      <c r="P2124" s="44">
        <f>4719.55-184.8</f>
        <v>4534.75</v>
      </c>
      <c r="Q2124" s="44">
        <f t="shared" si="130"/>
        <v>0</v>
      </c>
      <c r="R2124" s="24">
        <f t="shared" si="127"/>
        <v>4534.75</v>
      </c>
      <c r="S2124" s="5"/>
      <c r="T2124" s="5"/>
    </row>
    <row r="2125" spans="1:20" ht="15.75" hidden="1" x14ac:dyDescent="0.25">
      <c r="B2125" s="21" t="s">
        <v>395</v>
      </c>
      <c r="C2125" s="22" t="s">
        <v>2450</v>
      </c>
      <c r="D2125" s="22"/>
      <c r="E2125" s="21" t="s">
        <v>0</v>
      </c>
      <c r="F2125" s="21" t="s">
        <v>9807</v>
      </c>
      <c r="G2125" s="147" t="s">
        <v>10333</v>
      </c>
      <c r="H2125" s="23" t="s">
        <v>10334</v>
      </c>
      <c r="I2125" s="23" t="s">
        <v>10335</v>
      </c>
      <c r="J2125" s="21" t="s">
        <v>10352</v>
      </c>
      <c r="K2125" s="21"/>
      <c r="L2125" s="21" t="s">
        <v>11260</v>
      </c>
      <c r="M2125" s="26">
        <v>45680</v>
      </c>
      <c r="N2125" s="44">
        <f>0.45*8245</f>
        <v>3710.25</v>
      </c>
      <c r="O2125" s="22" t="s">
        <v>15</v>
      </c>
      <c r="P2125" s="44">
        <f>3525.45+184.8</f>
        <v>3710.25</v>
      </c>
      <c r="Q2125" s="44">
        <f t="shared" si="130"/>
        <v>0</v>
      </c>
      <c r="R2125" s="24">
        <f t="shared" si="127"/>
        <v>3710.25</v>
      </c>
      <c r="S2125" s="5"/>
      <c r="T2125" s="5"/>
    </row>
    <row r="2126" spans="1:20" ht="15.75" hidden="1" x14ac:dyDescent="0.25">
      <c r="B2126" s="21" t="s">
        <v>395</v>
      </c>
      <c r="C2126" s="22" t="s">
        <v>3536</v>
      </c>
      <c r="D2126" s="22"/>
      <c r="E2126" s="21" t="s">
        <v>75</v>
      </c>
      <c r="F2126" s="21"/>
      <c r="G2126" s="147" t="s">
        <v>3537</v>
      </c>
      <c r="H2126" s="23" t="s">
        <v>3735</v>
      </c>
      <c r="I2126" s="23"/>
      <c r="J2126" s="21" t="s">
        <v>3539</v>
      </c>
      <c r="K2126" s="120"/>
      <c r="L2126" s="21"/>
      <c r="M2126" s="23"/>
      <c r="N2126" s="44">
        <v>0</v>
      </c>
      <c r="O2126" s="22" t="s">
        <v>15</v>
      </c>
      <c r="P2126" s="22" t="s">
        <v>19</v>
      </c>
      <c r="Q2126" s="24">
        <f t="shared" si="130"/>
        <v>0</v>
      </c>
      <c r="R2126" s="24">
        <f t="shared" si="127"/>
        <v>0</v>
      </c>
      <c r="S2126" s="5" t="s">
        <v>5244</v>
      </c>
      <c r="T2126" s="5"/>
    </row>
    <row r="2127" spans="1:20" ht="15.75" hidden="1" x14ac:dyDescent="0.25">
      <c r="B2127" s="21" t="s">
        <v>395</v>
      </c>
      <c r="C2127" s="22" t="s">
        <v>3536</v>
      </c>
      <c r="D2127" s="22"/>
      <c r="E2127" s="21" t="s">
        <v>75</v>
      </c>
      <c r="F2127" s="21"/>
      <c r="G2127" s="147" t="s">
        <v>3537</v>
      </c>
      <c r="H2127" s="23" t="s">
        <v>3735</v>
      </c>
      <c r="I2127" s="23"/>
      <c r="J2127" s="21" t="s">
        <v>3540</v>
      </c>
      <c r="K2127" s="120"/>
      <c r="L2127" s="21"/>
      <c r="M2127" s="23"/>
      <c r="N2127" s="44">
        <v>0</v>
      </c>
      <c r="O2127" s="22" t="s">
        <v>15</v>
      </c>
      <c r="P2127" s="22" t="s">
        <v>19</v>
      </c>
      <c r="Q2127" s="24">
        <f t="shared" si="130"/>
        <v>0</v>
      </c>
      <c r="R2127" s="24">
        <f t="shared" si="127"/>
        <v>0</v>
      </c>
      <c r="S2127" s="5" t="s">
        <v>5244</v>
      </c>
      <c r="T2127" s="5"/>
    </row>
    <row r="2128" spans="1:20" ht="15.75" hidden="1" x14ac:dyDescent="0.25">
      <c r="B2128" s="21" t="s">
        <v>395</v>
      </c>
      <c r="C2128" s="22" t="s">
        <v>3536</v>
      </c>
      <c r="D2128" s="22"/>
      <c r="E2128" s="21" t="s">
        <v>75</v>
      </c>
      <c r="F2128" s="21"/>
      <c r="G2128" s="147" t="s">
        <v>3537</v>
      </c>
      <c r="H2128" s="23" t="s">
        <v>3735</v>
      </c>
      <c r="I2128" s="23"/>
      <c r="J2128" s="21" t="s">
        <v>3541</v>
      </c>
      <c r="K2128" s="120"/>
      <c r="L2128" s="21"/>
      <c r="M2128" s="23"/>
      <c r="N2128" s="44">
        <v>0</v>
      </c>
      <c r="O2128" s="22" t="s">
        <v>15</v>
      </c>
      <c r="P2128" s="22" t="s">
        <v>19</v>
      </c>
      <c r="Q2128" s="24">
        <f t="shared" si="130"/>
        <v>0</v>
      </c>
      <c r="R2128" s="24">
        <f t="shared" si="127"/>
        <v>0</v>
      </c>
      <c r="S2128" s="5" t="s">
        <v>5244</v>
      </c>
      <c r="T2128" s="5"/>
    </row>
    <row r="2129" spans="2:20" ht="15.75" hidden="1" x14ac:dyDescent="0.25">
      <c r="B2129" s="219" t="s">
        <v>395</v>
      </c>
      <c r="C2129" s="222" t="s">
        <v>3536</v>
      </c>
      <c r="D2129" s="222"/>
      <c r="E2129" s="219" t="s">
        <v>75</v>
      </c>
      <c r="F2129" s="219"/>
      <c r="G2129" s="223" t="s">
        <v>3537</v>
      </c>
      <c r="H2129" s="224" t="s">
        <v>3735</v>
      </c>
      <c r="I2129" s="224"/>
      <c r="J2129" s="219" t="s">
        <v>3542</v>
      </c>
      <c r="K2129" s="457"/>
      <c r="L2129" s="219"/>
      <c r="M2129" s="224"/>
      <c r="N2129" s="226">
        <v>0</v>
      </c>
      <c r="O2129" s="222" t="s">
        <v>15</v>
      </c>
      <c r="P2129" s="222" t="s">
        <v>19</v>
      </c>
      <c r="Q2129" s="470">
        <f t="shared" si="130"/>
        <v>0</v>
      </c>
      <c r="R2129" s="470">
        <f t="shared" si="127"/>
        <v>0</v>
      </c>
      <c r="S2129" s="5" t="s">
        <v>5244</v>
      </c>
      <c r="T2129" s="5"/>
    </row>
    <row r="2130" spans="2:20" ht="15.75" hidden="1" x14ac:dyDescent="0.25">
      <c r="B2130" s="21" t="s">
        <v>395</v>
      </c>
      <c r="C2130" s="22" t="s">
        <v>3536</v>
      </c>
      <c r="D2130" s="22"/>
      <c r="E2130" s="21" t="s">
        <v>75</v>
      </c>
      <c r="F2130" s="21"/>
      <c r="G2130" s="147" t="s">
        <v>3537</v>
      </c>
      <c r="H2130" s="23" t="s">
        <v>3735</v>
      </c>
      <c r="I2130" s="23"/>
      <c r="J2130" s="21" t="s">
        <v>3543</v>
      </c>
      <c r="K2130" s="120"/>
      <c r="L2130" s="21"/>
      <c r="M2130" s="23"/>
      <c r="N2130" s="44">
        <v>0</v>
      </c>
      <c r="O2130" s="22" t="s">
        <v>15</v>
      </c>
      <c r="P2130" s="22" t="s">
        <v>19</v>
      </c>
      <c r="Q2130" s="24">
        <f t="shared" si="130"/>
        <v>0</v>
      </c>
      <c r="R2130" s="24">
        <f t="shared" si="127"/>
        <v>0</v>
      </c>
      <c r="S2130" s="5" t="s">
        <v>5244</v>
      </c>
      <c r="T2130" s="5"/>
    </row>
    <row r="2131" spans="2:20" ht="15.75" hidden="1" x14ac:dyDescent="0.25">
      <c r="B2131" s="21" t="s">
        <v>395</v>
      </c>
      <c r="C2131" s="22" t="s">
        <v>3536</v>
      </c>
      <c r="D2131" s="22"/>
      <c r="E2131" s="21" t="s">
        <v>75</v>
      </c>
      <c r="F2131" s="21"/>
      <c r="G2131" s="147" t="s">
        <v>3537</v>
      </c>
      <c r="H2131" s="23" t="s">
        <v>3538</v>
      </c>
      <c r="I2131" s="23"/>
      <c r="J2131" s="21" t="s">
        <v>3736</v>
      </c>
      <c r="K2131" s="120"/>
      <c r="L2131" s="21" t="s">
        <v>3923</v>
      </c>
      <c r="M2131" s="26">
        <v>44132</v>
      </c>
      <c r="N2131" s="44">
        <f t="shared" ref="N2131:N2136" si="131">0.1*1183668.4</f>
        <v>118366.84</v>
      </c>
      <c r="O2131" s="22" t="s">
        <v>15</v>
      </c>
      <c r="P2131" s="22" t="s">
        <v>19</v>
      </c>
      <c r="Q2131" s="24">
        <f t="shared" si="130"/>
        <v>0</v>
      </c>
      <c r="R2131" s="24">
        <f t="shared" si="127"/>
        <v>118366.84</v>
      </c>
      <c r="S2131" s="5" t="s">
        <v>3748</v>
      </c>
      <c r="T2131" s="5"/>
    </row>
    <row r="2132" spans="2:20" ht="15.75" hidden="1" x14ac:dyDescent="0.25">
      <c r="B2132" s="21" t="s">
        <v>395</v>
      </c>
      <c r="C2132" s="22" t="s">
        <v>3536</v>
      </c>
      <c r="D2132" s="22"/>
      <c r="E2132" s="21" t="s">
        <v>75</v>
      </c>
      <c r="F2132" s="21"/>
      <c r="G2132" s="147" t="s">
        <v>3537</v>
      </c>
      <c r="H2132" s="23" t="s">
        <v>3538</v>
      </c>
      <c r="I2132" s="23"/>
      <c r="J2132" s="21" t="s">
        <v>3737</v>
      </c>
      <c r="K2132" s="120"/>
      <c r="L2132" s="21" t="s">
        <v>4067</v>
      </c>
      <c r="M2132" s="26">
        <v>44161</v>
      </c>
      <c r="N2132" s="44">
        <f t="shared" si="131"/>
        <v>118366.84</v>
      </c>
      <c r="O2132" s="22" t="s">
        <v>15</v>
      </c>
      <c r="P2132" s="22" t="s">
        <v>19</v>
      </c>
      <c r="Q2132" s="24">
        <f t="shared" si="130"/>
        <v>0</v>
      </c>
      <c r="R2132" s="24">
        <f t="shared" si="127"/>
        <v>118366.84</v>
      </c>
      <c r="S2132" s="5" t="s">
        <v>3748</v>
      </c>
      <c r="T2132" s="5"/>
    </row>
    <row r="2133" spans="2:20" ht="15.75" hidden="1" x14ac:dyDescent="0.25">
      <c r="B2133" s="219" t="s">
        <v>395</v>
      </c>
      <c r="C2133" s="222" t="s">
        <v>3536</v>
      </c>
      <c r="D2133" s="222"/>
      <c r="E2133" s="219" t="s">
        <v>75</v>
      </c>
      <c r="F2133" s="219"/>
      <c r="G2133" s="223" t="s">
        <v>3537</v>
      </c>
      <c r="H2133" s="224" t="s">
        <v>3538</v>
      </c>
      <c r="I2133" s="224"/>
      <c r="J2133" s="219" t="s">
        <v>3738</v>
      </c>
      <c r="K2133" s="457"/>
      <c r="L2133" s="219" t="s">
        <v>4296</v>
      </c>
      <c r="M2133" s="225">
        <v>44209</v>
      </c>
      <c r="N2133" s="226">
        <f t="shared" si="131"/>
        <v>118366.84</v>
      </c>
      <c r="O2133" s="222" t="s">
        <v>15</v>
      </c>
      <c r="P2133" s="222" t="s">
        <v>19</v>
      </c>
      <c r="Q2133" s="470">
        <f t="shared" si="130"/>
        <v>0</v>
      </c>
      <c r="R2133" s="470">
        <f t="shared" si="127"/>
        <v>118366.84</v>
      </c>
      <c r="S2133" s="5" t="s">
        <v>3748</v>
      </c>
      <c r="T2133" s="5"/>
    </row>
    <row r="2134" spans="2:20" ht="15.75" hidden="1" x14ac:dyDescent="0.25">
      <c r="B2134" s="21" t="s">
        <v>395</v>
      </c>
      <c r="C2134" s="22" t="s">
        <v>3536</v>
      </c>
      <c r="D2134" s="22"/>
      <c r="E2134" s="21" t="s">
        <v>75</v>
      </c>
      <c r="F2134" s="21"/>
      <c r="G2134" s="147" t="s">
        <v>3537</v>
      </c>
      <c r="H2134" s="23" t="s">
        <v>3538</v>
      </c>
      <c r="I2134" s="23"/>
      <c r="J2134" s="21" t="s">
        <v>3739</v>
      </c>
      <c r="K2134" s="120"/>
      <c r="L2134" s="21" t="s">
        <v>4297</v>
      </c>
      <c r="M2134" s="26">
        <v>44217</v>
      </c>
      <c r="N2134" s="44">
        <f t="shared" si="131"/>
        <v>118366.84</v>
      </c>
      <c r="O2134" s="22" t="s">
        <v>15</v>
      </c>
      <c r="P2134" s="22" t="s">
        <v>19</v>
      </c>
      <c r="Q2134" s="24">
        <f t="shared" si="130"/>
        <v>0</v>
      </c>
      <c r="R2134" s="24">
        <f t="shared" si="127"/>
        <v>118366.84</v>
      </c>
      <c r="S2134" s="5" t="s">
        <v>3748</v>
      </c>
      <c r="T2134" s="5"/>
    </row>
    <row r="2135" spans="2:20" ht="15.75" hidden="1" x14ac:dyDescent="0.25">
      <c r="B2135" s="21" t="s">
        <v>395</v>
      </c>
      <c r="C2135" s="22" t="s">
        <v>3536</v>
      </c>
      <c r="D2135" s="22"/>
      <c r="E2135" s="21" t="s">
        <v>75</v>
      </c>
      <c r="F2135" s="21"/>
      <c r="G2135" s="147" t="s">
        <v>3537</v>
      </c>
      <c r="H2135" s="23" t="s">
        <v>3538</v>
      </c>
      <c r="I2135" s="23"/>
      <c r="J2135" s="21" t="s">
        <v>3740</v>
      </c>
      <c r="K2135" s="120"/>
      <c r="L2135" s="21" t="s">
        <v>4371</v>
      </c>
      <c r="M2135" s="26">
        <v>44245</v>
      </c>
      <c r="N2135" s="44">
        <f t="shared" si="131"/>
        <v>118366.84</v>
      </c>
      <c r="O2135" s="22" t="s">
        <v>15</v>
      </c>
      <c r="P2135" s="22" t="s">
        <v>19</v>
      </c>
      <c r="Q2135" s="24">
        <f t="shared" si="130"/>
        <v>0</v>
      </c>
      <c r="R2135" s="24">
        <f t="shared" si="127"/>
        <v>118366.84</v>
      </c>
      <c r="S2135" s="5" t="s">
        <v>3748</v>
      </c>
      <c r="T2135" s="5"/>
    </row>
    <row r="2136" spans="2:20" ht="15.75" hidden="1" x14ac:dyDescent="0.25">
      <c r="B2136" s="21" t="s">
        <v>395</v>
      </c>
      <c r="C2136" s="22" t="s">
        <v>3536</v>
      </c>
      <c r="D2136" s="22"/>
      <c r="E2136" s="21" t="s">
        <v>75</v>
      </c>
      <c r="F2136" s="21"/>
      <c r="G2136" s="147" t="s">
        <v>3537</v>
      </c>
      <c r="H2136" s="23" t="s">
        <v>3538</v>
      </c>
      <c r="I2136" s="23"/>
      <c r="J2136" s="21" t="s">
        <v>3741</v>
      </c>
      <c r="K2136" s="120"/>
      <c r="L2136" s="21" t="s">
        <v>4678</v>
      </c>
      <c r="M2136" s="26">
        <v>44279</v>
      </c>
      <c r="N2136" s="44">
        <f t="shared" si="131"/>
        <v>118366.84</v>
      </c>
      <c r="O2136" s="22" t="s">
        <v>15</v>
      </c>
      <c r="P2136" s="22" t="s">
        <v>19</v>
      </c>
      <c r="Q2136" s="24">
        <f t="shared" si="130"/>
        <v>0</v>
      </c>
      <c r="R2136" s="24">
        <f t="shared" si="127"/>
        <v>118366.84</v>
      </c>
      <c r="S2136" s="5" t="s">
        <v>3748</v>
      </c>
      <c r="T2136" s="5"/>
    </row>
    <row r="2137" spans="2:20" ht="15.75" hidden="1" x14ac:dyDescent="0.25">
      <c r="B2137" s="21" t="s">
        <v>395</v>
      </c>
      <c r="C2137" s="222" t="s">
        <v>3536</v>
      </c>
      <c r="D2137" s="222"/>
      <c r="E2137" s="219" t="s">
        <v>75</v>
      </c>
      <c r="F2137" s="219"/>
      <c r="G2137" s="223" t="s">
        <v>3537</v>
      </c>
      <c r="H2137" s="224" t="s">
        <v>3538</v>
      </c>
      <c r="I2137" s="224"/>
      <c r="J2137" s="219" t="s">
        <v>3746</v>
      </c>
      <c r="K2137" s="457">
        <v>44409</v>
      </c>
      <c r="L2137" s="219" t="s">
        <v>5815</v>
      </c>
      <c r="M2137" s="225" t="s">
        <v>5816</v>
      </c>
      <c r="N2137" s="226">
        <v>132000</v>
      </c>
      <c r="O2137" s="222" t="s">
        <v>15</v>
      </c>
      <c r="P2137" s="226">
        <f>52800+26400+26400+26400</f>
        <v>132000</v>
      </c>
      <c r="Q2137" s="470">
        <f t="shared" si="130"/>
        <v>0</v>
      </c>
      <c r="R2137" s="470">
        <f t="shared" si="127"/>
        <v>132000</v>
      </c>
      <c r="S2137" s="5" t="s">
        <v>3748</v>
      </c>
      <c r="T2137" s="5"/>
    </row>
    <row r="2138" spans="2:20" ht="15.75" hidden="1" x14ac:dyDescent="0.25">
      <c r="B2138" s="21" t="s">
        <v>395</v>
      </c>
      <c r="C2138" s="22" t="s">
        <v>3536</v>
      </c>
      <c r="D2138" s="22"/>
      <c r="E2138" s="21" t="s">
        <v>75</v>
      </c>
      <c r="F2138" s="21"/>
      <c r="G2138" s="147" t="s">
        <v>3537</v>
      </c>
      <c r="H2138" s="23" t="s">
        <v>4941</v>
      </c>
      <c r="I2138" s="23"/>
      <c r="J2138" s="21" t="s">
        <v>4942</v>
      </c>
      <c r="K2138" s="120"/>
      <c r="L2138" s="21" t="s">
        <v>5248</v>
      </c>
      <c r="M2138" s="26">
        <v>44363</v>
      </c>
      <c r="N2138" s="44">
        <v>139617.46</v>
      </c>
      <c r="O2138" s="22" t="s">
        <v>15</v>
      </c>
      <c r="P2138" s="22" t="s">
        <v>19</v>
      </c>
      <c r="Q2138" s="24">
        <f t="shared" si="130"/>
        <v>0</v>
      </c>
      <c r="R2138" s="24">
        <f t="shared" si="127"/>
        <v>139617.46</v>
      </c>
      <c r="S2138" s="5" t="s">
        <v>3748</v>
      </c>
      <c r="T2138" s="5"/>
    </row>
    <row r="2139" spans="2:20" ht="15.75" hidden="1" x14ac:dyDescent="0.25">
      <c r="B2139" s="21" t="s">
        <v>395</v>
      </c>
      <c r="C2139" s="22" t="s">
        <v>3536</v>
      </c>
      <c r="D2139" s="22"/>
      <c r="E2139" s="21" t="s">
        <v>75</v>
      </c>
      <c r="F2139" s="21"/>
      <c r="G2139" s="147" t="s">
        <v>3537</v>
      </c>
      <c r="H2139" s="23" t="s">
        <v>5817</v>
      </c>
      <c r="I2139" s="23"/>
      <c r="J2139" s="21" t="s">
        <v>3742</v>
      </c>
      <c r="K2139" s="120"/>
      <c r="L2139" s="21" t="s">
        <v>5814</v>
      </c>
      <c r="M2139" s="26">
        <v>44426</v>
      </c>
      <c r="N2139" s="44">
        <v>142221.81</v>
      </c>
      <c r="O2139" s="22" t="s">
        <v>15</v>
      </c>
      <c r="P2139" s="44" t="s">
        <v>19</v>
      </c>
      <c r="Q2139" s="24">
        <f t="shared" si="130"/>
        <v>0</v>
      </c>
      <c r="R2139" s="24">
        <f t="shared" si="127"/>
        <v>142221.81</v>
      </c>
      <c r="S2139" s="5" t="s">
        <v>3748</v>
      </c>
      <c r="T2139" s="5"/>
    </row>
    <row r="2140" spans="2:20" ht="15.75" hidden="1" x14ac:dyDescent="0.25">
      <c r="B2140" s="21" t="s">
        <v>395</v>
      </c>
      <c r="C2140" s="22" t="s">
        <v>3536</v>
      </c>
      <c r="D2140" s="22"/>
      <c r="E2140" s="21" t="s">
        <v>75</v>
      </c>
      <c r="F2140" s="21"/>
      <c r="G2140" s="147" t="s">
        <v>3537</v>
      </c>
      <c r="H2140" s="23" t="s">
        <v>5817</v>
      </c>
      <c r="I2140" s="23"/>
      <c r="J2140" s="21" t="s">
        <v>3743</v>
      </c>
      <c r="K2140" s="120"/>
      <c r="L2140" s="21" t="s">
        <v>6684</v>
      </c>
      <c r="M2140" s="26">
        <v>44524</v>
      </c>
      <c r="N2140" s="44">
        <v>62055.65</v>
      </c>
      <c r="O2140" s="22" t="s">
        <v>15</v>
      </c>
      <c r="P2140" s="44" t="s">
        <v>19</v>
      </c>
      <c r="Q2140" s="24">
        <f t="shared" si="130"/>
        <v>0</v>
      </c>
      <c r="R2140" s="24">
        <f t="shared" si="127"/>
        <v>62055.65</v>
      </c>
      <c r="S2140" s="5" t="s">
        <v>3748</v>
      </c>
      <c r="T2140" s="5"/>
    </row>
    <row r="2141" spans="2:20" ht="15.75" hidden="1" x14ac:dyDescent="0.25">
      <c r="B2141" s="219" t="s">
        <v>395</v>
      </c>
      <c r="C2141" s="222" t="s">
        <v>3536</v>
      </c>
      <c r="D2141" s="222"/>
      <c r="E2141" s="219" t="s">
        <v>75</v>
      </c>
      <c r="F2141" s="219"/>
      <c r="G2141" s="223" t="s">
        <v>3537</v>
      </c>
      <c r="H2141" s="224" t="s">
        <v>5817</v>
      </c>
      <c r="I2141" s="224"/>
      <c r="J2141" s="219" t="s">
        <v>3744</v>
      </c>
      <c r="K2141" s="457"/>
      <c r="L2141" s="219" t="s">
        <v>6685</v>
      </c>
      <c r="M2141" s="225">
        <v>44524</v>
      </c>
      <c r="N2141" s="226">
        <v>124011.29</v>
      </c>
      <c r="O2141" s="222" t="s">
        <v>15</v>
      </c>
      <c r="P2141" s="226" t="s">
        <v>19</v>
      </c>
      <c r="Q2141" s="470">
        <f t="shared" si="130"/>
        <v>0</v>
      </c>
      <c r="R2141" s="470">
        <f t="shared" si="127"/>
        <v>124011.29</v>
      </c>
      <c r="S2141" s="5" t="s">
        <v>3748</v>
      </c>
      <c r="T2141" s="5"/>
    </row>
    <row r="2142" spans="2:20" ht="15.75" hidden="1" x14ac:dyDescent="0.25">
      <c r="B2142" s="21" t="s">
        <v>395</v>
      </c>
      <c r="C2142" s="22" t="s">
        <v>3536</v>
      </c>
      <c r="D2142" s="22"/>
      <c r="E2142" s="21" t="s">
        <v>75</v>
      </c>
      <c r="F2142" s="21"/>
      <c r="G2142" s="147" t="s">
        <v>3537</v>
      </c>
      <c r="H2142" s="23" t="s">
        <v>5817</v>
      </c>
      <c r="I2142" s="23"/>
      <c r="J2142" s="21" t="s">
        <v>3745</v>
      </c>
      <c r="K2142" s="120"/>
      <c r="L2142" s="21" t="s">
        <v>6683</v>
      </c>
      <c r="M2142" s="26">
        <v>44657</v>
      </c>
      <c r="N2142" s="44">
        <v>62005.65</v>
      </c>
      <c r="O2142" s="22" t="s">
        <v>15</v>
      </c>
      <c r="P2142" s="44" t="s">
        <v>19</v>
      </c>
      <c r="Q2142" s="24">
        <f t="shared" si="130"/>
        <v>0</v>
      </c>
      <c r="R2142" s="24">
        <f t="shared" si="127"/>
        <v>62005.65</v>
      </c>
      <c r="S2142" s="5" t="s">
        <v>3748</v>
      </c>
      <c r="T2142" s="5"/>
    </row>
    <row r="2143" spans="2:20" ht="15.75" hidden="1" x14ac:dyDescent="0.25">
      <c r="B2143" s="21" t="s">
        <v>395</v>
      </c>
      <c r="C2143" s="22" t="s">
        <v>3536</v>
      </c>
      <c r="D2143" s="22"/>
      <c r="E2143" s="21" t="s">
        <v>75</v>
      </c>
      <c r="F2143" s="21"/>
      <c r="G2143" s="147" t="s">
        <v>3537</v>
      </c>
      <c r="H2143" s="23" t="s">
        <v>5817</v>
      </c>
      <c r="I2143" s="23"/>
      <c r="J2143" s="21" t="s">
        <v>3747</v>
      </c>
      <c r="K2143" s="120"/>
      <c r="L2143" s="21" t="s">
        <v>6605</v>
      </c>
      <c r="M2143" s="23" t="s">
        <v>6606</v>
      </c>
      <c r="N2143" s="44">
        <f>24234.1+1600</f>
        <v>25834.1</v>
      </c>
      <c r="O2143" s="22" t="s">
        <v>15</v>
      </c>
      <c r="P2143" s="44">
        <f>3722.09+3529.68+14406+1846.57+2933.08</f>
        <v>26437.42</v>
      </c>
      <c r="Q2143" s="24">
        <f t="shared" si="130"/>
        <v>0</v>
      </c>
      <c r="R2143" s="24">
        <f t="shared" si="127"/>
        <v>26437.42</v>
      </c>
      <c r="S2143" s="5" t="s">
        <v>3748</v>
      </c>
      <c r="T2143" s="5"/>
    </row>
    <row r="2144" spans="2:20" ht="15.75" hidden="1" x14ac:dyDescent="0.25">
      <c r="B2144" s="21" t="s">
        <v>395</v>
      </c>
      <c r="C2144" s="22" t="s">
        <v>2450</v>
      </c>
      <c r="D2144" s="22"/>
      <c r="E2144" s="21" t="s">
        <v>10</v>
      </c>
      <c r="F2144" s="21"/>
      <c r="G2144" s="147" t="s">
        <v>8639</v>
      </c>
      <c r="H2144" s="23" t="s">
        <v>8640</v>
      </c>
      <c r="I2144" s="23" t="s">
        <v>8641</v>
      </c>
      <c r="J2144" s="21" t="s">
        <v>8642</v>
      </c>
      <c r="K2144" s="21"/>
      <c r="L2144" s="21" t="s">
        <v>8658</v>
      </c>
      <c r="M2144" s="26">
        <v>45134</v>
      </c>
      <c r="N2144" s="44">
        <v>2936</v>
      </c>
      <c r="O2144" s="22" t="s">
        <v>15</v>
      </c>
      <c r="P2144" s="44">
        <f>2936</f>
        <v>2936</v>
      </c>
      <c r="Q2144" s="44">
        <f t="shared" si="130"/>
        <v>0</v>
      </c>
      <c r="R2144" s="24">
        <f t="shared" si="127"/>
        <v>2936</v>
      </c>
      <c r="S2144" s="5"/>
      <c r="T2144" s="5"/>
    </row>
    <row r="2145" spans="2:20" ht="15.75" hidden="1" x14ac:dyDescent="0.25">
      <c r="B2145" s="219" t="s">
        <v>395</v>
      </c>
      <c r="C2145" s="222" t="s">
        <v>2450</v>
      </c>
      <c r="D2145" s="222"/>
      <c r="E2145" s="219" t="s">
        <v>10</v>
      </c>
      <c r="F2145" s="219"/>
      <c r="G2145" s="223" t="s">
        <v>8639</v>
      </c>
      <c r="H2145" s="224" t="s">
        <v>8643</v>
      </c>
      <c r="I2145" s="224" t="s">
        <v>8644</v>
      </c>
      <c r="J2145" s="219" t="s">
        <v>8642</v>
      </c>
      <c r="K2145" s="219"/>
      <c r="L2145" s="219" t="s">
        <v>8659</v>
      </c>
      <c r="M2145" s="225">
        <v>45139</v>
      </c>
      <c r="N2145" s="226">
        <v>2936</v>
      </c>
      <c r="O2145" s="222" t="s">
        <v>15</v>
      </c>
      <c r="P2145" s="226">
        <f>2936</f>
        <v>2936</v>
      </c>
      <c r="Q2145" s="226">
        <f t="shared" si="130"/>
        <v>0</v>
      </c>
      <c r="R2145" s="470">
        <f t="shared" si="127"/>
        <v>2936</v>
      </c>
      <c r="S2145" s="5"/>
      <c r="T2145" s="5"/>
    </row>
    <row r="2146" spans="2:20" ht="15.75" hidden="1" x14ac:dyDescent="0.25">
      <c r="B2146" s="21" t="s">
        <v>395</v>
      </c>
      <c r="C2146" s="22" t="s">
        <v>2450</v>
      </c>
      <c r="D2146" s="22"/>
      <c r="E2146" s="21" t="s">
        <v>10</v>
      </c>
      <c r="F2146" s="21"/>
      <c r="G2146" s="147" t="s">
        <v>8639</v>
      </c>
      <c r="H2146" s="23" t="s">
        <v>8645</v>
      </c>
      <c r="I2146" s="23" t="s">
        <v>8646</v>
      </c>
      <c r="J2146" s="21" t="s">
        <v>8642</v>
      </c>
      <c r="K2146" s="21"/>
      <c r="L2146" s="21" t="s">
        <v>8660</v>
      </c>
      <c r="M2146" s="26">
        <v>45139</v>
      </c>
      <c r="N2146" s="44">
        <v>3028</v>
      </c>
      <c r="O2146" s="22" t="s">
        <v>15</v>
      </c>
      <c r="P2146" s="44">
        <f>3028</f>
        <v>3028</v>
      </c>
      <c r="Q2146" s="44">
        <f t="shared" si="130"/>
        <v>0</v>
      </c>
      <c r="R2146" s="24">
        <f t="shared" si="127"/>
        <v>3028</v>
      </c>
      <c r="S2146" s="5"/>
      <c r="T2146" s="5"/>
    </row>
    <row r="2147" spans="2:20" ht="15.75" hidden="1" x14ac:dyDescent="0.25">
      <c r="B2147" s="21" t="s">
        <v>395</v>
      </c>
      <c r="C2147" s="22" t="s">
        <v>2450</v>
      </c>
      <c r="D2147" s="22"/>
      <c r="E2147" s="21" t="s">
        <v>10</v>
      </c>
      <c r="F2147" s="21"/>
      <c r="G2147" s="147" t="s">
        <v>8639</v>
      </c>
      <c r="H2147" s="23" t="s">
        <v>9131</v>
      </c>
      <c r="I2147" s="23" t="s">
        <v>9132</v>
      </c>
      <c r="J2147" s="21" t="s">
        <v>9133</v>
      </c>
      <c r="K2147" s="21"/>
      <c r="L2147" s="21" t="s">
        <v>9233</v>
      </c>
      <c r="M2147" s="26">
        <v>45265</v>
      </c>
      <c r="N2147" s="44">
        <v>12092.4</v>
      </c>
      <c r="O2147" s="22" t="s">
        <v>15</v>
      </c>
      <c r="P2147" s="44">
        <v>12092.4</v>
      </c>
      <c r="Q2147" s="44">
        <f t="shared" si="130"/>
        <v>0</v>
      </c>
      <c r="R2147" s="24">
        <f t="shared" si="127"/>
        <v>12092.4</v>
      </c>
      <c r="S2147" s="5"/>
      <c r="T2147" s="5"/>
    </row>
    <row r="2148" spans="2:20" ht="15.75" hidden="1" x14ac:dyDescent="0.25">
      <c r="B2148" s="21" t="s">
        <v>395</v>
      </c>
      <c r="C2148" s="22" t="s">
        <v>2450</v>
      </c>
      <c r="D2148" s="22"/>
      <c r="E2148" s="21" t="s">
        <v>10</v>
      </c>
      <c r="F2148" s="21" t="s">
        <v>9721</v>
      </c>
      <c r="G2148" s="147" t="s">
        <v>8639</v>
      </c>
      <c r="H2148" s="23" t="s">
        <v>9740</v>
      </c>
      <c r="I2148" s="23" t="s">
        <v>9741</v>
      </c>
      <c r="J2148" s="21" t="s">
        <v>6557</v>
      </c>
      <c r="K2148" s="21"/>
      <c r="L2148" s="128" t="s">
        <v>9930</v>
      </c>
      <c r="M2148" s="131">
        <v>45440</v>
      </c>
      <c r="N2148" s="44">
        <v>8809</v>
      </c>
      <c r="O2148" s="22" t="s">
        <v>15</v>
      </c>
      <c r="P2148" s="44">
        <f>8809</f>
        <v>8809</v>
      </c>
      <c r="Q2148" s="24">
        <f t="shared" si="130"/>
        <v>0</v>
      </c>
      <c r="R2148" s="24">
        <f t="shared" si="127"/>
        <v>8809</v>
      </c>
      <c r="S2148" s="5"/>
      <c r="T2148" s="5"/>
    </row>
    <row r="2149" spans="2:20" ht="15.75" hidden="1" x14ac:dyDescent="0.25">
      <c r="B2149" s="219" t="s">
        <v>395</v>
      </c>
      <c r="C2149" s="222" t="s">
        <v>2450</v>
      </c>
      <c r="D2149" s="222"/>
      <c r="E2149" s="219" t="s">
        <v>10</v>
      </c>
      <c r="F2149" s="219" t="s">
        <v>9721</v>
      </c>
      <c r="G2149" s="223" t="s">
        <v>8639</v>
      </c>
      <c r="H2149" s="224" t="s">
        <v>10344</v>
      </c>
      <c r="I2149" s="224" t="s">
        <v>10345</v>
      </c>
      <c r="J2149" s="219" t="s">
        <v>6557</v>
      </c>
      <c r="K2149" s="219"/>
      <c r="L2149" s="21" t="s">
        <v>10482</v>
      </c>
      <c r="M2149" s="26">
        <v>45538</v>
      </c>
      <c r="N2149" s="226">
        <v>4366</v>
      </c>
      <c r="O2149" s="222" t="s">
        <v>15</v>
      </c>
      <c r="P2149" s="226">
        <v>4366</v>
      </c>
      <c r="Q2149" s="226">
        <f t="shared" si="130"/>
        <v>0</v>
      </c>
      <c r="R2149" s="470">
        <f t="shared" si="127"/>
        <v>4366</v>
      </c>
      <c r="S2149" s="5"/>
      <c r="T2149" s="5"/>
    </row>
    <row r="2150" spans="2:20" ht="15.75" hidden="1" x14ac:dyDescent="0.25">
      <c r="B2150" s="21" t="s">
        <v>395</v>
      </c>
      <c r="C2150" s="22" t="s">
        <v>2450</v>
      </c>
      <c r="D2150" s="22"/>
      <c r="E2150" s="21" t="s">
        <v>10</v>
      </c>
      <c r="F2150" s="21" t="s">
        <v>9721</v>
      </c>
      <c r="G2150" s="147" t="s">
        <v>8639</v>
      </c>
      <c r="H2150" s="23" t="s">
        <v>10587</v>
      </c>
      <c r="I2150" s="23" t="s">
        <v>10588</v>
      </c>
      <c r="J2150" s="21" t="s">
        <v>6557</v>
      </c>
      <c r="K2150" s="21"/>
      <c r="L2150" s="21" t="s">
        <v>10662</v>
      </c>
      <c r="M2150" s="26">
        <v>45587</v>
      </c>
      <c r="N2150" s="44">
        <v>2915.55</v>
      </c>
      <c r="O2150" s="22" t="s">
        <v>15</v>
      </c>
      <c r="P2150" s="44">
        <v>2915.55</v>
      </c>
      <c r="Q2150" s="44">
        <f t="shared" si="130"/>
        <v>0</v>
      </c>
      <c r="R2150" s="24">
        <f t="shared" si="127"/>
        <v>2915.55</v>
      </c>
      <c r="S2150" s="5"/>
      <c r="T2150" s="5"/>
    </row>
    <row r="2151" spans="2:20" ht="15.75" hidden="1" x14ac:dyDescent="0.25">
      <c r="B2151" s="21" t="s">
        <v>395</v>
      </c>
      <c r="C2151" s="22" t="s">
        <v>2450</v>
      </c>
      <c r="D2151" s="22"/>
      <c r="E2151" s="21" t="s">
        <v>10</v>
      </c>
      <c r="F2151" s="21"/>
      <c r="G2151" s="147" t="s">
        <v>8639</v>
      </c>
      <c r="H2151" s="23" t="s">
        <v>10762</v>
      </c>
      <c r="I2151" s="23" t="s">
        <v>10763</v>
      </c>
      <c r="J2151" s="21" t="s">
        <v>6557</v>
      </c>
      <c r="K2151" s="21"/>
      <c r="L2151" s="21" t="s">
        <v>10789</v>
      </c>
      <c r="M2151" s="26">
        <v>45617</v>
      </c>
      <c r="N2151" s="44">
        <v>3084</v>
      </c>
      <c r="O2151" s="22" t="s">
        <v>15</v>
      </c>
      <c r="P2151" s="44">
        <v>3084</v>
      </c>
      <c r="Q2151" s="44">
        <f t="shared" si="130"/>
        <v>0</v>
      </c>
      <c r="R2151" s="24">
        <f>IF(P2151="OK",N2151-Q2151,IF(P2151="en cours",M2151-Q2151,P2151))</f>
        <v>3084</v>
      </c>
      <c r="S2151" s="5"/>
      <c r="T2151" s="5"/>
    </row>
    <row r="2152" spans="2:20" ht="15.75" hidden="1" x14ac:dyDescent="0.25">
      <c r="B2152" s="21" t="s">
        <v>395</v>
      </c>
      <c r="C2152" s="129" t="s">
        <v>2450</v>
      </c>
      <c r="D2152" s="129"/>
      <c r="E2152" s="128" t="s">
        <v>0</v>
      </c>
      <c r="F2152" s="128"/>
      <c r="G2152" s="161" t="s">
        <v>132</v>
      </c>
      <c r="H2152" s="130" t="s">
        <v>3405</v>
      </c>
      <c r="I2152" s="130" t="s">
        <v>7938</v>
      </c>
      <c r="J2152" s="128" t="s">
        <v>3404</v>
      </c>
      <c r="K2152" s="456"/>
      <c r="L2152" s="128" t="s">
        <v>3680</v>
      </c>
      <c r="M2152" s="131">
        <v>44074</v>
      </c>
      <c r="N2152" s="132">
        <v>6800</v>
      </c>
      <c r="O2152" s="129" t="s">
        <v>15</v>
      </c>
      <c r="P2152" s="129" t="s">
        <v>19</v>
      </c>
      <c r="Q2152" s="132">
        <f t="shared" si="130"/>
        <v>0</v>
      </c>
      <c r="R2152" s="133">
        <f t="shared" ref="R2152:R2201" si="132">IF(P2152="OK",N2152-Q2152,IF(P2152="en cours",N2152-Q2152,P2152))</f>
        <v>6800</v>
      </c>
      <c r="S2152" s="5"/>
      <c r="T2152" s="5"/>
    </row>
    <row r="2153" spans="2:20" ht="15.75" hidden="1" x14ac:dyDescent="0.25">
      <c r="B2153" s="21" t="s">
        <v>395</v>
      </c>
      <c r="C2153" s="22" t="s">
        <v>2450</v>
      </c>
      <c r="D2153" s="22"/>
      <c r="E2153" s="21" t="s">
        <v>0</v>
      </c>
      <c r="F2153" s="21"/>
      <c r="G2153" s="147" t="s">
        <v>132</v>
      </c>
      <c r="H2153" s="23" t="s">
        <v>3859</v>
      </c>
      <c r="I2153" s="23" t="s">
        <v>7975</v>
      </c>
      <c r="J2153" s="21" t="s">
        <v>3860</v>
      </c>
      <c r="K2153" s="120"/>
      <c r="L2153" s="21" t="s">
        <v>4210</v>
      </c>
      <c r="M2153" s="26">
        <v>44165</v>
      </c>
      <c r="N2153" s="44">
        <v>9600</v>
      </c>
      <c r="O2153" s="22" t="s">
        <v>15</v>
      </c>
      <c r="P2153" s="22" t="s">
        <v>19</v>
      </c>
      <c r="Q2153" s="24">
        <f t="shared" si="130"/>
        <v>0</v>
      </c>
      <c r="R2153" s="24">
        <f t="shared" si="132"/>
        <v>9600</v>
      </c>
      <c r="S2153" s="5"/>
      <c r="T2153" s="5"/>
    </row>
    <row r="2154" spans="2:20" ht="15.75" hidden="1" x14ac:dyDescent="0.25">
      <c r="B2154" s="21" t="s">
        <v>395</v>
      </c>
      <c r="C2154" s="22" t="s">
        <v>2450</v>
      </c>
      <c r="D2154" s="22"/>
      <c r="E2154" s="21" t="s">
        <v>0</v>
      </c>
      <c r="F2154" s="21"/>
      <c r="G2154" s="147" t="s">
        <v>132</v>
      </c>
      <c r="H2154" s="23" t="s">
        <v>3966</v>
      </c>
      <c r="I2154" s="23" t="s">
        <v>7983</v>
      </c>
      <c r="J2154" s="21" t="s">
        <v>3967</v>
      </c>
      <c r="K2154" s="120"/>
      <c r="L2154" s="21" t="s">
        <v>4209</v>
      </c>
      <c r="M2154" s="26">
        <v>44196</v>
      </c>
      <c r="N2154" s="44">
        <v>11100</v>
      </c>
      <c r="O2154" s="22" t="s">
        <v>15</v>
      </c>
      <c r="P2154" s="22" t="s">
        <v>19</v>
      </c>
      <c r="Q2154" s="24">
        <f t="shared" si="130"/>
        <v>0</v>
      </c>
      <c r="R2154" s="24">
        <f t="shared" si="132"/>
        <v>11100</v>
      </c>
      <c r="S2154" s="5"/>
      <c r="T2154" s="5"/>
    </row>
    <row r="2155" spans="2:20" ht="15.75" hidden="1" x14ac:dyDescent="0.25">
      <c r="B2155" s="21" t="s">
        <v>395</v>
      </c>
      <c r="C2155" s="22" t="s">
        <v>2450</v>
      </c>
      <c r="D2155" s="22"/>
      <c r="E2155" s="21" t="s">
        <v>0</v>
      </c>
      <c r="F2155" s="21"/>
      <c r="G2155" s="147" t="s">
        <v>132</v>
      </c>
      <c r="H2155" s="23" t="s">
        <v>4445</v>
      </c>
      <c r="I2155" s="23" t="s">
        <v>8017</v>
      </c>
      <c r="J2155" s="21" t="s">
        <v>4446</v>
      </c>
      <c r="K2155" s="47"/>
      <c r="L2155" s="21" t="s">
        <v>4954</v>
      </c>
      <c r="M2155" s="26">
        <v>44316</v>
      </c>
      <c r="N2155" s="44">
        <v>12220</v>
      </c>
      <c r="O2155" s="22" t="s">
        <v>15</v>
      </c>
      <c r="P2155" s="22" t="s">
        <v>19</v>
      </c>
      <c r="Q2155" s="44">
        <f t="shared" si="130"/>
        <v>0</v>
      </c>
      <c r="R2155" s="24">
        <f t="shared" si="132"/>
        <v>12220</v>
      </c>
      <c r="S2155" s="5"/>
      <c r="T2155" s="5"/>
    </row>
    <row r="2156" spans="2:20" ht="15.75" hidden="1" x14ac:dyDescent="0.25">
      <c r="B2156" s="21" t="s">
        <v>395</v>
      </c>
      <c r="C2156" s="22" t="s">
        <v>2450</v>
      </c>
      <c r="D2156" s="22" t="s">
        <v>5980</v>
      </c>
      <c r="E2156" s="21" t="s">
        <v>10</v>
      </c>
      <c r="F2156" s="21"/>
      <c r="G2156" s="147" t="s">
        <v>132</v>
      </c>
      <c r="H2156" s="23" t="s">
        <v>5485</v>
      </c>
      <c r="I2156" s="23" t="s">
        <v>8045</v>
      </c>
      <c r="J2156" s="21" t="s">
        <v>5007</v>
      </c>
      <c r="K2156" s="47"/>
      <c r="L2156" s="21" t="s">
        <v>5105</v>
      </c>
      <c r="M2156" s="26">
        <v>44347</v>
      </c>
      <c r="N2156" s="44">
        <f t="shared" ref="N2156:N2163" si="133">P2156</f>
        <v>40938.550000000003</v>
      </c>
      <c r="O2156" s="22" t="s">
        <v>15</v>
      </c>
      <c r="P2156" s="44">
        <v>40938.550000000003</v>
      </c>
      <c r="Q2156" s="44">
        <f t="shared" si="130"/>
        <v>0</v>
      </c>
      <c r="R2156" s="24">
        <f t="shared" si="132"/>
        <v>40938.550000000003</v>
      </c>
      <c r="S2156" s="5"/>
      <c r="T2156" s="5"/>
    </row>
    <row r="2157" spans="2:20" ht="15.75" hidden="1" x14ac:dyDescent="0.25">
      <c r="B2157" s="21" t="s">
        <v>395</v>
      </c>
      <c r="C2157" s="22" t="s">
        <v>2450</v>
      </c>
      <c r="D2157" s="22" t="s">
        <v>5980</v>
      </c>
      <c r="E2157" s="21" t="s">
        <v>10</v>
      </c>
      <c r="F2157" s="21"/>
      <c r="G2157" s="147" t="s">
        <v>132</v>
      </c>
      <c r="H2157" s="23" t="s">
        <v>5485</v>
      </c>
      <c r="I2157" s="23" t="s">
        <v>8045</v>
      </c>
      <c r="J2157" s="21" t="s">
        <v>5008</v>
      </c>
      <c r="K2157" s="47"/>
      <c r="L2157" s="21" t="s">
        <v>5317</v>
      </c>
      <c r="M2157" s="26">
        <v>44377</v>
      </c>
      <c r="N2157" s="44">
        <f t="shared" si="133"/>
        <v>87737.24</v>
      </c>
      <c r="O2157" s="22" t="s">
        <v>15</v>
      </c>
      <c r="P2157" s="44">
        <v>87737.24</v>
      </c>
      <c r="Q2157" s="44">
        <f t="shared" si="130"/>
        <v>0</v>
      </c>
      <c r="R2157" s="24">
        <f t="shared" si="132"/>
        <v>87737.24</v>
      </c>
      <c r="S2157" s="5"/>
      <c r="T2157" s="5"/>
    </row>
    <row r="2158" spans="2:20" ht="15.75" hidden="1" x14ac:dyDescent="0.25">
      <c r="B2158" s="21" t="s">
        <v>395</v>
      </c>
      <c r="C2158" s="22" t="s">
        <v>2450</v>
      </c>
      <c r="D2158" s="22" t="s">
        <v>5980</v>
      </c>
      <c r="E2158" s="21" t="s">
        <v>10</v>
      </c>
      <c r="F2158" s="21"/>
      <c r="G2158" s="147" t="s">
        <v>132</v>
      </c>
      <c r="H2158" s="23" t="s">
        <v>5485</v>
      </c>
      <c r="I2158" s="23" t="s">
        <v>8045</v>
      </c>
      <c r="J2158" s="21" t="s">
        <v>5009</v>
      </c>
      <c r="K2158" s="47"/>
      <c r="L2158" s="21" t="s">
        <v>5530</v>
      </c>
      <c r="M2158" s="26">
        <v>44408</v>
      </c>
      <c r="N2158" s="44">
        <f t="shared" si="133"/>
        <v>103323.44</v>
      </c>
      <c r="O2158" s="22" t="s">
        <v>15</v>
      </c>
      <c r="P2158" s="44">
        <v>103323.44</v>
      </c>
      <c r="Q2158" s="44">
        <f t="shared" si="130"/>
        <v>0</v>
      </c>
      <c r="R2158" s="24">
        <f t="shared" si="132"/>
        <v>103323.44</v>
      </c>
      <c r="S2158" s="5"/>
      <c r="T2158" s="5"/>
    </row>
    <row r="2159" spans="2:20" ht="15.75" hidden="1" x14ac:dyDescent="0.25">
      <c r="B2159" s="128" t="s">
        <v>395</v>
      </c>
      <c r="C2159" s="129" t="s">
        <v>2450</v>
      </c>
      <c r="D2159" s="129" t="s">
        <v>5980</v>
      </c>
      <c r="E2159" s="128" t="s">
        <v>10</v>
      </c>
      <c r="F2159" s="128"/>
      <c r="G2159" s="161" t="s">
        <v>132</v>
      </c>
      <c r="H2159" s="130" t="s">
        <v>5485</v>
      </c>
      <c r="I2159" s="130" t="s">
        <v>8045</v>
      </c>
      <c r="J2159" s="128" t="s">
        <v>5010</v>
      </c>
      <c r="K2159" s="486"/>
      <c r="L2159" s="128" t="s">
        <v>5694</v>
      </c>
      <c r="M2159" s="131">
        <v>44439</v>
      </c>
      <c r="N2159" s="132">
        <f t="shared" si="133"/>
        <v>113950.96</v>
      </c>
      <c r="O2159" s="129" t="s">
        <v>15</v>
      </c>
      <c r="P2159" s="132">
        <v>113950.96</v>
      </c>
      <c r="Q2159" s="132">
        <f t="shared" si="130"/>
        <v>0</v>
      </c>
      <c r="R2159" s="133">
        <f t="shared" si="132"/>
        <v>113950.96</v>
      </c>
      <c r="S2159" s="5"/>
      <c r="T2159" s="5"/>
    </row>
    <row r="2160" spans="2:20" ht="15.75" hidden="1" x14ac:dyDescent="0.25">
      <c r="B2160" s="21" t="s">
        <v>395</v>
      </c>
      <c r="C2160" s="22" t="s">
        <v>2450</v>
      </c>
      <c r="D2160" s="22" t="s">
        <v>5980</v>
      </c>
      <c r="E2160" s="21" t="s">
        <v>10</v>
      </c>
      <c r="F2160" s="21"/>
      <c r="G2160" s="147" t="s">
        <v>132</v>
      </c>
      <c r="H2160" s="23" t="s">
        <v>5485</v>
      </c>
      <c r="I2160" s="23" t="s">
        <v>8045</v>
      </c>
      <c r="J2160" s="21" t="s">
        <v>5011</v>
      </c>
      <c r="K2160" s="47"/>
      <c r="L2160" s="21" t="s">
        <v>5886</v>
      </c>
      <c r="M2160" s="26">
        <v>44469</v>
      </c>
      <c r="N2160" s="44">
        <f t="shared" si="133"/>
        <v>124446.76</v>
      </c>
      <c r="O2160" s="22" t="s">
        <v>15</v>
      </c>
      <c r="P2160" s="44">
        <v>124446.76</v>
      </c>
      <c r="Q2160" s="44">
        <f t="shared" si="130"/>
        <v>0</v>
      </c>
      <c r="R2160" s="24">
        <f t="shared" si="132"/>
        <v>124446.76</v>
      </c>
      <c r="S2160" s="5"/>
      <c r="T2160" s="5"/>
    </row>
    <row r="2161" spans="2:20" ht="15.75" hidden="1" x14ac:dyDescent="0.25">
      <c r="B2161" s="21" t="s">
        <v>395</v>
      </c>
      <c r="C2161" s="22" t="s">
        <v>2450</v>
      </c>
      <c r="D2161" s="22" t="s">
        <v>5980</v>
      </c>
      <c r="E2161" s="21" t="s">
        <v>10</v>
      </c>
      <c r="F2161" s="21"/>
      <c r="G2161" s="147" t="s">
        <v>132</v>
      </c>
      <c r="H2161" s="23" t="s">
        <v>5485</v>
      </c>
      <c r="I2161" s="23" t="s">
        <v>8045</v>
      </c>
      <c r="J2161" s="21" t="s">
        <v>5012</v>
      </c>
      <c r="K2161" s="47"/>
      <c r="L2161" s="21" t="s">
        <v>6019</v>
      </c>
      <c r="M2161" s="26">
        <v>44500</v>
      </c>
      <c r="N2161" s="44">
        <f t="shared" si="133"/>
        <v>111359.95</v>
      </c>
      <c r="O2161" s="22" t="s">
        <v>15</v>
      </c>
      <c r="P2161" s="44">
        <v>111359.95</v>
      </c>
      <c r="Q2161" s="44">
        <f t="shared" si="130"/>
        <v>0</v>
      </c>
      <c r="R2161" s="24">
        <f t="shared" si="132"/>
        <v>111359.95</v>
      </c>
      <c r="S2161" s="5"/>
      <c r="T2161" s="5"/>
    </row>
    <row r="2162" spans="2:20" ht="15.75" hidden="1" x14ac:dyDescent="0.25">
      <c r="B2162" s="21" t="s">
        <v>395</v>
      </c>
      <c r="C2162" s="22" t="s">
        <v>2450</v>
      </c>
      <c r="D2162" s="22" t="s">
        <v>5980</v>
      </c>
      <c r="E2162" s="21" t="s">
        <v>10</v>
      </c>
      <c r="F2162" s="21"/>
      <c r="G2162" s="147" t="s">
        <v>132</v>
      </c>
      <c r="H2162" s="23" t="s">
        <v>5485</v>
      </c>
      <c r="I2162" s="23" t="s">
        <v>8045</v>
      </c>
      <c r="J2162" s="21" t="s">
        <v>5013</v>
      </c>
      <c r="K2162" s="47"/>
      <c r="L2162" s="21" t="s">
        <v>6217</v>
      </c>
      <c r="M2162" s="26">
        <v>44530</v>
      </c>
      <c r="N2162" s="44">
        <f t="shared" si="133"/>
        <v>117957.75999999999</v>
      </c>
      <c r="O2162" s="22" t="s">
        <v>15</v>
      </c>
      <c r="P2162" s="44">
        <v>117957.75999999999</v>
      </c>
      <c r="Q2162" s="44">
        <f t="shared" si="130"/>
        <v>0</v>
      </c>
      <c r="R2162" s="24">
        <f t="shared" si="132"/>
        <v>117957.75999999999</v>
      </c>
      <c r="S2162" s="5"/>
      <c r="T2162" s="5"/>
    </row>
    <row r="2163" spans="2:20" ht="15.75" hidden="1" x14ac:dyDescent="0.25">
      <c r="B2163" s="21" t="s">
        <v>395</v>
      </c>
      <c r="C2163" s="22" t="s">
        <v>2450</v>
      </c>
      <c r="D2163" s="22" t="s">
        <v>5980</v>
      </c>
      <c r="E2163" s="21" t="s">
        <v>10</v>
      </c>
      <c r="F2163" s="21"/>
      <c r="G2163" s="147" t="s">
        <v>132</v>
      </c>
      <c r="H2163" s="23" t="s">
        <v>5485</v>
      </c>
      <c r="I2163" s="23" t="s">
        <v>8045</v>
      </c>
      <c r="J2163" s="21" t="s">
        <v>5014</v>
      </c>
      <c r="K2163" s="47"/>
      <c r="L2163" s="21" t="s">
        <v>6300</v>
      </c>
      <c r="M2163" s="26">
        <v>44561</v>
      </c>
      <c r="N2163" s="44">
        <f t="shared" si="133"/>
        <v>97756.53</v>
      </c>
      <c r="O2163" s="22" t="s">
        <v>15</v>
      </c>
      <c r="P2163" s="44">
        <v>97756.53</v>
      </c>
      <c r="Q2163" s="44">
        <f t="shared" si="130"/>
        <v>0</v>
      </c>
      <c r="R2163" s="24">
        <f t="shared" si="132"/>
        <v>97756.53</v>
      </c>
      <c r="S2163" s="5"/>
      <c r="T2163" s="5"/>
    </row>
    <row r="2164" spans="2:20" ht="15.75" hidden="1" x14ac:dyDescent="0.25">
      <c r="B2164" s="21" t="s">
        <v>395</v>
      </c>
      <c r="C2164" s="22" t="s">
        <v>2450</v>
      </c>
      <c r="D2164" s="22" t="s">
        <v>5980</v>
      </c>
      <c r="E2164" s="21" t="s">
        <v>10</v>
      </c>
      <c r="F2164" s="21"/>
      <c r="G2164" s="147" t="s">
        <v>132</v>
      </c>
      <c r="H2164" s="23" t="s">
        <v>5485</v>
      </c>
      <c r="I2164" s="23" t="s">
        <v>8045</v>
      </c>
      <c r="J2164" s="21" t="s">
        <v>5015</v>
      </c>
      <c r="K2164" s="47"/>
      <c r="L2164" s="21" t="s">
        <v>6387</v>
      </c>
      <c r="M2164" s="26">
        <v>44592</v>
      </c>
      <c r="N2164" s="44">
        <v>55182</v>
      </c>
      <c r="O2164" s="22" t="s">
        <v>15</v>
      </c>
      <c r="P2164" s="44">
        <v>145809.49</v>
      </c>
      <c r="Q2164" s="44">
        <f t="shared" si="130"/>
        <v>0</v>
      </c>
      <c r="R2164" s="24">
        <f t="shared" si="132"/>
        <v>145809.49</v>
      </c>
      <c r="S2164" s="5"/>
      <c r="T2164" s="5"/>
    </row>
    <row r="2165" spans="2:20" ht="15.75" hidden="1" x14ac:dyDescent="0.25">
      <c r="B2165" s="21" t="s">
        <v>395</v>
      </c>
      <c r="C2165" s="22" t="s">
        <v>2450</v>
      </c>
      <c r="D2165" s="22" t="s">
        <v>5980</v>
      </c>
      <c r="E2165" s="21" t="s">
        <v>10</v>
      </c>
      <c r="F2165" s="21"/>
      <c r="G2165" s="147" t="s">
        <v>132</v>
      </c>
      <c r="H2165" s="23" t="s">
        <v>5485</v>
      </c>
      <c r="I2165" s="23" t="s">
        <v>8045</v>
      </c>
      <c r="J2165" s="21" t="s">
        <v>5016</v>
      </c>
      <c r="K2165" s="47"/>
      <c r="L2165" s="21" t="s">
        <v>6387</v>
      </c>
      <c r="M2165" s="26">
        <v>44592</v>
      </c>
      <c r="N2165" s="44">
        <f>842625-(N2156+N2157+N2158+N2159+N2160+N2161+N2162+N2163+N2164)</f>
        <v>-10028.190000000061</v>
      </c>
      <c r="O2165" s="22" t="s">
        <v>15</v>
      </c>
      <c r="P2165" s="44"/>
      <c r="Q2165" s="44">
        <f t="shared" si="130"/>
        <v>0</v>
      </c>
      <c r="R2165" s="24">
        <f t="shared" si="132"/>
        <v>0</v>
      </c>
      <c r="S2165" s="5"/>
      <c r="T2165" s="5"/>
    </row>
    <row r="2166" spans="2:20" ht="15.75" hidden="1" x14ac:dyDescent="0.25">
      <c r="B2166" s="128" t="s">
        <v>395</v>
      </c>
      <c r="C2166" s="129" t="s">
        <v>2450</v>
      </c>
      <c r="D2166" s="129" t="s">
        <v>5979</v>
      </c>
      <c r="E2166" s="128" t="s">
        <v>10</v>
      </c>
      <c r="F2166" s="128"/>
      <c r="G2166" s="161" t="s">
        <v>132</v>
      </c>
      <c r="H2166" s="130" t="s">
        <v>6538</v>
      </c>
      <c r="I2166" s="130" t="s">
        <v>7831</v>
      </c>
      <c r="J2166" s="128" t="s">
        <v>5025</v>
      </c>
      <c r="K2166" s="486"/>
      <c r="L2166" s="128" t="s">
        <v>6717</v>
      </c>
      <c r="M2166" s="131" t="s">
        <v>6714</v>
      </c>
      <c r="N2166" s="132">
        <v>135450</v>
      </c>
      <c r="O2166" s="129" t="s">
        <v>15</v>
      </c>
      <c r="P2166" s="132">
        <f>5544+24329.45+105576.55</f>
        <v>135450</v>
      </c>
      <c r="Q2166" s="132">
        <f t="shared" si="130"/>
        <v>0</v>
      </c>
      <c r="R2166" s="133">
        <f t="shared" si="132"/>
        <v>135450</v>
      </c>
      <c r="S2166" s="5"/>
      <c r="T2166" s="5"/>
    </row>
    <row r="2167" spans="2:20" ht="15.75" hidden="1" x14ac:dyDescent="0.25">
      <c r="B2167" s="21" t="s">
        <v>395</v>
      </c>
      <c r="C2167" s="22" t="s">
        <v>2450</v>
      </c>
      <c r="D2167" s="22" t="s">
        <v>5979</v>
      </c>
      <c r="E2167" s="21" t="s">
        <v>10</v>
      </c>
      <c r="F2167" s="21"/>
      <c r="G2167" s="147" t="s">
        <v>132</v>
      </c>
      <c r="H2167" s="23" t="s">
        <v>5484</v>
      </c>
      <c r="I2167" s="23" t="s">
        <v>7831</v>
      </c>
      <c r="J2167" s="21" t="s">
        <v>5017</v>
      </c>
      <c r="K2167" s="47"/>
      <c r="L2167" s="21" t="s">
        <v>5104</v>
      </c>
      <c r="M2167" s="26">
        <v>44347</v>
      </c>
      <c r="N2167" s="44">
        <f t="shared" ref="N2167:N2174" si="134">P2167</f>
        <v>11500</v>
      </c>
      <c r="O2167" s="22" t="s">
        <v>15</v>
      </c>
      <c r="P2167" s="44">
        <v>11500</v>
      </c>
      <c r="Q2167" s="44">
        <f t="shared" si="130"/>
        <v>0</v>
      </c>
      <c r="R2167" s="24">
        <f t="shared" si="132"/>
        <v>11500</v>
      </c>
      <c r="S2167" s="5"/>
      <c r="T2167" s="5"/>
    </row>
    <row r="2168" spans="2:20" ht="15.75" hidden="1" x14ac:dyDescent="0.25">
      <c r="B2168" s="21" t="s">
        <v>395</v>
      </c>
      <c r="C2168" s="22" t="s">
        <v>2450</v>
      </c>
      <c r="D2168" s="22" t="s">
        <v>5979</v>
      </c>
      <c r="E2168" s="21" t="s">
        <v>10</v>
      </c>
      <c r="F2168" s="21"/>
      <c r="G2168" s="147" t="s">
        <v>132</v>
      </c>
      <c r="H2168" s="23" t="s">
        <v>5484</v>
      </c>
      <c r="I2168" s="23" t="s">
        <v>7831</v>
      </c>
      <c r="J2168" s="21" t="s">
        <v>5018</v>
      </c>
      <c r="K2168" s="47"/>
      <c r="L2168" s="21" t="s">
        <v>5318</v>
      </c>
      <c r="M2168" s="26">
        <v>44377</v>
      </c>
      <c r="N2168" s="44">
        <f t="shared" si="134"/>
        <v>42324.55</v>
      </c>
      <c r="O2168" s="22" t="s">
        <v>15</v>
      </c>
      <c r="P2168" s="44">
        <v>42324.55</v>
      </c>
      <c r="Q2168" s="44">
        <f t="shared" si="130"/>
        <v>0</v>
      </c>
      <c r="R2168" s="24">
        <f t="shared" si="132"/>
        <v>42324.55</v>
      </c>
      <c r="S2168" s="5"/>
      <c r="T2168" s="5"/>
    </row>
    <row r="2169" spans="2:20" ht="15.75" hidden="1" x14ac:dyDescent="0.25">
      <c r="B2169" s="21" t="s">
        <v>395</v>
      </c>
      <c r="C2169" s="22" t="s">
        <v>2450</v>
      </c>
      <c r="D2169" s="22" t="s">
        <v>5979</v>
      </c>
      <c r="E2169" s="21" t="s">
        <v>10</v>
      </c>
      <c r="F2169" s="21"/>
      <c r="G2169" s="147" t="s">
        <v>132</v>
      </c>
      <c r="H2169" s="23" t="s">
        <v>5484</v>
      </c>
      <c r="I2169" s="23" t="s">
        <v>7831</v>
      </c>
      <c r="J2169" s="21" t="s">
        <v>5019</v>
      </c>
      <c r="K2169" s="47"/>
      <c r="L2169" s="21" t="s">
        <v>5531</v>
      </c>
      <c r="M2169" s="26">
        <v>44408</v>
      </c>
      <c r="N2169" s="44">
        <f t="shared" si="134"/>
        <v>18980.18</v>
      </c>
      <c r="O2169" s="22" t="s">
        <v>15</v>
      </c>
      <c r="P2169" s="44">
        <v>18980.18</v>
      </c>
      <c r="Q2169" s="44">
        <f t="shared" si="130"/>
        <v>0</v>
      </c>
      <c r="R2169" s="24">
        <f t="shared" si="132"/>
        <v>18980.18</v>
      </c>
      <c r="S2169" s="5"/>
      <c r="T2169" s="5"/>
    </row>
    <row r="2170" spans="2:20" ht="15.75" hidden="1" x14ac:dyDescent="0.25">
      <c r="B2170" s="21" t="s">
        <v>395</v>
      </c>
      <c r="C2170" s="22" t="s">
        <v>2450</v>
      </c>
      <c r="D2170" s="22" t="s">
        <v>5979</v>
      </c>
      <c r="E2170" s="21" t="s">
        <v>10</v>
      </c>
      <c r="F2170" s="21"/>
      <c r="G2170" s="147" t="s">
        <v>132</v>
      </c>
      <c r="H2170" s="23" t="s">
        <v>5484</v>
      </c>
      <c r="I2170" s="23" t="s">
        <v>7831</v>
      </c>
      <c r="J2170" s="21" t="s">
        <v>5020</v>
      </c>
      <c r="K2170" s="47"/>
      <c r="L2170" s="21" t="s">
        <v>5695</v>
      </c>
      <c r="M2170" s="26">
        <v>44439</v>
      </c>
      <c r="N2170" s="44">
        <f t="shared" si="134"/>
        <v>28132.36</v>
      </c>
      <c r="O2170" s="22" t="s">
        <v>15</v>
      </c>
      <c r="P2170" s="44">
        <v>28132.36</v>
      </c>
      <c r="Q2170" s="44">
        <f t="shared" si="130"/>
        <v>0</v>
      </c>
      <c r="R2170" s="24">
        <f t="shared" si="132"/>
        <v>28132.36</v>
      </c>
      <c r="S2170" s="5"/>
      <c r="T2170" s="5"/>
    </row>
    <row r="2171" spans="2:20" ht="15.75" hidden="1" x14ac:dyDescent="0.25">
      <c r="B2171" s="21" t="s">
        <v>395</v>
      </c>
      <c r="C2171" s="22" t="s">
        <v>2450</v>
      </c>
      <c r="D2171" s="22" t="s">
        <v>5979</v>
      </c>
      <c r="E2171" s="21" t="s">
        <v>10</v>
      </c>
      <c r="F2171" s="21"/>
      <c r="G2171" s="147" t="s">
        <v>132</v>
      </c>
      <c r="H2171" s="23" t="s">
        <v>5484</v>
      </c>
      <c r="I2171" s="23" t="s">
        <v>7831</v>
      </c>
      <c r="J2171" s="21" t="s">
        <v>5021</v>
      </c>
      <c r="K2171" s="47"/>
      <c r="L2171" s="21" t="s">
        <v>5888</v>
      </c>
      <c r="M2171" s="26">
        <v>44469</v>
      </c>
      <c r="N2171" s="44">
        <f t="shared" si="134"/>
        <v>31963.91</v>
      </c>
      <c r="O2171" s="22" t="s">
        <v>15</v>
      </c>
      <c r="P2171" s="44">
        <v>31963.91</v>
      </c>
      <c r="Q2171" s="44">
        <f t="shared" si="130"/>
        <v>0</v>
      </c>
      <c r="R2171" s="24">
        <f t="shared" si="132"/>
        <v>31963.91</v>
      </c>
      <c r="S2171" s="5"/>
      <c r="T2171" s="5"/>
    </row>
    <row r="2172" spans="2:20" ht="15.75" hidden="1" x14ac:dyDescent="0.25">
      <c r="B2172" s="21" t="s">
        <v>395</v>
      </c>
      <c r="C2172" s="22" t="s">
        <v>2450</v>
      </c>
      <c r="D2172" s="22" t="s">
        <v>5979</v>
      </c>
      <c r="E2172" s="21" t="s">
        <v>10</v>
      </c>
      <c r="F2172" s="21"/>
      <c r="G2172" s="147" t="s">
        <v>132</v>
      </c>
      <c r="H2172" s="23" t="s">
        <v>5484</v>
      </c>
      <c r="I2172" s="23" t="s">
        <v>7831</v>
      </c>
      <c r="J2172" s="21" t="s">
        <v>5022</v>
      </c>
      <c r="K2172" s="47"/>
      <c r="L2172" s="21" t="s">
        <v>6020</v>
      </c>
      <c r="M2172" s="26">
        <v>44500</v>
      </c>
      <c r="N2172" s="44">
        <f t="shared" si="134"/>
        <v>35039.449999999997</v>
      </c>
      <c r="O2172" s="22" t="s">
        <v>15</v>
      </c>
      <c r="P2172" s="44">
        <v>35039.449999999997</v>
      </c>
      <c r="Q2172" s="44">
        <f t="shared" si="130"/>
        <v>0</v>
      </c>
      <c r="R2172" s="24">
        <f t="shared" si="132"/>
        <v>35039.449999999997</v>
      </c>
      <c r="S2172" s="5"/>
      <c r="T2172" s="5"/>
    </row>
    <row r="2173" spans="2:20" ht="15.75" hidden="1" x14ac:dyDescent="0.25">
      <c r="B2173" s="128" t="s">
        <v>395</v>
      </c>
      <c r="C2173" s="129" t="s">
        <v>2450</v>
      </c>
      <c r="D2173" s="129" t="s">
        <v>5979</v>
      </c>
      <c r="E2173" s="128" t="s">
        <v>10</v>
      </c>
      <c r="F2173" s="128"/>
      <c r="G2173" s="161" t="s">
        <v>132</v>
      </c>
      <c r="H2173" s="130" t="s">
        <v>5484</v>
      </c>
      <c r="I2173" s="130" t="s">
        <v>7831</v>
      </c>
      <c r="J2173" s="128" t="s">
        <v>5023</v>
      </c>
      <c r="K2173" s="486"/>
      <c r="L2173" s="128" t="s">
        <v>6218</v>
      </c>
      <c r="M2173" s="131">
        <v>44530</v>
      </c>
      <c r="N2173" s="132">
        <f t="shared" si="134"/>
        <v>27204.55</v>
      </c>
      <c r="O2173" s="129" t="s">
        <v>15</v>
      </c>
      <c r="P2173" s="132">
        <v>27204.55</v>
      </c>
      <c r="Q2173" s="132">
        <f t="shared" si="130"/>
        <v>0</v>
      </c>
      <c r="R2173" s="133">
        <f t="shared" si="132"/>
        <v>27204.55</v>
      </c>
      <c r="S2173" s="5"/>
      <c r="T2173" s="5"/>
    </row>
    <row r="2174" spans="2:20" ht="15.75" hidden="1" x14ac:dyDescent="0.25">
      <c r="B2174" s="21" t="s">
        <v>395</v>
      </c>
      <c r="C2174" s="22" t="s">
        <v>2450</v>
      </c>
      <c r="D2174" s="22" t="s">
        <v>5979</v>
      </c>
      <c r="E2174" s="21" t="s">
        <v>10</v>
      </c>
      <c r="F2174" s="21"/>
      <c r="G2174" s="147" t="s">
        <v>132</v>
      </c>
      <c r="H2174" s="23" t="s">
        <v>5484</v>
      </c>
      <c r="I2174" s="23" t="s">
        <v>7831</v>
      </c>
      <c r="J2174" s="21" t="s">
        <v>5024</v>
      </c>
      <c r="K2174" s="47"/>
      <c r="L2174" s="21" t="s">
        <v>6301</v>
      </c>
      <c r="M2174" s="26">
        <v>44561</v>
      </c>
      <c r="N2174" s="44">
        <f t="shared" si="134"/>
        <v>18932.07</v>
      </c>
      <c r="O2174" s="22" t="s">
        <v>15</v>
      </c>
      <c r="P2174" s="44">
        <v>18932.07</v>
      </c>
      <c r="Q2174" s="44">
        <f t="shared" si="130"/>
        <v>0</v>
      </c>
      <c r="R2174" s="24">
        <f t="shared" si="132"/>
        <v>18932.07</v>
      </c>
      <c r="S2174" s="5"/>
      <c r="T2174" s="5"/>
    </row>
    <row r="2175" spans="2:20" ht="15.75" hidden="1" x14ac:dyDescent="0.25">
      <c r="B2175" s="21" t="s">
        <v>395</v>
      </c>
      <c r="C2175" s="22" t="s">
        <v>2450</v>
      </c>
      <c r="D2175" s="22" t="s">
        <v>6539</v>
      </c>
      <c r="E2175" s="21" t="s">
        <v>10</v>
      </c>
      <c r="F2175" s="21"/>
      <c r="G2175" s="147" t="s">
        <v>132</v>
      </c>
      <c r="H2175" s="23" t="s">
        <v>6540</v>
      </c>
      <c r="I2175" s="23" t="s">
        <v>8306</v>
      </c>
      <c r="J2175" s="21" t="s">
        <v>5026</v>
      </c>
      <c r="K2175" s="47"/>
      <c r="L2175" s="21" t="s">
        <v>6863</v>
      </c>
      <c r="M2175" s="26" t="s">
        <v>12012</v>
      </c>
      <c r="N2175" s="44">
        <v>135450</v>
      </c>
      <c r="O2175" s="22" t="s">
        <v>15</v>
      </c>
      <c r="P2175" s="44">
        <f>5985.18+6772.5+2677.5+108691.99+128379.15+6457.5</f>
        <v>258963.82</v>
      </c>
      <c r="Q2175" s="44">
        <f t="shared" ref="Q2175:Q2206" si="135">IF(P2175="en cours",N2175,IF(P2175="OK",0,IF(N2175-P2175&lt;0,0,N2175-P2175)))</f>
        <v>0</v>
      </c>
      <c r="R2175" s="24">
        <f t="shared" si="132"/>
        <v>258963.82</v>
      </c>
      <c r="S2175" s="5"/>
      <c r="T2175" s="5"/>
    </row>
    <row r="2176" spans="2:20" ht="15.75" hidden="1" x14ac:dyDescent="0.25">
      <c r="B2176" s="21" t="s">
        <v>395</v>
      </c>
      <c r="C2176" s="22" t="s">
        <v>2450</v>
      </c>
      <c r="D2176" s="22" t="s">
        <v>6539</v>
      </c>
      <c r="E2176" s="21" t="s">
        <v>10</v>
      </c>
      <c r="F2176" s="21"/>
      <c r="G2176" s="147" t="s">
        <v>132</v>
      </c>
      <c r="H2176" s="23" t="s">
        <v>6540</v>
      </c>
      <c r="I2176" s="23" t="s">
        <v>8306</v>
      </c>
      <c r="J2176" s="21" t="s">
        <v>5319</v>
      </c>
      <c r="K2176" s="47"/>
      <c r="L2176" s="21" t="s">
        <v>6715</v>
      </c>
      <c r="M2176" s="26" t="s">
        <v>6716</v>
      </c>
      <c r="N2176" s="44">
        <f>863101-(N2166+N2167+N2168+N2169+N2170+N2171+N2172+N2173+N2174+N2175)</f>
        <v>378123.93000000005</v>
      </c>
      <c r="O2176" s="22" t="s">
        <v>15</v>
      </c>
      <c r="P2176" s="44">
        <f>173885.15+170265.73+24412.5+9560.55</f>
        <v>378123.93</v>
      </c>
      <c r="Q2176" s="44">
        <f t="shared" si="135"/>
        <v>5.8207660913467407E-11</v>
      </c>
      <c r="R2176" s="24">
        <f t="shared" si="132"/>
        <v>378123.93</v>
      </c>
      <c r="S2176" s="5" t="s">
        <v>6537</v>
      </c>
      <c r="T2176" s="5"/>
    </row>
    <row r="2177" spans="1:20" ht="15.75" hidden="1" x14ac:dyDescent="0.25">
      <c r="B2177" s="21" t="s">
        <v>395</v>
      </c>
      <c r="C2177" s="22" t="s">
        <v>2450</v>
      </c>
      <c r="D2177" s="22"/>
      <c r="E2177" s="21" t="s">
        <v>0</v>
      </c>
      <c r="F2177" s="21"/>
      <c r="G2177" s="147" t="s">
        <v>132</v>
      </c>
      <c r="H2177" s="23" t="s">
        <v>6319</v>
      </c>
      <c r="I2177" s="23" t="s">
        <v>8132</v>
      </c>
      <c r="J2177" s="21" t="s">
        <v>6905</v>
      </c>
      <c r="K2177" s="47"/>
      <c r="L2177" s="21" t="s">
        <v>6320</v>
      </c>
      <c r="M2177" s="26">
        <v>44530</v>
      </c>
      <c r="N2177" s="44">
        <v>49280</v>
      </c>
      <c r="O2177" s="22" t="s">
        <v>15</v>
      </c>
      <c r="P2177" s="44">
        <v>49280</v>
      </c>
      <c r="Q2177" s="44">
        <f t="shared" si="135"/>
        <v>0</v>
      </c>
      <c r="R2177" s="24">
        <f t="shared" si="132"/>
        <v>49280</v>
      </c>
      <c r="S2177" s="5"/>
      <c r="T2177" s="5"/>
    </row>
    <row r="2178" spans="1:20" ht="15.75" hidden="1" x14ac:dyDescent="0.25">
      <c r="B2178" s="21" t="s">
        <v>395</v>
      </c>
      <c r="C2178" s="22" t="s">
        <v>2450</v>
      </c>
      <c r="D2178" s="22"/>
      <c r="E2178" s="21" t="s">
        <v>0</v>
      </c>
      <c r="F2178" s="21"/>
      <c r="G2178" s="147" t="s">
        <v>132</v>
      </c>
      <c r="H2178" s="23" t="s">
        <v>6318</v>
      </c>
      <c r="I2178" s="23" t="s">
        <v>8063</v>
      </c>
      <c r="J2178" s="21" t="s">
        <v>5269</v>
      </c>
      <c r="K2178" s="47"/>
      <c r="L2178" s="21" t="s">
        <v>9307</v>
      </c>
      <c r="M2178" s="26">
        <v>44561</v>
      </c>
      <c r="N2178" s="44">
        <v>2240</v>
      </c>
      <c r="O2178" s="22" t="s">
        <v>15</v>
      </c>
      <c r="P2178" s="44">
        <v>2240</v>
      </c>
      <c r="Q2178" s="44">
        <f t="shared" si="135"/>
        <v>0</v>
      </c>
      <c r="R2178" s="24">
        <f t="shared" si="132"/>
        <v>2240</v>
      </c>
      <c r="S2178" s="5"/>
      <c r="T2178" s="5"/>
    </row>
    <row r="2179" spans="1:20" ht="15.75" hidden="1" x14ac:dyDescent="0.25">
      <c r="B2179" s="21" t="s">
        <v>395</v>
      </c>
      <c r="C2179" s="22" t="s">
        <v>2450</v>
      </c>
      <c r="D2179" s="22"/>
      <c r="E2179" s="21" t="s">
        <v>0</v>
      </c>
      <c r="F2179" s="21"/>
      <c r="G2179" s="147" t="s">
        <v>132</v>
      </c>
      <c r="H2179" s="23" t="s">
        <v>6902</v>
      </c>
      <c r="I2179" s="23" t="s">
        <v>8176</v>
      </c>
      <c r="J2179" s="21" t="s">
        <v>6903</v>
      </c>
      <c r="K2179" s="21"/>
      <c r="L2179" s="21" t="s">
        <v>6904</v>
      </c>
      <c r="M2179" s="26">
        <v>44742</v>
      </c>
      <c r="N2179" s="44">
        <v>43220</v>
      </c>
      <c r="O2179" s="22" t="s">
        <v>15</v>
      </c>
      <c r="P2179" s="44">
        <v>42220</v>
      </c>
      <c r="Q2179" s="44">
        <f t="shared" si="135"/>
        <v>1000</v>
      </c>
      <c r="R2179" s="24">
        <f t="shared" si="132"/>
        <v>42220</v>
      </c>
      <c r="S2179" s="5"/>
      <c r="T2179" s="5"/>
    </row>
    <row r="2180" spans="1:20" ht="15.75" hidden="1" x14ac:dyDescent="0.25">
      <c r="A2180" t="s">
        <v>6753</v>
      </c>
      <c r="B2180" s="21" t="s">
        <v>395</v>
      </c>
      <c r="C2180" s="22" t="s">
        <v>3916</v>
      </c>
      <c r="D2180" s="22" t="s">
        <v>4613</v>
      </c>
      <c r="E2180" s="21" t="s">
        <v>10</v>
      </c>
      <c r="F2180" s="21"/>
      <c r="G2180" s="147" t="s">
        <v>3154</v>
      </c>
      <c r="H2180" s="23" t="s">
        <v>3159</v>
      </c>
      <c r="I2180" s="23" t="s">
        <v>7921</v>
      </c>
      <c r="J2180" s="21" t="s">
        <v>3155</v>
      </c>
      <c r="K2180" s="120"/>
      <c r="L2180" s="21" t="s">
        <v>3174</v>
      </c>
      <c r="M2180" s="26">
        <v>43963</v>
      </c>
      <c r="N2180" s="44">
        <f>0.5*16071.43</f>
        <v>8035.7150000000001</v>
      </c>
      <c r="O2180" s="22" t="s">
        <v>15</v>
      </c>
      <c r="P2180" s="22" t="s">
        <v>19</v>
      </c>
      <c r="Q2180" s="24">
        <f t="shared" si="135"/>
        <v>0</v>
      </c>
      <c r="R2180" s="24">
        <f t="shared" si="132"/>
        <v>8035.7150000000001</v>
      </c>
      <c r="S2180" s="5"/>
      <c r="T2180" s="5"/>
    </row>
    <row r="2181" spans="1:20" ht="15.75" hidden="1" x14ac:dyDescent="0.25">
      <c r="A2181" t="s">
        <v>6753</v>
      </c>
      <c r="B2181" s="21" t="s">
        <v>395</v>
      </c>
      <c r="C2181" s="22" t="s">
        <v>3916</v>
      </c>
      <c r="D2181" s="22" t="s">
        <v>4613</v>
      </c>
      <c r="E2181" s="21" t="s">
        <v>10</v>
      </c>
      <c r="F2181" s="21"/>
      <c r="G2181" s="147" t="s">
        <v>3154</v>
      </c>
      <c r="H2181" s="23" t="s">
        <v>3159</v>
      </c>
      <c r="I2181" s="23" t="s">
        <v>7921</v>
      </c>
      <c r="J2181" s="21" t="s">
        <v>3156</v>
      </c>
      <c r="K2181" s="120"/>
      <c r="L2181" s="21" t="s">
        <v>3174</v>
      </c>
      <c r="M2181" s="26">
        <v>43963</v>
      </c>
      <c r="N2181" s="44">
        <f>0.4*16071.43</f>
        <v>6428.5720000000001</v>
      </c>
      <c r="O2181" s="22" t="s">
        <v>15</v>
      </c>
      <c r="P2181" s="22" t="s">
        <v>19</v>
      </c>
      <c r="Q2181" s="24">
        <f t="shared" si="135"/>
        <v>0</v>
      </c>
      <c r="R2181" s="24">
        <f t="shared" si="132"/>
        <v>6428.5720000000001</v>
      </c>
      <c r="S2181" s="5"/>
      <c r="T2181" s="5"/>
    </row>
    <row r="2182" spans="1:20" ht="15.75" hidden="1" x14ac:dyDescent="0.25">
      <c r="A2182" t="s">
        <v>6753</v>
      </c>
      <c r="B2182" s="21" t="s">
        <v>395</v>
      </c>
      <c r="C2182" s="22" t="s">
        <v>3916</v>
      </c>
      <c r="D2182" s="22" t="s">
        <v>4613</v>
      </c>
      <c r="E2182" s="21" t="s">
        <v>10</v>
      </c>
      <c r="F2182" s="21"/>
      <c r="G2182" s="147" t="s">
        <v>3154</v>
      </c>
      <c r="H2182" s="23" t="s">
        <v>3159</v>
      </c>
      <c r="I2182" s="23" t="s">
        <v>7921</v>
      </c>
      <c r="J2182" s="21" t="s">
        <v>3157</v>
      </c>
      <c r="K2182" s="120"/>
      <c r="L2182" s="21" t="s">
        <v>3174</v>
      </c>
      <c r="M2182" s="26">
        <v>43963</v>
      </c>
      <c r="N2182" s="44">
        <f>0.1*16071.43</f>
        <v>1607.143</v>
      </c>
      <c r="O2182" s="22" t="s">
        <v>15</v>
      </c>
      <c r="P2182" s="22" t="s">
        <v>19</v>
      </c>
      <c r="Q2182" s="24">
        <f t="shared" si="135"/>
        <v>0</v>
      </c>
      <c r="R2182" s="24">
        <f t="shared" si="132"/>
        <v>1607.143</v>
      </c>
      <c r="S2182" s="5"/>
      <c r="T2182" s="5"/>
    </row>
    <row r="2183" spans="1:20" ht="15.75" hidden="1" x14ac:dyDescent="0.25">
      <c r="A2183" t="s">
        <v>6753</v>
      </c>
      <c r="B2183" s="21" t="s">
        <v>395</v>
      </c>
      <c r="C2183" s="22" t="s">
        <v>3916</v>
      </c>
      <c r="D2183" s="22" t="s">
        <v>4613</v>
      </c>
      <c r="E2183" s="21" t="s">
        <v>10</v>
      </c>
      <c r="F2183" s="21"/>
      <c r="G2183" s="147" t="s">
        <v>3154</v>
      </c>
      <c r="H2183" s="23" t="s">
        <v>3216</v>
      </c>
      <c r="I2183" s="23" t="s">
        <v>7923</v>
      </c>
      <c r="J2183" s="21" t="s">
        <v>3217</v>
      </c>
      <c r="K2183" s="120"/>
      <c r="L2183" s="21" t="s">
        <v>3678</v>
      </c>
      <c r="M2183" s="26">
        <v>44040</v>
      </c>
      <c r="N2183" s="44">
        <f>0.1*66366.67</f>
        <v>6636.6670000000004</v>
      </c>
      <c r="O2183" s="22" t="s">
        <v>15</v>
      </c>
      <c r="P2183" s="22" t="s">
        <v>19</v>
      </c>
      <c r="Q2183" s="24">
        <f t="shared" si="135"/>
        <v>0</v>
      </c>
      <c r="R2183" s="24">
        <f t="shared" si="132"/>
        <v>6636.6670000000004</v>
      </c>
      <c r="S2183" s="5"/>
      <c r="T2183" s="5"/>
    </row>
    <row r="2184" spans="1:20" ht="15.75" hidden="1" x14ac:dyDescent="0.25">
      <c r="A2184" t="s">
        <v>6753</v>
      </c>
      <c r="B2184" s="21" t="s">
        <v>395</v>
      </c>
      <c r="C2184" s="22" t="s">
        <v>3916</v>
      </c>
      <c r="D2184" s="22" t="s">
        <v>4613</v>
      </c>
      <c r="E2184" s="21" t="s">
        <v>10</v>
      </c>
      <c r="F2184" s="21"/>
      <c r="G2184" s="147" t="s">
        <v>3154</v>
      </c>
      <c r="H2184" s="23" t="s">
        <v>3216</v>
      </c>
      <c r="I2184" s="23" t="s">
        <v>7923</v>
      </c>
      <c r="J2184" s="21" t="s">
        <v>3430</v>
      </c>
      <c r="K2184" s="120"/>
      <c r="L2184" s="21" t="s">
        <v>3720</v>
      </c>
      <c r="M2184" s="26">
        <v>44089</v>
      </c>
      <c r="N2184" s="44">
        <f>0.225*66366.67</f>
        <v>14932.500749999999</v>
      </c>
      <c r="O2184" s="22" t="s">
        <v>15</v>
      </c>
      <c r="P2184" s="22" t="s">
        <v>19</v>
      </c>
      <c r="Q2184" s="24">
        <f t="shared" si="135"/>
        <v>0</v>
      </c>
      <c r="R2184" s="24">
        <f t="shared" si="132"/>
        <v>14932.500749999999</v>
      </c>
      <c r="S2184" s="5" t="s">
        <v>3431</v>
      </c>
      <c r="T2184" s="5"/>
    </row>
    <row r="2185" spans="1:20" ht="15.75" hidden="1" x14ac:dyDescent="0.25">
      <c r="A2185" t="s">
        <v>6753</v>
      </c>
      <c r="B2185" s="21" t="s">
        <v>395</v>
      </c>
      <c r="C2185" s="22" t="s">
        <v>3916</v>
      </c>
      <c r="D2185" s="22" t="s">
        <v>4613</v>
      </c>
      <c r="E2185" s="21" t="s">
        <v>10</v>
      </c>
      <c r="F2185" s="21"/>
      <c r="G2185" s="147" t="s">
        <v>3154</v>
      </c>
      <c r="H2185" s="23" t="s">
        <v>3216</v>
      </c>
      <c r="I2185" s="23" t="s">
        <v>7923</v>
      </c>
      <c r="J2185" s="21" t="s">
        <v>3430</v>
      </c>
      <c r="K2185" s="120"/>
      <c r="L2185" s="21" t="s">
        <v>3902</v>
      </c>
      <c r="M2185" s="26">
        <v>44119</v>
      </c>
      <c r="N2185" s="44">
        <f>0.225*66366.67</f>
        <v>14932.500749999999</v>
      </c>
      <c r="O2185" s="22" t="s">
        <v>15</v>
      </c>
      <c r="P2185" s="22" t="s">
        <v>19</v>
      </c>
      <c r="Q2185" s="24">
        <f t="shared" si="135"/>
        <v>0</v>
      </c>
      <c r="R2185" s="24">
        <f t="shared" si="132"/>
        <v>14932.500749999999</v>
      </c>
      <c r="S2185" s="5" t="s">
        <v>3431</v>
      </c>
      <c r="T2185" s="5"/>
    </row>
    <row r="2186" spans="1:20" ht="15.75" hidden="1" x14ac:dyDescent="0.25">
      <c r="A2186" t="s">
        <v>6753</v>
      </c>
      <c r="B2186" s="21" t="s">
        <v>395</v>
      </c>
      <c r="C2186" s="22" t="s">
        <v>3916</v>
      </c>
      <c r="D2186" s="22" t="s">
        <v>4613</v>
      </c>
      <c r="E2186" s="21" t="s">
        <v>10</v>
      </c>
      <c r="F2186" s="21"/>
      <c r="G2186" s="147" t="s">
        <v>3154</v>
      </c>
      <c r="H2186" s="23" t="s">
        <v>3216</v>
      </c>
      <c r="I2186" s="23" t="s">
        <v>7923</v>
      </c>
      <c r="J2186" s="21" t="s">
        <v>3430</v>
      </c>
      <c r="K2186" s="120"/>
      <c r="L2186" s="21" t="s">
        <v>4065</v>
      </c>
      <c r="M2186" s="26">
        <v>44151</v>
      </c>
      <c r="N2186" s="44">
        <f>0.225*66366.67</f>
        <v>14932.500749999999</v>
      </c>
      <c r="O2186" s="22" t="s">
        <v>15</v>
      </c>
      <c r="P2186" s="22" t="s">
        <v>19</v>
      </c>
      <c r="Q2186" s="24">
        <f t="shared" si="135"/>
        <v>0</v>
      </c>
      <c r="R2186" s="24">
        <f t="shared" si="132"/>
        <v>14932.500749999999</v>
      </c>
      <c r="S2186" s="5" t="s">
        <v>3431</v>
      </c>
      <c r="T2186" s="5"/>
    </row>
    <row r="2187" spans="1:20" ht="15.75" hidden="1" x14ac:dyDescent="0.25">
      <c r="A2187" t="s">
        <v>6753</v>
      </c>
      <c r="B2187" s="21" t="s">
        <v>395</v>
      </c>
      <c r="C2187" s="22" t="s">
        <v>3916</v>
      </c>
      <c r="D2187" s="22" t="s">
        <v>4613</v>
      </c>
      <c r="E2187" s="21" t="s">
        <v>10</v>
      </c>
      <c r="F2187" s="21"/>
      <c r="G2187" s="147" t="s">
        <v>3154</v>
      </c>
      <c r="H2187" s="23" t="s">
        <v>3216</v>
      </c>
      <c r="I2187" s="23" t="s">
        <v>7923</v>
      </c>
      <c r="J2187" s="21" t="s">
        <v>3430</v>
      </c>
      <c r="K2187" s="120"/>
      <c r="L2187" s="21" t="s">
        <v>4216</v>
      </c>
      <c r="M2187" s="26">
        <v>44180</v>
      </c>
      <c r="N2187" s="44">
        <f>0.225*66366.67</f>
        <v>14932.500749999999</v>
      </c>
      <c r="O2187" s="22" t="s">
        <v>15</v>
      </c>
      <c r="P2187" s="22" t="s">
        <v>19</v>
      </c>
      <c r="Q2187" s="24">
        <f t="shared" si="135"/>
        <v>0</v>
      </c>
      <c r="R2187" s="24">
        <f t="shared" si="132"/>
        <v>14932.500749999999</v>
      </c>
      <c r="S2187" s="5" t="s">
        <v>3431</v>
      </c>
      <c r="T2187" s="5"/>
    </row>
    <row r="2188" spans="1:20" ht="15.75" hidden="1" x14ac:dyDescent="0.25">
      <c r="A2188" t="s">
        <v>6753</v>
      </c>
      <c r="B2188" s="21" t="s">
        <v>395</v>
      </c>
      <c r="C2188" s="22" t="s">
        <v>3916</v>
      </c>
      <c r="D2188" s="22" t="s">
        <v>4613</v>
      </c>
      <c r="E2188" s="21" t="s">
        <v>10</v>
      </c>
      <c r="F2188" s="21"/>
      <c r="G2188" s="147" t="s">
        <v>3154</v>
      </c>
      <c r="H2188" s="23" t="s">
        <v>3160</v>
      </c>
      <c r="I2188" s="23"/>
      <c r="J2188" s="21" t="s">
        <v>3155</v>
      </c>
      <c r="K2188" s="120"/>
      <c r="L2188" s="21" t="s">
        <v>3161</v>
      </c>
      <c r="M2188" s="26">
        <v>43949</v>
      </c>
      <c r="N2188" s="44">
        <f>0.5*94820.24</f>
        <v>47410.12</v>
      </c>
      <c r="O2188" s="22" t="s">
        <v>15</v>
      </c>
      <c r="P2188" s="22" t="s">
        <v>19</v>
      </c>
      <c r="Q2188" s="24">
        <f t="shared" si="135"/>
        <v>0</v>
      </c>
      <c r="R2188" s="24">
        <f t="shared" si="132"/>
        <v>47410.12</v>
      </c>
      <c r="S2188" s="5"/>
      <c r="T2188" s="5"/>
    </row>
    <row r="2189" spans="1:20" ht="15.75" hidden="1" x14ac:dyDescent="0.25">
      <c r="A2189" t="s">
        <v>6753</v>
      </c>
      <c r="B2189" s="21" t="s">
        <v>395</v>
      </c>
      <c r="C2189" s="22" t="s">
        <v>3916</v>
      </c>
      <c r="D2189" s="22" t="s">
        <v>4613</v>
      </c>
      <c r="E2189" s="21" t="s">
        <v>10</v>
      </c>
      <c r="F2189" s="21"/>
      <c r="G2189" s="147" t="s">
        <v>3154</v>
      </c>
      <c r="H2189" s="23" t="s">
        <v>3160</v>
      </c>
      <c r="I2189" s="23"/>
      <c r="J2189" s="21" t="s">
        <v>3156</v>
      </c>
      <c r="K2189" s="120"/>
      <c r="L2189" s="21" t="s">
        <v>3175</v>
      </c>
      <c r="M2189" s="26">
        <v>43963</v>
      </c>
      <c r="N2189" s="44">
        <f>0.4*94820.24</f>
        <v>37928.096000000005</v>
      </c>
      <c r="O2189" s="22" t="s">
        <v>15</v>
      </c>
      <c r="P2189" s="22" t="s">
        <v>19</v>
      </c>
      <c r="Q2189" s="24">
        <f t="shared" si="135"/>
        <v>0</v>
      </c>
      <c r="R2189" s="24">
        <f t="shared" si="132"/>
        <v>37928.096000000005</v>
      </c>
      <c r="S2189" s="5"/>
      <c r="T2189" s="5"/>
    </row>
    <row r="2190" spans="1:20" ht="15.75" hidden="1" x14ac:dyDescent="0.25">
      <c r="A2190" t="s">
        <v>6753</v>
      </c>
      <c r="B2190" s="21" t="s">
        <v>395</v>
      </c>
      <c r="C2190" s="22" t="s">
        <v>3916</v>
      </c>
      <c r="D2190" s="22" t="s">
        <v>4613</v>
      </c>
      <c r="E2190" s="21" t="s">
        <v>10</v>
      </c>
      <c r="F2190" s="21"/>
      <c r="G2190" s="147" t="s">
        <v>3154</v>
      </c>
      <c r="H2190" s="23" t="s">
        <v>3160</v>
      </c>
      <c r="I2190" s="23"/>
      <c r="J2190" s="21" t="s">
        <v>3157</v>
      </c>
      <c r="K2190" s="120"/>
      <c r="L2190" s="26" t="s">
        <v>3337</v>
      </c>
      <c r="M2190" s="26">
        <v>43977</v>
      </c>
      <c r="N2190" s="44">
        <f>0.1*94820.24</f>
        <v>9482.0240000000013</v>
      </c>
      <c r="O2190" s="22" t="s">
        <v>15</v>
      </c>
      <c r="P2190" s="22" t="s">
        <v>19</v>
      </c>
      <c r="Q2190" s="24">
        <f t="shared" si="135"/>
        <v>0</v>
      </c>
      <c r="R2190" s="24">
        <f t="shared" si="132"/>
        <v>9482.0240000000013</v>
      </c>
      <c r="S2190" s="5"/>
      <c r="T2190" s="5"/>
    </row>
    <row r="2191" spans="1:20" ht="15.75" hidden="1" x14ac:dyDescent="0.25">
      <c r="A2191" t="s">
        <v>6753</v>
      </c>
      <c r="B2191" s="21" t="s">
        <v>395</v>
      </c>
      <c r="C2191" s="22" t="s">
        <v>3916</v>
      </c>
      <c r="D2191" s="22" t="s">
        <v>4613</v>
      </c>
      <c r="E2191" s="21" t="s">
        <v>10</v>
      </c>
      <c r="F2191" s="21"/>
      <c r="G2191" s="147" t="s">
        <v>3154</v>
      </c>
      <c r="H2191" s="23" t="s">
        <v>3218</v>
      </c>
      <c r="I2191" s="23" t="s">
        <v>7924</v>
      </c>
      <c r="J2191" s="21" t="s">
        <v>3219</v>
      </c>
      <c r="K2191" s="120"/>
      <c r="L2191" s="21" t="s">
        <v>3679</v>
      </c>
      <c r="M2191" s="26">
        <v>44040</v>
      </c>
      <c r="N2191" s="44">
        <f>0.1*229745.44</f>
        <v>22974.544000000002</v>
      </c>
      <c r="O2191" s="22" t="s">
        <v>15</v>
      </c>
      <c r="P2191" s="22" t="s">
        <v>19</v>
      </c>
      <c r="Q2191" s="24">
        <f t="shared" si="135"/>
        <v>0</v>
      </c>
      <c r="R2191" s="24">
        <f t="shared" si="132"/>
        <v>22974.544000000002</v>
      </c>
      <c r="S2191" s="5"/>
      <c r="T2191" s="5"/>
    </row>
    <row r="2192" spans="1:20" ht="15.75" hidden="1" x14ac:dyDescent="0.25">
      <c r="A2192" t="s">
        <v>6753</v>
      </c>
      <c r="B2192" s="21" t="s">
        <v>395</v>
      </c>
      <c r="C2192" s="22" t="s">
        <v>3916</v>
      </c>
      <c r="D2192" s="22" t="s">
        <v>4613</v>
      </c>
      <c r="E2192" s="21" t="s">
        <v>10</v>
      </c>
      <c r="F2192" s="21"/>
      <c r="G2192" s="147" t="s">
        <v>3154</v>
      </c>
      <c r="H2192" s="23" t="s">
        <v>3218</v>
      </c>
      <c r="I2192" s="23" t="s">
        <v>7924</v>
      </c>
      <c r="J2192" s="21" t="s">
        <v>3220</v>
      </c>
      <c r="K2192" s="120"/>
      <c r="L2192" s="21" t="s">
        <v>3721</v>
      </c>
      <c r="M2192" s="26">
        <v>44089</v>
      </c>
      <c r="N2192" s="44">
        <f t="shared" ref="N2192:N2197" si="136">0.15*229745.44</f>
        <v>34461.815999999999</v>
      </c>
      <c r="O2192" s="22" t="s">
        <v>15</v>
      </c>
      <c r="P2192" s="22" t="s">
        <v>19</v>
      </c>
      <c r="Q2192" s="24">
        <f t="shared" si="135"/>
        <v>0</v>
      </c>
      <c r="R2192" s="24">
        <f t="shared" si="132"/>
        <v>34461.815999999999</v>
      </c>
      <c r="S2192" s="5"/>
      <c r="T2192" s="5"/>
    </row>
    <row r="2193" spans="1:20" ht="15.75" hidden="1" x14ac:dyDescent="0.25">
      <c r="A2193" t="s">
        <v>6753</v>
      </c>
      <c r="B2193" s="21" t="s">
        <v>395</v>
      </c>
      <c r="C2193" s="22" t="s">
        <v>3916</v>
      </c>
      <c r="D2193" s="22" t="s">
        <v>4613</v>
      </c>
      <c r="E2193" s="21" t="s">
        <v>10</v>
      </c>
      <c r="F2193" s="21"/>
      <c r="G2193" s="147" t="s">
        <v>3154</v>
      </c>
      <c r="H2193" s="23" t="s">
        <v>3218</v>
      </c>
      <c r="I2193" s="23" t="s">
        <v>7924</v>
      </c>
      <c r="J2193" s="21" t="s">
        <v>3220</v>
      </c>
      <c r="K2193" s="120"/>
      <c r="L2193" s="21" t="s">
        <v>3901</v>
      </c>
      <c r="M2193" s="26">
        <v>44119</v>
      </c>
      <c r="N2193" s="44">
        <f t="shared" si="136"/>
        <v>34461.815999999999</v>
      </c>
      <c r="O2193" s="22" t="s">
        <v>15</v>
      </c>
      <c r="P2193" s="22" t="s">
        <v>19</v>
      </c>
      <c r="Q2193" s="24">
        <f t="shared" si="135"/>
        <v>0</v>
      </c>
      <c r="R2193" s="24">
        <f t="shared" si="132"/>
        <v>34461.815999999999</v>
      </c>
      <c r="S2193" s="5"/>
      <c r="T2193" s="5"/>
    </row>
    <row r="2194" spans="1:20" ht="15.75" hidden="1" x14ac:dyDescent="0.25">
      <c r="A2194" t="s">
        <v>6753</v>
      </c>
      <c r="B2194" s="21" t="s">
        <v>395</v>
      </c>
      <c r="C2194" s="22" t="s">
        <v>3916</v>
      </c>
      <c r="D2194" s="22" t="s">
        <v>4613</v>
      </c>
      <c r="E2194" s="21" t="s">
        <v>10</v>
      </c>
      <c r="F2194" s="21"/>
      <c r="G2194" s="147" t="s">
        <v>3154</v>
      </c>
      <c r="H2194" s="23" t="s">
        <v>3218</v>
      </c>
      <c r="I2194" s="23" t="s">
        <v>7924</v>
      </c>
      <c r="J2194" s="21" t="s">
        <v>3220</v>
      </c>
      <c r="K2194" s="120"/>
      <c r="L2194" s="21" t="s">
        <v>4066</v>
      </c>
      <c r="M2194" s="26">
        <v>44151</v>
      </c>
      <c r="N2194" s="44">
        <f t="shared" si="136"/>
        <v>34461.815999999999</v>
      </c>
      <c r="O2194" s="22" t="s">
        <v>15</v>
      </c>
      <c r="P2194" s="22" t="s">
        <v>19</v>
      </c>
      <c r="Q2194" s="24">
        <f t="shared" si="135"/>
        <v>0</v>
      </c>
      <c r="R2194" s="24">
        <f t="shared" si="132"/>
        <v>34461.815999999999</v>
      </c>
      <c r="S2194" s="5"/>
      <c r="T2194" s="5"/>
    </row>
    <row r="2195" spans="1:20" ht="15.75" hidden="1" x14ac:dyDescent="0.25">
      <c r="A2195" t="s">
        <v>6753</v>
      </c>
      <c r="B2195" s="21" t="s">
        <v>395</v>
      </c>
      <c r="C2195" s="22" t="s">
        <v>3916</v>
      </c>
      <c r="D2195" s="22" t="s">
        <v>4613</v>
      </c>
      <c r="E2195" s="21" t="s">
        <v>10</v>
      </c>
      <c r="F2195" s="21"/>
      <c r="G2195" s="147" t="s">
        <v>3154</v>
      </c>
      <c r="H2195" s="23" t="s">
        <v>3218</v>
      </c>
      <c r="I2195" s="23" t="s">
        <v>7924</v>
      </c>
      <c r="J2195" s="21" t="s">
        <v>3220</v>
      </c>
      <c r="K2195" s="120"/>
      <c r="L2195" s="21" t="s">
        <v>4215</v>
      </c>
      <c r="M2195" s="26">
        <v>44180</v>
      </c>
      <c r="N2195" s="44">
        <f t="shared" si="136"/>
        <v>34461.815999999999</v>
      </c>
      <c r="O2195" s="22" t="s">
        <v>15</v>
      </c>
      <c r="P2195" s="22" t="s">
        <v>19</v>
      </c>
      <c r="Q2195" s="24">
        <f t="shared" si="135"/>
        <v>0</v>
      </c>
      <c r="R2195" s="24">
        <f t="shared" si="132"/>
        <v>34461.815999999999</v>
      </c>
      <c r="S2195" s="5"/>
      <c r="T2195" s="5"/>
    </row>
    <row r="2196" spans="1:20" ht="15.75" hidden="1" x14ac:dyDescent="0.25">
      <c r="A2196" t="s">
        <v>6753</v>
      </c>
      <c r="B2196" s="21" t="s">
        <v>395</v>
      </c>
      <c r="C2196" s="22" t="s">
        <v>3916</v>
      </c>
      <c r="D2196" s="22" t="s">
        <v>4613</v>
      </c>
      <c r="E2196" s="21" t="s">
        <v>10</v>
      </c>
      <c r="F2196" s="21"/>
      <c r="G2196" s="147" t="s">
        <v>3154</v>
      </c>
      <c r="H2196" s="23" t="s">
        <v>3218</v>
      </c>
      <c r="I2196" s="23" t="s">
        <v>7924</v>
      </c>
      <c r="J2196" s="21" t="s">
        <v>3220</v>
      </c>
      <c r="K2196" s="120"/>
      <c r="L2196" s="21" t="s">
        <v>4408</v>
      </c>
      <c r="M2196" s="26">
        <v>44222</v>
      </c>
      <c r="N2196" s="44">
        <f t="shared" si="136"/>
        <v>34461.815999999999</v>
      </c>
      <c r="O2196" s="22" t="s">
        <v>15</v>
      </c>
      <c r="P2196" s="22" t="s">
        <v>19</v>
      </c>
      <c r="Q2196" s="24">
        <f t="shared" si="135"/>
        <v>0</v>
      </c>
      <c r="R2196" s="24">
        <f t="shared" si="132"/>
        <v>34461.815999999999</v>
      </c>
      <c r="S2196" s="5"/>
      <c r="T2196" s="5"/>
    </row>
    <row r="2197" spans="1:20" ht="15.75" hidden="1" x14ac:dyDescent="0.25">
      <c r="A2197" t="s">
        <v>6753</v>
      </c>
      <c r="B2197" s="21" t="s">
        <v>395</v>
      </c>
      <c r="C2197" s="22" t="s">
        <v>3916</v>
      </c>
      <c r="D2197" s="22" t="s">
        <v>4613</v>
      </c>
      <c r="E2197" s="21" t="s">
        <v>10</v>
      </c>
      <c r="F2197" s="21"/>
      <c r="G2197" s="147" t="s">
        <v>3154</v>
      </c>
      <c r="H2197" s="23" t="s">
        <v>3218</v>
      </c>
      <c r="I2197" s="23" t="s">
        <v>7924</v>
      </c>
      <c r="J2197" s="21" t="s">
        <v>3220</v>
      </c>
      <c r="K2197" s="120"/>
      <c r="L2197" s="21" t="s">
        <v>4370</v>
      </c>
      <c r="M2197" s="26">
        <v>44242</v>
      </c>
      <c r="N2197" s="44">
        <f t="shared" si="136"/>
        <v>34461.815999999999</v>
      </c>
      <c r="O2197" s="22" t="s">
        <v>15</v>
      </c>
      <c r="P2197" s="22" t="s">
        <v>19</v>
      </c>
      <c r="Q2197" s="24">
        <f t="shared" si="135"/>
        <v>0</v>
      </c>
      <c r="R2197" s="24">
        <f t="shared" si="132"/>
        <v>34461.815999999999</v>
      </c>
      <c r="S2197" s="5"/>
      <c r="T2197" s="5"/>
    </row>
    <row r="2198" spans="1:20" ht="15.75" hidden="1" x14ac:dyDescent="0.25">
      <c r="B2198" s="21" t="s">
        <v>395</v>
      </c>
      <c r="C2198" s="22" t="s">
        <v>6267</v>
      </c>
      <c r="D2198" s="22"/>
      <c r="E2198" s="21" t="s">
        <v>75</v>
      </c>
      <c r="F2198" s="21"/>
      <c r="G2198" s="147" t="s">
        <v>7232</v>
      </c>
      <c r="H2198" s="23" t="s">
        <v>7233</v>
      </c>
      <c r="I2198" s="23" t="s">
        <v>8202</v>
      </c>
      <c r="J2198" s="21" t="s">
        <v>7234</v>
      </c>
      <c r="K2198" s="21"/>
      <c r="L2198" s="21" t="s">
        <v>7246</v>
      </c>
      <c r="M2198" s="26">
        <v>44867</v>
      </c>
      <c r="N2198" s="44">
        <f>58000/3</f>
        <v>19333.333333333332</v>
      </c>
      <c r="O2198" s="22" t="s">
        <v>276</v>
      </c>
      <c r="P2198" s="44" t="s">
        <v>19</v>
      </c>
      <c r="Q2198" s="24">
        <f t="shared" si="135"/>
        <v>0</v>
      </c>
      <c r="R2198" s="24">
        <f t="shared" si="132"/>
        <v>19333.333333333332</v>
      </c>
      <c r="S2198" s="5"/>
      <c r="T2198" s="5"/>
    </row>
    <row r="2199" spans="1:20" ht="15.75" hidden="1" x14ac:dyDescent="0.25">
      <c r="B2199" s="21" t="s">
        <v>395</v>
      </c>
      <c r="C2199" s="22" t="s">
        <v>6675</v>
      </c>
      <c r="D2199" s="22"/>
      <c r="E2199" s="21" t="s">
        <v>75</v>
      </c>
      <c r="F2199" s="21"/>
      <c r="G2199" s="147" t="s">
        <v>7232</v>
      </c>
      <c r="H2199" s="23" t="s">
        <v>7233</v>
      </c>
      <c r="I2199" s="23" t="s">
        <v>8202</v>
      </c>
      <c r="J2199" s="21" t="s">
        <v>7234</v>
      </c>
      <c r="K2199" s="21"/>
      <c r="L2199" s="21" t="s">
        <v>7246</v>
      </c>
      <c r="M2199" s="26">
        <v>44867</v>
      </c>
      <c r="N2199" s="44">
        <f>58000/3</f>
        <v>19333.333333333332</v>
      </c>
      <c r="O2199" s="22" t="s">
        <v>276</v>
      </c>
      <c r="P2199" s="44" t="s">
        <v>19</v>
      </c>
      <c r="Q2199" s="24">
        <f t="shared" si="135"/>
        <v>0</v>
      </c>
      <c r="R2199" s="24">
        <f t="shared" si="132"/>
        <v>19333.333333333332</v>
      </c>
      <c r="S2199" s="5"/>
      <c r="T2199" s="5"/>
    </row>
    <row r="2200" spans="1:20" ht="15.75" hidden="1" x14ac:dyDescent="0.25">
      <c r="B2200" s="21" t="s">
        <v>395</v>
      </c>
      <c r="C2200" s="22" t="s">
        <v>6047</v>
      </c>
      <c r="D2200" s="22"/>
      <c r="E2200" s="21" t="s">
        <v>75</v>
      </c>
      <c r="F2200" s="21"/>
      <c r="G2200" s="147" t="s">
        <v>7232</v>
      </c>
      <c r="H2200" s="23" t="s">
        <v>7233</v>
      </c>
      <c r="I2200" s="23" t="s">
        <v>8202</v>
      </c>
      <c r="J2200" s="21" t="s">
        <v>7234</v>
      </c>
      <c r="K2200" s="21"/>
      <c r="L2200" s="21" t="s">
        <v>7246</v>
      </c>
      <c r="M2200" s="26">
        <v>44867</v>
      </c>
      <c r="N2200" s="44">
        <f>58000/3</f>
        <v>19333.333333333332</v>
      </c>
      <c r="O2200" s="22" t="s">
        <v>276</v>
      </c>
      <c r="P2200" s="44" t="s">
        <v>19</v>
      </c>
      <c r="Q2200" s="24">
        <f t="shared" si="135"/>
        <v>0</v>
      </c>
      <c r="R2200" s="24">
        <f t="shared" si="132"/>
        <v>19333.333333333332</v>
      </c>
      <c r="S2200" s="5"/>
      <c r="T2200" s="5"/>
    </row>
    <row r="2201" spans="1:20" ht="15.75" hidden="1" x14ac:dyDescent="0.25">
      <c r="B2201" s="21" t="s">
        <v>395</v>
      </c>
      <c r="C2201" s="22" t="s">
        <v>8972</v>
      </c>
      <c r="D2201" s="22"/>
      <c r="E2201" s="21" t="s">
        <v>75</v>
      </c>
      <c r="F2201" s="21"/>
      <c r="G2201" s="147" t="s">
        <v>7232</v>
      </c>
      <c r="H2201" s="23" t="s">
        <v>9101</v>
      </c>
      <c r="I2201" s="23" t="s">
        <v>9070</v>
      </c>
      <c r="J2201" s="21" t="s">
        <v>9071</v>
      </c>
      <c r="K2201" s="21"/>
      <c r="L2201" s="21" t="s">
        <v>9102</v>
      </c>
      <c r="M2201" s="26">
        <v>45236</v>
      </c>
      <c r="N2201" s="44">
        <v>17000</v>
      </c>
      <c r="O2201" s="22" t="s">
        <v>276</v>
      </c>
      <c r="P2201" s="44">
        <v>17000</v>
      </c>
      <c r="Q2201" s="24">
        <f t="shared" si="135"/>
        <v>0</v>
      </c>
      <c r="R2201" s="24">
        <f t="shared" si="132"/>
        <v>17000</v>
      </c>
      <c r="S2201" s="5"/>
      <c r="T2201" s="5"/>
    </row>
    <row r="2202" spans="1:20" ht="15.75" hidden="1" x14ac:dyDescent="0.25">
      <c r="B2202" s="21" t="s">
        <v>395</v>
      </c>
      <c r="C2202" s="22" t="s">
        <v>2421</v>
      </c>
      <c r="D2202" s="22"/>
      <c r="E2202" s="21" t="s">
        <v>0</v>
      </c>
      <c r="F2202" s="21"/>
      <c r="G2202" s="147" t="s">
        <v>1616</v>
      </c>
      <c r="H2202" s="23" t="s">
        <v>1720</v>
      </c>
      <c r="I2202" s="23" t="s">
        <v>7871</v>
      </c>
      <c r="J2202" s="21" t="s">
        <v>2426</v>
      </c>
      <c r="K2202" s="120"/>
      <c r="L2202" s="21" t="s">
        <v>1931</v>
      </c>
      <c r="M2202" s="47" t="s">
        <v>1932</v>
      </c>
      <c r="N2202" s="44">
        <v>8185.08</v>
      </c>
      <c r="O2202" s="22" t="s">
        <v>15</v>
      </c>
      <c r="P2202" s="22">
        <f>5068.54+3116.54</f>
        <v>8185.08</v>
      </c>
      <c r="Q2202" s="44">
        <f t="shared" si="135"/>
        <v>0</v>
      </c>
      <c r="R2202" s="24">
        <f>IF(P2202="OK",N2202-Q2202,IF(P2202="en cours",N2202-Q2202,P2202))</f>
        <v>8185.08</v>
      </c>
      <c r="S2202" s="5"/>
      <c r="T2202" s="5"/>
    </row>
    <row r="2203" spans="1:20" ht="15.75" hidden="1" x14ac:dyDescent="0.25">
      <c r="B2203" s="21" t="s">
        <v>395</v>
      </c>
      <c r="C2203" s="22" t="s">
        <v>2421</v>
      </c>
      <c r="D2203" s="22"/>
      <c r="E2203" s="21" t="s">
        <v>0</v>
      </c>
      <c r="F2203" s="21"/>
      <c r="G2203" s="147" t="s">
        <v>1616</v>
      </c>
      <c r="H2203" s="23" t="s">
        <v>2163</v>
      </c>
      <c r="I2203" s="23" t="s">
        <v>7877</v>
      </c>
      <c r="J2203" s="21" t="s">
        <v>1841</v>
      </c>
      <c r="K2203" s="120"/>
      <c r="L2203" s="21" t="s">
        <v>2766</v>
      </c>
      <c r="M2203" s="26" t="s">
        <v>2767</v>
      </c>
      <c r="N2203" s="44">
        <v>859.28</v>
      </c>
      <c r="O2203" s="22" t="s">
        <v>15</v>
      </c>
      <c r="P2203" s="22" t="s">
        <v>19</v>
      </c>
      <c r="Q2203" s="44">
        <f t="shared" si="135"/>
        <v>0</v>
      </c>
      <c r="R2203" s="24">
        <f>IF(P2203="OK",N2203-Q2203,IF(P2203="en cours",N2203-Q2203,P2203))</f>
        <v>859.28</v>
      </c>
      <c r="S2203" s="5"/>
      <c r="T2203" s="5"/>
    </row>
    <row r="2204" spans="1:20" ht="15.75" hidden="1" x14ac:dyDescent="0.25">
      <c r="A2204" t="s">
        <v>6753</v>
      </c>
      <c r="B2204" s="21" t="s">
        <v>395</v>
      </c>
      <c r="C2204" s="22" t="s">
        <v>2427</v>
      </c>
      <c r="D2204" s="22"/>
      <c r="E2204" s="21" t="s">
        <v>0</v>
      </c>
      <c r="F2204" s="21"/>
      <c r="G2204" s="147" t="s">
        <v>6570</v>
      </c>
      <c r="H2204" s="23" t="s">
        <v>6595</v>
      </c>
      <c r="I2204" s="23" t="s">
        <v>8151</v>
      </c>
      <c r="J2204" s="21" t="s">
        <v>6596</v>
      </c>
      <c r="K2204" s="21"/>
      <c r="L2204" s="21" t="s">
        <v>6725</v>
      </c>
      <c r="M2204" s="26" t="s">
        <v>6726</v>
      </c>
      <c r="N2204" s="44">
        <v>11173.53</v>
      </c>
      <c r="O2204" s="22" t="s">
        <v>15</v>
      </c>
      <c r="P2204" s="44">
        <f>1075.7+9707.54+1120.12</f>
        <v>11903.36</v>
      </c>
      <c r="Q2204" s="24">
        <f t="shared" si="135"/>
        <v>0</v>
      </c>
      <c r="R2204" s="24">
        <f t="shared" ref="R2204:R2219" si="137">IF(P2204="OK",N2204-Q2204,IF(P2204="en cours",N2204-Q2204,P2204))</f>
        <v>11903.36</v>
      </c>
      <c r="S2204" s="5" t="s">
        <v>6727</v>
      </c>
      <c r="T2204" s="5"/>
    </row>
    <row r="2205" spans="1:20" ht="15.75" hidden="1" x14ac:dyDescent="0.25">
      <c r="B2205" s="21" t="s">
        <v>395</v>
      </c>
      <c r="C2205" s="22" t="s">
        <v>2450</v>
      </c>
      <c r="D2205" s="22"/>
      <c r="E2205" s="21" t="s">
        <v>159</v>
      </c>
      <c r="F2205" s="21"/>
      <c r="G2205" s="147" t="s">
        <v>982</v>
      </c>
      <c r="H2205" s="107" t="s">
        <v>6641</v>
      </c>
      <c r="I2205" s="107" t="s">
        <v>8153</v>
      </c>
      <c r="J2205" s="21" t="s">
        <v>6640</v>
      </c>
      <c r="K2205" s="21"/>
      <c r="L2205" s="21" t="s">
        <v>7779</v>
      </c>
      <c r="M2205" s="26" t="s">
        <v>7780</v>
      </c>
      <c r="N2205" s="44">
        <v>14400</v>
      </c>
      <c r="O2205" s="22" t="s">
        <v>15</v>
      </c>
      <c r="P2205" s="114">
        <f>1050+1200+1200+1200+1200+1200+1200+1200+1200+1200+1200+1200+1200</f>
        <v>15450</v>
      </c>
      <c r="Q2205" s="44">
        <f t="shared" si="135"/>
        <v>0</v>
      </c>
      <c r="R2205" s="116">
        <f t="shared" si="137"/>
        <v>15450</v>
      </c>
      <c r="S2205" s="5"/>
      <c r="T2205" s="5"/>
    </row>
    <row r="2206" spans="1:20" ht="15.75" hidden="1" x14ac:dyDescent="0.25">
      <c r="B2206" s="21" t="s">
        <v>395</v>
      </c>
      <c r="C2206" s="22" t="s">
        <v>158</v>
      </c>
      <c r="D2206" s="22"/>
      <c r="E2206" s="21" t="s">
        <v>75</v>
      </c>
      <c r="F2206" s="21"/>
      <c r="G2206" s="147" t="s">
        <v>7813</v>
      </c>
      <c r="H2206" s="23" t="s">
        <v>7814</v>
      </c>
      <c r="I2206" s="23" t="s">
        <v>8298</v>
      </c>
      <c r="J2206" s="21" t="s">
        <v>7815</v>
      </c>
      <c r="K2206" s="21"/>
      <c r="L2206" s="21" t="s">
        <v>8385</v>
      </c>
      <c r="M2206" s="26">
        <v>45064</v>
      </c>
      <c r="N2206" s="44">
        <v>6800</v>
      </c>
      <c r="O2206" s="22" t="s">
        <v>15</v>
      </c>
      <c r="P2206" s="44">
        <f>6800</f>
        <v>6800</v>
      </c>
      <c r="Q2206" s="44">
        <f t="shared" si="135"/>
        <v>0</v>
      </c>
      <c r="R2206" s="24">
        <f t="shared" si="137"/>
        <v>6800</v>
      </c>
      <c r="S2206" s="5"/>
      <c r="T2206" s="5"/>
    </row>
    <row r="2207" spans="1:20" ht="15.75" hidden="1" x14ac:dyDescent="0.25">
      <c r="B2207" s="21" t="s">
        <v>395</v>
      </c>
      <c r="C2207" s="22" t="s">
        <v>2450</v>
      </c>
      <c r="D2207" s="22"/>
      <c r="E2207" s="21" t="s">
        <v>7137</v>
      </c>
      <c r="F2207" s="21"/>
      <c r="G2207" s="147" t="s">
        <v>8769</v>
      </c>
      <c r="H2207" s="23" t="s">
        <v>8770</v>
      </c>
      <c r="I2207" s="23" t="s">
        <v>8771</v>
      </c>
      <c r="J2207" s="21" t="s">
        <v>8772</v>
      </c>
      <c r="K2207" s="21"/>
      <c r="L2207" s="21" t="s">
        <v>8833</v>
      </c>
      <c r="M2207" s="26">
        <v>45169</v>
      </c>
      <c r="N2207" s="44">
        <v>4000</v>
      </c>
      <c r="O2207" s="22" t="s">
        <v>15</v>
      </c>
      <c r="P2207" s="44">
        <v>2500</v>
      </c>
      <c r="Q2207" s="44">
        <v>0</v>
      </c>
      <c r="R2207" s="116">
        <f t="shared" si="137"/>
        <v>2500</v>
      </c>
      <c r="S2207" s="5" t="s">
        <v>9885</v>
      </c>
      <c r="T2207" s="5"/>
    </row>
    <row r="2208" spans="1:20" ht="15.75" hidden="1" x14ac:dyDescent="0.25">
      <c r="A2208" t="s">
        <v>6753</v>
      </c>
      <c r="B2208" s="21" t="s">
        <v>395</v>
      </c>
      <c r="C2208" s="22" t="s">
        <v>2459</v>
      </c>
      <c r="D2208" s="22"/>
      <c r="E2208" s="21" t="s">
        <v>75</v>
      </c>
      <c r="F2208" s="21"/>
      <c r="G2208" s="147" t="s">
        <v>1701</v>
      </c>
      <c r="H2208" s="23" t="s">
        <v>1702</v>
      </c>
      <c r="I2208" s="23" t="s">
        <v>7868</v>
      </c>
      <c r="J2208" s="21" t="s">
        <v>3974</v>
      </c>
      <c r="K2208" s="120"/>
      <c r="L2208" s="21"/>
      <c r="M2208" s="47"/>
      <c r="N2208" s="44">
        <v>0</v>
      </c>
      <c r="O2208" s="22" t="s">
        <v>15</v>
      </c>
      <c r="P2208" s="44" t="s">
        <v>19</v>
      </c>
      <c r="Q2208" s="44">
        <f t="shared" ref="Q2208:Q2230" si="138">IF(P2208="en cours",N2208,IF(P2208="OK",0,IF(N2208-P2208&lt;0,0,N2208-P2208)))</f>
        <v>0</v>
      </c>
      <c r="R2208" s="44">
        <f t="shared" si="137"/>
        <v>0</v>
      </c>
      <c r="S2208" s="5" t="s">
        <v>3975</v>
      </c>
      <c r="T2208" s="5"/>
    </row>
    <row r="2209" spans="1:20" ht="15.75" hidden="1" x14ac:dyDescent="0.25">
      <c r="A2209" t="s">
        <v>6753</v>
      </c>
      <c r="B2209" s="21" t="s">
        <v>395</v>
      </c>
      <c r="C2209" s="22" t="s">
        <v>2459</v>
      </c>
      <c r="D2209" s="22"/>
      <c r="E2209" s="21" t="s">
        <v>75</v>
      </c>
      <c r="F2209" s="21"/>
      <c r="G2209" s="147" t="s">
        <v>1701</v>
      </c>
      <c r="H2209" s="23" t="s">
        <v>3976</v>
      </c>
      <c r="I2209" s="23"/>
      <c r="J2209" s="21" t="s">
        <v>1703</v>
      </c>
      <c r="K2209" s="120"/>
      <c r="L2209" s="21" t="s">
        <v>3904</v>
      </c>
      <c r="M2209" s="47" t="s">
        <v>3905</v>
      </c>
      <c r="N2209" s="44">
        <f>0.3*84410</f>
        <v>25323</v>
      </c>
      <c r="O2209" s="22" t="s">
        <v>15</v>
      </c>
      <c r="P2209" s="44">
        <f>23453.1+1869.9</f>
        <v>25323</v>
      </c>
      <c r="Q2209" s="44">
        <f t="shared" si="138"/>
        <v>0</v>
      </c>
      <c r="R2209" s="44">
        <f t="shared" si="137"/>
        <v>25323</v>
      </c>
      <c r="S2209" s="5"/>
      <c r="T2209" s="5"/>
    </row>
    <row r="2210" spans="1:20" ht="15.75" hidden="1" x14ac:dyDescent="0.25">
      <c r="B2210" s="21" t="s">
        <v>395</v>
      </c>
      <c r="C2210" s="22" t="s">
        <v>2460</v>
      </c>
      <c r="D2210" s="22"/>
      <c r="E2210" s="21" t="s">
        <v>75</v>
      </c>
      <c r="F2210" s="21"/>
      <c r="G2210" s="147" t="s">
        <v>3779</v>
      </c>
      <c r="H2210" s="23" t="s">
        <v>4719</v>
      </c>
      <c r="I2210" s="23" t="s">
        <v>7990</v>
      </c>
      <c r="J2210" s="21" t="s">
        <v>4664</v>
      </c>
      <c r="K2210" s="120"/>
      <c r="L2210" s="21" t="s">
        <v>4667</v>
      </c>
      <c r="M2210" s="47" t="s">
        <v>4668</v>
      </c>
      <c r="N2210" s="44">
        <f>800+800+400+1600</f>
        <v>3600</v>
      </c>
      <c r="O2210" s="22" t="s">
        <v>15</v>
      </c>
      <c r="P2210" s="44">
        <v>3600</v>
      </c>
      <c r="Q2210" s="44">
        <f t="shared" si="138"/>
        <v>0</v>
      </c>
      <c r="R2210" s="44">
        <f t="shared" si="137"/>
        <v>3600</v>
      </c>
      <c r="S2210" s="5"/>
      <c r="T2210" s="5"/>
    </row>
    <row r="2211" spans="1:20" ht="15.75" hidden="1" x14ac:dyDescent="0.25">
      <c r="B2211" s="21" t="s">
        <v>395</v>
      </c>
      <c r="C2211" s="22" t="s">
        <v>2460</v>
      </c>
      <c r="D2211" s="22"/>
      <c r="E2211" s="21" t="s">
        <v>75</v>
      </c>
      <c r="F2211" s="21"/>
      <c r="G2211" s="147" t="s">
        <v>3779</v>
      </c>
      <c r="H2211" s="23" t="s">
        <v>4719</v>
      </c>
      <c r="I2211" s="23" t="s">
        <v>7990</v>
      </c>
      <c r="J2211" s="21" t="s">
        <v>4665</v>
      </c>
      <c r="K2211" s="21"/>
      <c r="L2211" s="21" t="s">
        <v>6651</v>
      </c>
      <c r="M2211" s="23" t="s">
        <v>6652</v>
      </c>
      <c r="N2211" s="44">
        <f>12000+12000+4480+4480+4480+4480</f>
        <v>41920</v>
      </c>
      <c r="O2211" s="22" t="s">
        <v>15</v>
      </c>
      <c r="P2211" s="44">
        <f>15048+24252+2620</f>
        <v>41920</v>
      </c>
      <c r="Q2211" s="44">
        <f t="shared" si="138"/>
        <v>0</v>
      </c>
      <c r="R2211" s="24">
        <f t="shared" si="137"/>
        <v>41920</v>
      </c>
      <c r="S2211" s="5"/>
      <c r="T2211" s="5"/>
    </row>
    <row r="2212" spans="1:20" ht="15.75" hidden="1" x14ac:dyDescent="0.25">
      <c r="B2212" s="21" t="s">
        <v>395</v>
      </c>
      <c r="C2212" s="22" t="s">
        <v>2460</v>
      </c>
      <c r="D2212" s="22"/>
      <c r="E2212" s="21" t="s">
        <v>75</v>
      </c>
      <c r="F2212" s="21"/>
      <c r="G2212" s="147" t="s">
        <v>3779</v>
      </c>
      <c r="H2212" s="23" t="s">
        <v>4719</v>
      </c>
      <c r="I2212" s="23" t="s">
        <v>7990</v>
      </c>
      <c r="J2212" s="21" t="s">
        <v>4666</v>
      </c>
      <c r="K2212" s="21"/>
      <c r="L2212" s="21" t="s">
        <v>6649</v>
      </c>
      <c r="M2212" s="26" t="s">
        <v>6650</v>
      </c>
      <c r="N2212" s="44">
        <f>11510+4610+250+270</f>
        <v>16640</v>
      </c>
      <c r="O2212" s="22" t="s">
        <v>15</v>
      </c>
      <c r="P2212" s="44">
        <f>11808.88+4855.03</f>
        <v>16663.91</v>
      </c>
      <c r="Q2212" s="44">
        <f t="shared" si="138"/>
        <v>0</v>
      </c>
      <c r="R2212" s="24">
        <f t="shared" si="137"/>
        <v>16663.91</v>
      </c>
      <c r="S2212" s="5"/>
      <c r="T2212" s="5"/>
    </row>
    <row r="2213" spans="1:20" ht="15.75" hidden="1" x14ac:dyDescent="0.25">
      <c r="A2213" t="s">
        <v>6753</v>
      </c>
      <c r="B2213" s="21" t="s">
        <v>395</v>
      </c>
      <c r="C2213" s="22" t="s">
        <v>2459</v>
      </c>
      <c r="D2213" s="22"/>
      <c r="E2213" s="21" t="s">
        <v>75</v>
      </c>
      <c r="F2213" s="21"/>
      <c r="G2213" s="147" t="s">
        <v>3779</v>
      </c>
      <c r="H2213" s="23" t="s">
        <v>6286</v>
      </c>
      <c r="I2213" s="23" t="s">
        <v>8126</v>
      </c>
      <c r="J2213" s="21" t="s">
        <v>6285</v>
      </c>
      <c r="K2213" s="21"/>
      <c r="L2213" s="21" t="s">
        <v>6778</v>
      </c>
      <c r="M2213" s="26" t="s">
        <v>6779</v>
      </c>
      <c r="N2213" s="44">
        <v>192037</v>
      </c>
      <c r="O2213" s="22" t="s">
        <v>15</v>
      </c>
      <c r="P2213" s="44">
        <f>57611.1+52988.9+(81437+6063.58)</f>
        <v>198100.58000000002</v>
      </c>
      <c r="Q2213" s="44">
        <f t="shared" si="138"/>
        <v>0</v>
      </c>
      <c r="R2213" s="24">
        <f t="shared" si="137"/>
        <v>198100.58000000002</v>
      </c>
      <c r="S2213" s="5"/>
      <c r="T2213" s="5"/>
    </row>
    <row r="2214" spans="1:20" ht="15.75" hidden="1" x14ac:dyDescent="0.25">
      <c r="A2214" t="s">
        <v>6753</v>
      </c>
      <c r="B2214" s="21" t="s">
        <v>395</v>
      </c>
      <c r="C2214" s="22" t="s">
        <v>158</v>
      </c>
      <c r="D2214" s="22"/>
      <c r="E2214" s="21" t="s">
        <v>6811</v>
      </c>
      <c r="F2214" s="21"/>
      <c r="G2214" s="147" t="s">
        <v>6809</v>
      </c>
      <c r="H2214" s="23" t="s">
        <v>6813</v>
      </c>
      <c r="I2214" s="23" t="s">
        <v>8168</v>
      </c>
      <c r="J2214" s="21" t="s">
        <v>6810</v>
      </c>
      <c r="K2214" s="21"/>
      <c r="L2214" s="21" t="s">
        <v>12269</v>
      </c>
      <c r="M2214" s="26">
        <v>44804</v>
      </c>
      <c r="N2214" s="44">
        <v>1304</v>
      </c>
      <c r="O2214" s="22" t="s">
        <v>15</v>
      </c>
      <c r="P2214" s="44">
        <v>1304</v>
      </c>
      <c r="Q2214" s="44">
        <f t="shared" si="138"/>
        <v>0</v>
      </c>
      <c r="R2214" s="24">
        <f t="shared" si="137"/>
        <v>1304</v>
      </c>
      <c r="S2214" s="5"/>
      <c r="T2214" s="5"/>
    </row>
    <row r="2215" spans="1:20" ht="15.75" hidden="1" x14ac:dyDescent="0.25">
      <c r="A2215" t="s">
        <v>6753</v>
      </c>
      <c r="B2215" s="21" t="s">
        <v>395</v>
      </c>
      <c r="C2215" s="22" t="s">
        <v>2568</v>
      </c>
      <c r="D2215" s="22"/>
      <c r="E2215" s="21" t="s">
        <v>10</v>
      </c>
      <c r="F2215" s="21"/>
      <c r="G2215" s="147" t="s">
        <v>2567</v>
      </c>
      <c r="H2215" s="23" t="s">
        <v>5960</v>
      </c>
      <c r="I2215" s="23"/>
      <c r="J2215" s="21" t="s">
        <v>3705</v>
      </c>
      <c r="K2215" s="232"/>
      <c r="L2215" s="21" t="s">
        <v>5961</v>
      </c>
      <c r="M2215" s="23" t="s">
        <v>5962</v>
      </c>
      <c r="N2215" s="44">
        <v>35000</v>
      </c>
      <c r="O2215" s="22" t="s">
        <v>15</v>
      </c>
      <c r="P2215" s="22" t="s">
        <v>19</v>
      </c>
      <c r="Q2215" s="24">
        <f t="shared" si="138"/>
        <v>0</v>
      </c>
      <c r="R2215" s="24">
        <f t="shared" si="137"/>
        <v>35000</v>
      </c>
      <c r="S2215" s="5"/>
      <c r="T2215" s="5"/>
    </row>
    <row r="2216" spans="1:20" ht="15.75" hidden="1" x14ac:dyDescent="0.25">
      <c r="A2216" t="s">
        <v>6753</v>
      </c>
      <c r="B2216" s="21" t="s">
        <v>395</v>
      </c>
      <c r="C2216" s="22" t="s">
        <v>2568</v>
      </c>
      <c r="D2216" s="22"/>
      <c r="E2216" s="21" t="s">
        <v>10</v>
      </c>
      <c r="F2216" s="21"/>
      <c r="G2216" s="147" t="s">
        <v>2567</v>
      </c>
      <c r="H2216" s="23" t="s">
        <v>5960</v>
      </c>
      <c r="I2216" s="23"/>
      <c r="J2216" s="21" t="s">
        <v>3705</v>
      </c>
      <c r="K2216" s="232"/>
      <c r="L2216" s="21" t="s">
        <v>6370</v>
      </c>
      <c r="M2216" s="26">
        <v>44498</v>
      </c>
      <c r="N2216" s="44">
        <v>35000</v>
      </c>
      <c r="O2216" s="22" t="s">
        <v>15</v>
      </c>
      <c r="P2216" s="22" t="s">
        <v>19</v>
      </c>
      <c r="Q2216" s="24">
        <f t="shared" si="138"/>
        <v>0</v>
      </c>
      <c r="R2216" s="24">
        <f t="shared" si="137"/>
        <v>35000</v>
      </c>
      <c r="S2216" s="5"/>
      <c r="T2216" s="5"/>
    </row>
    <row r="2217" spans="1:20" ht="15.75" hidden="1" x14ac:dyDescent="0.25">
      <c r="A2217" t="s">
        <v>6753</v>
      </c>
      <c r="B2217" s="21" t="s">
        <v>395</v>
      </c>
      <c r="C2217" s="22" t="s">
        <v>2568</v>
      </c>
      <c r="D2217" s="22"/>
      <c r="E2217" s="21" t="s">
        <v>10</v>
      </c>
      <c r="F2217" s="21"/>
      <c r="G2217" s="147" t="s">
        <v>2567</v>
      </c>
      <c r="H2217" s="23" t="s">
        <v>5960</v>
      </c>
      <c r="I2217" s="23"/>
      <c r="J2217" s="21" t="s">
        <v>3705</v>
      </c>
      <c r="K2217" s="232"/>
      <c r="L2217" s="21" t="s">
        <v>7177</v>
      </c>
      <c r="M2217" s="26">
        <v>44839</v>
      </c>
      <c r="N2217" s="44">
        <v>35000</v>
      </c>
      <c r="O2217" s="22" t="s">
        <v>15</v>
      </c>
      <c r="P2217" s="22" t="s">
        <v>19</v>
      </c>
      <c r="Q2217" s="24">
        <f t="shared" si="138"/>
        <v>0</v>
      </c>
      <c r="R2217" s="24">
        <f t="shared" si="137"/>
        <v>35000</v>
      </c>
      <c r="S2217" s="5"/>
      <c r="T2217" s="5"/>
    </row>
    <row r="2218" spans="1:20" ht="15.75" hidden="1" x14ac:dyDescent="0.25">
      <c r="A2218" t="s">
        <v>6753</v>
      </c>
      <c r="B2218" s="21" t="s">
        <v>395</v>
      </c>
      <c r="C2218" s="22" t="s">
        <v>2568</v>
      </c>
      <c r="D2218" s="22"/>
      <c r="E2218" s="21" t="s">
        <v>10</v>
      </c>
      <c r="F2218" s="21"/>
      <c r="G2218" s="147" t="s">
        <v>2567</v>
      </c>
      <c r="H2218" s="23" t="s">
        <v>5960</v>
      </c>
      <c r="I2218" s="23"/>
      <c r="J2218" s="21" t="s">
        <v>3705</v>
      </c>
      <c r="K2218" s="232"/>
      <c r="L2218" s="21" t="s">
        <v>9059</v>
      </c>
      <c r="M2218" s="26">
        <v>45201</v>
      </c>
      <c r="N2218" s="44">
        <v>35000</v>
      </c>
      <c r="O2218" s="22" t="s">
        <v>15</v>
      </c>
      <c r="P2218" s="22" t="s">
        <v>19</v>
      </c>
      <c r="Q2218" s="24">
        <f t="shared" si="138"/>
        <v>0</v>
      </c>
      <c r="R2218" s="24">
        <f t="shared" si="137"/>
        <v>35000</v>
      </c>
      <c r="S2218" s="5"/>
      <c r="T2218" s="5"/>
    </row>
    <row r="2219" spans="1:20" ht="15.75" hidden="1" x14ac:dyDescent="0.25">
      <c r="A2219" t="s">
        <v>6753</v>
      </c>
      <c r="B2219" s="21" t="s">
        <v>395</v>
      </c>
      <c r="C2219" s="22" t="s">
        <v>158</v>
      </c>
      <c r="D2219" s="22"/>
      <c r="E2219" s="21" t="s">
        <v>10</v>
      </c>
      <c r="F2219" s="21" t="s">
        <v>9721</v>
      </c>
      <c r="G2219" s="147" t="s">
        <v>11077</v>
      </c>
      <c r="H2219" s="23" t="s">
        <v>11078</v>
      </c>
      <c r="I2219" s="23" t="s">
        <v>11079</v>
      </c>
      <c r="J2219" s="21" t="s">
        <v>11080</v>
      </c>
      <c r="K2219" s="21"/>
      <c r="L2219" s="21" t="s">
        <v>11108</v>
      </c>
      <c r="M2219" s="26">
        <v>45677</v>
      </c>
      <c r="N2219" s="44">
        <v>195</v>
      </c>
      <c r="O2219" s="22" t="s">
        <v>15</v>
      </c>
      <c r="P2219" s="44">
        <v>195</v>
      </c>
      <c r="Q2219" s="44">
        <f t="shared" si="138"/>
        <v>0</v>
      </c>
      <c r="R2219" s="24">
        <f t="shared" si="137"/>
        <v>195</v>
      </c>
      <c r="S2219" s="5"/>
      <c r="T2219" s="5"/>
    </row>
    <row r="2220" spans="1:20" ht="15.75" hidden="1" x14ac:dyDescent="0.25">
      <c r="A2220" t="s">
        <v>6753</v>
      </c>
      <c r="B2220" s="21" t="s">
        <v>395</v>
      </c>
      <c r="C2220" s="22" t="s">
        <v>2450</v>
      </c>
      <c r="D2220" s="22"/>
      <c r="E2220" s="21" t="s">
        <v>10</v>
      </c>
      <c r="F2220" s="21"/>
      <c r="G2220" s="147" t="s">
        <v>2384</v>
      </c>
      <c r="H2220" s="23" t="s">
        <v>2610</v>
      </c>
      <c r="I2220" s="23" t="s">
        <v>7881</v>
      </c>
      <c r="J2220" s="21" t="s">
        <v>2388</v>
      </c>
      <c r="K2220" s="13"/>
      <c r="L2220" s="21" t="s">
        <v>2386</v>
      </c>
      <c r="M2220" s="26">
        <v>43738</v>
      </c>
      <c r="N2220" s="44">
        <f>0.5*177225</f>
        <v>88612.5</v>
      </c>
      <c r="O2220" s="22" t="s">
        <v>276</v>
      </c>
      <c r="P2220" s="22" t="s">
        <v>19</v>
      </c>
      <c r="Q2220" s="24">
        <f t="shared" si="138"/>
        <v>0</v>
      </c>
      <c r="R2220" s="116">
        <f>IF(P2220="OK",N2220-Q2220,IF(P2220="en cours",M2220-Q2220,P2220))</f>
        <v>88612.5</v>
      </c>
      <c r="S2220" s="5"/>
      <c r="T2220" s="5"/>
    </row>
    <row r="2221" spans="1:20" ht="15.75" hidden="1" x14ac:dyDescent="0.25">
      <c r="A2221" t="s">
        <v>6753</v>
      </c>
      <c r="B2221" s="21" t="s">
        <v>395</v>
      </c>
      <c r="C2221" s="22" t="s">
        <v>2450</v>
      </c>
      <c r="D2221" s="22"/>
      <c r="E2221" s="21" t="s">
        <v>10</v>
      </c>
      <c r="F2221" s="21"/>
      <c r="G2221" s="147" t="s">
        <v>2384</v>
      </c>
      <c r="H2221" s="23" t="s">
        <v>2610</v>
      </c>
      <c r="I2221" s="23" t="s">
        <v>7881</v>
      </c>
      <c r="J2221" s="21" t="s">
        <v>2609</v>
      </c>
      <c r="K2221" s="13"/>
      <c r="L2221" s="21" t="s">
        <v>2589</v>
      </c>
      <c r="M2221" s="26">
        <v>43799</v>
      </c>
      <c r="N2221" s="44">
        <f>0.4*177225</f>
        <v>70890</v>
      </c>
      <c r="O2221" s="22" t="s">
        <v>276</v>
      </c>
      <c r="P2221" s="22" t="s">
        <v>19</v>
      </c>
      <c r="Q2221" s="24">
        <f t="shared" si="138"/>
        <v>0</v>
      </c>
      <c r="R2221" s="116">
        <f>IF(P2221="OK",N2221-Q2221,IF(P2221="en cours",#REF!-Q2221,P2221))</f>
        <v>70890</v>
      </c>
      <c r="S2221" s="5"/>
      <c r="T2221" s="5"/>
    </row>
    <row r="2222" spans="1:20" ht="15.75" hidden="1" x14ac:dyDescent="0.25">
      <c r="A2222" t="s">
        <v>6753</v>
      </c>
      <c r="B2222" s="21" t="s">
        <v>395</v>
      </c>
      <c r="C2222" s="22" t="s">
        <v>2450</v>
      </c>
      <c r="D2222" s="22"/>
      <c r="E2222" s="21" t="s">
        <v>10</v>
      </c>
      <c r="F2222" s="21"/>
      <c r="G2222" s="147" t="s">
        <v>2384</v>
      </c>
      <c r="H2222" s="23" t="s">
        <v>2611</v>
      </c>
      <c r="I2222" s="23" t="s">
        <v>7881</v>
      </c>
      <c r="J2222" s="21" t="s">
        <v>2409</v>
      </c>
      <c r="K2222" s="13"/>
      <c r="L2222" s="21" t="s">
        <v>2812</v>
      </c>
      <c r="M2222" s="26">
        <v>43860</v>
      </c>
      <c r="N2222" s="44">
        <f>0.1*177225</f>
        <v>17722.5</v>
      </c>
      <c r="O2222" s="22" t="s">
        <v>276</v>
      </c>
      <c r="P2222" s="22" t="s">
        <v>19</v>
      </c>
      <c r="Q2222" s="24">
        <f t="shared" si="138"/>
        <v>0</v>
      </c>
      <c r="R2222" s="116">
        <f>IF(P2222="OK",N2222-Q2222,IF(P2222="en cours",M2222-Q2222,P2222))</f>
        <v>17722.5</v>
      </c>
      <c r="S2222" s="5"/>
      <c r="T2222" s="5"/>
    </row>
    <row r="2223" spans="1:20" ht="15.75" hidden="1" x14ac:dyDescent="0.25">
      <c r="A2223" t="s">
        <v>6753</v>
      </c>
      <c r="B2223" s="21" t="s">
        <v>395</v>
      </c>
      <c r="C2223" s="22" t="s">
        <v>2450</v>
      </c>
      <c r="D2223" s="22"/>
      <c r="E2223" s="21" t="s">
        <v>10</v>
      </c>
      <c r="F2223" s="21"/>
      <c r="G2223" s="147" t="s">
        <v>2384</v>
      </c>
      <c r="H2223" s="23" t="s">
        <v>2612</v>
      </c>
      <c r="I2223" s="23" t="s">
        <v>7880</v>
      </c>
      <c r="J2223" s="21" t="s">
        <v>2387</v>
      </c>
      <c r="K2223" s="13"/>
      <c r="L2223" s="21" t="s">
        <v>2385</v>
      </c>
      <c r="M2223" s="26">
        <v>43738</v>
      </c>
      <c r="N2223" s="44">
        <f>0.5*154725</f>
        <v>77362.5</v>
      </c>
      <c r="O2223" s="22" t="s">
        <v>276</v>
      </c>
      <c r="P2223" s="22" t="s">
        <v>19</v>
      </c>
      <c r="Q2223" s="24">
        <f t="shared" si="138"/>
        <v>0</v>
      </c>
      <c r="R2223" s="116">
        <f>IF(P2223="OK",N2223-Q2223,IF(P2223="en cours",M2223-Q2223,P2223))</f>
        <v>77362.5</v>
      </c>
      <c r="S2223" s="5"/>
      <c r="T2223" s="5"/>
    </row>
    <row r="2224" spans="1:20" ht="15.75" hidden="1" x14ac:dyDescent="0.25">
      <c r="A2224" t="s">
        <v>6753</v>
      </c>
      <c r="B2224" s="21" t="s">
        <v>395</v>
      </c>
      <c r="C2224" s="22" t="s">
        <v>2450</v>
      </c>
      <c r="D2224" s="22"/>
      <c r="E2224" s="21" t="s">
        <v>10</v>
      </c>
      <c r="F2224" s="21"/>
      <c r="G2224" s="147" t="s">
        <v>2384</v>
      </c>
      <c r="H2224" s="23" t="s">
        <v>2612</v>
      </c>
      <c r="I2224" s="23" t="s">
        <v>7880</v>
      </c>
      <c r="J2224" s="21" t="s">
        <v>2407</v>
      </c>
      <c r="K2224" s="13"/>
      <c r="L2224" s="21" t="s">
        <v>2588</v>
      </c>
      <c r="M2224" s="26">
        <v>43799</v>
      </c>
      <c r="N2224" s="44">
        <f>0.4*154725</f>
        <v>61890</v>
      </c>
      <c r="O2224" s="22" t="s">
        <v>276</v>
      </c>
      <c r="P2224" s="22" t="s">
        <v>19</v>
      </c>
      <c r="Q2224" s="24">
        <f t="shared" si="138"/>
        <v>0</v>
      </c>
      <c r="R2224" s="116">
        <f>IF(P2224="OK",N2224-Q2224,IF(P2224="en cours",M2224-Q2224,P2224))</f>
        <v>61890</v>
      </c>
      <c r="S2224" s="5"/>
      <c r="T2224" s="5"/>
    </row>
    <row r="2225" spans="1:20" ht="15.75" hidden="1" x14ac:dyDescent="0.25">
      <c r="A2225" t="s">
        <v>6753</v>
      </c>
      <c r="B2225" s="21" t="s">
        <v>395</v>
      </c>
      <c r="C2225" s="22" t="s">
        <v>2450</v>
      </c>
      <c r="D2225" s="22"/>
      <c r="E2225" s="21" t="s">
        <v>10</v>
      </c>
      <c r="F2225" s="21"/>
      <c r="G2225" s="147" t="s">
        <v>2384</v>
      </c>
      <c r="H2225" s="23" t="s">
        <v>2612</v>
      </c>
      <c r="I2225" s="23" t="s">
        <v>7880</v>
      </c>
      <c r="J2225" s="21" t="s">
        <v>2408</v>
      </c>
      <c r="K2225" s="13">
        <v>43814</v>
      </c>
      <c r="L2225" s="21" t="s">
        <v>2813</v>
      </c>
      <c r="M2225" s="26">
        <v>43860</v>
      </c>
      <c r="N2225" s="44">
        <f>0.1*154725</f>
        <v>15472.5</v>
      </c>
      <c r="O2225" s="22" t="s">
        <v>276</v>
      </c>
      <c r="P2225" s="22" t="s">
        <v>19</v>
      </c>
      <c r="Q2225" s="24">
        <f t="shared" si="138"/>
        <v>0</v>
      </c>
      <c r="R2225" s="116">
        <f>IF(P2225="OK",N2225-Q2225,IF(P2225="en cours",M2227-Q2225,P2225))</f>
        <v>15472.5</v>
      </c>
      <c r="S2225" s="5"/>
      <c r="T2225" s="5"/>
    </row>
    <row r="2226" spans="1:20" ht="15.75" hidden="1" x14ac:dyDescent="0.25">
      <c r="B2226" s="21" t="s">
        <v>395</v>
      </c>
      <c r="C2226" s="22" t="s">
        <v>2459</v>
      </c>
      <c r="D2226" s="22"/>
      <c r="E2226" s="21" t="s">
        <v>75</v>
      </c>
      <c r="F2226" s="21"/>
      <c r="G2226" s="147" t="s">
        <v>1146</v>
      </c>
      <c r="H2226" s="23" t="s">
        <v>1424</v>
      </c>
      <c r="I2226" s="23"/>
      <c r="J2226" s="21" t="s">
        <v>1442</v>
      </c>
      <c r="K2226" s="21"/>
      <c r="L2226" s="21" t="s">
        <v>2049</v>
      </c>
      <c r="M2226" s="26">
        <v>43644</v>
      </c>
      <c r="N2226" s="99">
        <v>500000</v>
      </c>
      <c r="O2226" s="22" t="s">
        <v>15</v>
      </c>
      <c r="P2226" s="22" t="s">
        <v>19</v>
      </c>
      <c r="Q2226" s="44">
        <f t="shared" si="138"/>
        <v>0</v>
      </c>
      <c r="R2226" s="24">
        <f t="shared" ref="R2226:R2289" si="139">IF(P2226="OK",N2226-Q2226,IF(P2226="en cours",N2226-Q2226,P2226))</f>
        <v>500000</v>
      </c>
      <c r="S2226" s="5"/>
      <c r="T2226" s="5"/>
    </row>
    <row r="2227" spans="1:20" ht="15.75" hidden="1" x14ac:dyDescent="0.25">
      <c r="B2227" s="21" t="s">
        <v>395</v>
      </c>
      <c r="C2227" s="22" t="s">
        <v>2459</v>
      </c>
      <c r="D2227" s="22"/>
      <c r="E2227" s="21" t="s">
        <v>75</v>
      </c>
      <c r="F2227" s="21"/>
      <c r="G2227" s="147" t="s">
        <v>1146</v>
      </c>
      <c r="H2227" s="23" t="s">
        <v>1424</v>
      </c>
      <c r="I2227" s="23"/>
      <c r="J2227" s="21" t="s">
        <v>629</v>
      </c>
      <c r="K2227" s="21"/>
      <c r="L2227" s="21" t="s">
        <v>2049</v>
      </c>
      <c r="M2227" s="26">
        <v>43644</v>
      </c>
      <c r="N2227" s="99">
        <v>600000</v>
      </c>
      <c r="O2227" s="22" t="s">
        <v>15</v>
      </c>
      <c r="P2227" s="22" t="s">
        <v>19</v>
      </c>
      <c r="Q2227" s="44">
        <f t="shared" si="138"/>
        <v>0</v>
      </c>
      <c r="R2227" s="24">
        <f t="shared" si="139"/>
        <v>600000</v>
      </c>
      <c r="S2227" s="5"/>
      <c r="T2227" s="5"/>
    </row>
    <row r="2228" spans="1:20" ht="15.75" hidden="1" x14ac:dyDescent="0.25">
      <c r="B2228" s="219" t="s">
        <v>395</v>
      </c>
      <c r="C2228" s="222" t="s">
        <v>2459</v>
      </c>
      <c r="D2228" s="222"/>
      <c r="E2228" s="219" t="s">
        <v>75</v>
      </c>
      <c r="F2228" s="219"/>
      <c r="G2228" s="223" t="s">
        <v>1146</v>
      </c>
      <c r="H2228" s="224" t="s">
        <v>1424</v>
      </c>
      <c r="I2228" s="224"/>
      <c r="J2228" s="219" t="s">
        <v>1443</v>
      </c>
      <c r="K2228" s="219"/>
      <c r="L2228" s="219" t="s">
        <v>2044</v>
      </c>
      <c r="M2228" s="225">
        <v>43732</v>
      </c>
      <c r="N2228" s="465">
        <v>670000</v>
      </c>
      <c r="O2228" s="222" t="s">
        <v>15</v>
      </c>
      <c r="P2228" s="222" t="s">
        <v>19</v>
      </c>
      <c r="Q2228" s="226">
        <f t="shared" si="138"/>
        <v>0</v>
      </c>
      <c r="R2228" s="470">
        <f t="shared" si="139"/>
        <v>670000</v>
      </c>
      <c r="S2228" s="5"/>
      <c r="T2228" s="5"/>
    </row>
    <row r="2229" spans="1:20" ht="15.75" hidden="1" x14ac:dyDescent="0.25">
      <c r="B2229" s="21" t="s">
        <v>395</v>
      </c>
      <c r="C2229" s="22" t="s">
        <v>2459</v>
      </c>
      <c r="D2229" s="22"/>
      <c r="E2229" s="21" t="s">
        <v>75</v>
      </c>
      <c r="F2229" s="21"/>
      <c r="G2229" s="147" t="s">
        <v>1146</v>
      </c>
      <c r="H2229" s="23" t="s">
        <v>1424</v>
      </c>
      <c r="I2229" s="23"/>
      <c r="J2229" s="21" t="s">
        <v>1444</v>
      </c>
      <c r="K2229" s="21"/>
      <c r="L2229" s="21" t="s">
        <v>2878</v>
      </c>
      <c r="M2229" s="26">
        <v>43871</v>
      </c>
      <c r="N2229" s="99">
        <v>670000</v>
      </c>
      <c r="O2229" s="22" t="s">
        <v>15</v>
      </c>
      <c r="P2229" s="22" t="s">
        <v>19</v>
      </c>
      <c r="Q2229" s="44">
        <f t="shared" si="138"/>
        <v>0</v>
      </c>
      <c r="R2229" s="24">
        <f t="shared" si="139"/>
        <v>670000</v>
      </c>
      <c r="S2229" s="5" t="s">
        <v>1929</v>
      </c>
      <c r="T2229" s="5"/>
    </row>
    <row r="2230" spans="1:20" ht="15.75" hidden="1" x14ac:dyDescent="0.25">
      <c r="B2230" s="21" t="s">
        <v>395</v>
      </c>
      <c r="C2230" s="22" t="s">
        <v>2459</v>
      </c>
      <c r="D2230" s="22"/>
      <c r="E2230" s="21" t="s">
        <v>75</v>
      </c>
      <c r="F2230" s="21"/>
      <c r="G2230" s="147" t="s">
        <v>1146</v>
      </c>
      <c r="H2230" s="23" t="s">
        <v>1424</v>
      </c>
      <c r="I2230" s="23"/>
      <c r="J2230" s="21" t="s">
        <v>1445</v>
      </c>
      <c r="K2230" s="21"/>
      <c r="L2230" s="21" t="s">
        <v>3185</v>
      </c>
      <c r="M2230" s="26">
        <v>43972</v>
      </c>
      <c r="N2230" s="99">
        <v>670000</v>
      </c>
      <c r="O2230" s="22" t="s">
        <v>15</v>
      </c>
      <c r="P2230" s="22" t="s">
        <v>19</v>
      </c>
      <c r="Q2230" s="44">
        <f t="shared" si="138"/>
        <v>0</v>
      </c>
      <c r="R2230" s="24">
        <f t="shared" si="139"/>
        <v>670000</v>
      </c>
      <c r="S2230" s="5" t="s">
        <v>1929</v>
      </c>
      <c r="T2230" s="5"/>
    </row>
    <row r="2231" spans="1:20" ht="15.75" hidden="1" x14ac:dyDescent="0.25">
      <c r="B2231" s="21" t="s">
        <v>395</v>
      </c>
      <c r="C2231" s="22" t="s">
        <v>2459</v>
      </c>
      <c r="D2231" s="22"/>
      <c r="E2231" s="21" t="s">
        <v>75</v>
      </c>
      <c r="F2231" s="21"/>
      <c r="G2231" s="147" t="s">
        <v>1146</v>
      </c>
      <c r="H2231" s="23" t="s">
        <v>1424</v>
      </c>
      <c r="I2231" s="23"/>
      <c r="J2231" s="21" t="s">
        <v>9173</v>
      </c>
      <c r="K2231" s="21"/>
      <c r="L2231" s="21" t="s">
        <v>9174</v>
      </c>
      <c r="M2231" s="145">
        <v>45252</v>
      </c>
      <c r="N2231" s="44">
        <v>0</v>
      </c>
      <c r="O2231" s="22" t="s">
        <v>15</v>
      </c>
      <c r="P2231" s="44">
        <v>-323558.45</v>
      </c>
      <c r="Q2231" s="44">
        <v>0</v>
      </c>
      <c r="R2231" s="24">
        <f t="shared" si="139"/>
        <v>-323558.45</v>
      </c>
      <c r="S2231" s="21"/>
      <c r="T2231" s="5"/>
    </row>
    <row r="2232" spans="1:20" ht="15.75" hidden="1" x14ac:dyDescent="0.25">
      <c r="B2232" s="21" t="s">
        <v>395</v>
      </c>
      <c r="C2232" s="22" t="s">
        <v>2459</v>
      </c>
      <c r="D2232" s="22"/>
      <c r="E2232" s="21" t="s">
        <v>75</v>
      </c>
      <c r="F2232" s="21"/>
      <c r="G2232" s="147" t="s">
        <v>1146</v>
      </c>
      <c r="H2232" s="23" t="s">
        <v>1424</v>
      </c>
      <c r="I2232" s="23"/>
      <c r="J2232" s="21" t="s">
        <v>1803</v>
      </c>
      <c r="K2232" s="21"/>
      <c r="L2232" s="21" t="s">
        <v>2321</v>
      </c>
      <c r="M2232" s="145">
        <v>43658</v>
      </c>
      <c r="N2232" s="44">
        <v>323558.451</v>
      </c>
      <c r="O2232" s="22" t="s">
        <v>15</v>
      </c>
      <c r="P2232" s="44">
        <f>N2232</f>
        <v>323558.451</v>
      </c>
      <c r="Q2232" s="44">
        <f t="shared" ref="Q2232:Q2252" si="140">IF(P2232="en cours",N2232,IF(P2232="OK",0,IF(N2232-P2232&lt;0,0,N2232-P2232)))</f>
        <v>0</v>
      </c>
      <c r="R2232" s="24">
        <f t="shared" si="139"/>
        <v>323558.451</v>
      </c>
      <c r="S2232" s="21" t="s">
        <v>5108</v>
      </c>
      <c r="T2232" s="5"/>
    </row>
    <row r="2233" spans="1:20" ht="15.75" hidden="1" x14ac:dyDescent="0.25">
      <c r="B2233" s="113" t="s">
        <v>395</v>
      </c>
      <c r="C2233" s="139" t="s">
        <v>2459</v>
      </c>
      <c r="D2233" s="139"/>
      <c r="E2233" s="138" t="s">
        <v>75</v>
      </c>
      <c r="F2233" s="138"/>
      <c r="G2233" s="160" t="s">
        <v>1146</v>
      </c>
      <c r="H2233" s="140" t="s">
        <v>1424</v>
      </c>
      <c r="I2233" s="140"/>
      <c r="J2233" s="138" t="s">
        <v>2323</v>
      </c>
      <c r="K2233" s="21"/>
      <c r="L2233" s="21" t="s">
        <v>2470</v>
      </c>
      <c r="M2233" s="145">
        <v>43761</v>
      </c>
      <c r="N2233" s="44">
        <f t="shared" ref="N2233:N2249" si="141">(3235584.51-$N$686-$N$667)/20</f>
        <v>161085.12849999999</v>
      </c>
      <c r="O2233" s="22" t="s">
        <v>15</v>
      </c>
      <c r="P2233" s="114">
        <v>120425.62</v>
      </c>
      <c r="Q2233" s="44">
        <f t="shared" si="140"/>
        <v>40659.508499999996</v>
      </c>
      <c r="R2233" s="24">
        <f t="shared" si="139"/>
        <v>120425.62</v>
      </c>
      <c r="S2233" s="5"/>
      <c r="T2233" s="5"/>
    </row>
    <row r="2234" spans="1:20" ht="15.75" hidden="1" x14ac:dyDescent="0.25">
      <c r="B2234" s="113" t="s">
        <v>395</v>
      </c>
      <c r="C2234" s="139" t="s">
        <v>2459</v>
      </c>
      <c r="D2234" s="139"/>
      <c r="E2234" s="138" t="s">
        <v>75</v>
      </c>
      <c r="F2234" s="138"/>
      <c r="G2234" s="160" t="s">
        <v>1146</v>
      </c>
      <c r="H2234" s="140" t="s">
        <v>1424</v>
      </c>
      <c r="I2234" s="140"/>
      <c r="J2234" s="138" t="s">
        <v>2324</v>
      </c>
      <c r="K2234" s="47"/>
      <c r="L2234" s="21" t="s">
        <v>2703</v>
      </c>
      <c r="M2234" s="145" t="s">
        <v>2704</v>
      </c>
      <c r="N2234" s="44">
        <f t="shared" si="141"/>
        <v>161085.12849999999</v>
      </c>
      <c r="O2234" s="22" t="s">
        <v>15</v>
      </c>
      <c r="P2234" s="114">
        <f>67956.61+72430.82</f>
        <v>140387.43</v>
      </c>
      <c r="Q2234" s="44">
        <f t="shared" si="140"/>
        <v>20697.698499999999</v>
      </c>
      <c r="R2234" s="24">
        <f t="shared" si="139"/>
        <v>140387.43</v>
      </c>
      <c r="S2234" s="5" t="s">
        <v>2469</v>
      </c>
      <c r="T2234" s="5"/>
    </row>
    <row r="2235" spans="1:20" ht="15.75" hidden="1" x14ac:dyDescent="0.25">
      <c r="B2235" s="113" t="s">
        <v>395</v>
      </c>
      <c r="C2235" s="139" t="s">
        <v>2459</v>
      </c>
      <c r="D2235" s="139"/>
      <c r="E2235" s="138" t="s">
        <v>75</v>
      </c>
      <c r="F2235" s="138"/>
      <c r="G2235" s="160" t="s">
        <v>1146</v>
      </c>
      <c r="H2235" s="140" t="s">
        <v>1424</v>
      </c>
      <c r="I2235" s="140"/>
      <c r="J2235" s="138" t="s">
        <v>2324</v>
      </c>
      <c r="K2235" s="47"/>
      <c r="L2235" s="21" t="s">
        <v>2879</v>
      </c>
      <c r="M2235" s="145">
        <v>43871</v>
      </c>
      <c r="N2235" s="44">
        <f t="shared" si="141"/>
        <v>161085.12849999999</v>
      </c>
      <c r="O2235" s="22" t="s">
        <v>15</v>
      </c>
      <c r="P2235" s="114">
        <v>119394.67</v>
      </c>
      <c r="Q2235" s="44">
        <f t="shared" si="140"/>
        <v>41690.458499999993</v>
      </c>
      <c r="R2235" s="24">
        <f t="shared" si="139"/>
        <v>119394.67</v>
      </c>
      <c r="S2235" s="5"/>
      <c r="T2235" s="5"/>
    </row>
    <row r="2236" spans="1:20" ht="15.75" hidden="1" x14ac:dyDescent="0.25">
      <c r="B2236" s="113" t="s">
        <v>395</v>
      </c>
      <c r="C2236" s="139" t="s">
        <v>2459</v>
      </c>
      <c r="D2236" s="139"/>
      <c r="E2236" s="138" t="s">
        <v>75</v>
      </c>
      <c r="F2236" s="138"/>
      <c r="G2236" s="160" t="s">
        <v>1146</v>
      </c>
      <c r="H2236" s="140" t="s">
        <v>1424</v>
      </c>
      <c r="I2236" s="140"/>
      <c r="J2236" s="138" t="s">
        <v>2324</v>
      </c>
      <c r="K2236" s="47"/>
      <c r="L2236" s="21" t="s">
        <v>3027</v>
      </c>
      <c r="M2236" s="145" t="s">
        <v>3028</v>
      </c>
      <c r="N2236" s="44">
        <f t="shared" si="141"/>
        <v>161085.12849999999</v>
      </c>
      <c r="O2236" s="22" t="s">
        <v>15</v>
      </c>
      <c r="P2236" s="114">
        <f>73380.72+46013.95</f>
        <v>119394.67</v>
      </c>
      <c r="Q2236" s="44">
        <f t="shared" si="140"/>
        <v>41690.458499999993</v>
      </c>
      <c r="R2236" s="24">
        <f t="shared" si="139"/>
        <v>119394.67</v>
      </c>
      <c r="S2236" s="5"/>
      <c r="T2236" s="5"/>
    </row>
    <row r="2237" spans="1:20" ht="15.75" hidden="1" x14ac:dyDescent="0.25">
      <c r="B2237" s="113" t="s">
        <v>395</v>
      </c>
      <c r="C2237" s="139" t="s">
        <v>2459</v>
      </c>
      <c r="D2237" s="139"/>
      <c r="E2237" s="138" t="s">
        <v>75</v>
      </c>
      <c r="F2237" s="138"/>
      <c r="G2237" s="160" t="s">
        <v>1146</v>
      </c>
      <c r="H2237" s="140" t="s">
        <v>1424</v>
      </c>
      <c r="I2237" s="140"/>
      <c r="J2237" s="138" t="s">
        <v>2324</v>
      </c>
      <c r="K2237" s="47"/>
      <c r="L2237" s="21" t="s">
        <v>3029</v>
      </c>
      <c r="M2237" s="145">
        <v>43900</v>
      </c>
      <c r="N2237" s="44">
        <f t="shared" si="141"/>
        <v>161085.12849999999</v>
      </c>
      <c r="O2237" s="22" t="s">
        <v>15</v>
      </c>
      <c r="P2237" s="114">
        <v>119394.67</v>
      </c>
      <c r="Q2237" s="44">
        <f t="shared" si="140"/>
        <v>41690.458499999993</v>
      </c>
      <c r="R2237" s="24">
        <f t="shared" si="139"/>
        <v>119394.67</v>
      </c>
      <c r="S2237" s="5"/>
      <c r="T2237" s="5"/>
    </row>
    <row r="2238" spans="1:20" ht="15.75" hidden="1" x14ac:dyDescent="0.25">
      <c r="B2238" s="21" t="s">
        <v>395</v>
      </c>
      <c r="C2238" s="22" t="s">
        <v>2459</v>
      </c>
      <c r="D2238" s="22"/>
      <c r="E2238" s="21" t="s">
        <v>75</v>
      </c>
      <c r="F2238" s="21"/>
      <c r="G2238" s="147" t="s">
        <v>1146</v>
      </c>
      <c r="H2238" s="23" t="s">
        <v>1424</v>
      </c>
      <c r="I2238" s="23"/>
      <c r="J2238" s="21" t="s">
        <v>2324</v>
      </c>
      <c r="K2238" s="120"/>
      <c r="L2238" s="21" t="s">
        <v>3179</v>
      </c>
      <c r="M2238" s="145" t="s">
        <v>3178</v>
      </c>
      <c r="N2238" s="44">
        <f t="shared" si="141"/>
        <v>161085.12849999999</v>
      </c>
      <c r="O2238" s="22" t="s">
        <v>15</v>
      </c>
      <c r="P2238" s="114">
        <f>7077.07+70304.67+42012.93</f>
        <v>119394.66999999998</v>
      </c>
      <c r="Q2238" s="44">
        <f t="shared" si="140"/>
        <v>41690.458500000008</v>
      </c>
      <c r="R2238" s="24">
        <f t="shared" si="139"/>
        <v>119394.66999999998</v>
      </c>
      <c r="S2238" s="5"/>
      <c r="T2238" s="5"/>
    </row>
    <row r="2239" spans="1:20" ht="15.75" hidden="1" x14ac:dyDescent="0.25">
      <c r="B2239" s="21" t="s">
        <v>395</v>
      </c>
      <c r="C2239" s="22" t="s">
        <v>2459</v>
      </c>
      <c r="D2239" s="22"/>
      <c r="E2239" s="21" t="s">
        <v>75</v>
      </c>
      <c r="F2239" s="21"/>
      <c r="G2239" s="147" t="s">
        <v>1146</v>
      </c>
      <c r="H2239" s="23" t="s">
        <v>1424</v>
      </c>
      <c r="I2239" s="23"/>
      <c r="J2239" s="21" t="s">
        <v>2324</v>
      </c>
      <c r="K2239" s="120"/>
      <c r="L2239" s="21" t="s">
        <v>3180</v>
      </c>
      <c r="M2239" s="145">
        <v>43965</v>
      </c>
      <c r="N2239" s="44">
        <f t="shared" si="141"/>
        <v>161085.12849999999</v>
      </c>
      <c r="O2239" s="22" t="s">
        <v>15</v>
      </c>
      <c r="P2239" s="114">
        <v>119394.67</v>
      </c>
      <c r="Q2239" s="44">
        <f t="shared" si="140"/>
        <v>41690.458499999993</v>
      </c>
      <c r="R2239" s="24">
        <f t="shared" si="139"/>
        <v>119394.67</v>
      </c>
      <c r="S2239" s="5"/>
      <c r="T2239" s="5"/>
    </row>
    <row r="2240" spans="1:20" ht="15.75" hidden="1" x14ac:dyDescent="0.25">
      <c r="B2240" s="21" t="s">
        <v>395</v>
      </c>
      <c r="C2240" s="22" t="s">
        <v>2459</v>
      </c>
      <c r="D2240" s="22"/>
      <c r="E2240" s="21" t="s">
        <v>75</v>
      </c>
      <c r="F2240" s="21"/>
      <c r="G2240" s="147" t="s">
        <v>1146</v>
      </c>
      <c r="H2240" s="23" t="s">
        <v>1424</v>
      </c>
      <c r="I2240" s="23"/>
      <c r="J2240" s="21" t="s">
        <v>2324</v>
      </c>
      <c r="K2240" s="120"/>
      <c r="L2240" s="21" t="s">
        <v>3330</v>
      </c>
      <c r="M2240" s="145" t="s">
        <v>3931</v>
      </c>
      <c r="N2240" s="44">
        <f t="shared" si="141"/>
        <v>161085.12849999999</v>
      </c>
      <c r="O2240" s="22" t="s">
        <v>15</v>
      </c>
      <c r="P2240" s="114">
        <f>87772.55+31622.12</f>
        <v>119394.67</v>
      </c>
      <c r="Q2240" s="44">
        <f t="shared" si="140"/>
        <v>41690.458499999993</v>
      </c>
      <c r="R2240" s="24">
        <f t="shared" si="139"/>
        <v>119394.67</v>
      </c>
      <c r="S2240" s="5"/>
      <c r="T2240" s="5"/>
    </row>
    <row r="2241" spans="2:20" ht="15.75" hidden="1" x14ac:dyDescent="0.25">
      <c r="B2241" s="21" t="s">
        <v>395</v>
      </c>
      <c r="C2241" s="22" t="s">
        <v>2459</v>
      </c>
      <c r="D2241" s="22"/>
      <c r="E2241" s="21" t="s">
        <v>75</v>
      </c>
      <c r="F2241" s="21"/>
      <c r="G2241" s="147" t="s">
        <v>1146</v>
      </c>
      <c r="H2241" s="23" t="s">
        <v>1424</v>
      </c>
      <c r="I2241" s="23"/>
      <c r="J2241" s="21" t="s">
        <v>2324</v>
      </c>
      <c r="K2241" s="120"/>
      <c r="L2241" s="21" t="s">
        <v>3461</v>
      </c>
      <c r="M2241" s="145" t="s">
        <v>3462</v>
      </c>
      <c r="N2241" s="44">
        <f t="shared" si="141"/>
        <v>161085.12849999999</v>
      </c>
      <c r="O2241" s="22" t="s">
        <v>15</v>
      </c>
      <c r="P2241" s="114">
        <f>99495.47+19899.2</f>
        <v>119394.67</v>
      </c>
      <c r="Q2241" s="44">
        <f t="shared" si="140"/>
        <v>41690.458499999993</v>
      </c>
      <c r="R2241" s="24">
        <f t="shared" si="139"/>
        <v>119394.67</v>
      </c>
      <c r="S2241" s="5"/>
      <c r="T2241" s="5"/>
    </row>
    <row r="2242" spans="2:20" ht="15.75" hidden="1" x14ac:dyDescent="0.25">
      <c r="B2242" s="21" t="s">
        <v>395</v>
      </c>
      <c r="C2242" s="22" t="s">
        <v>2459</v>
      </c>
      <c r="D2242" s="22"/>
      <c r="E2242" s="21" t="s">
        <v>75</v>
      </c>
      <c r="F2242" s="21"/>
      <c r="G2242" s="147" t="s">
        <v>1146</v>
      </c>
      <c r="H2242" s="23" t="s">
        <v>1424</v>
      </c>
      <c r="I2242" s="23"/>
      <c r="J2242" s="21" t="s">
        <v>2324</v>
      </c>
      <c r="K2242" s="120"/>
      <c r="L2242" s="21" t="s">
        <v>3932</v>
      </c>
      <c r="M2242" s="145">
        <v>44022</v>
      </c>
      <c r="N2242" s="44">
        <f t="shared" si="141"/>
        <v>161085.12849999999</v>
      </c>
      <c r="O2242" s="22" t="s">
        <v>15</v>
      </c>
      <c r="P2242" s="114">
        <v>119394.67</v>
      </c>
      <c r="Q2242" s="44">
        <f t="shared" si="140"/>
        <v>41690.458499999993</v>
      </c>
      <c r="R2242" s="24">
        <f t="shared" si="139"/>
        <v>119394.67</v>
      </c>
      <c r="S2242" s="5"/>
      <c r="T2242" s="5"/>
    </row>
    <row r="2243" spans="2:20" ht="15.75" hidden="1" x14ac:dyDescent="0.25">
      <c r="B2243" s="21" t="s">
        <v>395</v>
      </c>
      <c r="C2243" s="22" t="s">
        <v>2459</v>
      </c>
      <c r="D2243" s="22"/>
      <c r="E2243" s="21" t="s">
        <v>75</v>
      </c>
      <c r="F2243" s="21"/>
      <c r="G2243" s="147" t="s">
        <v>1146</v>
      </c>
      <c r="H2243" s="23" t="s">
        <v>1424</v>
      </c>
      <c r="I2243" s="23"/>
      <c r="J2243" s="21" t="s">
        <v>2324</v>
      </c>
      <c r="K2243" s="120"/>
      <c r="L2243" s="21" t="s">
        <v>4031</v>
      </c>
      <c r="M2243" s="145" t="s">
        <v>4032</v>
      </c>
      <c r="N2243" s="44">
        <f t="shared" si="141"/>
        <v>161085.12849999999</v>
      </c>
      <c r="O2243" s="22" t="s">
        <v>15</v>
      </c>
      <c r="P2243" s="114">
        <f>18913.69+26438.27+39545.57+34497.14</f>
        <v>119394.67</v>
      </c>
      <c r="Q2243" s="44">
        <f t="shared" si="140"/>
        <v>41690.458499999993</v>
      </c>
      <c r="R2243" s="24">
        <f t="shared" si="139"/>
        <v>119394.67</v>
      </c>
      <c r="S2243" s="5"/>
      <c r="T2243" s="5"/>
    </row>
    <row r="2244" spans="2:20" ht="15.75" hidden="1" x14ac:dyDescent="0.25">
      <c r="B2244" s="21" t="s">
        <v>395</v>
      </c>
      <c r="C2244" s="22" t="s">
        <v>2459</v>
      </c>
      <c r="D2244" s="22"/>
      <c r="E2244" s="21" t="s">
        <v>75</v>
      </c>
      <c r="F2244" s="21"/>
      <c r="G2244" s="147" t="s">
        <v>1146</v>
      </c>
      <c r="H2244" s="23" t="s">
        <v>1424</v>
      </c>
      <c r="I2244" s="23"/>
      <c r="J2244" s="21" t="s">
        <v>2324</v>
      </c>
      <c r="K2244" s="120"/>
      <c r="L2244" s="21" t="s">
        <v>3850</v>
      </c>
      <c r="M2244" s="145" t="s">
        <v>3851</v>
      </c>
      <c r="N2244" s="44">
        <f t="shared" si="141"/>
        <v>161085.12849999999</v>
      </c>
      <c r="O2244" s="22" t="s">
        <v>15</v>
      </c>
      <c r="P2244" s="114">
        <f>88413.38+30981.29</f>
        <v>119394.67000000001</v>
      </c>
      <c r="Q2244" s="44">
        <f t="shared" si="140"/>
        <v>41690.458499999979</v>
      </c>
      <c r="R2244" s="24">
        <f t="shared" si="139"/>
        <v>119394.67000000001</v>
      </c>
      <c r="S2244" s="5"/>
      <c r="T2244" s="5"/>
    </row>
    <row r="2245" spans="2:20" ht="15.75" hidden="1" x14ac:dyDescent="0.25">
      <c r="B2245" s="21" t="s">
        <v>395</v>
      </c>
      <c r="C2245" s="22" t="s">
        <v>2459</v>
      </c>
      <c r="D2245" s="22"/>
      <c r="E2245" s="21" t="s">
        <v>75</v>
      </c>
      <c r="F2245" s="21"/>
      <c r="G2245" s="147" t="s">
        <v>1146</v>
      </c>
      <c r="H2245" s="23" t="s">
        <v>1424</v>
      </c>
      <c r="I2245" s="23"/>
      <c r="J2245" s="21" t="s">
        <v>2324</v>
      </c>
      <c r="K2245" s="120"/>
      <c r="L2245" s="21" t="s">
        <v>3934</v>
      </c>
      <c r="M2245" s="145" t="s">
        <v>3935</v>
      </c>
      <c r="N2245" s="44">
        <f t="shared" si="141"/>
        <v>161085.12849999999</v>
      </c>
      <c r="O2245" s="22" t="s">
        <v>15</v>
      </c>
      <c r="P2245" s="114">
        <f>50674.32+68720.35</f>
        <v>119394.67000000001</v>
      </c>
      <c r="Q2245" s="44">
        <f t="shared" si="140"/>
        <v>41690.458499999979</v>
      </c>
      <c r="R2245" s="24">
        <f t="shared" si="139"/>
        <v>119394.67000000001</v>
      </c>
      <c r="S2245" s="5"/>
      <c r="T2245" s="5"/>
    </row>
    <row r="2246" spans="2:20" ht="15.75" hidden="1" x14ac:dyDescent="0.25">
      <c r="B2246" s="21" t="s">
        <v>395</v>
      </c>
      <c r="C2246" s="22" t="s">
        <v>2459</v>
      </c>
      <c r="D2246" s="22"/>
      <c r="E2246" s="21" t="s">
        <v>75</v>
      </c>
      <c r="F2246" s="21"/>
      <c r="G2246" s="147" t="s">
        <v>1146</v>
      </c>
      <c r="H2246" s="23" t="s">
        <v>1424</v>
      </c>
      <c r="I2246" s="23"/>
      <c r="J2246" s="21" t="s">
        <v>2324</v>
      </c>
      <c r="K2246" s="120"/>
      <c r="L2246" s="21" t="s">
        <v>4161</v>
      </c>
      <c r="M2246" s="145" t="s">
        <v>4162</v>
      </c>
      <c r="N2246" s="44">
        <f t="shared" si="141"/>
        <v>161085.12849999999</v>
      </c>
      <c r="O2246" s="22" t="s">
        <v>15</v>
      </c>
      <c r="P2246" s="114">
        <f>137232.64-68720.35+(84652.32-34497.14)+727.2</f>
        <v>119394.67000000001</v>
      </c>
      <c r="Q2246" s="44">
        <f t="shared" si="140"/>
        <v>41690.458499999979</v>
      </c>
      <c r="R2246" s="24">
        <f t="shared" si="139"/>
        <v>119394.67000000001</v>
      </c>
      <c r="S2246" s="5"/>
      <c r="T2246" s="5"/>
    </row>
    <row r="2247" spans="2:20" ht="15.75" hidden="1" x14ac:dyDescent="0.25">
      <c r="B2247" s="21" t="s">
        <v>395</v>
      </c>
      <c r="C2247" s="22" t="s">
        <v>2459</v>
      </c>
      <c r="D2247" s="22"/>
      <c r="E2247" s="21" t="s">
        <v>75</v>
      </c>
      <c r="F2247" s="21"/>
      <c r="G2247" s="147" t="s">
        <v>1146</v>
      </c>
      <c r="H2247" s="23" t="s">
        <v>1424</v>
      </c>
      <c r="I2247" s="23"/>
      <c r="J2247" s="21" t="s">
        <v>2324</v>
      </c>
      <c r="K2247" s="120"/>
      <c r="L2247" s="21" t="s">
        <v>4281</v>
      </c>
      <c r="M2247" s="145" t="s">
        <v>4282</v>
      </c>
      <c r="N2247" s="44">
        <f t="shared" si="141"/>
        <v>161085.12849999999</v>
      </c>
      <c r="O2247" s="22" t="s">
        <v>15</v>
      </c>
      <c r="P2247" s="114">
        <f>69939.58+49455.09</f>
        <v>119394.67</v>
      </c>
      <c r="Q2247" s="44">
        <f t="shared" si="140"/>
        <v>41690.458499999993</v>
      </c>
      <c r="R2247" s="24">
        <f t="shared" si="139"/>
        <v>119394.67</v>
      </c>
      <c r="S2247" s="5"/>
      <c r="T2247" s="5"/>
    </row>
    <row r="2248" spans="2:20" ht="15.75" hidden="1" x14ac:dyDescent="0.25">
      <c r="B2248" s="21" t="s">
        <v>395</v>
      </c>
      <c r="C2248" s="22" t="s">
        <v>2459</v>
      </c>
      <c r="D2248" s="22"/>
      <c r="E2248" s="21" t="s">
        <v>75</v>
      </c>
      <c r="F2248" s="21"/>
      <c r="G2248" s="147" t="s">
        <v>1146</v>
      </c>
      <c r="H2248" s="23" t="s">
        <v>1424</v>
      </c>
      <c r="I2248" s="23"/>
      <c r="J2248" s="21" t="s">
        <v>2324</v>
      </c>
      <c r="K2248" s="120"/>
      <c r="L2248" s="21" t="s">
        <v>4639</v>
      </c>
      <c r="M2248" s="145" t="s">
        <v>4640</v>
      </c>
      <c r="N2248" s="44">
        <f t="shared" si="141"/>
        <v>161085.12849999999</v>
      </c>
      <c r="O2248" s="22" t="s">
        <v>15</v>
      </c>
      <c r="P2248" s="114">
        <f>19410.56+71156.12+28827.99</f>
        <v>119394.67</v>
      </c>
      <c r="Q2248" s="44">
        <f t="shared" si="140"/>
        <v>41690.458499999993</v>
      </c>
      <c r="R2248" s="24">
        <f t="shared" si="139"/>
        <v>119394.67</v>
      </c>
      <c r="S2248" s="5"/>
      <c r="T2248" s="5"/>
    </row>
    <row r="2249" spans="2:20" ht="15.75" hidden="1" x14ac:dyDescent="0.25">
      <c r="B2249" s="21" t="s">
        <v>395</v>
      </c>
      <c r="C2249" s="22" t="s">
        <v>2459</v>
      </c>
      <c r="D2249" s="22"/>
      <c r="E2249" s="21" t="s">
        <v>75</v>
      </c>
      <c r="F2249" s="21"/>
      <c r="G2249" s="147" t="s">
        <v>1146</v>
      </c>
      <c r="H2249" s="23" t="s">
        <v>1424</v>
      </c>
      <c r="I2249" s="23"/>
      <c r="J2249" s="21" t="s">
        <v>2324</v>
      </c>
      <c r="K2249" s="120"/>
      <c r="L2249" s="21" t="s">
        <v>4782</v>
      </c>
      <c r="M2249" s="145" t="s">
        <v>4783</v>
      </c>
      <c r="N2249" s="44">
        <f t="shared" si="141"/>
        <v>161085.12849999999</v>
      </c>
      <c r="O2249" s="22" t="s">
        <v>15</v>
      </c>
      <c r="P2249" s="114">
        <f>101336.06+18058.61</f>
        <v>119394.67</v>
      </c>
      <c r="Q2249" s="44">
        <f t="shared" si="140"/>
        <v>41690.458499999993</v>
      </c>
      <c r="R2249" s="24">
        <f t="shared" si="139"/>
        <v>119394.67</v>
      </c>
      <c r="S2249" s="5"/>
      <c r="T2249" s="5"/>
    </row>
    <row r="2250" spans="2:20" ht="15.75" hidden="1" x14ac:dyDescent="0.25">
      <c r="B2250" s="21" t="s">
        <v>395</v>
      </c>
      <c r="C2250" s="22" t="s">
        <v>2459</v>
      </c>
      <c r="D2250" s="22"/>
      <c r="E2250" s="21" t="s">
        <v>75</v>
      </c>
      <c r="F2250" s="21"/>
      <c r="G2250" s="147" t="s">
        <v>1146</v>
      </c>
      <c r="H2250" s="23" t="s">
        <v>1424</v>
      </c>
      <c r="I2250" s="23"/>
      <c r="J2250" s="21" t="s">
        <v>2325</v>
      </c>
      <c r="K2250" s="120"/>
      <c r="L2250" s="21" t="s">
        <v>6244</v>
      </c>
      <c r="M2250" s="145" t="s">
        <v>6245</v>
      </c>
      <c r="N2250" s="44">
        <f>((3235584.51-$N$686-$N$667)/20)*3</f>
        <v>483255.38549999997</v>
      </c>
      <c r="O2250" s="22" t="s">
        <v>15</v>
      </c>
      <c r="P2250" s="114">
        <f>66248.99+77683.56+34094.13+48724.45+65481.62+23212.68+25230.08+15908.64+1599.86</f>
        <v>358184.01</v>
      </c>
      <c r="Q2250" s="44">
        <f t="shared" si="140"/>
        <v>125071.37549999997</v>
      </c>
      <c r="R2250" s="24">
        <f t="shared" si="139"/>
        <v>358184.01</v>
      </c>
      <c r="S2250" s="5"/>
      <c r="T2250" s="5"/>
    </row>
    <row r="2251" spans="2:20" ht="15.75" hidden="1" x14ac:dyDescent="0.25">
      <c r="B2251" s="138" t="s">
        <v>395</v>
      </c>
      <c r="C2251" s="139" t="s">
        <v>2459</v>
      </c>
      <c r="D2251" s="139"/>
      <c r="E2251" s="138" t="s">
        <v>75</v>
      </c>
      <c r="F2251" s="138"/>
      <c r="G2251" s="160" t="s">
        <v>1146</v>
      </c>
      <c r="H2251" s="140" t="s">
        <v>1424</v>
      </c>
      <c r="I2251" s="140"/>
      <c r="J2251" s="138" t="s">
        <v>2326</v>
      </c>
      <c r="K2251" s="21"/>
      <c r="L2251" s="138" t="s">
        <v>2322</v>
      </c>
      <c r="M2251" s="141" t="s">
        <v>3933</v>
      </c>
      <c r="N2251" s="142">
        <v>524132.67</v>
      </c>
      <c r="O2251" s="139" t="s">
        <v>15</v>
      </c>
      <c r="P2251" s="143">
        <f>(518.39+12031.21)+40370.65+31720.64+222837.42+(430632.83-323558.45)+60057.54+49522.44</f>
        <v>524132.67</v>
      </c>
      <c r="Q2251" s="142">
        <f t="shared" si="140"/>
        <v>0</v>
      </c>
      <c r="R2251" s="144">
        <f t="shared" si="139"/>
        <v>524132.67</v>
      </c>
      <c r="S2251" s="5"/>
      <c r="T2251" s="5"/>
    </row>
    <row r="2252" spans="2:20" ht="15.75" hidden="1" x14ac:dyDescent="0.25">
      <c r="B2252" s="21" t="s">
        <v>395</v>
      </c>
      <c r="C2252" s="22" t="s">
        <v>2459</v>
      </c>
      <c r="D2252" s="22"/>
      <c r="E2252" s="21" t="s">
        <v>75</v>
      </c>
      <c r="F2252" s="21"/>
      <c r="G2252" s="147" t="s">
        <v>1146</v>
      </c>
      <c r="H2252" s="23" t="s">
        <v>1424</v>
      </c>
      <c r="I2252" s="23"/>
      <c r="J2252" s="21" t="s">
        <v>1619</v>
      </c>
      <c r="K2252" s="120"/>
      <c r="L2252" s="21"/>
      <c r="M2252" s="26"/>
      <c r="N2252" s="44">
        <v>0</v>
      </c>
      <c r="O2252" s="22" t="s">
        <v>15</v>
      </c>
      <c r="P2252" s="22" t="s">
        <v>19</v>
      </c>
      <c r="Q2252" s="44">
        <f t="shared" si="140"/>
        <v>0</v>
      </c>
      <c r="R2252" s="24">
        <f t="shared" si="139"/>
        <v>0</v>
      </c>
      <c r="S2252" s="5" t="s">
        <v>9170</v>
      </c>
      <c r="T2252" s="5"/>
    </row>
    <row r="2253" spans="2:20" ht="15.75" hidden="1" x14ac:dyDescent="0.25">
      <c r="B2253" s="21" t="s">
        <v>395</v>
      </c>
      <c r="C2253" s="22" t="s">
        <v>2459</v>
      </c>
      <c r="D2253" s="22"/>
      <c r="E2253" s="21" t="s">
        <v>75</v>
      </c>
      <c r="F2253" s="21"/>
      <c r="G2253" s="147" t="s">
        <v>1146</v>
      </c>
      <c r="H2253" s="23" t="s">
        <v>1424</v>
      </c>
      <c r="I2253" s="23"/>
      <c r="J2253" s="21" t="s">
        <v>9171</v>
      </c>
      <c r="K2253" s="120"/>
      <c r="L2253" s="21" t="s">
        <v>9172</v>
      </c>
      <c r="M2253" s="26">
        <v>45252</v>
      </c>
      <c r="N2253" s="44">
        <v>0</v>
      </c>
      <c r="O2253" s="22" t="s">
        <v>15</v>
      </c>
      <c r="P2253" s="114">
        <v>-242760.1</v>
      </c>
      <c r="Q2253" s="44">
        <v>0</v>
      </c>
      <c r="R2253" s="24">
        <f t="shared" si="139"/>
        <v>-242760.1</v>
      </c>
      <c r="S2253" s="5"/>
      <c r="T2253" s="5"/>
    </row>
    <row r="2254" spans="2:20" ht="15.75" hidden="1" x14ac:dyDescent="0.25">
      <c r="B2254" s="21" t="s">
        <v>395</v>
      </c>
      <c r="C2254" s="22" t="s">
        <v>2459</v>
      </c>
      <c r="D2254" s="22"/>
      <c r="E2254" s="21" t="s">
        <v>75</v>
      </c>
      <c r="F2254" s="21"/>
      <c r="G2254" s="147" t="s">
        <v>1146</v>
      </c>
      <c r="H2254" s="23" t="s">
        <v>1424</v>
      </c>
      <c r="I2254" s="23"/>
      <c r="J2254" s="21" t="s">
        <v>1618</v>
      </c>
      <c r="K2254" s="120"/>
      <c r="L2254" s="21" t="s">
        <v>2463</v>
      </c>
      <c r="M2254" s="26" t="s">
        <v>2464</v>
      </c>
      <c r="N2254" s="459">
        <v>13727.72</v>
      </c>
      <c r="O2254" s="22" t="s">
        <v>15</v>
      </c>
      <c r="P2254" s="44">
        <f>2500+5916.17+5311.55</f>
        <v>13727.720000000001</v>
      </c>
      <c r="Q2254" s="44">
        <f t="shared" ref="Q2254:Q2279" si="142">IF(P2254="en cours",N2254,IF(P2254="OK",0,IF(N2254-P2254&lt;0,0,N2254-P2254)))</f>
        <v>0</v>
      </c>
      <c r="R2254" s="24">
        <f t="shared" si="139"/>
        <v>13727.720000000001</v>
      </c>
      <c r="S2254" s="5" t="s">
        <v>1991</v>
      </c>
      <c r="T2254" s="5"/>
    </row>
    <row r="2255" spans="2:20" ht="15.75" hidden="1" x14ac:dyDescent="0.25">
      <c r="B2255" s="21" t="s">
        <v>395</v>
      </c>
      <c r="C2255" s="22" t="s">
        <v>2459</v>
      </c>
      <c r="D2255" s="22"/>
      <c r="E2255" s="21" t="s">
        <v>75</v>
      </c>
      <c r="F2255" s="21"/>
      <c r="G2255" s="147" t="s">
        <v>1146</v>
      </c>
      <c r="H2255" s="23" t="s">
        <v>1424</v>
      </c>
      <c r="I2255" s="23"/>
      <c r="J2255" s="21" t="s">
        <v>1618</v>
      </c>
      <c r="K2255" s="120"/>
      <c r="L2255" s="21" t="s">
        <v>3546</v>
      </c>
      <c r="M2255" s="26" t="s">
        <v>3547</v>
      </c>
      <c r="N2255" s="459">
        <f>(2335522-11517)/5</f>
        <v>464801</v>
      </c>
      <c r="O2255" s="22" t="s">
        <v>15</v>
      </c>
      <c r="P2255" s="44">
        <f>(3313.04+1391+2910)+7004.28+15000.5+84493.71+108838.14+43537.65+55962.19+142350.49</f>
        <v>464801</v>
      </c>
      <c r="Q2255" s="44">
        <f t="shared" si="142"/>
        <v>0</v>
      </c>
      <c r="R2255" s="24">
        <f t="shared" si="139"/>
        <v>464801</v>
      </c>
      <c r="S2255" s="5" t="s">
        <v>2550</v>
      </c>
      <c r="T2255" s="5"/>
    </row>
    <row r="2256" spans="2:20" ht="15.75" hidden="1" x14ac:dyDescent="0.25">
      <c r="B2256" s="21" t="s">
        <v>395</v>
      </c>
      <c r="C2256" s="22" t="s">
        <v>2459</v>
      </c>
      <c r="D2256" s="22"/>
      <c r="E2256" s="21" t="s">
        <v>75</v>
      </c>
      <c r="F2256" s="21"/>
      <c r="G2256" s="147" t="s">
        <v>1146</v>
      </c>
      <c r="H2256" s="23" t="s">
        <v>1424</v>
      </c>
      <c r="I2256" s="23"/>
      <c r="J2256" s="21" t="s">
        <v>1618</v>
      </c>
      <c r="K2256" s="120"/>
      <c r="L2256" s="21" t="s">
        <v>4033</v>
      </c>
      <c r="M2256" s="26" t="s">
        <v>4034</v>
      </c>
      <c r="N2256" s="459">
        <f>(2335522-11517)/5</f>
        <v>464801</v>
      </c>
      <c r="O2256" s="22" t="s">
        <v>15</v>
      </c>
      <c r="P2256" s="44">
        <f>160817.68+105359.04+59406.33+49682.19+89535.76</f>
        <v>464801</v>
      </c>
      <c r="Q2256" s="44">
        <f t="shared" si="142"/>
        <v>0</v>
      </c>
      <c r="R2256" s="24">
        <f t="shared" si="139"/>
        <v>464801</v>
      </c>
      <c r="S2256" s="5" t="s">
        <v>2550</v>
      </c>
      <c r="T2256" s="5"/>
    </row>
    <row r="2257" spans="2:20" ht="15.75" hidden="1" x14ac:dyDescent="0.25">
      <c r="B2257" s="21" t="s">
        <v>395</v>
      </c>
      <c r="C2257" s="22" t="s">
        <v>2459</v>
      </c>
      <c r="D2257" s="22"/>
      <c r="E2257" s="21" t="s">
        <v>75</v>
      </c>
      <c r="F2257" s="21"/>
      <c r="G2257" s="147" t="s">
        <v>1146</v>
      </c>
      <c r="H2257" s="23" t="s">
        <v>1424</v>
      </c>
      <c r="I2257" s="23"/>
      <c r="J2257" s="21" t="s">
        <v>1618</v>
      </c>
      <c r="K2257" s="120"/>
      <c r="L2257" s="21" t="s">
        <v>4784</v>
      </c>
      <c r="M2257" s="26" t="s">
        <v>4785</v>
      </c>
      <c r="N2257" s="459">
        <f>(2335522-11517)/5</f>
        <v>464801</v>
      </c>
      <c r="O2257" s="22" t="s">
        <v>15</v>
      </c>
      <c r="P2257" s="44">
        <f>49910+16908.04+158969.56+66063.54+128909.19+44040.67</f>
        <v>464801</v>
      </c>
      <c r="Q2257" s="44">
        <f t="shared" si="142"/>
        <v>0</v>
      </c>
      <c r="R2257" s="24">
        <f t="shared" si="139"/>
        <v>464801</v>
      </c>
      <c r="S2257" s="5" t="s">
        <v>2550</v>
      </c>
      <c r="T2257" s="5"/>
    </row>
    <row r="2258" spans="2:20" ht="15.75" hidden="1" x14ac:dyDescent="0.25">
      <c r="B2258" s="21" t="s">
        <v>395</v>
      </c>
      <c r="C2258" s="22" t="s">
        <v>2459</v>
      </c>
      <c r="D2258" s="22"/>
      <c r="E2258" s="21" t="s">
        <v>75</v>
      </c>
      <c r="F2258" s="21"/>
      <c r="G2258" s="147" t="s">
        <v>1146</v>
      </c>
      <c r="H2258" s="23" t="s">
        <v>1424</v>
      </c>
      <c r="I2258" s="23"/>
      <c r="J2258" s="21" t="s">
        <v>1618</v>
      </c>
      <c r="K2258" s="120"/>
      <c r="L2258" s="21" t="s">
        <v>6073</v>
      </c>
      <c r="M2258" s="26" t="s">
        <v>6074</v>
      </c>
      <c r="N2258" s="459">
        <f>(2335522-11517)/5</f>
        <v>464801</v>
      </c>
      <c r="O2258" s="22" t="s">
        <v>15</v>
      </c>
      <c r="P2258" s="44">
        <f>41633.34+120866.03+101769.32+13822.12+74205.59+26424.61+33972.19+52107.8</f>
        <v>464801</v>
      </c>
      <c r="Q2258" s="44">
        <f t="shared" si="142"/>
        <v>0</v>
      </c>
      <c r="R2258" s="24">
        <f t="shared" si="139"/>
        <v>464801</v>
      </c>
      <c r="S2258" s="5" t="s">
        <v>2550</v>
      </c>
      <c r="T2258" s="5"/>
    </row>
    <row r="2259" spans="2:20" ht="15.75" hidden="1" x14ac:dyDescent="0.25">
      <c r="B2259" s="21" t="s">
        <v>395</v>
      </c>
      <c r="C2259" s="22" t="s">
        <v>2459</v>
      </c>
      <c r="D2259" s="22"/>
      <c r="E2259" s="21" t="s">
        <v>75</v>
      </c>
      <c r="F2259" s="21"/>
      <c r="G2259" s="147" t="s">
        <v>1146</v>
      </c>
      <c r="H2259" s="23" t="s">
        <v>1424</v>
      </c>
      <c r="I2259" s="23"/>
      <c r="J2259" s="21" t="s">
        <v>1618</v>
      </c>
      <c r="K2259" s="120"/>
      <c r="L2259" s="21" t="s">
        <v>6612</v>
      </c>
      <c r="M2259" s="26" t="s">
        <v>6613</v>
      </c>
      <c r="N2259" s="459">
        <f>2276105-(N2254+N2255+N2256+N2257+N2258)</f>
        <v>403173.28</v>
      </c>
      <c r="O2259" s="22" t="s">
        <v>15</v>
      </c>
      <c r="P2259" s="44">
        <f>9936.9+100193.27+178106.59+73481.42+38616.04+2839.06</f>
        <v>403173.27999999997</v>
      </c>
      <c r="Q2259" s="44">
        <f t="shared" si="142"/>
        <v>5.8207660913467407E-11</v>
      </c>
      <c r="R2259" s="24">
        <f t="shared" si="139"/>
        <v>403173.27999999997</v>
      </c>
      <c r="S2259" s="5" t="s">
        <v>2550</v>
      </c>
      <c r="T2259" s="5"/>
    </row>
    <row r="2260" spans="2:20" ht="15.75" hidden="1" x14ac:dyDescent="0.25">
      <c r="B2260" s="21" t="s">
        <v>395</v>
      </c>
      <c r="C2260" s="22" t="s">
        <v>2459</v>
      </c>
      <c r="D2260" s="22"/>
      <c r="E2260" s="21" t="s">
        <v>75</v>
      </c>
      <c r="F2260" s="21"/>
      <c r="G2260" s="147" t="s">
        <v>1146</v>
      </c>
      <c r="H2260" s="23" t="s">
        <v>3439</v>
      </c>
      <c r="I2260" s="23"/>
      <c r="J2260" s="21" t="s">
        <v>3433</v>
      </c>
      <c r="K2260" s="120"/>
      <c r="L2260" s="21"/>
      <c r="M2260" s="120"/>
      <c r="N2260" s="99">
        <v>0</v>
      </c>
      <c r="O2260" s="22" t="s">
        <v>15</v>
      </c>
      <c r="P2260" s="22" t="s">
        <v>19</v>
      </c>
      <c r="Q2260" s="44">
        <f t="shared" si="142"/>
        <v>0</v>
      </c>
      <c r="R2260" s="24">
        <f t="shared" si="139"/>
        <v>0</v>
      </c>
      <c r="S2260" s="5" t="s">
        <v>3173</v>
      </c>
      <c r="T2260" s="5"/>
    </row>
    <row r="2261" spans="2:20" ht="15.75" hidden="1" x14ac:dyDescent="0.25">
      <c r="B2261" s="21" t="s">
        <v>395</v>
      </c>
      <c r="C2261" s="22" t="s">
        <v>2459</v>
      </c>
      <c r="D2261" s="22"/>
      <c r="E2261" s="21" t="s">
        <v>75</v>
      </c>
      <c r="F2261" s="21"/>
      <c r="G2261" s="147" t="s">
        <v>1146</v>
      </c>
      <c r="H2261" s="23" t="s">
        <v>3439</v>
      </c>
      <c r="I2261" s="23"/>
      <c r="J2261" s="21" t="s">
        <v>3434</v>
      </c>
      <c r="K2261" s="120"/>
      <c r="L2261" s="21"/>
      <c r="M2261" s="120"/>
      <c r="N2261" s="99">
        <v>0</v>
      </c>
      <c r="O2261" s="22" t="s">
        <v>15</v>
      </c>
      <c r="P2261" s="22" t="s">
        <v>19</v>
      </c>
      <c r="Q2261" s="44">
        <f t="shared" si="142"/>
        <v>0</v>
      </c>
      <c r="R2261" s="24">
        <f t="shared" si="139"/>
        <v>0</v>
      </c>
      <c r="S2261" s="5" t="s">
        <v>3173</v>
      </c>
      <c r="T2261" s="5"/>
    </row>
    <row r="2262" spans="2:20" ht="15.75" hidden="1" x14ac:dyDescent="0.25">
      <c r="B2262" s="21" t="s">
        <v>395</v>
      </c>
      <c r="C2262" s="22" t="s">
        <v>2459</v>
      </c>
      <c r="D2262" s="22"/>
      <c r="E2262" s="21" t="s">
        <v>75</v>
      </c>
      <c r="F2262" s="21"/>
      <c r="G2262" s="147" t="s">
        <v>1146</v>
      </c>
      <c r="H2262" s="23" t="s">
        <v>3439</v>
      </c>
      <c r="I2262" s="23"/>
      <c r="J2262" s="21" t="s">
        <v>3435</v>
      </c>
      <c r="K2262" s="120"/>
      <c r="L2262" s="21"/>
      <c r="M2262" s="120"/>
      <c r="N2262" s="99">
        <v>0</v>
      </c>
      <c r="O2262" s="22" t="s">
        <v>15</v>
      </c>
      <c r="P2262" s="22" t="s">
        <v>19</v>
      </c>
      <c r="Q2262" s="44">
        <f t="shared" si="142"/>
        <v>0</v>
      </c>
      <c r="R2262" s="24">
        <f t="shared" si="139"/>
        <v>0</v>
      </c>
      <c r="S2262" s="5" t="s">
        <v>3173</v>
      </c>
      <c r="T2262" s="5"/>
    </row>
    <row r="2263" spans="2:20" ht="15.75" hidden="1" x14ac:dyDescent="0.25">
      <c r="B2263" s="21" t="s">
        <v>395</v>
      </c>
      <c r="C2263" s="22" t="s">
        <v>2459</v>
      </c>
      <c r="D2263" s="22"/>
      <c r="E2263" s="21" t="s">
        <v>75</v>
      </c>
      <c r="F2263" s="21"/>
      <c r="G2263" s="147" t="s">
        <v>1146</v>
      </c>
      <c r="H2263" s="23" t="s">
        <v>3439</v>
      </c>
      <c r="I2263" s="23"/>
      <c r="J2263" s="21" t="s">
        <v>3436</v>
      </c>
      <c r="K2263" s="120"/>
      <c r="L2263" s="21"/>
      <c r="M2263" s="120"/>
      <c r="N2263" s="99">
        <v>0</v>
      </c>
      <c r="O2263" s="22" t="s">
        <v>15</v>
      </c>
      <c r="P2263" s="22" t="s">
        <v>19</v>
      </c>
      <c r="Q2263" s="44">
        <f t="shared" si="142"/>
        <v>0</v>
      </c>
      <c r="R2263" s="24">
        <f t="shared" si="139"/>
        <v>0</v>
      </c>
      <c r="S2263" s="5" t="s">
        <v>3173</v>
      </c>
      <c r="T2263" s="5"/>
    </row>
    <row r="2264" spans="2:20" ht="15.75" hidden="1" x14ac:dyDescent="0.25">
      <c r="B2264" s="21" t="s">
        <v>395</v>
      </c>
      <c r="C2264" s="22" t="s">
        <v>2459</v>
      </c>
      <c r="D2264" s="22"/>
      <c r="E2264" s="21" t="s">
        <v>75</v>
      </c>
      <c r="F2264" s="21"/>
      <c r="G2264" s="147" t="s">
        <v>1146</v>
      </c>
      <c r="H2264" s="23" t="s">
        <v>3439</v>
      </c>
      <c r="I2264" s="23"/>
      <c r="J2264" s="21" t="s">
        <v>3437</v>
      </c>
      <c r="K2264" s="120"/>
      <c r="L2264" s="21"/>
      <c r="M2264" s="120"/>
      <c r="N2264" s="99">
        <v>0</v>
      </c>
      <c r="O2264" s="22" t="s">
        <v>15</v>
      </c>
      <c r="P2264" s="22" t="s">
        <v>19</v>
      </c>
      <c r="Q2264" s="44">
        <f t="shared" si="142"/>
        <v>0</v>
      </c>
      <c r="R2264" s="24">
        <f t="shared" si="139"/>
        <v>0</v>
      </c>
      <c r="S2264" s="5" t="s">
        <v>3173</v>
      </c>
      <c r="T2264" s="5"/>
    </row>
    <row r="2265" spans="2:20" ht="21" hidden="1" customHeight="1" x14ac:dyDescent="0.25">
      <c r="B2265" s="21" t="s">
        <v>395</v>
      </c>
      <c r="C2265" s="22" t="s">
        <v>2459</v>
      </c>
      <c r="D2265" s="22"/>
      <c r="E2265" s="21" t="s">
        <v>75</v>
      </c>
      <c r="F2265" s="21"/>
      <c r="G2265" s="147" t="s">
        <v>1146</v>
      </c>
      <c r="H2265" s="23" t="s">
        <v>3439</v>
      </c>
      <c r="I2265" s="23"/>
      <c r="J2265" s="21" t="s">
        <v>3438</v>
      </c>
      <c r="K2265" s="120"/>
      <c r="L2265" s="21"/>
      <c r="M2265" s="120"/>
      <c r="N2265" s="99">
        <v>0</v>
      </c>
      <c r="O2265" s="22" t="s">
        <v>15</v>
      </c>
      <c r="P2265" s="22" t="s">
        <v>19</v>
      </c>
      <c r="Q2265" s="44">
        <f t="shared" si="142"/>
        <v>0</v>
      </c>
      <c r="R2265" s="24">
        <f t="shared" si="139"/>
        <v>0</v>
      </c>
      <c r="S2265" s="5" t="s">
        <v>3173</v>
      </c>
      <c r="T2265" s="5"/>
    </row>
    <row r="2266" spans="2:20" ht="21" hidden="1" customHeight="1" x14ac:dyDescent="0.25">
      <c r="B2266" s="21" t="s">
        <v>395</v>
      </c>
      <c r="C2266" s="22" t="s">
        <v>2459</v>
      </c>
      <c r="D2266" s="22"/>
      <c r="E2266" s="21" t="s">
        <v>75</v>
      </c>
      <c r="F2266" s="21"/>
      <c r="G2266" s="147" t="s">
        <v>1146</v>
      </c>
      <c r="H2266" s="23" t="s">
        <v>3440</v>
      </c>
      <c r="I2266" s="23"/>
      <c r="J2266" s="21" t="s">
        <v>3441</v>
      </c>
      <c r="K2266" s="120"/>
      <c r="L2266" s="21" t="s">
        <v>3442</v>
      </c>
      <c r="M2266" s="26">
        <v>44012</v>
      </c>
      <c r="N2266" s="99">
        <v>850000</v>
      </c>
      <c r="O2266" s="22" t="s">
        <v>15</v>
      </c>
      <c r="P2266" s="22" t="s">
        <v>19</v>
      </c>
      <c r="Q2266" s="44">
        <f t="shared" si="142"/>
        <v>0</v>
      </c>
      <c r="R2266" s="24">
        <f t="shared" si="139"/>
        <v>850000</v>
      </c>
      <c r="S2266" s="5"/>
      <c r="T2266" s="5"/>
    </row>
    <row r="2267" spans="2:20" ht="21" hidden="1" customHeight="1" x14ac:dyDescent="0.25">
      <c r="B2267" s="21" t="s">
        <v>395</v>
      </c>
      <c r="C2267" s="22" t="s">
        <v>2459</v>
      </c>
      <c r="D2267" s="22"/>
      <c r="E2267" s="21" t="s">
        <v>75</v>
      </c>
      <c r="F2267" s="21"/>
      <c r="G2267" s="147" t="s">
        <v>1146</v>
      </c>
      <c r="H2267" s="23" t="s">
        <v>3440</v>
      </c>
      <c r="I2267" s="23"/>
      <c r="J2267" s="21" t="s">
        <v>1446</v>
      </c>
      <c r="K2267" s="120"/>
      <c r="L2267" s="21" t="s">
        <v>3494</v>
      </c>
      <c r="M2267" s="26">
        <v>44035</v>
      </c>
      <c r="N2267" s="99">
        <v>700000</v>
      </c>
      <c r="O2267" s="22" t="s">
        <v>15</v>
      </c>
      <c r="P2267" s="22" t="s">
        <v>19</v>
      </c>
      <c r="Q2267" s="44">
        <f t="shared" si="142"/>
        <v>0</v>
      </c>
      <c r="R2267" s="24">
        <f t="shared" si="139"/>
        <v>700000</v>
      </c>
      <c r="S2267" s="5"/>
      <c r="T2267" s="5"/>
    </row>
    <row r="2268" spans="2:20" ht="15.75" hidden="1" x14ac:dyDescent="0.25">
      <c r="B2268" s="21" t="s">
        <v>395</v>
      </c>
      <c r="C2268" s="22" t="s">
        <v>2459</v>
      </c>
      <c r="D2268" s="22"/>
      <c r="E2268" s="21" t="s">
        <v>75</v>
      </c>
      <c r="F2268" s="21"/>
      <c r="G2268" s="147" t="s">
        <v>1146</v>
      </c>
      <c r="H2268" s="23" t="s">
        <v>3440</v>
      </c>
      <c r="I2268" s="23"/>
      <c r="J2268" s="21" t="s">
        <v>1447</v>
      </c>
      <c r="K2268" s="120"/>
      <c r="L2268" s="21" t="s">
        <v>3791</v>
      </c>
      <c r="M2268" s="26">
        <v>44109</v>
      </c>
      <c r="N2268" s="99">
        <v>650000</v>
      </c>
      <c r="O2268" s="22" t="s">
        <v>15</v>
      </c>
      <c r="P2268" s="22" t="s">
        <v>19</v>
      </c>
      <c r="Q2268" s="44">
        <f t="shared" si="142"/>
        <v>0</v>
      </c>
      <c r="R2268" s="24">
        <f t="shared" si="139"/>
        <v>650000</v>
      </c>
      <c r="S2268" s="5"/>
      <c r="T2268" s="5"/>
    </row>
    <row r="2269" spans="2:20" ht="15.75" hidden="1" x14ac:dyDescent="0.25">
      <c r="B2269" s="21" t="s">
        <v>395</v>
      </c>
      <c r="C2269" s="22" t="s">
        <v>2459</v>
      </c>
      <c r="D2269" s="22"/>
      <c r="E2269" s="21" t="s">
        <v>75</v>
      </c>
      <c r="F2269" s="21"/>
      <c r="G2269" s="147" t="s">
        <v>1146</v>
      </c>
      <c r="H2269" s="23" t="s">
        <v>3440</v>
      </c>
      <c r="I2269" s="23"/>
      <c r="J2269" s="21" t="s">
        <v>1448</v>
      </c>
      <c r="K2269" s="120"/>
      <c r="L2269" s="21" t="s">
        <v>4148</v>
      </c>
      <c r="M2269" s="26">
        <v>44173</v>
      </c>
      <c r="N2269" s="99">
        <v>520000</v>
      </c>
      <c r="O2269" s="22" t="s">
        <v>15</v>
      </c>
      <c r="P2269" s="22" t="s">
        <v>19</v>
      </c>
      <c r="Q2269" s="44">
        <f t="shared" si="142"/>
        <v>0</v>
      </c>
      <c r="R2269" s="24">
        <f t="shared" si="139"/>
        <v>520000</v>
      </c>
      <c r="S2269" s="5"/>
      <c r="T2269" s="5"/>
    </row>
    <row r="2270" spans="2:20" ht="15.75" hidden="1" x14ac:dyDescent="0.25">
      <c r="B2270" s="21" t="s">
        <v>395</v>
      </c>
      <c r="C2270" s="22" t="s">
        <v>2459</v>
      </c>
      <c r="D2270" s="22"/>
      <c r="E2270" s="21" t="s">
        <v>75</v>
      </c>
      <c r="F2270" s="21"/>
      <c r="G2270" s="147" t="s">
        <v>1146</v>
      </c>
      <c r="H2270" s="23" t="s">
        <v>3440</v>
      </c>
      <c r="I2270" s="23"/>
      <c r="J2270" s="21" t="s">
        <v>1449</v>
      </c>
      <c r="K2270" s="120"/>
      <c r="L2270" s="21" t="s">
        <v>5086</v>
      </c>
      <c r="M2270" s="26">
        <v>44342</v>
      </c>
      <c r="N2270" s="99">
        <v>300000</v>
      </c>
      <c r="O2270" s="22" t="s">
        <v>15</v>
      </c>
      <c r="P2270" s="22" t="s">
        <v>19</v>
      </c>
      <c r="Q2270" s="44">
        <f t="shared" si="142"/>
        <v>0</v>
      </c>
      <c r="R2270" s="24">
        <f t="shared" si="139"/>
        <v>300000</v>
      </c>
      <c r="S2270" s="5"/>
      <c r="T2270" s="5"/>
    </row>
    <row r="2271" spans="2:20" ht="15.75" hidden="1" x14ac:dyDescent="0.25">
      <c r="B2271" s="21" t="s">
        <v>395</v>
      </c>
      <c r="C2271" s="22" t="s">
        <v>2459</v>
      </c>
      <c r="D2271" s="22"/>
      <c r="E2271" s="21" t="s">
        <v>75</v>
      </c>
      <c r="F2271" s="21"/>
      <c r="G2271" s="147" t="s">
        <v>1146</v>
      </c>
      <c r="H2271" s="23" t="s">
        <v>3440</v>
      </c>
      <c r="I2271" s="23"/>
      <c r="J2271" s="21" t="s">
        <v>542</v>
      </c>
      <c r="K2271" s="120"/>
      <c r="L2271" s="21" t="s">
        <v>5958</v>
      </c>
      <c r="M2271" s="26">
        <v>44483</v>
      </c>
      <c r="N2271" s="99">
        <v>250000</v>
      </c>
      <c r="O2271" s="22" t="s">
        <v>15</v>
      </c>
      <c r="P2271" s="22" t="s">
        <v>19</v>
      </c>
      <c r="Q2271" s="44">
        <f t="shared" si="142"/>
        <v>0</v>
      </c>
      <c r="R2271" s="24">
        <f t="shared" si="139"/>
        <v>250000</v>
      </c>
      <c r="S2271" s="5"/>
      <c r="T2271" s="5"/>
    </row>
    <row r="2272" spans="2:20" ht="15.75" hidden="1" x14ac:dyDescent="0.25">
      <c r="B2272" s="5"/>
      <c r="C2272" s="4" t="s">
        <v>2459</v>
      </c>
      <c r="D2272" s="4"/>
      <c r="E2272" s="5" t="s">
        <v>75</v>
      </c>
      <c r="F2272" s="5"/>
      <c r="G2272" s="146" t="s">
        <v>1146</v>
      </c>
      <c r="H2272" s="7" t="s">
        <v>3440</v>
      </c>
      <c r="I2272" s="7"/>
      <c r="J2272" s="5" t="s">
        <v>3697</v>
      </c>
      <c r="K2272" s="5"/>
      <c r="L2272" s="5" t="s">
        <v>8892</v>
      </c>
      <c r="M2272" s="333" t="s">
        <v>8893</v>
      </c>
      <c r="N2272" s="45">
        <f>3456027.24-SUM(N2232:N2251)</f>
        <v>-613366.45100000082</v>
      </c>
      <c r="O2272" s="4" t="s">
        <v>15</v>
      </c>
      <c r="P2272" s="122">
        <f>6437.45+6789.66+2282.39+4988.57-40841.67-1452.91+2631.53-30.21+1752.3+701.14+1819.25+1777.78+683.74-2511.1+743.67+2573.72+2767.18+684.76+795.51+831.37+224.12+290.88</f>
        <v>-6060.87</v>
      </c>
      <c r="Q2272" s="45">
        <f t="shared" si="142"/>
        <v>0</v>
      </c>
      <c r="R2272" s="3">
        <f t="shared" si="139"/>
        <v>-6060.87</v>
      </c>
      <c r="S2272" s="5"/>
      <c r="T2272" s="5"/>
    </row>
    <row r="2273" spans="2:20" ht="15.75" hidden="1" x14ac:dyDescent="0.25">
      <c r="B2273" s="21" t="s">
        <v>395</v>
      </c>
      <c r="C2273" s="22" t="s">
        <v>2459</v>
      </c>
      <c r="D2273" s="22"/>
      <c r="E2273" s="21" t="s">
        <v>75</v>
      </c>
      <c r="F2273" s="21"/>
      <c r="G2273" s="147" t="s">
        <v>1146</v>
      </c>
      <c r="H2273" s="23" t="s">
        <v>3440</v>
      </c>
      <c r="I2273" s="23"/>
      <c r="J2273" s="21" t="s">
        <v>1618</v>
      </c>
      <c r="K2273" s="120"/>
      <c r="L2273" s="21" t="s">
        <v>6681</v>
      </c>
      <c r="M2273" s="120" t="s">
        <v>6682</v>
      </c>
      <c r="N2273" s="459">
        <v>151496</v>
      </c>
      <c r="O2273" s="22" t="s">
        <v>15</v>
      </c>
      <c r="P2273" s="44">
        <f>(78210.51-2839.06)+84734.14</f>
        <v>160105.59</v>
      </c>
      <c r="Q2273" s="44">
        <f t="shared" si="142"/>
        <v>0</v>
      </c>
      <c r="R2273" s="24">
        <f t="shared" si="139"/>
        <v>160105.59</v>
      </c>
      <c r="S2273" s="5"/>
      <c r="T2273" s="5"/>
    </row>
    <row r="2274" spans="2:20" ht="15.75" hidden="1" x14ac:dyDescent="0.25">
      <c r="B2274" s="21" t="s">
        <v>395</v>
      </c>
      <c r="C2274" s="22" t="s">
        <v>2459</v>
      </c>
      <c r="D2274" s="22"/>
      <c r="E2274" s="21" t="s">
        <v>75</v>
      </c>
      <c r="F2274" s="21"/>
      <c r="G2274" s="147" t="s">
        <v>1146</v>
      </c>
      <c r="H2274" s="23" t="s">
        <v>4586</v>
      </c>
      <c r="I2274" s="23"/>
      <c r="J2274" s="21" t="s">
        <v>4589</v>
      </c>
      <c r="K2274" s="120"/>
      <c r="L2274" s="21"/>
      <c r="M2274" s="26"/>
      <c r="N2274" s="44">
        <v>0</v>
      </c>
      <c r="O2274" s="22" t="s">
        <v>15</v>
      </c>
      <c r="P2274" s="22" t="s">
        <v>19</v>
      </c>
      <c r="Q2274" s="44">
        <f t="shared" si="142"/>
        <v>0</v>
      </c>
      <c r="R2274" s="24">
        <f t="shared" si="139"/>
        <v>0</v>
      </c>
      <c r="S2274" s="5" t="s">
        <v>3930</v>
      </c>
      <c r="T2274" s="5"/>
    </row>
    <row r="2275" spans="2:20" ht="15.75" hidden="1" x14ac:dyDescent="0.25">
      <c r="B2275" s="21" t="s">
        <v>395</v>
      </c>
      <c r="C2275" s="22" t="s">
        <v>2459</v>
      </c>
      <c r="D2275" s="22"/>
      <c r="E2275" s="21" t="s">
        <v>75</v>
      </c>
      <c r="F2275" s="21"/>
      <c r="G2275" s="147" t="s">
        <v>1146</v>
      </c>
      <c r="H2275" s="23" t="s">
        <v>4586</v>
      </c>
      <c r="I2275" s="23"/>
      <c r="J2275" s="21" t="s">
        <v>4590</v>
      </c>
      <c r="K2275" s="120"/>
      <c r="L2275" s="21"/>
      <c r="M2275" s="26"/>
      <c r="N2275" s="44">
        <v>0</v>
      </c>
      <c r="O2275" s="22" t="s">
        <v>15</v>
      </c>
      <c r="P2275" s="22" t="s">
        <v>19</v>
      </c>
      <c r="Q2275" s="44">
        <f t="shared" si="142"/>
        <v>0</v>
      </c>
      <c r="R2275" s="24">
        <f t="shared" si="139"/>
        <v>0</v>
      </c>
      <c r="S2275" s="5" t="s">
        <v>3929</v>
      </c>
      <c r="T2275" s="5"/>
    </row>
    <row r="2276" spans="2:20" ht="15.75" hidden="1" x14ac:dyDescent="0.25">
      <c r="B2276" s="21" t="s">
        <v>395</v>
      </c>
      <c r="C2276" s="22" t="s">
        <v>2459</v>
      </c>
      <c r="D2276" s="22"/>
      <c r="E2276" s="21" t="s">
        <v>75</v>
      </c>
      <c r="F2276" s="21"/>
      <c r="G2276" s="147" t="s">
        <v>1146</v>
      </c>
      <c r="H2276" s="23" t="s">
        <v>4586</v>
      </c>
      <c r="I2276" s="23"/>
      <c r="J2276" s="21" t="s">
        <v>4591</v>
      </c>
      <c r="K2276" s="120"/>
      <c r="L2276" s="21"/>
      <c r="M2276" s="26"/>
      <c r="N2276" s="44">
        <v>0</v>
      </c>
      <c r="O2276" s="22" t="s">
        <v>15</v>
      </c>
      <c r="P2276" s="22" t="s">
        <v>19</v>
      </c>
      <c r="Q2276" s="44">
        <f t="shared" si="142"/>
        <v>0</v>
      </c>
      <c r="R2276" s="24">
        <f t="shared" si="139"/>
        <v>0</v>
      </c>
      <c r="S2276" s="5" t="s">
        <v>3929</v>
      </c>
      <c r="T2276" s="5"/>
    </row>
    <row r="2277" spans="2:20" ht="15.75" hidden="1" x14ac:dyDescent="0.25">
      <c r="B2277" s="21" t="s">
        <v>395</v>
      </c>
      <c r="C2277" s="22" t="s">
        <v>2459</v>
      </c>
      <c r="D2277" s="22"/>
      <c r="E2277" s="21" t="s">
        <v>75</v>
      </c>
      <c r="F2277" s="21"/>
      <c r="G2277" s="147" t="s">
        <v>1146</v>
      </c>
      <c r="H2277" s="23" t="s">
        <v>4587</v>
      </c>
      <c r="I2277" s="23"/>
      <c r="J2277" s="21" t="s">
        <v>4588</v>
      </c>
      <c r="K2277" s="120"/>
      <c r="L2277" s="21"/>
      <c r="M2277" s="26"/>
      <c r="N2277" s="44">
        <v>0</v>
      </c>
      <c r="O2277" s="22" t="s">
        <v>15</v>
      </c>
      <c r="P2277" s="22" t="s">
        <v>19</v>
      </c>
      <c r="Q2277" s="44">
        <f t="shared" si="142"/>
        <v>0</v>
      </c>
      <c r="R2277" s="24">
        <f t="shared" si="139"/>
        <v>0</v>
      </c>
      <c r="S2277" s="5"/>
      <c r="T2277" s="5"/>
    </row>
    <row r="2278" spans="2:20" ht="15.75" hidden="1" x14ac:dyDescent="0.25">
      <c r="B2278" s="21" t="s">
        <v>395</v>
      </c>
      <c r="C2278" s="22" t="s">
        <v>2459</v>
      </c>
      <c r="D2278" s="22"/>
      <c r="E2278" s="21" t="s">
        <v>75</v>
      </c>
      <c r="F2278" s="21"/>
      <c r="G2278" s="147" t="s">
        <v>1146</v>
      </c>
      <c r="H2278" s="23" t="s">
        <v>4584</v>
      </c>
      <c r="I2278" s="23"/>
      <c r="J2278" s="21" t="s">
        <v>7514</v>
      </c>
      <c r="K2278" s="120"/>
      <c r="L2278" s="21" t="s">
        <v>7515</v>
      </c>
      <c r="M2278" s="26">
        <v>44260</v>
      </c>
      <c r="N2278" s="99">
        <v>300000</v>
      </c>
      <c r="O2278" s="22" t="s">
        <v>15</v>
      </c>
      <c r="P2278" s="44">
        <v>300000</v>
      </c>
      <c r="Q2278" s="44">
        <f t="shared" si="142"/>
        <v>0</v>
      </c>
      <c r="R2278" s="24">
        <f t="shared" si="139"/>
        <v>300000</v>
      </c>
      <c r="S2278" s="5"/>
      <c r="T2278" s="5"/>
    </row>
    <row r="2279" spans="2:20" ht="15.75" hidden="1" x14ac:dyDescent="0.25">
      <c r="B2279" s="5"/>
      <c r="C2279" s="4" t="s">
        <v>2459</v>
      </c>
      <c r="D2279" s="4"/>
      <c r="E2279" s="5" t="s">
        <v>75</v>
      </c>
      <c r="F2279" s="5"/>
      <c r="G2279" s="146" t="s">
        <v>1146</v>
      </c>
      <c r="H2279" s="7" t="s">
        <v>4584</v>
      </c>
      <c r="I2279" s="7"/>
      <c r="J2279" s="49" t="s">
        <v>4585</v>
      </c>
      <c r="K2279" s="5"/>
      <c r="L2279" s="5"/>
      <c r="M2279" s="216"/>
      <c r="N2279" s="187">
        <v>140289.23000000001</v>
      </c>
      <c r="O2279" s="4" t="s">
        <v>15</v>
      </c>
      <c r="P2279" s="122"/>
      <c r="Q2279" s="45">
        <f t="shared" si="142"/>
        <v>140289.23000000001</v>
      </c>
      <c r="R2279" s="3">
        <f t="shared" si="139"/>
        <v>0</v>
      </c>
      <c r="S2279" s="5"/>
      <c r="T2279" s="5"/>
    </row>
    <row r="2280" spans="2:20" ht="15.75" hidden="1" x14ac:dyDescent="0.25">
      <c r="B2280" s="21" t="s">
        <v>395</v>
      </c>
      <c r="C2280" s="22" t="s">
        <v>2459</v>
      </c>
      <c r="D2280" s="22"/>
      <c r="E2280" s="21" t="s">
        <v>75</v>
      </c>
      <c r="F2280" s="21"/>
      <c r="G2280" s="147" t="s">
        <v>1146</v>
      </c>
      <c r="H2280" s="23" t="s">
        <v>4584</v>
      </c>
      <c r="I2280" s="23"/>
      <c r="J2280" s="191" t="s">
        <v>1618</v>
      </c>
      <c r="K2280" s="120"/>
      <c r="L2280" s="21" t="s">
        <v>7474</v>
      </c>
      <c r="M2280" s="120" t="s">
        <v>7475</v>
      </c>
      <c r="N2280" s="192">
        <v>-160777</v>
      </c>
      <c r="O2280" s="22" t="s">
        <v>15</v>
      </c>
      <c r="P2280" s="44">
        <f>(22847.05+23976.85+12037.16+8678.52+4020.01+254.2+19751.25+895+1100)-80000</f>
        <v>13560.039999999994</v>
      </c>
      <c r="Q2280" s="44">
        <v>-160777</v>
      </c>
      <c r="R2280" s="24">
        <f t="shared" si="139"/>
        <v>13560.039999999994</v>
      </c>
      <c r="S2280" s="5"/>
      <c r="T2280" s="5"/>
    </row>
    <row r="2281" spans="2:20" ht="15.75" hidden="1" x14ac:dyDescent="0.25">
      <c r="B2281" s="21" t="s">
        <v>395</v>
      </c>
      <c r="C2281" s="22" t="s">
        <v>2459</v>
      </c>
      <c r="D2281" s="22"/>
      <c r="E2281" s="21" t="s">
        <v>75</v>
      </c>
      <c r="F2281" s="21"/>
      <c r="G2281" s="147" t="s">
        <v>1146</v>
      </c>
      <c r="H2281" s="23" t="s">
        <v>4584</v>
      </c>
      <c r="I2281" s="23"/>
      <c r="J2281" s="191" t="s">
        <v>4583</v>
      </c>
      <c r="K2281" s="120"/>
      <c r="L2281" s="21" t="s">
        <v>4593</v>
      </c>
      <c r="M2281" s="26" t="s">
        <v>4592</v>
      </c>
      <c r="N2281" s="266">
        <v>359014.2</v>
      </c>
      <c r="O2281" s="22" t="s">
        <v>15</v>
      </c>
      <c r="P2281" s="44">
        <f>69347.56+300000</f>
        <v>369347.56</v>
      </c>
      <c r="Q2281" s="44">
        <f t="shared" ref="Q2281:Q2290" si="143">IF(P2281="en cours",N2281,IF(P2281="OK",0,IF(N2281-P2281&lt;0,0,N2281-P2281)))</f>
        <v>0</v>
      </c>
      <c r="R2281" s="24">
        <f t="shared" si="139"/>
        <v>369347.56</v>
      </c>
      <c r="S2281" s="5" t="s">
        <v>3930</v>
      </c>
      <c r="T2281" s="5"/>
    </row>
    <row r="2282" spans="2:20" ht="15.75" hidden="1" x14ac:dyDescent="0.25">
      <c r="B2282" s="21" t="s">
        <v>395</v>
      </c>
      <c r="C2282" s="22" t="s">
        <v>2459</v>
      </c>
      <c r="D2282" s="22"/>
      <c r="E2282" s="21" t="s">
        <v>75</v>
      </c>
      <c r="F2282" s="21"/>
      <c r="G2282" s="147" t="s">
        <v>1146</v>
      </c>
      <c r="H2282" s="23" t="s">
        <v>7511</v>
      </c>
      <c r="I2282" s="23"/>
      <c r="J2282" s="21" t="s">
        <v>7431</v>
      </c>
      <c r="K2282" s="120"/>
      <c r="L2282" s="21" t="s">
        <v>4582</v>
      </c>
      <c r="M2282" s="26">
        <v>44260</v>
      </c>
      <c r="N2282" s="99">
        <v>23510.34</v>
      </c>
      <c r="O2282" s="22" t="s">
        <v>15</v>
      </c>
      <c r="P2282" s="22">
        <v>23510.34</v>
      </c>
      <c r="Q2282" s="44">
        <f t="shared" si="143"/>
        <v>0</v>
      </c>
      <c r="R2282" s="24">
        <f t="shared" si="139"/>
        <v>23510.34</v>
      </c>
      <c r="S2282" s="5"/>
      <c r="T2282" s="5"/>
    </row>
    <row r="2283" spans="2:20" ht="15.75" hidden="1" x14ac:dyDescent="0.25">
      <c r="B2283" s="21" t="s">
        <v>395</v>
      </c>
      <c r="C2283" s="22" t="s">
        <v>2459</v>
      </c>
      <c r="D2283" s="22"/>
      <c r="E2283" s="21" t="s">
        <v>75</v>
      </c>
      <c r="F2283" s="21"/>
      <c r="G2283" s="147" t="s">
        <v>1146</v>
      </c>
      <c r="H2283" s="23" t="s">
        <v>7511</v>
      </c>
      <c r="I2283" s="23"/>
      <c r="J2283" s="191" t="s">
        <v>7431</v>
      </c>
      <c r="K2283" s="120"/>
      <c r="L2283" s="21"/>
      <c r="M2283" s="26"/>
      <c r="N2283" s="192">
        <v>0</v>
      </c>
      <c r="O2283" s="22" t="s">
        <v>15</v>
      </c>
      <c r="P2283" s="44"/>
      <c r="Q2283" s="44">
        <f t="shared" si="143"/>
        <v>0</v>
      </c>
      <c r="R2283" s="24">
        <f t="shared" si="139"/>
        <v>0</v>
      </c>
      <c r="S2283" s="5"/>
      <c r="T2283" s="5"/>
    </row>
    <row r="2284" spans="2:20" ht="15.75" hidden="1" x14ac:dyDescent="0.25">
      <c r="B2284" s="21" t="s">
        <v>395</v>
      </c>
      <c r="C2284" s="22" t="s">
        <v>2459</v>
      </c>
      <c r="D2284" s="22"/>
      <c r="E2284" s="21" t="s">
        <v>75</v>
      </c>
      <c r="F2284" s="21"/>
      <c r="G2284" s="147" t="s">
        <v>1146</v>
      </c>
      <c r="H2284" s="23" t="s">
        <v>7511</v>
      </c>
      <c r="I2284" s="23"/>
      <c r="J2284" s="191" t="s">
        <v>7432</v>
      </c>
      <c r="K2284" s="120"/>
      <c r="L2284" s="21"/>
      <c r="M2284" s="26"/>
      <c r="N2284" s="192">
        <v>0</v>
      </c>
      <c r="O2284" s="22" t="s">
        <v>15</v>
      </c>
      <c r="P2284" s="44"/>
      <c r="Q2284" s="44">
        <f t="shared" si="143"/>
        <v>0</v>
      </c>
      <c r="R2284" s="24">
        <f t="shared" si="139"/>
        <v>0</v>
      </c>
      <c r="S2284" s="5"/>
      <c r="T2284" s="5"/>
    </row>
    <row r="2285" spans="2:20" ht="15.75" hidden="1" x14ac:dyDescent="0.25">
      <c r="B2285" s="21" t="s">
        <v>395</v>
      </c>
      <c r="C2285" s="22" t="s">
        <v>2459</v>
      </c>
      <c r="D2285" s="22"/>
      <c r="E2285" s="21" t="s">
        <v>75</v>
      </c>
      <c r="F2285" s="21"/>
      <c r="G2285" s="147" t="s">
        <v>1146</v>
      </c>
      <c r="H2285" s="23" t="s">
        <v>7511</v>
      </c>
      <c r="I2285" s="23"/>
      <c r="J2285" s="191" t="s">
        <v>7433</v>
      </c>
      <c r="K2285" s="120"/>
      <c r="L2285" s="21"/>
      <c r="M2285" s="26"/>
      <c r="N2285" s="192">
        <v>0</v>
      </c>
      <c r="O2285" s="22" t="s">
        <v>15</v>
      </c>
      <c r="P2285" s="44"/>
      <c r="Q2285" s="44">
        <f t="shared" si="143"/>
        <v>0</v>
      </c>
      <c r="R2285" s="24">
        <f t="shared" si="139"/>
        <v>0</v>
      </c>
      <c r="S2285" s="5"/>
      <c r="T2285" s="5"/>
    </row>
    <row r="2286" spans="2:20" ht="15.75" hidden="1" x14ac:dyDescent="0.25">
      <c r="B2286" s="21" t="s">
        <v>395</v>
      </c>
      <c r="C2286" s="22" t="s">
        <v>2459</v>
      </c>
      <c r="D2286" s="22"/>
      <c r="E2286" s="21" t="s">
        <v>75</v>
      </c>
      <c r="F2286" s="21"/>
      <c r="G2286" s="147" t="s">
        <v>1146</v>
      </c>
      <c r="H2286" s="23" t="s">
        <v>7512</v>
      </c>
      <c r="I2286" s="23"/>
      <c r="J2286" s="21" t="s">
        <v>7513</v>
      </c>
      <c r="K2286" s="120"/>
      <c r="L2286" s="21" t="s">
        <v>7538</v>
      </c>
      <c r="M2286" s="26">
        <v>44959</v>
      </c>
      <c r="N2286" s="89">
        <v>292676.52</v>
      </c>
      <c r="O2286" s="22" t="s">
        <v>15</v>
      </c>
      <c r="P2286" s="22">
        <v>292676.52</v>
      </c>
      <c r="Q2286" s="44">
        <f t="shared" si="143"/>
        <v>0</v>
      </c>
      <c r="R2286" s="24">
        <f t="shared" si="139"/>
        <v>292676.52</v>
      </c>
      <c r="S2286" s="5"/>
      <c r="T2286" s="5"/>
    </row>
    <row r="2287" spans="2:20" ht="15.75" hidden="1" x14ac:dyDescent="0.25">
      <c r="B2287" s="21" t="s">
        <v>395</v>
      </c>
      <c r="C2287" s="22" t="s">
        <v>2459</v>
      </c>
      <c r="D2287" s="22"/>
      <c r="E2287" s="21" t="s">
        <v>75</v>
      </c>
      <c r="F2287" s="21"/>
      <c r="G2287" s="147" t="s">
        <v>1146</v>
      </c>
      <c r="H2287" s="23" t="s">
        <v>7512</v>
      </c>
      <c r="I2287" s="23"/>
      <c r="J2287" s="21" t="s">
        <v>1450</v>
      </c>
      <c r="K2287" s="120"/>
      <c r="L2287" s="21" t="s">
        <v>8503</v>
      </c>
      <c r="M2287" s="26">
        <v>45093</v>
      </c>
      <c r="N2287" s="89">
        <v>125409.76</v>
      </c>
      <c r="O2287" s="22" t="s">
        <v>15</v>
      </c>
      <c r="P2287" s="22">
        <f>125409.76</f>
        <v>125409.76</v>
      </c>
      <c r="Q2287" s="44">
        <f t="shared" si="143"/>
        <v>0</v>
      </c>
      <c r="R2287" s="24">
        <f t="shared" si="139"/>
        <v>125409.76</v>
      </c>
      <c r="S2287" s="5"/>
      <c r="T2287" s="5"/>
    </row>
    <row r="2288" spans="2:20" ht="15.75" hidden="1" x14ac:dyDescent="0.25">
      <c r="B2288" s="21" t="s">
        <v>395</v>
      </c>
      <c r="C2288" s="22" t="s">
        <v>2459</v>
      </c>
      <c r="D2288" s="22"/>
      <c r="E2288" s="21" t="s">
        <v>75</v>
      </c>
      <c r="F2288" s="21"/>
      <c r="G2288" s="147" t="s">
        <v>1146</v>
      </c>
      <c r="H2288" s="23" t="s">
        <v>7512</v>
      </c>
      <c r="I2288" s="23"/>
      <c r="J2288" s="21" t="s">
        <v>7516</v>
      </c>
      <c r="K2288" s="21"/>
      <c r="L2288" s="21"/>
      <c r="M2288" s="26"/>
      <c r="N2288" s="44">
        <v>-379232.67</v>
      </c>
      <c r="O2288" s="22" t="s">
        <v>15</v>
      </c>
      <c r="P2288" s="44"/>
      <c r="Q2288" s="44">
        <f t="shared" si="143"/>
        <v>0</v>
      </c>
      <c r="R2288" s="24">
        <f t="shared" si="139"/>
        <v>0</v>
      </c>
      <c r="S2288" s="5"/>
      <c r="T2288" s="5"/>
    </row>
    <row r="2289" spans="2:20" ht="15.75" hidden="1" x14ac:dyDescent="0.25">
      <c r="B2289" s="21" t="s">
        <v>395</v>
      </c>
      <c r="C2289" s="22" t="s">
        <v>2459</v>
      </c>
      <c r="D2289" s="22"/>
      <c r="E2289" s="21" t="s">
        <v>75</v>
      </c>
      <c r="F2289" s="21"/>
      <c r="G2289" s="147" t="s">
        <v>1146</v>
      </c>
      <c r="H2289" s="23" t="s">
        <v>7512</v>
      </c>
      <c r="I2289" s="23"/>
      <c r="J2289" s="436" t="s">
        <v>1618</v>
      </c>
      <c r="K2289" s="21"/>
      <c r="L2289" s="21" t="s">
        <v>8716</v>
      </c>
      <c r="M2289" s="120" t="s">
        <v>8717</v>
      </c>
      <c r="N2289" s="437">
        <v>80000</v>
      </c>
      <c r="O2289" s="22" t="s">
        <v>15</v>
      </c>
      <c r="P2289" s="44">
        <f>80000+251.94+67.67+3220</f>
        <v>83539.61</v>
      </c>
      <c r="Q2289" s="44">
        <f t="shared" si="143"/>
        <v>0</v>
      </c>
      <c r="R2289" s="24">
        <f t="shared" si="139"/>
        <v>83539.61</v>
      </c>
      <c r="S2289" s="5"/>
      <c r="T2289" s="5"/>
    </row>
    <row r="2290" spans="2:20" ht="15.75" hidden="1" x14ac:dyDescent="0.25">
      <c r="B2290" s="21" t="s">
        <v>395</v>
      </c>
      <c r="C2290" s="22" t="s">
        <v>2450</v>
      </c>
      <c r="D2290" s="22"/>
      <c r="E2290" s="21" t="s">
        <v>0</v>
      </c>
      <c r="F2290" s="21"/>
      <c r="G2290" s="147" t="s">
        <v>9501</v>
      </c>
      <c r="H2290" s="23" t="s">
        <v>9502</v>
      </c>
      <c r="I2290" s="23" t="s">
        <v>9503</v>
      </c>
      <c r="J2290" s="21" t="s">
        <v>9504</v>
      </c>
      <c r="K2290" s="21"/>
      <c r="L2290" s="21" t="s">
        <v>9702</v>
      </c>
      <c r="M2290" s="23" t="s">
        <v>9701</v>
      </c>
      <c r="N2290" s="44">
        <v>3600</v>
      </c>
      <c r="O2290" s="22" t="s">
        <v>15</v>
      </c>
      <c r="P2290" s="44">
        <v>3600</v>
      </c>
      <c r="Q2290" s="44">
        <f t="shared" si="143"/>
        <v>0</v>
      </c>
      <c r="R2290" s="24">
        <f t="shared" ref="R2290:R2300" si="144">IF(P2290="OK",N2290-Q2290,IF(P2290="en cours",N2290-Q2290,P2290))</f>
        <v>3600</v>
      </c>
      <c r="S2290" s="5"/>
      <c r="T2290" s="5"/>
    </row>
    <row r="2291" spans="2:20" ht="15.75" hidden="1" x14ac:dyDescent="0.25">
      <c r="B2291" s="21" t="s">
        <v>395</v>
      </c>
      <c r="C2291" s="22" t="s">
        <v>2450</v>
      </c>
      <c r="D2291" s="22"/>
      <c r="E2291" s="21" t="s">
        <v>0</v>
      </c>
      <c r="F2291" s="21" t="s">
        <v>9766</v>
      </c>
      <c r="G2291" s="147" t="s">
        <v>9501</v>
      </c>
      <c r="H2291" s="23" t="s">
        <v>10316</v>
      </c>
      <c r="I2291" s="23" t="s">
        <v>10317</v>
      </c>
      <c r="J2291" s="21" t="s">
        <v>10318</v>
      </c>
      <c r="K2291" s="21"/>
      <c r="L2291" s="21" t="s">
        <v>11490</v>
      </c>
      <c r="M2291" s="26">
        <v>45735</v>
      </c>
      <c r="N2291" s="44">
        <v>2100</v>
      </c>
      <c r="O2291" s="22" t="s">
        <v>15</v>
      </c>
      <c r="P2291" s="44">
        <v>2010</v>
      </c>
      <c r="Q2291" s="44">
        <v>0</v>
      </c>
      <c r="R2291" s="24">
        <f t="shared" si="144"/>
        <v>2010</v>
      </c>
      <c r="S2291" s="5"/>
      <c r="T2291" s="5"/>
    </row>
    <row r="2292" spans="2:20" ht="15.75" hidden="1" x14ac:dyDescent="0.25">
      <c r="B2292" s="21" t="s">
        <v>395</v>
      </c>
      <c r="C2292" s="22" t="s">
        <v>2450</v>
      </c>
      <c r="D2292" s="22"/>
      <c r="E2292" s="21" t="s">
        <v>10</v>
      </c>
      <c r="F2292" s="21"/>
      <c r="G2292" s="147" t="s">
        <v>6672</v>
      </c>
      <c r="H2292" s="107" t="s">
        <v>7159</v>
      </c>
      <c r="I2292" s="23" t="s">
        <v>7159</v>
      </c>
      <c r="J2292" s="21" t="s">
        <v>7160</v>
      </c>
      <c r="K2292" s="21"/>
      <c r="L2292" s="21" t="s">
        <v>7207</v>
      </c>
      <c r="M2292" s="26">
        <v>44852</v>
      </c>
      <c r="N2292" s="44">
        <v>210</v>
      </c>
      <c r="O2292" s="22" t="s">
        <v>276</v>
      </c>
      <c r="P2292" s="44">
        <v>210</v>
      </c>
      <c r="Q2292" s="44">
        <f t="shared" ref="Q2292:Q2351" si="145">IF(P2292="en cours",N2292,IF(P2292="OK",0,IF(N2292-P2292&lt;0,0,N2292-P2292)))</f>
        <v>0</v>
      </c>
      <c r="R2292" s="24">
        <f t="shared" si="144"/>
        <v>210</v>
      </c>
      <c r="S2292" s="5"/>
      <c r="T2292" s="5"/>
    </row>
    <row r="2293" spans="2:20" ht="15.75" hidden="1" x14ac:dyDescent="0.25">
      <c r="B2293" s="21" t="s">
        <v>9112</v>
      </c>
      <c r="C2293" s="22" t="s">
        <v>2450</v>
      </c>
      <c r="D2293" s="22"/>
      <c r="E2293" s="21" t="s">
        <v>10</v>
      </c>
      <c r="F2293" s="21"/>
      <c r="G2293" s="147" t="s">
        <v>6672</v>
      </c>
      <c r="H2293" s="23" t="s">
        <v>7628</v>
      </c>
      <c r="I2293" s="23" t="s">
        <v>8271</v>
      </c>
      <c r="J2293" s="21" t="s">
        <v>7629</v>
      </c>
      <c r="K2293" s="21"/>
      <c r="L2293" s="21" t="s">
        <v>9394</v>
      </c>
      <c r="M2293" s="26" t="s">
        <v>9395</v>
      </c>
      <c r="N2293" s="44">
        <v>89746</v>
      </c>
      <c r="O2293" s="22" t="s">
        <v>276</v>
      </c>
      <c r="P2293" s="44">
        <f>4886.76+937.44+2923.56+10962.78+4451.92+6667.76+12548.15+19826.44+18336.85+23475.13-4179.25+22780.64+5674.88</f>
        <v>129293.06000000001</v>
      </c>
      <c r="Q2293" s="24">
        <f t="shared" si="145"/>
        <v>0</v>
      </c>
      <c r="R2293" s="24">
        <f t="shared" si="144"/>
        <v>129293.06000000001</v>
      </c>
      <c r="S2293" s="5"/>
      <c r="T2293" s="5"/>
    </row>
    <row r="2294" spans="2:20" ht="15.75" hidden="1" x14ac:dyDescent="0.25">
      <c r="B2294" s="21" t="s">
        <v>395</v>
      </c>
      <c r="C2294" s="22" t="s">
        <v>2450</v>
      </c>
      <c r="D2294" s="22"/>
      <c r="E2294" s="21" t="s">
        <v>10</v>
      </c>
      <c r="F2294" s="21"/>
      <c r="G2294" s="147" t="s">
        <v>6672</v>
      </c>
      <c r="H2294" s="23" t="s">
        <v>9067</v>
      </c>
      <c r="I2294" s="23" t="s">
        <v>9068</v>
      </c>
      <c r="J2294" s="21" t="s">
        <v>9069</v>
      </c>
      <c r="K2294" s="21"/>
      <c r="L2294" s="21" t="s">
        <v>9169</v>
      </c>
      <c r="M2294" s="26">
        <v>45246</v>
      </c>
      <c r="N2294" s="44">
        <v>997</v>
      </c>
      <c r="O2294" s="22" t="s">
        <v>276</v>
      </c>
      <c r="P2294" s="44">
        <v>997</v>
      </c>
      <c r="Q2294" s="44">
        <f t="shared" si="145"/>
        <v>0</v>
      </c>
      <c r="R2294" s="24">
        <f t="shared" si="144"/>
        <v>997</v>
      </c>
      <c r="S2294" s="5"/>
      <c r="T2294" s="5"/>
    </row>
    <row r="2295" spans="2:20" ht="15.75" hidden="1" x14ac:dyDescent="0.25">
      <c r="B2295" s="21" t="s">
        <v>395</v>
      </c>
      <c r="C2295" s="22" t="s">
        <v>2450</v>
      </c>
      <c r="D2295" s="22"/>
      <c r="E2295" s="21" t="s">
        <v>10</v>
      </c>
      <c r="F2295" s="21"/>
      <c r="G2295" s="147" t="s">
        <v>6672</v>
      </c>
      <c r="H2295" s="23" t="s">
        <v>9601</v>
      </c>
      <c r="I2295" s="23" t="s">
        <v>9602</v>
      </c>
      <c r="J2295" s="21" t="s">
        <v>9603</v>
      </c>
      <c r="K2295" s="21"/>
      <c r="L2295" s="21" t="s">
        <v>10806</v>
      </c>
      <c r="M2295" s="26" t="s">
        <v>10807</v>
      </c>
      <c r="N2295" s="44">
        <v>59211.7</v>
      </c>
      <c r="O2295" s="22" t="s">
        <v>276</v>
      </c>
      <c r="P2295" s="44">
        <f>3134.68+4160.3+3633.81+5906.69+9370.55-112.44+6456.47+9563.16+12064.78+12522.72</f>
        <v>66700.72</v>
      </c>
      <c r="Q2295" s="44">
        <f t="shared" si="145"/>
        <v>0</v>
      </c>
      <c r="R2295" s="24">
        <f t="shared" si="144"/>
        <v>66700.72</v>
      </c>
      <c r="S2295" s="5"/>
      <c r="T2295" s="5"/>
    </row>
    <row r="2296" spans="2:20" ht="15.75" hidden="1" x14ac:dyDescent="0.25">
      <c r="B2296" s="21" t="s">
        <v>395</v>
      </c>
      <c r="C2296" s="22" t="s">
        <v>2450</v>
      </c>
      <c r="D2296" s="22"/>
      <c r="E2296" s="21" t="s">
        <v>10</v>
      </c>
      <c r="F2296" s="21" t="s">
        <v>9721</v>
      </c>
      <c r="G2296" s="147" t="s">
        <v>9989</v>
      </c>
      <c r="H2296" s="23" t="s">
        <v>9990</v>
      </c>
      <c r="I2296" s="23" t="s">
        <v>9991</v>
      </c>
      <c r="J2296" s="21" t="s">
        <v>6557</v>
      </c>
      <c r="K2296" s="21"/>
      <c r="L2296" s="21" t="s">
        <v>10293</v>
      </c>
      <c r="M2296" s="26">
        <v>45449</v>
      </c>
      <c r="N2296" s="44">
        <v>1959.76</v>
      </c>
      <c r="O2296" s="22" t="s">
        <v>15</v>
      </c>
      <c r="P2296" s="44">
        <v>1959.76</v>
      </c>
      <c r="Q2296" s="44">
        <f t="shared" si="145"/>
        <v>0</v>
      </c>
      <c r="R2296" s="24">
        <f t="shared" si="144"/>
        <v>1959.76</v>
      </c>
      <c r="S2296" s="5"/>
      <c r="T2296" s="5"/>
    </row>
    <row r="2297" spans="2:20" ht="15.75" hidden="1" x14ac:dyDescent="0.25">
      <c r="B2297" s="21" t="s">
        <v>395</v>
      </c>
      <c r="C2297" s="22" t="s">
        <v>2450</v>
      </c>
      <c r="D2297" s="22"/>
      <c r="E2297" s="21" t="s">
        <v>10</v>
      </c>
      <c r="F2297" s="21" t="s">
        <v>9721</v>
      </c>
      <c r="G2297" s="147" t="s">
        <v>9989</v>
      </c>
      <c r="H2297" s="23" t="s">
        <v>10311</v>
      </c>
      <c r="I2297" s="23" t="s">
        <v>10312</v>
      </c>
      <c r="J2297" s="21" t="s">
        <v>6557</v>
      </c>
      <c r="K2297" s="21"/>
      <c r="L2297" s="21" t="s">
        <v>10686</v>
      </c>
      <c r="M2297" s="26">
        <v>45540</v>
      </c>
      <c r="N2297" s="44">
        <v>1350.22</v>
      </c>
      <c r="O2297" s="22" t="s">
        <v>15</v>
      </c>
      <c r="P2297" s="44">
        <v>1350.22</v>
      </c>
      <c r="Q2297" s="44">
        <f t="shared" si="145"/>
        <v>0</v>
      </c>
      <c r="R2297" s="24">
        <f t="shared" si="144"/>
        <v>1350.22</v>
      </c>
      <c r="S2297" s="5"/>
      <c r="T2297" s="5"/>
    </row>
    <row r="2298" spans="2:20" ht="15.75" hidden="1" x14ac:dyDescent="0.25">
      <c r="B2298" s="21" t="s">
        <v>395</v>
      </c>
      <c r="C2298" s="22" t="s">
        <v>2450</v>
      </c>
      <c r="D2298" s="22"/>
      <c r="E2298" s="21" t="s">
        <v>10</v>
      </c>
      <c r="F2298" s="21" t="s">
        <v>9721</v>
      </c>
      <c r="G2298" s="147" t="s">
        <v>9989</v>
      </c>
      <c r="H2298" s="23" t="s">
        <v>10469</v>
      </c>
      <c r="I2298" s="23" t="s">
        <v>10470</v>
      </c>
      <c r="J2298" s="21" t="s">
        <v>6557</v>
      </c>
      <c r="K2298" s="21"/>
      <c r="L2298" s="21" t="s">
        <v>10685</v>
      </c>
      <c r="M2298" s="26">
        <v>45554</v>
      </c>
      <c r="N2298" s="44">
        <v>1052.99</v>
      </c>
      <c r="O2298" s="22" t="s">
        <v>15</v>
      </c>
      <c r="P2298" s="44">
        <v>1052.99</v>
      </c>
      <c r="Q2298" s="44">
        <f t="shared" si="145"/>
        <v>0</v>
      </c>
      <c r="R2298" s="24">
        <f t="shared" si="144"/>
        <v>1052.99</v>
      </c>
      <c r="S2298" s="5"/>
      <c r="T2298" s="5"/>
    </row>
    <row r="2299" spans="2:20" ht="15.75" hidden="1" x14ac:dyDescent="0.25">
      <c r="B2299" s="21" t="s">
        <v>395</v>
      </c>
      <c r="C2299" s="22" t="s">
        <v>2450</v>
      </c>
      <c r="D2299" s="22"/>
      <c r="E2299" s="21" t="s">
        <v>10</v>
      </c>
      <c r="F2299" s="21" t="s">
        <v>9721</v>
      </c>
      <c r="G2299" s="147" t="s">
        <v>9989</v>
      </c>
      <c r="H2299" s="23" t="s">
        <v>10525</v>
      </c>
      <c r="I2299" s="23" t="s">
        <v>10526</v>
      </c>
      <c r="J2299" s="21" t="s">
        <v>6557</v>
      </c>
      <c r="K2299" s="21"/>
      <c r="L2299" s="21" t="s">
        <v>10684</v>
      </c>
      <c r="M2299" s="26">
        <v>45561</v>
      </c>
      <c r="N2299" s="44">
        <v>972.34</v>
      </c>
      <c r="O2299" s="22" t="s">
        <v>15</v>
      </c>
      <c r="P2299" s="44">
        <v>972.34</v>
      </c>
      <c r="Q2299" s="44">
        <f t="shared" si="145"/>
        <v>0</v>
      </c>
      <c r="R2299" s="24">
        <f t="shared" si="144"/>
        <v>972.34</v>
      </c>
      <c r="S2299" s="5"/>
      <c r="T2299" s="5"/>
    </row>
    <row r="2300" spans="2:20" ht="15.75" hidden="1" x14ac:dyDescent="0.25">
      <c r="B2300" s="21" t="s">
        <v>395</v>
      </c>
      <c r="C2300" s="22" t="s">
        <v>2450</v>
      </c>
      <c r="D2300" s="22"/>
      <c r="E2300" s="21" t="s">
        <v>10</v>
      </c>
      <c r="F2300" s="21" t="s">
        <v>9721</v>
      </c>
      <c r="G2300" s="147" t="s">
        <v>9989</v>
      </c>
      <c r="H2300" s="23" t="s">
        <v>10597</v>
      </c>
      <c r="I2300" s="23" t="s">
        <v>10598</v>
      </c>
      <c r="J2300" s="21" t="s">
        <v>6557</v>
      </c>
      <c r="K2300" s="21"/>
      <c r="L2300" s="21" t="s">
        <v>10700</v>
      </c>
      <c r="M2300" s="26">
        <v>45603</v>
      </c>
      <c r="N2300" s="44">
        <v>1889.4</v>
      </c>
      <c r="O2300" s="22" t="s">
        <v>15</v>
      </c>
      <c r="P2300" s="44">
        <v>1889.4</v>
      </c>
      <c r="Q2300" s="44">
        <f t="shared" si="145"/>
        <v>0</v>
      </c>
      <c r="R2300" s="24">
        <f t="shared" si="144"/>
        <v>1889.4</v>
      </c>
      <c r="S2300" s="5"/>
      <c r="T2300" s="5"/>
    </row>
    <row r="2301" spans="2:20" ht="15.75" hidden="1" x14ac:dyDescent="0.25">
      <c r="B2301" s="21" t="s">
        <v>395</v>
      </c>
      <c r="C2301" s="22" t="s">
        <v>2450</v>
      </c>
      <c r="D2301" s="22"/>
      <c r="E2301" s="21" t="s">
        <v>10</v>
      </c>
      <c r="F2301" s="21"/>
      <c r="G2301" s="147" t="s">
        <v>9989</v>
      </c>
      <c r="H2301" s="23" t="s">
        <v>10766</v>
      </c>
      <c r="I2301" s="23" t="s">
        <v>10767</v>
      </c>
      <c r="J2301" s="21" t="s">
        <v>6557</v>
      </c>
      <c r="K2301" s="21"/>
      <c r="L2301" s="21" t="s">
        <v>10798</v>
      </c>
      <c r="M2301" s="26">
        <v>45624</v>
      </c>
      <c r="N2301" s="44">
        <v>1889.4</v>
      </c>
      <c r="O2301" s="22" t="s">
        <v>15</v>
      </c>
      <c r="P2301" s="44">
        <v>1889.4</v>
      </c>
      <c r="Q2301" s="44">
        <f t="shared" si="145"/>
        <v>0</v>
      </c>
      <c r="R2301" s="24">
        <f>IF(P2301="OK",N2301-Q2301,IF(P2301="en cours",M2301-Q2301,P2301))</f>
        <v>1889.4</v>
      </c>
      <c r="S2301" s="5"/>
      <c r="T2301" s="5"/>
    </row>
    <row r="2302" spans="2:20" ht="15.75" hidden="1" x14ac:dyDescent="0.25">
      <c r="B2302" s="21" t="s">
        <v>395</v>
      </c>
      <c r="C2302" s="22" t="s">
        <v>2450</v>
      </c>
      <c r="D2302" s="22"/>
      <c r="E2302" s="21" t="s">
        <v>0</v>
      </c>
      <c r="F2302" s="21"/>
      <c r="G2302" s="147" t="s">
        <v>8757</v>
      </c>
      <c r="H2302" s="23" t="s">
        <v>8758</v>
      </c>
      <c r="I2302" s="23" t="s">
        <v>8759</v>
      </c>
      <c r="J2302" s="21" t="s">
        <v>8626</v>
      </c>
      <c r="K2302" s="21"/>
      <c r="L2302" s="21" t="s">
        <v>9060</v>
      </c>
      <c r="M2302" s="26">
        <v>45210</v>
      </c>
      <c r="N2302" s="44">
        <v>20000</v>
      </c>
      <c r="O2302" s="22" t="s">
        <v>337</v>
      </c>
      <c r="P2302" s="44">
        <f>16000+4000</f>
        <v>20000</v>
      </c>
      <c r="Q2302" s="44">
        <f t="shared" si="145"/>
        <v>0</v>
      </c>
      <c r="R2302" s="24">
        <f t="shared" ref="R2302:R2318" si="146">IF(P2302="OK",N2302-Q2302,IF(P2302="en cours",N2302-Q2302,P2302))</f>
        <v>20000</v>
      </c>
      <c r="S2302" s="5"/>
      <c r="T2302" s="5"/>
    </row>
    <row r="2303" spans="2:20" ht="15.75" hidden="1" x14ac:dyDescent="0.25">
      <c r="B2303" s="21" t="s">
        <v>395</v>
      </c>
      <c r="C2303" s="22" t="s">
        <v>2450</v>
      </c>
      <c r="D2303" s="22"/>
      <c r="E2303" s="21" t="s">
        <v>0</v>
      </c>
      <c r="F2303" s="21"/>
      <c r="G2303" s="147" t="s">
        <v>8757</v>
      </c>
      <c r="H2303" s="23" t="s">
        <v>9062</v>
      </c>
      <c r="I2303" s="23" t="s">
        <v>8945</v>
      </c>
      <c r="J2303" s="21" t="s">
        <v>8946</v>
      </c>
      <c r="K2303" s="21"/>
      <c r="L2303" s="21" t="s">
        <v>9061</v>
      </c>
      <c r="M2303" s="26">
        <v>45210</v>
      </c>
      <c r="N2303" s="44">
        <v>9500</v>
      </c>
      <c r="O2303" s="22" t="s">
        <v>337</v>
      </c>
      <c r="P2303" s="44">
        <v>9500</v>
      </c>
      <c r="Q2303" s="44">
        <f t="shared" si="145"/>
        <v>0</v>
      </c>
      <c r="R2303" s="24">
        <f t="shared" si="146"/>
        <v>9500</v>
      </c>
      <c r="S2303" s="5"/>
      <c r="T2303" s="5"/>
    </row>
    <row r="2304" spans="2:20" ht="15.75" hidden="1" x14ac:dyDescent="0.25">
      <c r="B2304" s="21" t="s">
        <v>395</v>
      </c>
      <c r="C2304" s="22" t="s">
        <v>2450</v>
      </c>
      <c r="D2304" s="22"/>
      <c r="E2304" s="21" t="s">
        <v>0</v>
      </c>
      <c r="F2304" s="21"/>
      <c r="G2304" s="147" t="s">
        <v>8757</v>
      </c>
      <c r="H2304" s="23" t="s">
        <v>9094</v>
      </c>
      <c r="I2304" s="23" t="s">
        <v>9095</v>
      </c>
      <c r="J2304" s="21" t="s">
        <v>9096</v>
      </c>
      <c r="K2304" s="21"/>
      <c r="L2304" s="21" t="s">
        <v>9228</v>
      </c>
      <c r="M2304" s="26">
        <v>45246</v>
      </c>
      <c r="N2304" s="44">
        <v>4870</v>
      </c>
      <c r="O2304" s="22" t="s">
        <v>337</v>
      </c>
      <c r="P2304" s="44">
        <v>4870</v>
      </c>
      <c r="Q2304" s="24">
        <f t="shared" si="145"/>
        <v>0</v>
      </c>
      <c r="R2304" s="24">
        <f t="shared" si="146"/>
        <v>4870</v>
      </c>
      <c r="S2304" s="5"/>
      <c r="T2304" s="5"/>
    </row>
    <row r="2305" spans="2:20" ht="15.75" hidden="1" x14ac:dyDescent="0.25">
      <c r="B2305" s="21" t="s">
        <v>395</v>
      </c>
      <c r="C2305" s="22" t="s">
        <v>2450</v>
      </c>
      <c r="D2305" s="22"/>
      <c r="E2305" s="21" t="s">
        <v>0</v>
      </c>
      <c r="F2305" s="21"/>
      <c r="G2305" s="147" t="s">
        <v>8757</v>
      </c>
      <c r="H2305" s="23" t="s">
        <v>9251</v>
      </c>
      <c r="I2305" s="23" t="s">
        <v>9252</v>
      </c>
      <c r="J2305" s="21" t="s">
        <v>9396</v>
      </c>
      <c r="K2305" s="21"/>
      <c r="L2305" s="21" t="s">
        <v>9543</v>
      </c>
      <c r="M2305" s="26" t="s">
        <v>9544</v>
      </c>
      <c r="N2305" s="44">
        <v>11720</v>
      </c>
      <c r="O2305" s="22" t="s">
        <v>337</v>
      </c>
      <c r="P2305" s="44">
        <f>3720+8000</f>
        <v>11720</v>
      </c>
      <c r="Q2305" s="24">
        <f t="shared" si="145"/>
        <v>0</v>
      </c>
      <c r="R2305" s="24">
        <f t="shared" si="146"/>
        <v>11720</v>
      </c>
      <c r="S2305" s="5"/>
      <c r="T2305" s="5"/>
    </row>
    <row r="2306" spans="2:20" ht="15.75" hidden="1" x14ac:dyDescent="0.25">
      <c r="B2306" s="21" t="s">
        <v>395</v>
      </c>
      <c r="C2306" s="22" t="s">
        <v>2450</v>
      </c>
      <c r="D2306" s="22"/>
      <c r="E2306" s="21" t="s">
        <v>0</v>
      </c>
      <c r="F2306" s="21"/>
      <c r="G2306" s="147" t="s">
        <v>8757</v>
      </c>
      <c r="H2306" s="23" t="s">
        <v>9487</v>
      </c>
      <c r="I2306" s="23" t="s">
        <v>9488</v>
      </c>
      <c r="J2306" s="21" t="s">
        <v>9483</v>
      </c>
      <c r="K2306" s="21"/>
      <c r="L2306" s="21" t="s">
        <v>9891</v>
      </c>
      <c r="M2306" s="26">
        <v>45441</v>
      </c>
      <c r="N2306" s="44">
        <v>24500</v>
      </c>
      <c r="O2306" s="22" t="s">
        <v>337</v>
      </c>
      <c r="P2306" s="44">
        <f>24500</f>
        <v>24500</v>
      </c>
      <c r="Q2306" s="24">
        <f t="shared" si="145"/>
        <v>0</v>
      </c>
      <c r="R2306" s="24">
        <f t="shared" si="146"/>
        <v>24500</v>
      </c>
      <c r="S2306" s="5"/>
      <c r="T2306" s="5"/>
    </row>
    <row r="2307" spans="2:20" ht="15.75" hidden="1" x14ac:dyDescent="0.25">
      <c r="B2307" s="21" t="s">
        <v>395</v>
      </c>
      <c r="C2307" s="22" t="s">
        <v>2450</v>
      </c>
      <c r="D2307" s="22"/>
      <c r="E2307" s="21" t="s">
        <v>0</v>
      </c>
      <c r="F2307" s="21"/>
      <c r="G2307" s="147" t="s">
        <v>8757</v>
      </c>
      <c r="H2307" s="23" t="s">
        <v>9487</v>
      </c>
      <c r="I2307" s="23" t="s">
        <v>9488</v>
      </c>
      <c r="J2307" s="21" t="s">
        <v>9484</v>
      </c>
      <c r="K2307" s="21"/>
      <c r="L2307" s="21" t="s">
        <v>10498</v>
      </c>
      <c r="M2307" s="26">
        <v>45362</v>
      </c>
      <c r="N2307" s="44">
        <v>24500</v>
      </c>
      <c r="O2307" s="22" t="s">
        <v>337</v>
      </c>
      <c r="P2307" s="44">
        <v>24500</v>
      </c>
      <c r="Q2307" s="44">
        <f t="shared" si="145"/>
        <v>0</v>
      </c>
      <c r="R2307" s="24">
        <f t="shared" si="146"/>
        <v>24500</v>
      </c>
      <c r="S2307" s="5"/>
      <c r="T2307" s="5"/>
    </row>
    <row r="2308" spans="2:20" ht="15.75" hidden="1" x14ac:dyDescent="0.25">
      <c r="B2308" s="21" t="s">
        <v>395</v>
      </c>
      <c r="C2308" s="22" t="s">
        <v>2450</v>
      </c>
      <c r="D2308" s="22"/>
      <c r="E2308" s="21" t="s">
        <v>0</v>
      </c>
      <c r="F2308" s="21"/>
      <c r="G2308" s="147" t="s">
        <v>8757</v>
      </c>
      <c r="H2308" s="23" t="s">
        <v>9588</v>
      </c>
      <c r="I2308" s="23" t="s">
        <v>9589</v>
      </c>
      <c r="J2308" s="21" t="s">
        <v>9590</v>
      </c>
      <c r="K2308" s="21"/>
      <c r="L2308" s="21" t="s">
        <v>10497</v>
      </c>
      <c r="M2308" s="26">
        <v>45363</v>
      </c>
      <c r="N2308" s="44">
        <v>2211</v>
      </c>
      <c r="O2308" s="22" t="s">
        <v>15</v>
      </c>
      <c r="P2308" s="44">
        <v>2211</v>
      </c>
      <c r="Q2308" s="24">
        <f t="shared" si="145"/>
        <v>0</v>
      </c>
      <c r="R2308" s="24">
        <f t="shared" si="146"/>
        <v>2211</v>
      </c>
      <c r="S2308" s="5"/>
      <c r="T2308" s="5"/>
    </row>
    <row r="2309" spans="2:20" ht="15.75" hidden="1" x14ac:dyDescent="0.25">
      <c r="B2309" s="21" t="s">
        <v>395</v>
      </c>
      <c r="C2309" s="22" t="s">
        <v>2450</v>
      </c>
      <c r="D2309" s="22"/>
      <c r="E2309" s="21" t="s">
        <v>0</v>
      </c>
      <c r="F2309" s="21"/>
      <c r="G2309" s="147" t="s">
        <v>8757</v>
      </c>
      <c r="H2309" s="23" t="s">
        <v>9598</v>
      </c>
      <c r="I2309" s="23" t="s">
        <v>9599</v>
      </c>
      <c r="J2309" s="21" t="s">
        <v>9600</v>
      </c>
      <c r="K2309" s="21"/>
      <c r="L2309" s="21" t="s">
        <v>10496</v>
      </c>
      <c r="M2309" s="26">
        <v>45363</v>
      </c>
      <c r="N2309" s="44">
        <v>1059.5</v>
      </c>
      <c r="O2309" s="22" t="s">
        <v>337</v>
      </c>
      <c r="P2309" s="44">
        <v>1059.5</v>
      </c>
      <c r="Q2309" s="24">
        <f t="shared" si="145"/>
        <v>0</v>
      </c>
      <c r="R2309" s="24">
        <f t="shared" si="146"/>
        <v>1059.5</v>
      </c>
      <c r="S2309" s="5"/>
      <c r="T2309" s="5"/>
    </row>
    <row r="2310" spans="2:20" ht="15.75" hidden="1" x14ac:dyDescent="0.25">
      <c r="B2310" s="21" t="s">
        <v>395</v>
      </c>
      <c r="C2310" s="22" t="s">
        <v>2450</v>
      </c>
      <c r="D2310" s="22"/>
      <c r="E2310" s="21" t="s">
        <v>0</v>
      </c>
      <c r="F2310" s="21"/>
      <c r="G2310" s="147" t="s">
        <v>8757</v>
      </c>
      <c r="H2310" s="23" t="s">
        <v>9673</v>
      </c>
      <c r="I2310" s="23" t="s">
        <v>9674</v>
      </c>
      <c r="J2310" s="21" t="s">
        <v>9675</v>
      </c>
      <c r="K2310" s="21"/>
      <c r="L2310" s="21" t="s">
        <v>11747</v>
      </c>
      <c r="M2310" s="26">
        <v>45394</v>
      </c>
      <c r="N2310" s="44">
        <v>1940</v>
      </c>
      <c r="O2310" s="22" t="s">
        <v>337</v>
      </c>
      <c r="P2310" s="44">
        <v>1940</v>
      </c>
      <c r="Q2310" s="24">
        <f t="shared" si="145"/>
        <v>0</v>
      </c>
      <c r="R2310" s="24">
        <f t="shared" si="146"/>
        <v>1940</v>
      </c>
      <c r="S2310" s="5"/>
      <c r="T2310" s="5"/>
    </row>
    <row r="2311" spans="2:20" ht="15.75" hidden="1" x14ac:dyDescent="0.25">
      <c r="B2311" s="21" t="s">
        <v>395</v>
      </c>
      <c r="C2311" s="22" t="s">
        <v>2450</v>
      </c>
      <c r="D2311" s="22"/>
      <c r="E2311" s="21" t="s">
        <v>0</v>
      </c>
      <c r="F2311" s="21" t="s">
        <v>9823</v>
      </c>
      <c r="G2311" s="147" t="s">
        <v>8757</v>
      </c>
      <c r="H2311" s="23" t="s">
        <v>9835</v>
      </c>
      <c r="I2311" s="23" t="s">
        <v>9836</v>
      </c>
      <c r="J2311" s="21" t="s">
        <v>9892</v>
      </c>
      <c r="K2311" s="21"/>
      <c r="L2311" s="21" t="s">
        <v>9893</v>
      </c>
      <c r="M2311" s="26">
        <v>45441</v>
      </c>
      <c r="N2311" s="44">
        <v>24500</v>
      </c>
      <c r="O2311" s="114" t="s">
        <v>337</v>
      </c>
      <c r="P2311" s="44">
        <v>24500</v>
      </c>
      <c r="Q2311" s="24">
        <f t="shared" si="145"/>
        <v>0</v>
      </c>
      <c r="R2311" s="24">
        <f t="shared" si="146"/>
        <v>24500</v>
      </c>
      <c r="S2311" s="5"/>
      <c r="T2311" s="5"/>
    </row>
    <row r="2312" spans="2:20" ht="15.75" hidden="1" x14ac:dyDescent="0.25">
      <c r="B2312" s="21" t="s">
        <v>395</v>
      </c>
      <c r="C2312" s="22" t="s">
        <v>2450</v>
      </c>
      <c r="D2312" s="22"/>
      <c r="E2312" s="21" t="s">
        <v>0</v>
      </c>
      <c r="F2312" s="21" t="s">
        <v>9823</v>
      </c>
      <c r="G2312" s="147" t="s">
        <v>8757</v>
      </c>
      <c r="H2312" s="23" t="s">
        <v>9856</v>
      </c>
      <c r="I2312" s="23" t="s">
        <v>9857</v>
      </c>
      <c r="J2312" s="21" t="s">
        <v>9858</v>
      </c>
      <c r="K2312" s="21"/>
      <c r="L2312" s="21" t="s">
        <v>10495</v>
      </c>
      <c r="M2312" s="26">
        <v>45399</v>
      </c>
      <c r="N2312" s="44">
        <v>370.8</v>
      </c>
      <c r="O2312" s="22" t="s">
        <v>337</v>
      </c>
      <c r="P2312" s="44">
        <v>370.8</v>
      </c>
      <c r="Q2312" s="24">
        <f t="shared" si="145"/>
        <v>0</v>
      </c>
      <c r="R2312" s="24">
        <f t="shared" si="146"/>
        <v>370.8</v>
      </c>
      <c r="S2312" s="5"/>
      <c r="T2312" s="5"/>
    </row>
    <row r="2313" spans="2:20" ht="15.75" hidden="1" x14ac:dyDescent="0.25">
      <c r="B2313" s="21" t="s">
        <v>395</v>
      </c>
      <c r="C2313" s="22" t="s">
        <v>2450</v>
      </c>
      <c r="D2313" s="22"/>
      <c r="E2313" s="21" t="s">
        <v>0</v>
      </c>
      <c r="F2313" s="21" t="s">
        <v>9823</v>
      </c>
      <c r="G2313" s="147" t="s">
        <v>8757</v>
      </c>
      <c r="H2313" s="23" t="s">
        <v>9895</v>
      </c>
      <c r="I2313" s="23" t="s">
        <v>9896</v>
      </c>
      <c r="J2313" s="21" t="s">
        <v>9868</v>
      </c>
      <c r="K2313" s="21"/>
      <c r="L2313" s="21" t="s">
        <v>9894</v>
      </c>
      <c r="M2313" s="26">
        <v>45450</v>
      </c>
      <c r="N2313" s="44">
        <v>600</v>
      </c>
      <c r="O2313" s="22" t="s">
        <v>337</v>
      </c>
      <c r="P2313" s="44">
        <v>600</v>
      </c>
      <c r="Q2313" s="24">
        <f t="shared" si="145"/>
        <v>0</v>
      </c>
      <c r="R2313" s="24">
        <f t="shared" si="146"/>
        <v>600</v>
      </c>
      <c r="S2313" s="5"/>
      <c r="T2313" s="5"/>
    </row>
    <row r="2314" spans="2:20" ht="15.75" hidden="1" x14ac:dyDescent="0.25">
      <c r="B2314" s="21" t="s">
        <v>395</v>
      </c>
      <c r="C2314" s="22" t="s">
        <v>2450</v>
      </c>
      <c r="D2314" s="22"/>
      <c r="E2314" s="21" t="s">
        <v>0</v>
      </c>
      <c r="F2314" s="21" t="s">
        <v>9823</v>
      </c>
      <c r="G2314" s="147" t="s">
        <v>8757</v>
      </c>
      <c r="H2314" s="23" t="s">
        <v>9897</v>
      </c>
      <c r="I2314" s="23" t="s">
        <v>9898</v>
      </c>
      <c r="J2314" s="21" t="s">
        <v>9899</v>
      </c>
      <c r="K2314" s="21"/>
      <c r="L2314" s="21" t="s">
        <v>9900</v>
      </c>
      <c r="M2314" s="26">
        <v>45450</v>
      </c>
      <c r="N2314" s="44">
        <v>1144.4000000000001</v>
      </c>
      <c r="O2314" s="22" t="s">
        <v>337</v>
      </c>
      <c r="P2314" s="44">
        <v>1144.4000000000001</v>
      </c>
      <c r="Q2314" s="24">
        <f t="shared" si="145"/>
        <v>0</v>
      </c>
      <c r="R2314" s="24">
        <f t="shared" si="146"/>
        <v>1144.4000000000001</v>
      </c>
      <c r="S2314" s="5"/>
      <c r="T2314" s="5"/>
    </row>
    <row r="2315" spans="2:20" ht="15.75" hidden="1" x14ac:dyDescent="0.25">
      <c r="B2315" s="21" t="s">
        <v>395</v>
      </c>
      <c r="C2315" s="22" t="s">
        <v>2450</v>
      </c>
      <c r="D2315" s="22"/>
      <c r="E2315" s="21" t="s">
        <v>0</v>
      </c>
      <c r="F2315" s="21"/>
      <c r="G2315" s="147" t="s">
        <v>8757</v>
      </c>
      <c r="H2315" s="23" t="s">
        <v>9973</v>
      </c>
      <c r="I2315" s="23" t="s">
        <v>9974</v>
      </c>
      <c r="J2315" s="21" t="s">
        <v>9675</v>
      </c>
      <c r="K2315" s="21"/>
      <c r="L2315" s="21" t="s">
        <v>9975</v>
      </c>
      <c r="M2315" s="26">
        <v>45462</v>
      </c>
      <c r="N2315" s="44">
        <v>2370</v>
      </c>
      <c r="O2315" s="22" t="s">
        <v>337</v>
      </c>
      <c r="P2315" s="44">
        <f>2370</f>
        <v>2370</v>
      </c>
      <c r="Q2315" s="24">
        <f t="shared" si="145"/>
        <v>0</v>
      </c>
      <c r="R2315" s="24">
        <f t="shared" si="146"/>
        <v>2370</v>
      </c>
      <c r="S2315" s="5"/>
      <c r="T2315" s="5"/>
    </row>
    <row r="2316" spans="2:20" ht="15.75" hidden="1" x14ac:dyDescent="0.25">
      <c r="B2316" s="21" t="s">
        <v>395</v>
      </c>
      <c r="C2316" s="22" t="s">
        <v>2450</v>
      </c>
      <c r="D2316" s="22"/>
      <c r="E2316" s="21" t="s">
        <v>0</v>
      </c>
      <c r="F2316" s="21" t="s">
        <v>9766</v>
      </c>
      <c r="G2316" s="147" t="s">
        <v>8757</v>
      </c>
      <c r="H2316" s="23" t="s">
        <v>9997</v>
      </c>
      <c r="I2316" s="23" t="s">
        <v>9998</v>
      </c>
      <c r="J2316" s="21" t="s">
        <v>9858</v>
      </c>
      <c r="K2316" s="21"/>
      <c r="L2316" s="21" t="s">
        <v>10300</v>
      </c>
      <c r="M2316" s="26">
        <v>45443</v>
      </c>
      <c r="N2316" s="44">
        <v>2888.7</v>
      </c>
      <c r="O2316" s="22" t="s">
        <v>337</v>
      </c>
      <c r="P2316" s="44">
        <v>2888.7</v>
      </c>
      <c r="Q2316" s="44">
        <f t="shared" si="145"/>
        <v>0</v>
      </c>
      <c r="R2316" s="24">
        <f t="shared" si="146"/>
        <v>2888.7</v>
      </c>
      <c r="S2316" s="5"/>
      <c r="T2316" s="5"/>
    </row>
    <row r="2317" spans="2:20" ht="15.75" hidden="1" x14ac:dyDescent="0.25">
      <c r="B2317" s="21" t="s">
        <v>395</v>
      </c>
      <c r="C2317" s="22" t="s">
        <v>2450</v>
      </c>
      <c r="D2317" s="22"/>
      <c r="E2317" s="21" t="s">
        <v>0</v>
      </c>
      <c r="F2317" s="21" t="s">
        <v>9766</v>
      </c>
      <c r="G2317" s="147" t="s">
        <v>8757</v>
      </c>
      <c r="H2317" s="23" t="s">
        <v>10211</v>
      </c>
      <c r="I2317" s="23" t="s">
        <v>10034</v>
      </c>
      <c r="J2317" s="21" t="s">
        <v>10216</v>
      </c>
      <c r="K2317" s="21"/>
      <c r="L2317" s="21" t="s">
        <v>10215</v>
      </c>
      <c r="M2317" s="26">
        <v>45490</v>
      </c>
      <c r="N2317" s="44">
        <v>9600</v>
      </c>
      <c r="O2317" s="22" t="s">
        <v>337</v>
      </c>
      <c r="P2317" s="44">
        <f>9600</f>
        <v>9600</v>
      </c>
      <c r="Q2317" s="24">
        <f t="shared" si="145"/>
        <v>0</v>
      </c>
      <c r="R2317" s="24">
        <f t="shared" si="146"/>
        <v>9600</v>
      </c>
      <c r="S2317" s="5"/>
      <c r="T2317" s="5"/>
    </row>
    <row r="2318" spans="2:20" ht="15.75" hidden="1" x14ac:dyDescent="0.25">
      <c r="B2318" s="21" t="s">
        <v>395</v>
      </c>
      <c r="C2318" s="22" t="s">
        <v>2450</v>
      </c>
      <c r="D2318" s="22"/>
      <c r="E2318" s="21" t="s">
        <v>0</v>
      </c>
      <c r="F2318" s="21" t="s">
        <v>9766</v>
      </c>
      <c r="G2318" s="147" t="s">
        <v>8757</v>
      </c>
      <c r="H2318" s="23" t="s">
        <v>10068</v>
      </c>
      <c r="I2318" s="23" t="s">
        <v>10069</v>
      </c>
      <c r="J2318" s="21" t="s">
        <v>10070</v>
      </c>
      <c r="K2318" s="21"/>
      <c r="L2318" s="21" t="s">
        <v>10074</v>
      </c>
      <c r="M2318" s="26">
        <v>45469</v>
      </c>
      <c r="N2318" s="44">
        <v>3500</v>
      </c>
      <c r="O2318" s="22" t="s">
        <v>337</v>
      </c>
      <c r="P2318" s="44">
        <v>3500</v>
      </c>
      <c r="Q2318" s="24">
        <f t="shared" si="145"/>
        <v>0</v>
      </c>
      <c r="R2318" s="24">
        <f t="shared" si="146"/>
        <v>3500</v>
      </c>
      <c r="S2318" s="5"/>
      <c r="T2318" s="5"/>
    </row>
    <row r="2319" spans="2:20" ht="15.75" hidden="1" x14ac:dyDescent="0.25">
      <c r="B2319" s="21" t="s">
        <v>395</v>
      </c>
      <c r="C2319" s="22" t="s">
        <v>2450</v>
      </c>
      <c r="D2319" s="22"/>
      <c r="E2319" s="21" t="s">
        <v>0</v>
      </c>
      <c r="F2319" s="21" t="s">
        <v>9766</v>
      </c>
      <c r="G2319" s="147" t="s">
        <v>8757</v>
      </c>
      <c r="H2319" s="23" t="s">
        <v>10114</v>
      </c>
      <c r="I2319" s="23" t="s">
        <v>10115</v>
      </c>
      <c r="J2319" s="21" t="s">
        <v>10116</v>
      </c>
      <c r="K2319" s="21"/>
      <c r="L2319" s="21" t="s">
        <v>10164</v>
      </c>
      <c r="M2319" s="26">
        <v>45483</v>
      </c>
      <c r="N2319" s="44">
        <v>810.5</v>
      </c>
      <c r="O2319" s="22" t="s">
        <v>337</v>
      </c>
      <c r="P2319" s="44">
        <f>810.5</f>
        <v>810.5</v>
      </c>
      <c r="Q2319" s="24">
        <f t="shared" si="145"/>
        <v>0</v>
      </c>
      <c r="R2319" s="24">
        <f>IF(P2319="OK",N2319-Q2319,IF(P2319="en cours",M2319-Q2319,P2319))</f>
        <v>810.5</v>
      </c>
      <c r="S2319" s="5"/>
      <c r="T2319" s="5"/>
    </row>
    <row r="2320" spans="2:20" ht="15.75" hidden="1" x14ac:dyDescent="0.25">
      <c r="B2320" s="21" t="s">
        <v>395</v>
      </c>
      <c r="C2320" s="22" t="s">
        <v>2450</v>
      </c>
      <c r="D2320" s="22"/>
      <c r="E2320" s="21" t="s">
        <v>0</v>
      </c>
      <c r="F2320" s="21" t="s">
        <v>9823</v>
      </c>
      <c r="G2320" s="147" t="s">
        <v>8757</v>
      </c>
      <c r="H2320" s="23" t="s">
        <v>10170</v>
      </c>
      <c r="I2320" s="23" t="s">
        <v>10171</v>
      </c>
      <c r="J2320" s="21" t="s">
        <v>10172</v>
      </c>
      <c r="K2320" s="21"/>
      <c r="L2320" s="21" t="s">
        <v>10260</v>
      </c>
      <c r="M2320" s="26">
        <v>45492</v>
      </c>
      <c r="N2320" s="44">
        <v>537.1</v>
      </c>
      <c r="O2320" s="22" t="s">
        <v>337</v>
      </c>
      <c r="P2320" s="44">
        <v>537.1</v>
      </c>
      <c r="Q2320" s="24">
        <f t="shared" si="145"/>
        <v>0</v>
      </c>
      <c r="R2320" s="24">
        <f>IF(P2320="OK",N2320-Q2320,IF(P2320="en cours",M2320-Q2320,P2320))</f>
        <v>537.1</v>
      </c>
      <c r="S2320" s="5"/>
      <c r="T2320" s="5"/>
    </row>
    <row r="2321" spans="2:20" ht="15.75" hidden="1" x14ac:dyDescent="0.25">
      <c r="B2321" s="21" t="s">
        <v>395</v>
      </c>
      <c r="C2321" s="22" t="s">
        <v>2450</v>
      </c>
      <c r="D2321" s="22"/>
      <c r="E2321" s="21" t="s">
        <v>0</v>
      </c>
      <c r="F2321" s="21" t="s">
        <v>9823</v>
      </c>
      <c r="G2321" s="147" t="s">
        <v>8757</v>
      </c>
      <c r="H2321" s="23" t="s">
        <v>10190</v>
      </c>
      <c r="I2321" s="23" t="s">
        <v>10191</v>
      </c>
      <c r="J2321" s="21" t="s">
        <v>10192</v>
      </c>
      <c r="K2321" s="21"/>
      <c r="L2321" s="21" t="s">
        <v>10205</v>
      </c>
      <c r="M2321" s="26">
        <v>45485</v>
      </c>
      <c r="N2321" s="44">
        <v>3500</v>
      </c>
      <c r="O2321" s="22" t="s">
        <v>337</v>
      </c>
      <c r="P2321" s="44">
        <v>3500</v>
      </c>
      <c r="Q2321" s="24">
        <f t="shared" si="145"/>
        <v>0</v>
      </c>
      <c r="R2321" s="24">
        <f>IF(P2321="OK",N2321-Q2321,IF(P2321="en cours",M2321-Q2321,P2321))</f>
        <v>3500</v>
      </c>
      <c r="S2321" s="5"/>
      <c r="T2321" s="5"/>
    </row>
    <row r="2322" spans="2:20" ht="15.75" hidden="1" x14ac:dyDescent="0.25">
      <c r="B2322" s="21" t="s">
        <v>395</v>
      </c>
      <c r="C2322" s="22" t="s">
        <v>2450</v>
      </c>
      <c r="D2322" s="22"/>
      <c r="E2322" s="21" t="s">
        <v>0</v>
      </c>
      <c r="F2322" s="21" t="s">
        <v>9766</v>
      </c>
      <c r="G2322" s="147" t="s">
        <v>8757</v>
      </c>
      <c r="H2322" s="23" t="s">
        <v>10212</v>
      </c>
      <c r="I2322" s="23" t="s">
        <v>10213</v>
      </c>
      <c r="J2322" s="21" t="s">
        <v>10029</v>
      </c>
      <c r="K2322" s="21"/>
      <c r="L2322" s="21" t="s">
        <v>10214</v>
      </c>
      <c r="M2322" s="26">
        <v>45469</v>
      </c>
      <c r="N2322" s="44">
        <v>600</v>
      </c>
      <c r="O2322" s="22" t="s">
        <v>337</v>
      </c>
      <c r="P2322" s="44">
        <f>600</f>
        <v>600</v>
      </c>
      <c r="Q2322" s="24">
        <f t="shared" si="145"/>
        <v>0</v>
      </c>
      <c r="R2322" s="24">
        <f t="shared" ref="R2322:R2332" si="147">IF(P2322="OK",N2322-Q2322,IF(P2322="en cours",N2322-Q2322,P2322))</f>
        <v>600</v>
      </c>
      <c r="S2322" s="5"/>
      <c r="T2322" s="5"/>
    </row>
    <row r="2323" spans="2:20" ht="15.75" hidden="1" x14ac:dyDescent="0.25">
      <c r="B2323" s="21" t="s">
        <v>395</v>
      </c>
      <c r="C2323" s="22" t="s">
        <v>2450</v>
      </c>
      <c r="D2323" s="22"/>
      <c r="E2323" s="21" t="s">
        <v>0</v>
      </c>
      <c r="F2323" s="21" t="s">
        <v>9823</v>
      </c>
      <c r="G2323" s="147" t="s">
        <v>8757</v>
      </c>
      <c r="H2323" s="23" t="s">
        <v>10241</v>
      </c>
      <c r="I2323" s="23" t="s">
        <v>10242</v>
      </c>
      <c r="J2323" s="21" t="s">
        <v>10243</v>
      </c>
      <c r="K2323" s="21"/>
      <c r="L2323" s="21" t="s">
        <v>10273</v>
      </c>
      <c r="M2323" s="26">
        <v>45498</v>
      </c>
      <c r="N2323" s="44">
        <v>1829</v>
      </c>
      <c r="O2323" s="22" t="s">
        <v>337</v>
      </c>
      <c r="P2323" s="44">
        <v>1829</v>
      </c>
      <c r="Q2323" s="24">
        <f t="shared" si="145"/>
        <v>0</v>
      </c>
      <c r="R2323" s="24">
        <f t="shared" si="147"/>
        <v>1829</v>
      </c>
      <c r="S2323" s="5"/>
      <c r="T2323" s="5"/>
    </row>
    <row r="2324" spans="2:20" ht="15.75" hidden="1" x14ac:dyDescent="0.25">
      <c r="B2324" s="21" t="s">
        <v>395</v>
      </c>
      <c r="C2324" s="22" t="s">
        <v>2450</v>
      </c>
      <c r="D2324" s="22"/>
      <c r="E2324" s="21" t="s">
        <v>0</v>
      </c>
      <c r="F2324" s="21" t="s">
        <v>9823</v>
      </c>
      <c r="G2324" s="147" t="s">
        <v>8757</v>
      </c>
      <c r="H2324" s="23" t="s">
        <v>10244</v>
      </c>
      <c r="I2324" s="23" t="s">
        <v>10245</v>
      </c>
      <c r="J2324" s="21" t="s">
        <v>10070</v>
      </c>
      <c r="K2324" s="21"/>
      <c r="L2324" s="21" t="s">
        <v>10274</v>
      </c>
      <c r="M2324" s="26">
        <v>45503</v>
      </c>
      <c r="N2324" s="44">
        <v>3500</v>
      </c>
      <c r="O2324" s="22" t="s">
        <v>337</v>
      </c>
      <c r="P2324" s="44">
        <v>3500</v>
      </c>
      <c r="Q2324" s="24">
        <f t="shared" si="145"/>
        <v>0</v>
      </c>
      <c r="R2324" s="24">
        <f t="shared" si="147"/>
        <v>3500</v>
      </c>
      <c r="S2324" s="5"/>
      <c r="T2324" s="5"/>
    </row>
    <row r="2325" spans="2:20" ht="15.75" hidden="1" x14ac:dyDescent="0.25">
      <c r="B2325" s="21" t="s">
        <v>395</v>
      </c>
      <c r="C2325" s="22" t="s">
        <v>2450</v>
      </c>
      <c r="D2325" s="22"/>
      <c r="E2325" s="21" t="s">
        <v>0</v>
      </c>
      <c r="F2325" s="21" t="s">
        <v>9823</v>
      </c>
      <c r="G2325" s="147" t="s">
        <v>8757</v>
      </c>
      <c r="H2325" s="23" t="s">
        <v>10246</v>
      </c>
      <c r="I2325" s="23" t="s">
        <v>10247</v>
      </c>
      <c r="J2325" s="21" t="s">
        <v>10172</v>
      </c>
      <c r="K2325" s="21"/>
      <c r="L2325" s="21" t="s">
        <v>10275</v>
      </c>
      <c r="M2325" s="26">
        <v>45503</v>
      </c>
      <c r="N2325" s="44">
        <v>1009.5</v>
      </c>
      <c r="O2325" s="22" t="s">
        <v>337</v>
      </c>
      <c r="P2325" s="44">
        <v>1009.5</v>
      </c>
      <c r="Q2325" s="24">
        <f t="shared" si="145"/>
        <v>0</v>
      </c>
      <c r="R2325" s="24">
        <f t="shared" si="147"/>
        <v>1009.5</v>
      </c>
      <c r="S2325" s="5"/>
      <c r="T2325" s="5"/>
    </row>
    <row r="2326" spans="2:20" ht="15.75" hidden="1" x14ac:dyDescent="0.25">
      <c r="B2326" s="21" t="s">
        <v>395</v>
      </c>
      <c r="C2326" s="22" t="s">
        <v>2450</v>
      </c>
      <c r="D2326" s="22"/>
      <c r="E2326" s="21" t="s">
        <v>0</v>
      </c>
      <c r="F2326" s="21" t="s">
        <v>9823</v>
      </c>
      <c r="G2326" s="147" t="s">
        <v>8757</v>
      </c>
      <c r="H2326" s="23" t="s">
        <v>10248</v>
      </c>
      <c r="I2326" s="23" t="s">
        <v>10249</v>
      </c>
      <c r="J2326" s="21" t="s">
        <v>10250</v>
      </c>
      <c r="K2326" s="21"/>
      <c r="L2326" s="21" t="s">
        <v>10292</v>
      </c>
      <c r="M2326" s="26">
        <v>45511</v>
      </c>
      <c r="N2326" s="44">
        <v>600</v>
      </c>
      <c r="O2326" s="22" t="s">
        <v>337</v>
      </c>
      <c r="P2326" s="44">
        <v>600</v>
      </c>
      <c r="Q2326" s="24">
        <f t="shared" si="145"/>
        <v>0</v>
      </c>
      <c r="R2326" s="24">
        <f t="shared" si="147"/>
        <v>600</v>
      </c>
      <c r="S2326" s="5"/>
      <c r="T2326" s="5"/>
    </row>
    <row r="2327" spans="2:20" ht="15.75" hidden="1" x14ac:dyDescent="0.25">
      <c r="B2327" s="21" t="s">
        <v>395</v>
      </c>
      <c r="C2327" s="22" t="s">
        <v>2450</v>
      </c>
      <c r="D2327" s="22"/>
      <c r="E2327" s="21" t="s">
        <v>0</v>
      </c>
      <c r="F2327" s="21" t="s">
        <v>9823</v>
      </c>
      <c r="G2327" s="147" t="s">
        <v>8757</v>
      </c>
      <c r="H2327" s="23" t="s">
        <v>10251</v>
      </c>
      <c r="I2327" s="23" t="s">
        <v>10252</v>
      </c>
      <c r="J2327" s="21" t="s">
        <v>10253</v>
      </c>
      <c r="K2327" s="21"/>
      <c r="L2327" s="21" t="s">
        <v>11501</v>
      </c>
      <c r="M2327" s="26" t="s">
        <v>11502</v>
      </c>
      <c r="N2327" s="44">
        <v>15500</v>
      </c>
      <c r="O2327" s="22" t="s">
        <v>337</v>
      </c>
      <c r="P2327" s="44">
        <f>4500+1650+3300+550+2750+2750</f>
        <v>15500</v>
      </c>
      <c r="Q2327" s="24">
        <f t="shared" si="145"/>
        <v>0</v>
      </c>
      <c r="R2327" s="24">
        <f t="shared" si="147"/>
        <v>15500</v>
      </c>
      <c r="S2327" s="5"/>
      <c r="T2327" s="5"/>
    </row>
    <row r="2328" spans="2:20" ht="15.75" hidden="1" x14ac:dyDescent="0.25">
      <c r="B2328" s="21" t="s">
        <v>395</v>
      </c>
      <c r="C2328" s="22" t="s">
        <v>2450</v>
      </c>
      <c r="D2328" s="22"/>
      <c r="E2328" s="21" t="s">
        <v>0</v>
      </c>
      <c r="F2328" s="21" t="s">
        <v>9823</v>
      </c>
      <c r="G2328" s="147" t="s">
        <v>8757</v>
      </c>
      <c r="H2328" s="23" t="s">
        <v>10342</v>
      </c>
      <c r="I2328" s="23" t="s">
        <v>10343</v>
      </c>
      <c r="J2328" s="21" t="s">
        <v>10001</v>
      </c>
      <c r="K2328" s="21"/>
      <c r="L2328" s="21" t="s">
        <v>10493</v>
      </c>
      <c r="M2328" s="26">
        <v>45540</v>
      </c>
      <c r="N2328" s="44">
        <v>40500</v>
      </c>
      <c r="O2328" s="22" t="s">
        <v>337</v>
      </c>
      <c r="P2328" s="44">
        <v>40500</v>
      </c>
      <c r="Q2328" s="44">
        <f t="shared" si="145"/>
        <v>0</v>
      </c>
      <c r="R2328" s="24">
        <f t="shared" si="147"/>
        <v>40500</v>
      </c>
      <c r="S2328" s="5"/>
      <c r="T2328" s="5"/>
    </row>
    <row r="2329" spans="2:20" ht="15.75" hidden="1" x14ac:dyDescent="0.25">
      <c r="B2329" s="21" t="s">
        <v>395</v>
      </c>
      <c r="C2329" s="22" t="s">
        <v>2450</v>
      </c>
      <c r="D2329" s="22"/>
      <c r="E2329" s="21" t="s">
        <v>0</v>
      </c>
      <c r="F2329" s="21" t="s">
        <v>9823</v>
      </c>
      <c r="G2329" s="147" t="s">
        <v>8757</v>
      </c>
      <c r="H2329" s="23" t="s">
        <v>10452</v>
      </c>
      <c r="I2329" s="23" t="s">
        <v>10453</v>
      </c>
      <c r="J2329" s="21" t="s">
        <v>10454</v>
      </c>
      <c r="K2329" s="21"/>
      <c r="L2329" s="21" t="s">
        <v>10494</v>
      </c>
      <c r="M2329" s="26">
        <v>45544</v>
      </c>
      <c r="N2329" s="44">
        <v>6793.3</v>
      </c>
      <c r="O2329" s="22" t="s">
        <v>337</v>
      </c>
      <c r="P2329" s="44">
        <v>6793.3</v>
      </c>
      <c r="Q2329" s="44">
        <f t="shared" si="145"/>
        <v>0</v>
      </c>
      <c r="R2329" s="24">
        <f t="shared" si="147"/>
        <v>6793.3</v>
      </c>
      <c r="S2329" s="5"/>
      <c r="T2329" s="5"/>
    </row>
    <row r="2330" spans="2:20" ht="21" hidden="1" customHeight="1" x14ac:dyDescent="0.25">
      <c r="B2330" s="21" t="s">
        <v>395</v>
      </c>
      <c r="C2330" s="22" t="s">
        <v>2450</v>
      </c>
      <c r="D2330" s="22"/>
      <c r="E2330" s="21" t="s">
        <v>0</v>
      </c>
      <c r="F2330" s="21" t="s">
        <v>9823</v>
      </c>
      <c r="G2330" s="147" t="s">
        <v>8757</v>
      </c>
      <c r="H2330" s="23" t="s">
        <v>10529</v>
      </c>
      <c r="I2330" s="23" t="s">
        <v>10530</v>
      </c>
      <c r="J2330" s="21" t="s">
        <v>10531</v>
      </c>
      <c r="K2330" s="21"/>
      <c r="L2330" s="21" t="s">
        <v>10550</v>
      </c>
      <c r="M2330" s="26">
        <v>45561</v>
      </c>
      <c r="N2330" s="44">
        <v>600</v>
      </c>
      <c r="O2330" s="22" t="s">
        <v>337</v>
      </c>
      <c r="P2330" s="44">
        <v>600</v>
      </c>
      <c r="Q2330" s="44">
        <f t="shared" si="145"/>
        <v>0</v>
      </c>
      <c r="R2330" s="24">
        <f t="shared" si="147"/>
        <v>600</v>
      </c>
      <c r="S2330" s="5"/>
      <c r="T2330" s="5"/>
    </row>
    <row r="2331" spans="2:20" ht="21" hidden="1" customHeight="1" x14ac:dyDescent="0.25">
      <c r="B2331" s="21" t="s">
        <v>9112</v>
      </c>
      <c r="C2331" s="22" t="s">
        <v>2450</v>
      </c>
      <c r="D2331" s="22"/>
      <c r="E2331" s="21" t="s">
        <v>0</v>
      </c>
      <c r="F2331" s="21" t="s">
        <v>9823</v>
      </c>
      <c r="G2331" s="147" t="s">
        <v>8757</v>
      </c>
      <c r="H2331" s="23" t="s">
        <v>10599</v>
      </c>
      <c r="I2331" s="23" t="s">
        <v>10600</v>
      </c>
      <c r="J2331" s="21" t="s">
        <v>10601</v>
      </c>
      <c r="K2331" s="21"/>
      <c r="L2331" s="21" t="s">
        <v>11561</v>
      </c>
      <c r="M2331" s="26" t="s">
        <v>11562</v>
      </c>
      <c r="N2331" s="44">
        <v>87500</v>
      </c>
      <c r="O2331" s="22" t="s">
        <v>337</v>
      </c>
      <c r="P2331" s="44">
        <f>33475.3+57142.9</f>
        <v>90618.200000000012</v>
      </c>
      <c r="Q2331" s="44">
        <f t="shared" si="145"/>
        <v>0</v>
      </c>
      <c r="R2331" s="24">
        <f t="shared" si="147"/>
        <v>90618.200000000012</v>
      </c>
      <c r="S2331" s="5"/>
      <c r="T2331" s="5"/>
    </row>
    <row r="2332" spans="2:20" ht="16.5" hidden="1" customHeight="1" x14ac:dyDescent="0.25">
      <c r="B2332" s="21" t="s">
        <v>395</v>
      </c>
      <c r="C2332" s="22" t="s">
        <v>2450</v>
      </c>
      <c r="D2332" s="22"/>
      <c r="E2332" s="21" t="s">
        <v>0</v>
      </c>
      <c r="F2332" s="21" t="s">
        <v>9823</v>
      </c>
      <c r="G2332" s="147" t="s">
        <v>8757</v>
      </c>
      <c r="H2332" s="23" t="s">
        <v>10602</v>
      </c>
      <c r="I2332" s="23" t="s">
        <v>10603</v>
      </c>
      <c r="J2332" s="21" t="s">
        <v>10604</v>
      </c>
      <c r="K2332" s="21"/>
      <c r="L2332" s="21" t="s">
        <v>10869</v>
      </c>
      <c r="M2332" s="26" t="s">
        <v>10870</v>
      </c>
      <c r="N2332" s="44">
        <v>1800</v>
      </c>
      <c r="O2332" s="22" t="s">
        <v>337</v>
      </c>
      <c r="P2332" s="44">
        <f>600+600+600</f>
        <v>1800</v>
      </c>
      <c r="Q2332" s="44">
        <f t="shared" si="145"/>
        <v>0</v>
      </c>
      <c r="R2332" s="24">
        <f t="shared" si="147"/>
        <v>1800</v>
      </c>
      <c r="S2332" s="5"/>
      <c r="T2332" s="5"/>
    </row>
    <row r="2333" spans="2:20" ht="15.75" hidden="1" x14ac:dyDescent="0.25">
      <c r="B2333" s="21" t="s">
        <v>395</v>
      </c>
      <c r="C2333" s="22" t="s">
        <v>2450</v>
      </c>
      <c r="D2333" s="22"/>
      <c r="E2333" s="21" t="s">
        <v>0</v>
      </c>
      <c r="F2333" s="21"/>
      <c r="G2333" s="147" t="s">
        <v>8757</v>
      </c>
      <c r="H2333" s="23" t="s">
        <v>10771</v>
      </c>
      <c r="I2333" s="23" t="s">
        <v>10772</v>
      </c>
      <c r="J2333" s="21" t="s">
        <v>10172</v>
      </c>
      <c r="K2333" s="21"/>
      <c r="L2333" s="21" t="s">
        <v>10808</v>
      </c>
      <c r="M2333" s="26">
        <v>45625</v>
      </c>
      <c r="N2333" s="44">
        <v>530</v>
      </c>
      <c r="O2333" s="22" t="s">
        <v>337</v>
      </c>
      <c r="P2333" s="44">
        <v>530</v>
      </c>
      <c r="Q2333" s="24">
        <f t="shared" si="145"/>
        <v>0</v>
      </c>
      <c r="R2333" s="24">
        <f>IF(P2333="OK",N2333-Q2333,IF(P2333="en cours",M2333-Q2333,P2333))</f>
        <v>530</v>
      </c>
      <c r="S2333" s="5"/>
      <c r="T2333" s="5"/>
    </row>
    <row r="2334" spans="2:20" ht="15.75" hidden="1" x14ac:dyDescent="0.25">
      <c r="B2334" s="21" t="s">
        <v>395</v>
      </c>
      <c r="C2334" s="22" t="s">
        <v>2450</v>
      </c>
      <c r="D2334" s="22"/>
      <c r="E2334" s="21" t="s">
        <v>0</v>
      </c>
      <c r="F2334" s="21" t="s">
        <v>9823</v>
      </c>
      <c r="G2334" s="147" t="s">
        <v>8757</v>
      </c>
      <c r="H2334" s="23" t="s">
        <v>10835</v>
      </c>
      <c r="I2334" s="23" t="s">
        <v>10836</v>
      </c>
      <c r="J2334" s="21" t="s">
        <v>10070</v>
      </c>
      <c r="K2334" s="21"/>
      <c r="L2334" s="21" t="s">
        <v>10868</v>
      </c>
      <c r="M2334" s="26">
        <v>45642</v>
      </c>
      <c r="N2334" s="44">
        <v>3500</v>
      </c>
      <c r="O2334" s="22" t="s">
        <v>337</v>
      </c>
      <c r="P2334" s="44">
        <v>3500</v>
      </c>
      <c r="Q2334" s="44">
        <f t="shared" si="145"/>
        <v>0</v>
      </c>
      <c r="R2334" s="24">
        <f>IF(P2334="OK",N2334-Q2334,IF(P2334="en cours",M2334-Q2334,P2334))</f>
        <v>3500</v>
      </c>
      <c r="S2334" s="5"/>
      <c r="T2334" s="5"/>
    </row>
    <row r="2335" spans="2:20" ht="15.75" hidden="1" x14ac:dyDescent="0.25">
      <c r="B2335" s="21" t="s">
        <v>395</v>
      </c>
      <c r="C2335" s="22" t="s">
        <v>2450</v>
      </c>
      <c r="D2335" s="22"/>
      <c r="E2335" s="21" t="s">
        <v>0</v>
      </c>
      <c r="F2335" s="21" t="s">
        <v>9823</v>
      </c>
      <c r="G2335" s="147" t="s">
        <v>8757</v>
      </c>
      <c r="H2335" s="23" t="s">
        <v>10996</v>
      </c>
      <c r="I2335" s="23" t="s">
        <v>10997</v>
      </c>
      <c r="J2335" s="21" t="s">
        <v>10915</v>
      </c>
      <c r="K2335" s="21"/>
      <c r="L2335" s="21" t="s">
        <v>11198</v>
      </c>
      <c r="M2335" s="26" t="s">
        <v>11199</v>
      </c>
      <c r="N2335" s="44">
        <v>16350</v>
      </c>
      <c r="O2335" s="22" t="s">
        <v>337</v>
      </c>
      <c r="P2335" s="44">
        <f>350+16000</f>
        <v>16350</v>
      </c>
      <c r="Q2335" s="44">
        <f t="shared" si="145"/>
        <v>0</v>
      </c>
      <c r="R2335" s="24">
        <f t="shared" ref="R2335:R2349" si="148">IF(P2335="OK",N2335-Q2335,IF(P2335="en cours",N2335-Q2335,P2335))</f>
        <v>16350</v>
      </c>
      <c r="S2335" s="5"/>
      <c r="T2335" s="5"/>
    </row>
    <row r="2336" spans="2:20" ht="15.75" hidden="1" x14ac:dyDescent="0.25">
      <c r="B2336" s="21" t="s">
        <v>395</v>
      </c>
      <c r="C2336" s="22" t="s">
        <v>2450</v>
      </c>
      <c r="D2336" s="22"/>
      <c r="E2336" s="21" t="s">
        <v>0</v>
      </c>
      <c r="F2336" s="21" t="s">
        <v>9823</v>
      </c>
      <c r="G2336" s="147" t="s">
        <v>8757</v>
      </c>
      <c r="H2336" s="23" t="s">
        <v>10941</v>
      </c>
      <c r="I2336" s="23" t="s">
        <v>10942</v>
      </c>
      <c r="J2336" s="21" t="s">
        <v>10943</v>
      </c>
      <c r="K2336" s="21"/>
      <c r="L2336" s="21" t="s">
        <v>10998</v>
      </c>
      <c r="M2336" s="26" t="s">
        <v>10999</v>
      </c>
      <c r="N2336" s="44">
        <v>7350</v>
      </c>
      <c r="O2336" s="22" t="s">
        <v>337</v>
      </c>
      <c r="P2336" s="44">
        <f>5250+2100</f>
        <v>7350</v>
      </c>
      <c r="Q2336" s="24">
        <f t="shared" si="145"/>
        <v>0</v>
      </c>
      <c r="R2336" s="24">
        <f t="shared" si="148"/>
        <v>7350</v>
      </c>
      <c r="S2336" s="5"/>
      <c r="T2336" s="5"/>
    </row>
    <row r="2337" spans="1:20" ht="15.75" hidden="1" x14ac:dyDescent="0.25">
      <c r="B2337" s="21" t="s">
        <v>395</v>
      </c>
      <c r="C2337" s="22" t="s">
        <v>2450</v>
      </c>
      <c r="D2337" s="22"/>
      <c r="E2337" s="21" t="s">
        <v>0</v>
      </c>
      <c r="F2337" s="21" t="s">
        <v>9823</v>
      </c>
      <c r="G2337" s="147" t="s">
        <v>8757</v>
      </c>
      <c r="H2337" s="23" t="s">
        <v>10944</v>
      </c>
      <c r="I2337" s="23" t="s">
        <v>10945</v>
      </c>
      <c r="J2337" s="21" t="s">
        <v>10946</v>
      </c>
      <c r="K2337" s="21"/>
      <c r="L2337" s="21" t="s">
        <v>10995</v>
      </c>
      <c r="M2337" s="26">
        <v>45642</v>
      </c>
      <c r="N2337" s="44">
        <v>3088.3</v>
      </c>
      <c r="O2337" s="22" t="s">
        <v>337</v>
      </c>
      <c r="P2337" s="44">
        <v>3088.3</v>
      </c>
      <c r="Q2337" s="24">
        <f t="shared" si="145"/>
        <v>0</v>
      </c>
      <c r="R2337" s="24">
        <f t="shared" si="148"/>
        <v>3088.3</v>
      </c>
      <c r="S2337" s="5"/>
      <c r="T2337" s="5"/>
    </row>
    <row r="2338" spans="1:20" ht="15.75" hidden="1" x14ac:dyDescent="0.25">
      <c r="B2338" s="21" t="s">
        <v>395</v>
      </c>
      <c r="C2338" s="22" t="s">
        <v>2450</v>
      </c>
      <c r="D2338" s="22"/>
      <c r="E2338" s="21" t="s">
        <v>0</v>
      </c>
      <c r="F2338" s="21" t="s">
        <v>9823</v>
      </c>
      <c r="G2338" s="147" t="s">
        <v>8757</v>
      </c>
      <c r="H2338" s="23" t="s">
        <v>10978</v>
      </c>
      <c r="I2338" s="23" t="s">
        <v>10979</v>
      </c>
      <c r="J2338" s="21" t="s">
        <v>10980</v>
      </c>
      <c r="K2338" s="21"/>
      <c r="L2338" s="21" t="s">
        <v>11000</v>
      </c>
      <c r="M2338" s="26">
        <v>45646</v>
      </c>
      <c r="N2338" s="44">
        <v>4200</v>
      </c>
      <c r="O2338" s="22" t="s">
        <v>337</v>
      </c>
      <c r="P2338" s="44">
        <v>4200</v>
      </c>
      <c r="Q2338" s="24">
        <f t="shared" si="145"/>
        <v>0</v>
      </c>
      <c r="R2338" s="24">
        <f t="shared" si="148"/>
        <v>4200</v>
      </c>
      <c r="S2338" s="5"/>
      <c r="T2338" s="5"/>
    </row>
    <row r="2339" spans="1:20" ht="15.75" hidden="1" x14ac:dyDescent="0.25">
      <c r="B2339" s="21" t="s">
        <v>395</v>
      </c>
      <c r="C2339" s="22" t="s">
        <v>2450</v>
      </c>
      <c r="D2339" s="22"/>
      <c r="E2339" s="21" t="s">
        <v>75</v>
      </c>
      <c r="F2339" s="21"/>
      <c r="G2339" s="147" t="s">
        <v>4531</v>
      </c>
      <c r="H2339" s="23" t="s">
        <v>4532</v>
      </c>
      <c r="I2339" s="23"/>
      <c r="J2339" s="21" t="s">
        <v>4533</v>
      </c>
      <c r="K2339" s="47"/>
      <c r="L2339" s="21" t="s">
        <v>4680</v>
      </c>
      <c r="M2339" s="26">
        <v>44285</v>
      </c>
      <c r="N2339" s="44">
        <f>359741.79*0.25</f>
        <v>89935.447499999995</v>
      </c>
      <c r="O2339" s="22" t="s">
        <v>15</v>
      </c>
      <c r="P2339" s="44">
        <v>89935.45</v>
      </c>
      <c r="Q2339" s="24">
        <f t="shared" si="145"/>
        <v>0</v>
      </c>
      <c r="R2339" s="24">
        <f t="shared" si="148"/>
        <v>89935.45</v>
      </c>
      <c r="S2339" s="5"/>
      <c r="T2339" s="5"/>
    </row>
    <row r="2340" spans="1:20" ht="15.75" hidden="1" x14ac:dyDescent="0.25">
      <c r="B2340" s="21" t="s">
        <v>395</v>
      </c>
      <c r="C2340" s="22" t="s">
        <v>2450</v>
      </c>
      <c r="D2340" s="22"/>
      <c r="E2340" s="21" t="s">
        <v>75</v>
      </c>
      <c r="F2340" s="21"/>
      <c r="G2340" s="147" t="s">
        <v>4531</v>
      </c>
      <c r="H2340" s="23" t="s">
        <v>4532</v>
      </c>
      <c r="I2340" s="23"/>
      <c r="J2340" s="21" t="s">
        <v>4534</v>
      </c>
      <c r="K2340" s="47"/>
      <c r="L2340" s="21" t="s">
        <v>4824</v>
      </c>
      <c r="M2340" s="26">
        <v>44309</v>
      </c>
      <c r="N2340" s="44">
        <f>359741.79*0.25</f>
        <v>89935.447499999995</v>
      </c>
      <c r="O2340" s="22" t="s">
        <v>15</v>
      </c>
      <c r="P2340" s="44">
        <v>89935.45</v>
      </c>
      <c r="Q2340" s="24">
        <f t="shared" si="145"/>
        <v>0</v>
      </c>
      <c r="R2340" s="24">
        <f t="shared" si="148"/>
        <v>89935.45</v>
      </c>
      <c r="S2340" s="5"/>
      <c r="T2340" s="5"/>
    </row>
    <row r="2341" spans="1:20" ht="15.75" hidden="1" x14ac:dyDescent="0.25">
      <c r="B2341" s="21" t="s">
        <v>395</v>
      </c>
      <c r="C2341" s="22" t="s">
        <v>2450</v>
      </c>
      <c r="D2341" s="22"/>
      <c r="E2341" s="21" t="s">
        <v>75</v>
      </c>
      <c r="F2341" s="21"/>
      <c r="G2341" s="147" t="s">
        <v>4531</v>
      </c>
      <c r="H2341" s="23" t="s">
        <v>4532</v>
      </c>
      <c r="I2341" s="23"/>
      <c r="J2341" s="21" t="s">
        <v>4535</v>
      </c>
      <c r="K2341" s="47"/>
      <c r="L2341" s="21" t="s">
        <v>5737</v>
      </c>
      <c r="M2341" s="26">
        <v>44454</v>
      </c>
      <c r="N2341" s="44">
        <f>359741.79*0.25</f>
        <v>89935.447499999995</v>
      </c>
      <c r="O2341" s="22" t="s">
        <v>15</v>
      </c>
      <c r="P2341" s="44">
        <v>89935.45</v>
      </c>
      <c r="Q2341" s="24">
        <f t="shared" si="145"/>
        <v>0</v>
      </c>
      <c r="R2341" s="24">
        <f t="shared" si="148"/>
        <v>89935.45</v>
      </c>
      <c r="S2341" s="5"/>
      <c r="T2341" s="5"/>
    </row>
    <row r="2342" spans="1:20" ht="15.75" hidden="1" x14ac:dyDescent="0.25">
      <c r="B2342" s="21" t="s">
        <v>395</v>
      </c>
      <c r="C2342" s="22" t="s">
        <v>2450</v>
      </c>
      <c r="D2342" s="22"/>
      <c r="E2342" s="21" t="s">
        <v>75</v>
      </c>
      <c r="F2342" s="21"/>
      <c r="G2342" s="147" t="s">
        <v>4531</v>
      </c>
      <c r="H2342" s="23" t="s">
        <v>4532</v>
      </c>
      <c r="I2342" s="23"/>
      <c r="J2342" s="21" t="s">
        <v>4536</v>
      </c>
      <c r="K2342" s="47"/>
      <c r="L2342" s="21" t="s">
        <v>6742</v>
      </c>
      <c r="M2342" s="26">
        <v>44693</v>
      </c>
      <c r="N2342" s="44">
        <f>359741.79*0.25</f>
        <v>89935.447499999995</v>
      </c>
      <c r="O2342" s="22" t="s">
        <v>15</v>
      </c>
      <c r="P2342" s="44">
        <v>89935.45</v>
      </c>
      <c r="Q2342" s="24">
        <f t="shared" si="145"/>
        <v>0</v>
      </c>
      <c r="R2342" s="24">
        <f t="shared" si="148"/>
        <v>89935.45</v>
      </c>
      <c r="S2342" s="5"/>
      <c r="T2342" s="5"/>
    </row>
    <row r="2343" spans="1:20" ht="15.75" hidden="1" x14ac:dyDescent="0.25">
      <c r="B2343" s="21" t="s">
        <v>395</v>
      </c>
      <c r="C2343" s="22" t="s">
        <v>2450</v>
      </c>
      <c r="D2343" s="22"/>
      <c r="E2343" s="21" t="s">
        <v>75</v>
      </c>
      <c r="F2343" s="21"/>
      <c r="G2343" s="147" t="s">
        <v>4531</v>
      </c>
      <c r="H2343" s="23" t="s">
        <v>4532</v>
      </c>
      <c r="I2343" s="23"/>
      <c r="J2343" s="21" t="s">
        <v>4679</v>
      </c>
      <c r="K2343" s="47"/>
      <c r="L2343" s="21"/>
      <c r="M2343" s="23"/>
      <c r="N2343" s="44">
        <v>0</v>
      </c>
      <c r="O2343" s="22" t="s">
        <v>15</v>
      </c>
      <c r="P2343" s="44"/>
      <c r="Q2343" s="24">
        <f t="shared" si="145"/>
        <v>0</v>
      </c>
      <c r="R2343" s="24">
        <f t="shared" si="148"/>
        <v>0</v>
      </c>
      <c r="S2343" s="5"/>
      <c r="T2343" s="5"/>
    </row>
    <row r="2344" spans="1:20" ht="15.75" hidden="1" x14ac:dyDescent="0.25">
      <c r="B2344" s="21" t="s">
        <v>395</v>
      </c>
      <c r="C2344" s="22" t="s">
        <v>2450</v>
      </c>
      <c r="D2344" s="22"/>
      <c r="E2344" s="21" t="s">
        <v>75</v>
      </c>
      <c r="F2344" s="21"/>
      <c r="G2344" s="147" t="s">
        <v>4531</v>
      </c>
      <c r="H2344" s="23" t="s">
        <v>5621</v>
      </c>
      <c r="I2344" s="23"/>
      <c r="J2344" s="21" t="s">
        <v>5622</v>
      </c>
      <c r="K2344" s="47"/>
      <c r="L2344" s="21" t="s">
        <v>5737</v>
      </c>
      <c r="M2344" s="26">
        <v>44454</v>
      </c>
      <c r="N2344" s="44">
        <v>31036</v>
      </c>
      <c r="O2344" s="22" t="s">
        <v>15</v>
      </c>
      <c r="P2344" s="22">
        <v>31036</v>
      </c>
      <c r="Q2344" s="24">
        <f t="shared" si="145"/>
        <v>0</v>
      </c>
      <c r="R2344" s="24">
        <f t="shared" si="148"/>
        <v>31036</v>
      </c>
      <c r="S2344" s="5" t="s">
        <v>5623</v>
      </c>
      <c r="T2344" s="5"/>
    </row>
    <row r="2345" spans="1:20" ht="15.75" hidden="1" x14ac:dyDescent="0.25">
      <c r="B2345" s="21" t="s">
        <v>395</v>
      </c>
      <c r="C2345" s="22" t="s">
        <v>2450</v>
      </c>
      <c r="D2345" s="22"/>
      <c r="E2345" s="21" t="s">
        <v>75</v>
      </c>
      <c r="F2345" s="21"/>
      <c r="G2345" s="147" t="s">
        <v>4531</v>
      </c>
      <c r="H2345" s="23" t="s">
        <v>5610</v>
      </c>
      <c r="I2345" s="23"/>
      <c r="J2345" s="21" t="s">
        <v>5611</v>
      </c>
      <c r="K2345" s="47"/>
      <c r="L2345" s="21" t="s">
        <v>5615</v>
      </c>
      <c r="M2345" s="26">
        <v>44408</v>
      </c>
      <c r="N2345" s="44">
        <v>25999.5</v>
      </c>
      <c r="O2345" s="22" t="s">
        <v>15</v>
      </c>
      <c r="P2345" s="22">
        <v>25999.5</v>
      </c>
      <c r="Q2345" s="24">
        <f t="shared" si="145"/>
        <v>0</v>
      </c>
      <c r="R2345" s="24">
        <f t="shared" si="148"/>
        <v>25999.5</v>
      </c>
      <c r="S2345" s="5"/>
      <c r="T2345" s="5"/>
    </row>
    <row r="2346" spans="1:20" ht="15.75" hidden="1" x14ac:dyDescent="0.25">
      <c r="B2346" s="21" t="s">
        <v>395</v>
      </c>
      <c r="C2346" s="22" t="s">
        <v>2450</v>
      </c>
      <c r="D2346" s="22"/>
      <c r="E2346" s="21" t="s">
        <v>75</v>
      </c>
      <c r="F2346" s="21"/>
      <c r="G2346" s="147" t="s">
        <v>4531</v>
      </c>
      <c r="H2346" s="23" t="s">
        <v>6024</v>
      </c>
      <c r="I2346" s="23"/>
      <c r="J2346" s="21" t="s">
        <v>6025</v>
      </c>
      <c r="K2346" s="47"/>
      <c r="L2346" s="21" t="s">
        <v>6385</v>
      </c>
      <c r="M2346" s="26">
        <v>44592</v>
      </c>
      <c r="N2346" s="44">
        <v>79992.75</v>
      </c>
      <c r="O2346" s="22" t="s">
        <v>15</v>
      </c>
      <c r="P2346" s="22">
        <v>79992.75</v>
      </c>
      <c r="Q2346" s="24">
        <f t="shared" si="145"/>
        <v>0</v>
      </c>
      <c r="R2346" s="24">
        <f t="shared" si="148"/>
        <v>79992.75</v>
      </c>
      <c r="S2346" s="5"/>
      <c r="T2346" s="5"/>
    </row>
    <row r="2347" spans="1:20" ht="15.75" hidden="1" x14ac:dyDescent="0.25">
      <c r="B2347" s="21" t="s">
        <v>395</v>
      </c>
      <c r="C2347" s="22" t="s">
        <v>2450</v>
      </c>
      <c r="D2347" s="22"/>
      <c r="E2347" s="21" t="s">
        <v>75</v>
      </c>
      <c r="F2347" s="21"/>
      <c r="G2347" s="147" t="s">
        <v>4531</v>
      </c>
      <c r="H2347" s="23" t="s">
        <v>7028</v>
      </c>
      <c r="I2347" s="23" t="s">
        <v>8184</v>
      </c>
      <c r="J2347" s="21" t="s">
        <v>7027</v>
      </c>
      <c r="K2347" s="47"/>
      <c r="L2347" s="21" t="s">
        <v>7558</v>
      </c>
      <c r="M2347" s="26" t="s">
        <v>7559</v>
      </c>
      <c r="N2347" s="44">
        <v>101833.16</v>
      </c>
      <c r="O2347" s="22" t="s">
        <v>15</v>
      </c>
      <c r="P2347" s="22">
        <f>50916.58+50916.58</f>
        <v>101833.16</v>
      </c>
      <c r="Q2347" s="24">
        <f t="shared" si="145"/>
        <v>0</v>
      </c>
      <c r="R2347" s="24">
        <f t="shared" si="148"/>
        <v>101833.16</v>
      </c>
      <c r="S2347" s="5"/>
      <c r="T2347" s="5"/>
    </row>
    <row r="2348" spans="1:20" ht="15.75" hidden="1" x14ac:dyDescent="0.25">
      <c r="B2348" s="21" t="s">
        <v>395</v>
      </c>
      <c r="C2348" s="22" t="s">
        <v>2450</v>
      </c>
      <c r="D2348" s="22"/>
      <c r="E2348" s="21" t="s">
        <v>75</v>
      </c>
      <c r="F2348" s="21"/>
      <c r="G2348" s="147" t="s">
        <v>4531</v>
      </c>
      <c r="H2348" s="23" t="s">
        <v>7699</v>
      </c>
      <c r="I2348" s="23" t="s">
        <v>8281</v>
      </c>
      <c r="J2348" s="21" t="s">
        <v>7700</v>
      </c>
      <c r="K2348" s="21"/>
      <c r="L2348" s="21" t="s">
        <v>8550</v>
      </c>
      <c r="M2348" s="26">
        <v>45107</v>
      </c>
      <c r="N2348" s="44">
        <f>99200.7*0.5</f>
        <v>49600.35</v>
      </c>
      <c r="O2348" s="22" t="s">
        <v>15</v>
      </c>
      <c r="P2348" s="44">
        <f>49600.35</f>
        <v>49600.35</v>
      </c>
      <c r="Q2348" s="24">
        <f t="shared" si="145"/>
        <v>0</v>
      </c>
      <c r="R2348" s="24">
        <f t="shared" si="148"/>
        <v>49600.35</v>
      </c>
      <c r="S2348" s="5"/>
      <c r="T2348" s="5"/>
    </row>
    <row r="2349" spans="1:20" ht="15.75" hidden="1" x14ac:dyDescent="0.25">
      <c r="B2349" s="21" t="s">
        <v>395</v>
      </c>
      <c r="C2349" s="22" t="s">
        <v>2450</v>
      </c>
      <c r="D2349" s="22"/>
      <c r="E2349" s="21" t="s">
        <v>75</v>
      </c>
      <c r="F2349" s="21"/>
      <c r="G2349" s="147" t="s">
        <v>4531</v>
      </c>
      <c r="H2349" s="23" t="s">
        <v>7699</v>
      </c>
      <c r="I2349" s="23" t="s">
        <v>8281</v>
      </c>
      <c r="J2349" s="21" t="s">
        <v>7701</v>
      </c>
      <c r="K2349" s="21"/>
      <c r="L2349" s="21" t="s">
        <v>8896</v>
      </c>
      <c r="M2349" s="26">
        <v>45199</v>
      </c>
      <c r="N2349" s="44">
        <f>99200.7*0.5</f>
        <v>49600.35</v>
      </c>
      <c r="O2349" s="22" t="s">
        <v>15</v>
      </c>
      <c r="P2349" s="44">
        <f>49600.35</f>
        <v>49600.35</v>
      </c>
      <c r="Q2349" s="24">
        <f t="shared" si="145"/>
        <v>0</v>
      </c>
      <c r="R2349" s="24">
        <f t="shared" si="148"/>
        <v>49600.35</v>
      </c>
      <c r="S2349" s="5"/>
      <c r="T2349" s="5"/>
    </row>
    <row r="2350" spans="1:20" ht="15.75" hidden="1" x14ac:dyDescent="0.25">
      <c r="B2350" s="21" t="s">
        <v>395</v>
      </c>
      <c r="C2350" s="22" t="s">
        <v>2450</v>
      </c>
      <c r="D2350" s="22"/>
      <c r="E2350" s="21" t="s">
        <v>75</v>
      </c>
      <c r="F2350" s="21"/>
      <c r="G2350" s="147" t="s">
        <v>4531</v>
      </c>
      <c r="H2350" s="23" t="s">
        <v>8581</v>
      </c>
      <c r="I2350" s="23" t="s">
        <v>8582</v>
      </c>
      <c r="J2350" s="21" t="s">
        <v>8544</v>
      </c>
      <c r="K2350" s="21"/>
      <c r="L2350" s="21" t="s">
        <v>8896</v>
      </c>
      <c r="M2350" s="26">
        <v>45199</v>
      </c>
      <c r="N2350" s="44">
        <v>9709.6299999999992</v>
      </c>
      <c r="O2350" s="22" t="s">
        <v>15</v>
      </c>
      <c r="P2350" s="44">
        <f>9709.63</f>
        <v>9709.6299999999992</v>
      </c>
      <c r="Q2350" s="24">
        <f t="shared" si="145"/>
        <v>0</v>
      </c>
      <c r="R2350" s="24">
        <f>IF(P2350="OK",N2350-Q2350,IF(P2350="en cours",N2350-Q2350,P2350))</f>
        <v>9709.6299999999992</v>
      </c>
      <c r="S2350" s="5"/>
      <c r="T2350" s="5"/>
    </row>
    <row r="2351" spans="1:20" ht="15.75" hidden="1" x14ac:dyDescent="0.25">
      <c r="B2351" s="21" t="s">
        <v>395</v>
      </c>
      <c r="C2351" s="22" t="s">
        <v>2450</v>
      </c>
      <c r="D2351" s="22"/>
      <c r="E2351" s="21" t="s">
        <v>75</v>
      </c>
      <c r="F2351" s="21"/>
      <c r="G2351" s="147" t="s">
        <v>4531</v>
      </c>
      <c r="H2351" s="23" t="s">
        <v>10730</v>
      </c>
      <c r="I2351" s="23"/>
      <c r="J2351" s="21" t="s">
        <v>8544</v>
      </c>
      <c r="K2351" s="21"/>
      <c r="L2351" s="21" t="s">
        <v>11263</v>
      </c>
      <c r="M2351" s="26">
        <v>45712</v>
      </c>
      <c r="N2351" s="44">
        <v>194509.14</v>
      </c>
      <c r="O2351" s="22" t="s">
        <v>15</v>
      </c>
      <c r="P2351" s="44">
        <v>194509.14</v>
      </c>
      <c r="Q2351" s="24">
        <f t="shared" si="145"/>
        <v>0</v>
      </c>
      <c r="R2351" s="24">
        <f>IF(P2351="OK",N2351-Q2351,IF(P2351="en cours",N2351-Q2351,P2351))</f>
        <v>194509.14</v>
      </c>
      <c r="S2351" s="5"/>
      <c r="T2351" s="5"/>
    </row>
    <row r="2352" spans="1:20" ht="15.75" hidden="1" x14ac:dyDescent="0.25">
      <c r="A2352" t="s">
        <v>6753</v>
      </c>
      <c r="B2352" s="21" t="s">
        <v>395</v>
      </c>
      <c r="C2352" s="22" t="s">
        <v>158</v>
      </c>
      <c r="D2352" s="22"/>
      <c r="E2352" s="21" t="s">
        <v>10</v>
      </c>
      <c r="F2352" s="21"/>
      <c r="G2352" s="147" t="s">
        <v>6807</v>
      </c>
      <c r="H2352" s="23" t="s">
        <v>6812</v>
      </c>
      <c r="I2352" s="23" t="s">
        <v>8167</v>
      </c>
      <c r="J2352" s="21" t="s">
        <v>6808</v>
      </c>
      <c r="K2352" s="21"/>
      <c r="L2352" s="21" t="s">
        <v>6957</v>
      </c>
      <c r="M2352" s="26">
        <v>44760</v>
      </c>
      <c r="N2352" s="44">
        <v>3354</v>
      </c>
      <c r="O2352" s="22" t="s">
        <v>15</v>
      </c>
      <c r="P2352" s="44">
        <v>2400</v>
      </c>
      <c r="Q2352" s="44">
        <v>0</v>
      </c>
      <c r="R2352" s="24">
        <f t="shared" ref="R2352:R2363" si="149">IF(P2352="OK",N2352-Q2352,IF(P2352="en cours",N2352-Q2352,P2352))</f>
        <v>2400</v>
      </c>
      <c r="S2352" s="5"/>
      <c r="T2352" s="5"/>
    </row>
    <row r="2353" spans="1:20" ht="15.75" hidden="1" x14ac:dyDescent="0.25">
      <c r="A2353" t="s">
        <v>6753</v>
      </c>
      <c r="B2353" s="21" t="s">
        <v>395</v>
      </c>
      <c r="C2353" s="22" t="s">
        <v>2450</v>
      </c>
      <c r="D2353" s="22"/>
      <c r="E2353" s="21" t="s">
        <v>10</v>
      </c>
      <c r="F2353" s="21"/>
      <c r="G2353" s="147" t="s">
        <v>7162</v>
      </c>
      <c r="H2353" s="188" t="s">
        <v>8725</v>
      </c>
      <c r="I2353" s="23" t="s">
        <v>8196</v>
      </c>
      <c r="J2353" s="21" t="s">
        <v>7163</v>
      </c>
      <c r="K2353" s="21"/>
      <c r="L2353" s="21"/>
      <c r="M2353" s="23"/>
      <c r="N2353" s="44">
        <v>0</v>
      </c>
      <c r="O2353" s="22" t="s">
        <v>341</v>
      </c>
      <c r="P2353" s="44"/>
      <c r="Q2353" s="44">
        <f t="shared" ref="Q2353:Q2382" si="150">IF(P2353="en cours",N2353,IF(P2353="OK",0,IF(N2353-P2353&lt;0,0,N2353-P2353)))</f>
        <v>0</v>
      </c>
      <c r="R2353" s="24">
        <f t="shared" si="149"/>
        <v>0</v>
      </c>
      <c r="S2353" s="5"/>
      <c r="T2353" s="5"/>
    </row>
    <row r="2354" spans="1:20" ht="15.75" hidden="1" x14ac:dyDescent="0.25">
      <c r="A2354" t="s">
        <v>6753</v>
      </c>
      <c r="B2354" s="21" t="s">
        <v>395</v>
      </c>
      <c r="C2354" s="22" t="s">
        <v>2450</v>
      </c>
      <c r="D2354" s="22"/>
      <c r="E2354" s="21" t="s">
        <v>0</v>
      </c>
      <c r="F2354" s="21"/>
      <c r="G2354" s="147" t="s">
        <v>3862</v>
      </c>
      <c r="H2354" s="23" t="s">
        <v>7269</v>
      </c>
      <c r="I2354" s="23" t="s">
        <v>8212</v>
      </c>
      <c r="J2354" s="21" t="s">
        <v>7268</v>
      </c>
      <c r="K2354" s="21"/>
      <c r="L2354" s="21" t="s">
        <v>7378</v>
      </c>
      <c r="M2354" s="26">
        <v>44909</v>
      </c>
      <c r="N2354" s="44">
        <v>5715.3</v>
      </c>
      <c r="O2354" s="22" t="s">
        <v>15</v>
      </c>
      <c r="P2354" s="44">
        <v>5789.7</v>
      </c>
      <c r="Q2354" s="24">
        <f t="shared" si="150"/>
        <v>0</v>
      </c>
      <c r="R2354" s="24">
        <f t="shared" si="149"/>
        <v>5789.7</v>
      </c>
      <c r="S2354" s="5"/>
      <c r="T2354" s="5"/>
    </row>
    <row r="2355" spans="1:20" ht="15.75" hidden="1" x14ac:dyDescent="0.25">
      <c r="A2355" t="s">
        <v>6753</v>
      </c>
      <c r="B2355" s="21" t="s">
        <v>395</v>
      </c>
      <c r="C2355" s="22" t="s">
        <v>2450</v>
      </c>
      <c r="D2355" s="22"/>
      <c r="E2355" s="21" t="s">
        <v>10</v>
      </c>
      <c r="F2355" s="21"/>
      <c r="G2355" s="147" t="s">
        <v>7313</v>
      </c>
      <c r="H2355" s="23" t="s">
        <v>6642</v>
      </c>
      <c r="I2355" s="23" t="s">
        <v>8154</v>
      </c>
      <c r="J2355" s="21" t="s">
        <v>6555</v>
      </c>
      <c r="K2355" s="21"/>
      <c r="L2355" s="21" t="s">
        <v>7249</v>
      </c>
      <c r="M2355" s="23" t="s">
        <v>7250</v>
      </c>
      <c r="N2355" s="44">
        <v>5039.1000000000004</v>
      </c>
      <c r="O2355" s="22" t="s">
        <v>15</v>
      </c>
      <c r="P2355" s="44">
        <f>2750+2365+5039.1-2750-2365</f>
        <v>5039.1000000000004</v>
      </c>
      <c r="Q2355" s="24">
        <f t="shared" si="150"/>
        <v>0</v>
      </c>
      <c r="R2355" s="24">
        <f t="shared" si="149"/>
        <v>5039.1000000000004</v>
      </c>
      <c r="S2355" s="5"/>
      <c r="T2355" s="5"/>
    </row>
    <row r="2356" spans="1:20" ht="15.75" hidden="1" x14ac:dyDescent="0.25">
      <c r="A2356" t="s">
        <v>6753</v>
      </c>
      <c r="B2356" s="21" t="s">
        <v>395</v>
      </c>
      <c r="C2356" s="22" t="s">
        <v>2450</v>
      </c>
      <c r="D2356" s="22"/>
      <c r="E2356" s="21" t="s">
        <v>10</v>
      </c>
      <c r="F2356" s="21"/>
      <c r="G2356" s="147" t="s">
        <v>7313</v>
      </c>
      <c r="H2356" s="23" t="s">
        <v>7717</v>
      </c>
      <c r="I2356" s="23" t="s">
        <v>8286</v>
      </c>
      <c r="J2356" s="21" t="s">
        <v>7718</v>
      </c>
      <c r="K2356" s="21"/>
      <c r="L2356" s="21" t="s">
        <v>7800</v>
      </c>
      <c r="M2356" s="26" t="s">
        <v>7801</v>
      </c>
      <c r="N2356" s="44">
        <v>3072.86</v>
      </c>
      <c r="O2356" s="22" t="s">
        <v>15</v>
      </c>
      <c r="P2356" s="44">
        <f>150+1006.96+1963.9</f>
        <v>3120.86</v>
      </c>
      <c r="Q2356" s="24">
        <f t="shared" si="150"/>
        <v>0</v>
      </c>
      <c r="R2356" s="24">
        <f t="shared" si="149"/>
        <v>3120.86</v>
      </c>
      <c r="S2356" s="5"/>
      <c r="T2356" s="5"/>
    </row>
    <row r="2357" spans="1:20" ht="15.75" hidden="1" x14ac:dyDescent="0.25">
      <c r="A2357" t="s">
        <v>6753</v>
      </c>
      <c r="B2357" s="21" t="s">
        <v>395</v>
      </c>
      <c r="C2357" s="22" t="s">
        <v>2450</v>
      </c>
      <c r="D2357" s="22"/>
      <c r="E2357" s="21" t="s">
        <v>10</v>
      </c>
      <c r="F2357" s="21"/>
      <c r="G2357" s="147" t="s">
        <v>7313</v>
      </c>
      <c r="H2357" s="23" t="s">
        <v>8395</v>
      </c>
      <c r="I2357" s="23" t="s">
        <v>8396</v>
      </c>
      <c r="J2357" s="21" t="s">
        <v>7718</v>
      </c>
      <c r="K2357" s="21"/>
      <c r="L2357" s="21" t="s">
        <v>8397</v>
      </c>
      <c r="M2357" s="26">
        <v>45069</v>
      </c>
      <c r="N2357" s="44">
        <v>2369.71</v>
      </c>
      <c r="O2357" s="22" t="s">
        <v>15</v>
      </c>
      <c r="P2357" s="44">
        <v>2369.71</v>
      </c>
      <c r="Q2357" s="24">
        <f t="shared" si="150"/>
        <v>0</v>
      </c>
      <c r="R2357" s="24">
        <f t="shared" si="149"/>
        <v>2369.71</v>
      </c>
      <c r="S2357" s="5"/>
      <c r="T2357" s="5"/>
    </row>
    <row r="2358" spans="1:20" ht="15.75" hidden="1" x14ac:dyDescent="0.25">
      <c r="A2358" t="s">
        <v>6753</v>
      </c>
      <c r="B2358" s="21" t="s">
        <v>395</v>
      </c>
      <c r="C2358" s="22" t="s">
        <v>2450</v>
      </c>
      <c r="D2358" s="22"/>
      <c r="E2358" s="21" t="s">
        <v>10</v>
      </c>
      <c r="F2358" s="21"/>
      <c r="G2358" s="147" t="s">
        <v>7313</v>
      </c>
      <c r="H2358" s="23" t="s">
        <v>8647</v>
      </c>
      <c r="I2358" s="23" t="s">
        <v>8648</v>
      </c>
      <c r="J2358" s="21" t="s">
        <v>6557</v>
      </c>
      <c r="K2358" s="21"/>
      <c r="L2358" s="21" t="s">
        <v>8703</v>
      </c>
      <c r="M2358" s="26" t="s">
        <v>8704</v>
      </c>
      <c r="N2358" s="44">
        <v>4119.8999999999996</v>
      </c>
      <c r="O2358" s="22" t="s">
        <v>15</v>
      </c>
      <c r="P2358" s="44">
        <f>2620.06+749.92+749.92</f>
        <v>4119.8999999999996</v>
      </c>
      <c r="Q2358" s="44">
        <f t="shared" si="150"/>
        <v>0</v>
      </c>
      <c r="R2358" s="24">
        <f t="shared" si="149"/>
        <v>4119.8999999999996</v>
      </c>
      <c r="S2358" s="5"/>
      <c r="T2358" s="5"/>
    </row>
    <row r="2359" spans="1:20" ht="15.75" hidden="1" x14ac:dyDescent="0.25">
      <c r="A2359" t="s">
        <v>6753</v>
      </c>
      <c r="B2359" s="21" t="s">
        <v>395</v>
      </c>
      <c r="C2359" s="22" t="s">
        <v>2450</v>
      </c>
      <c r="D2359" s="22"/>
      <c r="E2359" s="21" t="s">
        <v>10</v>
      </c>
      <c r="F2359" s="21"/>
      <c r="G2359" s="147" t="s">
        <v>7313</v>
      </c>
      <c r="H2359" s="23" t="s">
        <v>7314</v>
      </c>
      <c r="I2359" s="23" t="s">
        <v>8217</v>
      </c>
      <c r="J2359" s="21" t="s">
        <v>6557</v>
      </c>
      <c r="K2359" s="21"/>
      <c r="L2359" s="21" t="s">
        <v>7358</v>
      </c>
      <c r="M2359" s="26" t="s">
        <v>7359</v>
      </c>
      <c r="N2359" s="44">
        <v>4173.5</v>
      </c>
      <c r="O2359" s="22" t="s">
        <v>15</v>
      </c>
      <c r="P2359" s="44">
        <f>2561.5+1612</f>
        <v>4173.5</v>
      </c>
      <c r="Q2359" s="44">
        <f t="shared" si="150"/>
        <v>0</v>
      </c>
      <c r="R2359" s="24">
        <f t="shared" si="149"/>
        <v>4173.5</v>
      </c>
      <c r="S2359" s="5"/>
      <c r="T2359" s="5"/>
    </row>
    <row r="2360" spans="1:20" ht="15.75" hidden="1" x14ac:dyDescent="0.25">
      <c r="A2360" t="s">
        <v>6753</v>
      </c>
      <c r="B2360" s="21" t="s">
        <v>395</v>
      </c>
      <c r="C2360" s="22" t="s">
        <v>2450</v>
      </c>
      <c r="D2360" s="22"/>
      <c r="E2360" s="21" t="s">
        <v>10</v>
      </c>
      <c r="F2360" s="21"/>
      <c r="G2360" s="147" t="s">
        <v>7313</v>
      </c>
      <c r="H2360" s="23" t="s">
        <v>9151</v>
      </c>
      <c r="I2360" s="23" t="s">
        <v>9152</v>
      </c>
      <c r="J2360" s="21" t="s">
        <v>9153</v>
      </c>
      <c r="K2360" s="21"/>
      <c r="L2360" s="21" t="s">
        <v>9231</v>
      </c>
      <c r="M2360" s="26" t="s">
        <v>9232</v>
      </c>
      <c r="N2360" s="44">
        <v>1829.5</v>
      </c>
      <c r="O2360" s="22" t="s">
        <v>15</v>
      </c>
      <c r="P2360" s="44">
        <f>1445.3+384.2</f>
        <v>1829.5</v>
      </c>
      <c r="Q2360" s="44">
        <f t="shared" si="150"/>
        <v>0</v>
      </c>
      <c r="R2360" s="24">
        <f t="shared" si="149"/>
        <v>1829.5</v>
      </c>
      <c r="S2360" s="5"/>
      <c r="T2360" s="5"/>
    </row>
    <row r="2361" spans="1:20" ht="15.75" hidden="1" x14ac:dyDescent="0.25">
      <c r="B2361" s="21" t="s">
        <v>395</v>
      </c>
      <c r="C2361" s="22" t="s">
        <v>2450</v>
      </c>
      <c r="D2361" s="22"/>
      <c r="E2361" s="21" t="s">
        <v>10</v>
      </c>
      <c r="F2361" s="21"/>
      <c r="G2361" s="147" t="s">
        <v>7313</v>
      </c>
      <c r="H2361" s="23" t="s">
        <v>9327</v>
      </c>
      <c r="I2361" s="23" t="s">
        <v>9328</v>
      </c>
      <c r="J2361" s="21" t="s">
        <v>6557</v>
      </c>
      <c r="K2361" s="21"/>
      <c r="L2361" s="21" t="s">
        <v>9386</v>
      </c>
      <c r="M2361" s="26" t="s">
        <v>9387</v>
      </c>
      <c r="N2361" s="44">
        <v>5735.82</v>
      </c>
      <c r="O2361" s="22" t="s">
        <v>15</v>
      </c>
      <c r="P2361" s="44">
        <f>27+1355.36+4353.46</f>
        <v>5735.82</v>
      </c>
      <c r="Q2361" s="44">
        <f t="shared" si="150"/>
        <v>0</v>
      </c>
      <c r="R2361" s="24">
        <f t="shared" si="149"/>
        <v>5735.82</v>
      </c>
      <c r="S2361" s="5"/>
      <c r="T2361" s="5"/>
    </row>
    <row r="2362" spans="1:20" ht="15.75" hidden="1" x14ac:dyDescent="0.25">
      <c r="B2362" s="21" t="s">
        <v>395</v>
      </c>
      <c r="C2362" s="22" t="s">
        <v>2450</v>
      </c>
      <c r="D2362" s="22"/>
      <c r="E2362" s="21" t="s">
        <v>10</v>
      </c>
      <c r="F2362" s="21" t="s">
        <v>9721</v>
      </c>
      <c r="G2362" s="147" t="s">
        <v>7313</v>
      </c>
      <c r="H2362" s="23" t="s">
        <v>9744</v>
      </c>
      <c r="I2362" s="23" t="s">
        <v>9745</v>
      </c>
      <c r="J2362" s="21" t="s">
        <v>6557</v>
      </c>
      <c r="K2362" s="21"/>
      <c r="L2362" s="21" t="s">
        <v>9905</v>
      </c>
      <c r="M2362" s="26" t="s">
        <v>9906</v>
      </c>
      <c r="N2362" s="44">
        <v>8029</v>
      </c>
      <c r="O2362" s="22" t="s">
        <v>15</v>
      </c>
      <c r="P2362" s="44">
        <f>2526.6+5502.4</f>
        <v>8029</v>
      </c>
      <c r="Q2362" s="24">
        <f t="shared" si="150"/>
        <v>0</v>
      </c>
      <c r="R2362" s="24">
        <f t="shared" si="149"/>
        <v>8029</v>
      </c>
      <c r="S2362" s="5"/>
      <c r="T2362" s="5"/>
    </row>
    <row r="2363" spans="1:20" ht="16.5" hidden="1" customHeight="1" x14ac:dyDescent="0.25">
      <c r="B2363" s="21" t="s">
        <v>395</v>
      </c>
      <c r="C2363" s="22" t="s">
        <v>2450</v>
      </c>
      <c r="D2363" s="22"/>
      <c r="E2363" s="21" t="s">
        <v>10</v>
      </c>
      <c r="F2363" s="21" t="s">
        <v>9721</v>
      </c>
      <c r="G2363" s="147" t="s">
        <v>7313</v>
      </c>
      <c r="H2363" s="23" t="s">
        <v>10058</v>
      </c>
      <c r="I2363" s="23" t="s">
        <v>10059</v>
      </c>
      <c r="J2363" s="21" t="s">
        <v>6557</v>
      </c>
      <c r="K2363" s="21"/>
      <c r="L2363" s="21" t="s">
        <v>10076</v>
      </c>
      <c r="M2363" s="26">
        <v>45461</v>
      </c>
      <c r="N2363" s="44">
        <v>2617.65</v>
      </c>
      <c r="O2363" s="22" t="s">
        <v>15</v>
      </c>
      <c r="P2363" s="44">
        <f>2617.65</f>
        <v>2617.65</v>
      </c>
      <c r="Q2363" s="44">
        <f t="shared" si="150"/>
        <v>0</v>
      </c>
      <c r="R2363" s="24">
        <f t="shared" si="149"/>
        <v>2617.65</v>
      </c>
      <c r="S2363" s="5"/>
      <c r="T2363" s="5"/>
    </row>
    <row r="2364" spans="1:20" ht="15.75" hidden="1" x14ac:dyDescent="0.25">
      <c r="B2364" s="21" t="s">
        <v>395</v>
      </c>
      <c r="C2364" s="22" t="s">
        <v>2450</v>
      </c>
      <c r="D2364" s="22"/>
      <c r="E2364" s="21" t="s">
        <v>10</v>
      </c>
      <c r="F2364" s="21" t="s">
        <v>9721</v>
      </c>
      <c r="G2364" s="147" t="s">
        <v>7313</v>
      </c>
      <c r="H2364" s="23" t="s">
        <v>10467</v>
      </c>
      <c r="I2364" s="23" t="s">
        <v>10468</v>
      </c>
      <c r="J2364" s="21" t="s">
        <v>6557</v>
      </c>
      <c r="K2364" s="21"/>
      <c r="L2364" s="21" t="s">
        <v>10559</v>
      </c>
      <c r="M2364" s="26">
        <v>45547</v>
      </c>
      <c r="N2364" s="44">
        <v>3811.1</v>
      </c>
      <c r="O2364" s="22" t="s">
        <v>15</v>
      </c>
      <c r="P2364" s="44">
        <v>3811.1</v>
      </c>
      <c r="Q2364" s="44">
        <f t="shared" si="150"/>
        <v>0</v>
      </c>
      <c r="R2364" s="24">
        <f>IF(P2364="OK",N2364-Q2364,IF(P2364="en cours",N2364-Q2364,P2364))</f>
        <v>3811.1</v>
      </c>
      <c r="S2364" s="5"/>
      <c r="T2364" s="5"/>
    </row>
    <row r="2365" spans="1:20" ht="15.75" hidden="1" x14ac:dyDescent="0.25">
      <c r="B2365" s="21" t="s">
        <v>395</v>
      </c>
      <c r="C2365" s="22" t="s">
        <v>2450</v>
      </c>
      <c r="D2365" s="22"/>
      <c r="E2365" s="21" t="s">
        <v>10</v>
      </c>
      <c r="F2365" s="21" t="s">
        <v>9721</v>
      </c>
      <c r="G2365" s="147" t="s">
        <v>7313</v>
      </c>
      <c r="H2365" s="23" t="s">
        <v>10595</v>
      </c>
      <c r="I2365" s="23" t="s">
        <v>10596</v>
      </c>
      <c r="J2365" s="21" t="s">
        <v>6557</v>
      </c>
      <c r="K2365" s="21"/>
      <c r="L2365" s="21" t="s">
        <v>10654</v>
      </c>
      <c r="M2365" s="26">
        <v>45588</v>
      </c>
      <c r="N2365" s="44">
        <v>4624.1000000000004</v>
      </c>
      <c r="O2365" s="22" t="s">
        <v>15</v>
      </c>
      <c r="P2365" s="44">
        <v>4624.1000000000004</v>
      </c>
      <c r="Q2365" s="44">
        <f t="shared" si="150"/>
        <v>0</v>
      </c>
      <c r="R2365" s="24">
        <f>IF(P2365="OK",N2365-Q2365,IF(P2365="en cours",N2365-Q2365,P2365))</f>
        <v>4624.1000000000004</v>
      </c>
      <c r="S2365" s="5"/>
      <c r="T2365" s="5"/>
    </row>
    <row r="2366" spans="1:20" ht="15.75" hidden="1" x14ac:dyDescent="0.25">
      <c r="B2366" s="21" t="s">
        <v>395</v>
      </c>
      <c r="C2366" s="22" t="s">
        <v>2450</v>
      </c>
      <c r="D2366" s="22"/>
      <c r="E2366" s="21" t="s">
        <v>10</v>
      </c>
      <c r="F2366" s="21" t="s">
        <v>9721</v>
      </c>
      <c r="G2366" s="147" t="s">
        <v>7313</v>
      </c>
      <c r="H2366" s="23" t="s">
        <v>10639</v>
      </c>
      <c r="I2366" s="23" t="s">
        <v>10640</v>
      </c>
      <c r="J2366" s="21" t="s">
        <v>6557</v>
      </c>
      <c r="K2366" s="21"/>
      <c r="L2366" s="21" t="s">
        <v>10647</v>
      </c>
      <c r="M2366" s="26" t="s">
        <v>10648</v>
      </c>
      <c r="N2366" s="44">
        <v>3927.25</v>
      </c>
      <c r="O2366" s="22" t="s">
        <v>15</v>
      </c>
      <c r="P2366" s="44">
        <f>752.65+3174.6</f>
        <v>3927.25</v>
      </c>
      <c r="Q2366" s="44">
        <f t="shared" si="150"/>
        <v>0</v>
      </c>
      <c r="R2366" s="24">
        <f>IF(P2366="OK",N2366-Q2366,IF(P2366="en cours",N2366-Q2366,P2366))</f>
        <v>3927.25</v>
      </c>
      <c r="S2366" s="5"/>
      <c r="T2366" s="5"/>
    </row>
    <row r="2367" spans="1:20" ht="15.75" hidden="1" x14ac:dyDescent="0.25">
      <c r="B2367" s="21" t="s">
        <v>395</v>
      </c>
      <c r="C2367" s="22" t="s">
        <v>2450</v>
      </c>
      <c r="D2367" s="22"/>
      <c r="E2367" s="21" t="s">
        <v>10</v>
      </c>
      <c r="F2367" s="21" t="s">
        <v>9721</v>
      </c>
      <c r="G2367" s="147" t="s">
        <v>7313</v>
      </c>
      <c r="H2367" s="23" t="s">
        <v>10764</v>
      </c>
      <c r="I2367" s="23" t="s">
        <v>10765</v>
      </c>
      <c r="J2367" s="21" t="s">
        <v>6557</v>
      </c>
      <c r="K2367" s="21"/>
      <c r="L2367" s="21" t="s">
        <v>10804</v>
      </c>
      <c r="M2367" s="26">
        <v>45616</v>
      </c>
      <c r="N2367" s="44">
        <v>623.95000000000005</v>
      </c>
      <c r="O2367" s="22" t="s">
        <v>15</v>
      </c>
      <c r="P2367" s="44">
        <v>623.95000000000005</v>
      </c>
      <c r="Q2367" s="24">
        <f t="shared" si="150"/>
        <v>0</v>
      </c>
      <c r="R2367" s="24">
        <f>IF(P2367="OK",N2367-Q2367,IF(P2367="en cours",M2367-Q2367,P2367))</f>
        <v>623.95000000000005</v>
      </c>
      <c r="S2367" s="5"/>
      <c r="T2367" s="5"/>
    </row>
    <row r="2368" spans="1:20" ht="15.75" hidden="1" x14ac:dyDescent="0.25">
      <c r="A2368" t="s">
        <v>6753</v>
      </c>
      <c r="B2368" s="21" t="s">
        <v>395</v>
      </c>
      <c r="C2368" s="22" t="s">
        <v>2450</v>
      </c>
      <c r="D2368" s="22"/>
      <c r="E2368" s="21" t="s">
        <v>10</v>
      </c>
      <c r="F2368" s="21"/>
      <c r="G2368" s="147" t="s">
        <v>7573</v>
      </c>
      <c r="H2368" s="23" t="s">
        <v>8853</v>
      </c>
      <c r="I2368" s="23" t="s">
        <v>8854</v>
      </c>
      <c r="J2368" s="21" t="s">
        <v>8855</v>
      </c>
      <c r="K2368" s="21"/>
      <c r="L2368" s="21" t="s">
        <v>9058</v>
      </c>
      <c r="M2368" s="26">
        <v>45202</v>
      </c>
      <c r="N2368" s="44">
        <v>1735.2</v>
      </c>
      <c r="O2368" s="22" t="s">
        <v>15</v>
      </c>
      <c r="P2368" s="44">
        <v>1735.2</v>
      </c>
      <c r="Q2368" s="44">
        <f t="shared" si="150"/>
        <v>0</v>
      </c>
      <c r="R2368" s="24">
        <f t="shared" ref="R2368:R2371" si="151">IF(P2368="OK",N2368-Q2368,IF(P2368="en cours",N2368-Q2368,P2368))</f>
        <v>1735.2</v>
      </c>
      <c r="S2368" s="5"/>
      <c r="T2368" s="5"/>
    </row>
    <row r="2369" spans="1:20" ht="15.75" hidden="1" x14ac:dyDescent="0.25">
      <c r="A2369" t="s">
        <v>6753</v>
      </c>
      <c r="B2369" s="21" t="s">
        <v>395</v>
      </c>
      <c r="C2369" s="22" t="s">
        <v>158</v>
      </c>
      <c r="D2369" s="22"/>
      <c r="E2369" s="21" t="s">
        <v>10</v>
      </c>
      <c r="F2369" s="21"/>
      <c r="G2369" s="147" t="s">
        <v>7573</v>
      </c>
      <c r="H2369" s="23" t="s">
        <v>7574</v>
      </c>
      <c r="I2369" s="23" t="s">
        <v>8257</v>
      </c>
      <c r="J2369" s="21" t="s">
        <v>7575</v>
      </c>
      <c r="K2369" s="21"/>
      <c r="L2369" s="21" t="s">
        <v>7623</v>
      </c>
      <c r="M2369" s="26">
        <v>44973</v>
      </c>
      <c r="N2369" s="44">
        <f>4*1247.4</f>
        <v>4989.6000000000004</v>
      </c>
      <c r="O2369" s="22" t="s">
        <v>15</v>
      </c>
      <c r="P2369" s="44">
        <f>4989.6</f>
        <v>4989.6000000000004</v>
      </c>
      <c r="Q2369" s="44">
        <f t="shared" si="150"/>
        <v>0</v>
      </c>
      <c r="R2369" s="24">
        <f t="shared" si="151"/>
        <v>4989.6000000000004</v>
      </c>
      <c r="S2369" s="5"/>
      <c r="T2369" s="5"/>
    </row>
    <row r="2370" spans="1:20" ht="15.75" hidden="1" x14ac:dyDescent="0.25">
      <c r="B2370" s="21" t="s">
        <v>395</v>
      </c>
      <c r="C2370" s="22" t="s">
        <v>2450</v>
      </c>
      <c r="D2370" s="22"/>
      <c r="E2370" s="21" t="s">
        <v>10</v>
      </c>
      <c r="F2370" s="21"/>
      <c r="G2370" s="147" t="s">
        <v>7573</v>
      </c>
      <c r="H2370" s="23" t="s">
        <v>9434</v>
      </c>
      <c r="I2370" s="23" t="s">
        <v>9435</v>
      </c>
      <c r="J2370" s="21" t="s">
        <v>6557</v>
      </c>
      <c r="K2370" s="21"/>
      <c r="L2370" s="21" t="s">
        <v>9629</v>
      </c>
      <c r="M2370" s="26">
        <v>45330</v>
      </c>
      <c r="N2370" s="44">
        <v>4992</v>
      </c>
      <c r="O2370" s="22" t="s">
        <v>15</v>
      </c>
      <c r="P2370" s="44">
        <f>4992</f>
        <v>4992</v>
      </c>
      <c r="Q2370" s="44">
        <f t="shared" si="150"/>
        <v>0</v>
      </c>
      <c r="R2370" s="24">
        <f t="shared" si="151"/>
        <v>4992</v>
      </c>
      <c r="S2370" s="5"/>
      <c r="T2370" s="5"/>
    </row>
    <row r="2371" spans="1:20" ht="15.75" hidden="1" x14ac:dyDescent="0.25">
      <c r="B2371" s="21" t="s">
        <v>395</v>
      </c>
      <c r="C2371" s="22" t="s">
        <v>2450</v>
      </c>
      <c r="D2371" s="22"/>
      <c r="E2371" s="21" t="s">
        <v>10</v>
      </c>
      <c r="F2371" s="21" t="s">
        <v>9721</v>
      </c>
      <c r="G2371" s="147" t="s">
        <v>7573</v>
      </c>
      <c r="H2371" s="23" t="s">
        <v>9742</v>
      </c>
      <c r="I2371" s="23" t="s">
        <v>9743</v>
      </c>
      <c r="J2371" s="21" t="s">
        <v>6557</v>
      </c>
      <c r="K2371" s="21"/>
      <c r="L2371" s="21" t="s">
        <v>9935</v>
      </c>
      <c r="M2371" s="26">
        <v>45435</v>
      </c>
      <c r="N2371" s="44">
        <v>4992</v>
      </c>
      <c r="O2371" s="22" t="s">
        <v>15</v>
      </c>
      <c r="P2371" s="44">
        <f>4992</f>
        <v>4992</v>
      </c>
      <c r="Q2371" s="24">
        <f t="shared" si="150"/>
        <v>0</v>
      </c>
      <c r="R2371" s="24">
        <f t="shared" si="151"/>
        <v>4992</v>
      </c>
      <c r="S2371" s="5"/>
      <c r="T2371" s="5"/>
    </row>
    <row r="2372" spans="1:20" ht="15.75" hidden="1" x14ac:dyDescent="0.25">
      <c r="B2372" s="21" t="s">
        <v>395</v>
      </c>
      <c r="C2372" s="22" t="s">
        <v>2450</v>
      </c>
      <c r="D2372" s="22"/>
      <c r="E2372" s="21" t="s">
        <v>10</v>
      </c>
      <c r="F2372" s="21" t="s">
        <v>9721</v>
      </c>
      <c r="G2372" s="147" t="s">
        <v>7573</v>
      </c>
      <c r="H2372" s="23" t="s">
        <v>10106</v>
      </c>
      <c r="I2372" s="23" t="s">
        <v>10107</v>
      </c>
      <c r="J2372" s="21" t="s">
        <v>6557</v>
      </c>
      <c r="K2372" s="21"/>
      <c r="L2372" s="21" t="s">
        <v>10157</v>
      </c>
      <c r="M2372" s="26">
        <v>45484</v>
      </c>
      <c r="N2372" s="44">
        <v>4992</v>
      </c>
      <c r="O2372" s="22" t="s">
        <v>15</v>
      </c>
      <c r="P2372" s="44">
        <f>4992</f>
        <v>4992</v>
      </c>
      <c r="Q2372" s="24">
        <f t="shared" si="150"/>
        <v>0</v>
      </c>
      <c r="R2372" s="24">
        <f>IF(P2372="OK",N2372-Q2372,IF(P2372="en cours",M2372-Q2372,P2372))</f>
        <v>4992</v>
      </c>
      <c r="S2372" s="5"/>
      <c r="T2372" s="5"/>
    </row>
    <row r="2373" spans="1:20" ht="15.75" hidden="1" x14ac:dyDescent="0.25">
      <c r="B2373" s="21" t="s">
        <v>395</v>
      </c>
      <c r="C2373" s="22" t="s">
        <v>158</v>
      </c>
      <c r="D2373" s="22"/>
      <c r="E2373" s="21" t="s">
        <v>10</v>
      </c>
      <c r="F2373" s="21" t="s">
        <v>9721</v>
      </c>
      <c r="G2373" s="147" t="s">
        <v>7573</v>
      </c>
      <c r="H2373" s="23" t="s">
        <v>11111</v>
      </c>
      <c r="I2373" s="23" t="s">
        <v>11112</v>
      </c>
      <c r="J2373" s="21" t="s">
        <v>6557</v>
      </c>
      <c r="K2373" s="21"/>
      <c r="L2373" s="21" t="s">
        <v>11178</v>
      </c>
      <c r="M2373" s="26">
        <v>45684</v>
      </c>
      <c r="N2373" s="44">
        <v>7638</v>
      </c>
      <c r="O2373" s="22" t="s">
        <v>15</v>
      </c>
      <c r="P2373" s="44">
        <v>7638</v>
      </c>
      <c r="Q2373" s="24">
        <f t="shared" si="150"/>
        <v>0</v>
      </c>
      <c r="R2373" s="24">
        <f>IF(P2373="OK",N2373-Q2373,IF(P2373="en cours",N2373-Q2373,P2373))</f>
        <v>7638</v>
      </c>
      <c r="S2373" s="5"/>
      <c r="T2373" s="5"/>
    </row>
    <row r="2374" spans="1:20" ht="15.75" hidden="1" x14ac:dyDescent="0.25">
      <c r="B2374" s="21" t="s">
        <v>395</v>
      </c>
      <c r="C2374" s="22" t="s">
        <v>158</v>
      </c>
      <c r="D2374" s="22"/>
      <c r="E2374" s="21" t="s">
        <v>10</v>
      </c>
      <c r="F2374" s="21"/>
      <c r="G2374" s="147" t="s">
        <v>6546</v>
      </c>
      <c r="H2374" s="23" t="s">
        <v>8738</v>
      </c>
      <c r="I2374" s="23" t="s">
        <v>8739</v>
      </c>
      <c r="J2374" s="21" t="s">
        <v>8737</v>
      </c>
      <c r="K2374" s="377"/>
      <c r="L2374" s="21" t="s">
        <v>10339</v>
      </c>
      <c r="M2374" s="26">
        <v>45230</v>
      </c>
      <c r="N2374" s="44">
        <v>14385.93</v>
      </c>
      <c r="O2374" s="22" t="s">
        <v>15</v>
      </c>
      <c r="P2374" s="44">
        <v>14385.93</v>
      </c>
      <c r="Q2374" s="44">
        <f t="shared" si="150"/>
        <v>0</v>
      </c>
      <c r="R2374" s="24">
        <f>IF(P2374="OK",N2374-Q2374,IF(P2374="en cours",N2374-Q2374,P2374))</f>
        <v>14385.93</v>
      </c>
      <c r="S2374" s="5"/>
      <c r="T2374" s="5"/>
    </row>
    <row r="2375" spans="1:20" ht="15.75" hidden="1" x14ac:dyDescent="0.25">
      <c r="B2375" s="21" t="s">
        <v>395</v>
      </c>
      <c r="C2375" s="22" t="s">
        <v>158</v>
      </c>
      <c r="D2375" s="22"/>
      <c r="E2375" s="21" t="s">
        <v>10</v>
      </c>
      <c r="F2375" s="21" t="s">
        <v>9721</v>
      </c>
      <c r="G2375" s="147" t="s">
        <v>6546</v>
      </c>
      <c r="H2375" s="23" t="s">
        <v>10336</v>
      </c>
      <c r="I2375" s="23" t="s">
        <v>10337</v>
      </c>
      <c r="J2375" s="21" t="s">
        <v>10338</v>
      </c>
      <c r="K2375" s="377"/>
      <c r="L2375" s="21" t="s">
        <v>10655</v>
      </c>
      <c r="M2375" s="26" t="s">
        <v>10680</v>
      </c>
      <c r="N2375" s="44">
        <v>13935.16</v>
      </c>
      <c r="O2375" s="22" t="s">
        <v>15</v>
      </c>
      <c r="P2375" s="44">
        <v>13935.16</v>
      </c>
      <c r="Q2375" s="44">
        <f t="shared" si="150"/>
        <v>0</v>
      </c>
      <c r="R2375" s="24">
        <f>IF(P2375="OK",N2375-Q2375,IF(P2375="en cours",N2375-Q2375,P2375))</f>
        <v>13935.16</v>
      </c>
      <c r="S2375" s="5"/>
      <c r="T2375" s="5"/>
    </row>
    <row r="2376" spans="1:20" ht="15.75" hidden="1" x14ac:dyDescent="0.25">
      <c r="B2376" s="21" t="s">
        <v>395</v>
      </c>
      <c r="C2376" s="22" t="s">
        <v>2450</v>
      </c>
      <c r="D2376" s="22"/>
      <c r="E2376" s="21" t="s">
        <v>10</v>
      </c>
      <c r="F2376" s="21" t="s">
        <v>9721</v>
      </c>
      <c r="G2376" s="147" t="s">
        <v>6546</v>
      </c>
      <c r="H2376" s="23" t="s">
        <v>10677</v>
      </c>
      <c r="I2376" s="23" t="s">
        <v>10678</v>
      </c>
      <c r="J2376" s="21" t="s">
        <v>10679</v>
      </c>
      <c r="K2376" s="377"/>
      <c r="L2376" s="21" t="s">
        <v>10734</v>
      </c>
      <c r="M2376" s="26">
        <v>45617</v>
      </c>
      <c r="N2376" s="44">
        <v>1255.6500000000001</v>
      </c>
      <c r="O2376" s="22" t="s">
        <v>15</v>
      </c>
      <c r="P2376" s="44">
        <v>1255.6500000000001</v>
      </c>
      <c r="Q2376" s="44">
        <f t="shared" si="150"/>
        <v>0</v>
      </c>
      <c r="R2376" s="24">
        <f>IF(P2376="OK",N2376-Q2376,IF(P2376="en cours",M2376-Q2376,P2376))</f>
        <v>1255.6500000000001</v>
      </c>
      <c r="S2376" s="5"/>
      <c r="T2376" s="5"/>
    </row>
    <row r="2377" spans="1:20" ht="15.75" hidden="1" x14ac:dyDescent="0.25">
      <c r="B2377" s="21" t="s">
        <v>395</v>
      </c>
      <c r="C2377" s="22" t="s">
        <v>2459</v>
      </c>
      <c r="D2377" s="22"/>
      <c r="E2377" s="21" t="s">
        <v>75</v>
      </c>
      <c r="F2377" s="21"/>
      <c r="G2377" s="147" t="s">
        <v>1164</v>
      </c>
      <c r="H2377" s="23" t="s">
        <v>1263</v>
      </c>
      <c r="I2377" s="23"/>
      <c r="J2377" s="21" t="s">
        <v>1810</v>
      </c>
      <c r="K2377" s="13"/>
      <c r="L2377" s="21"/>
      <c r="M2377" s="115" t="s">
        <v>1830</v>
      </c>
      <c r="N2377" s="44">
        <v>650</v>
      </c>
      <c r="O2377" s="22" t="s">
        <v>276</v>
      </c>
      <c r="P2377" s="22" t="s">
        <v>19</v>
      </c>
      <c r="Q2377" s="24">
        <f t="shared" si="150"/>
        <v>0</v>
      </c>
      <c r="R2377" s="24">
        <f t="shared" ref="R2377:R2382" si="152">IF(P2377="OK",N2377-Q2377,IF(P2377="en cours",N2377-Q2377,P2377))</f>
        <v>650</v>
      </c>
      <c r="S2377" s="5"/>
      <c r="T2377" s="5"/>
    </row>
    <row r="2378" spans="1:20" ht="15.75" hidden="1" x14ac:dyDescent="0.25">
      <c r="B2378" s="21" t="s">
        <v>395</v>
      </c>
      <c r="C2378" s="22" t="s">
        <v>2450</v>
      </c>
      <c r="D2378" s="22"/>
      <c r="E2378" s="21" t="s">
        <v>10</v>
      </c>
      <c r="F2378" s="21"/>
      <c r="G2378" s="147" t="s">
        <v>1103</v>
      </c>
      <c r="H2378" s="23" t="s">
        <v>1699</v>
      </c>
      <c r="I2378" s="23" t="s">
        <v>7867</v>
      </c>
      <c r="J2378" s="21" t="s">
        <v>1700</v>
      </c>
      <c r="K2378" s="120"/>
      <c r="L2378" s="21" t="s">
        <v>2794</v>
      </c>
      <c r="M2378" s="26">
        <v>43636</v>
      </c>
      <c r="N2378" s="44">
        <v>8250</v>
      </c>
      <c r="O2378" s="22" t="s">
        <v>276</v>
      </c>
      <c r="P2378" s="22" t="s">
        <v>19</v>
      </c>
      <c r="Q2378" s="24">
        <f t="shared" si="150"/>
        <v>0</v>
      </c>
      <c r="R2378" s="24">
        <f t="shared" si="152"/>
        <v>8250</v>
      </c>
      <c r="S2378" s="5"/>
      <c r="T2378" s="5"/>
    </row>
    <row r="2379" spans="1:20" ht="15.75" hidden="1" x14ac:dyDescent="0.25">
      <c r="B2379" s="21" t="s">
        <v>395</v>
      </c>
      <c r="C2379" s="22" t="s">
        <v>2456</v>
      </c>
      <c r="D2379" s="22"/>
      <c r="E2379" s="21" t="s">
        <v>75</v>
      </c>
      <c r="F2379" s="21"/>
      <c r="G2379" s="147" t="s">
        <v>1103</v>
      </c>
      <c r="H2379" s="23" t="s">
        <v>1785</v>
      </c>
      <c r="I2379" s="23" t="s">
        <v>7872</v>
      </c>
      <c r="J2379" s="21" t="s">
        <v>1786</v>
      </c>
      <c r="K2379" s="120"/>
      <c r="L2379" s="21" t="s">
        <v>2795</v>
      </c>
      <c r="M2379" s="26">
        <v>43654</v>
      </c>
      <c r="N2379" s="44">
        <v>33180</v>
      </c>
      <c r="O2379" s="22" t="s">
        <v>276</v>
      </c>
      <c r="P2379" s="22" t="s">
        <v>19</v>
      </c>
      <c r="Q2379" s="24">
        <f t="shared" si="150"/>
        <v>0</v>
      </c>
      <c r="R2379" s="24">
        <f t="shared" si="152"/>
        <v>33180</v>
      </c>
      <c r="S2379" s="5"/>
      <c r="T2379" s="5"/>
    </row>
    <row r="2380" spans="1:20" ht="15.75" hidden="1" x14ac:dyDescent="0.25">
      <c r="B2380" s="21" t="s">
        <v>395</v>
      </c>
      <c r="C2380" s="22" t="s">
        <v>158</v>
      </c>
      <c r="D2380" s="22"/>
      <c r="E2380" s="21" t="s">
        <v>10</v>
      </c>
      <c r="F2380" s="21" t="s">
        <v>9721</v>
      </c>
      <c r="G2380" s="147" t="s">
        <v>10160</v>
      </c>
      <c r="H2380" s="23" t="s">
        <v>10038</v>
      </c>
      <c r="I2380" s="23" t="s">
        <v>10039</v>
      </c>
      <c r="J2380" s="21" t="s">
        <v>6557</v>
      </c>
      <c r="K2380" s="21"/>
      <c r="L2380" s="21" t="s">
        <v>10161</v>
      </c>
      <c r="M2380" s="26">
        <v>45470</v>
      </c>
      <c r="N2380" s="44">
        <v>1524</v>
      </c>
      <c r="O2380" s="22" t="s">
        <v>15</v>
      </c>
      <c r="P2380" s="44">
        <v>1524</v>
      </c>
      <c r="Q2380" s="44">
        <f t="shared" si="150"/>
        <v>0</v>
      </c>
      <c r="R2380" s="24">
        <f t="shared" si="152"/>
        <v>1524</v>
      </c>
      <c r="S2380" s="5"/>
      <c r="T2380" s="5"/>
    </row>
    <row r="2381" spans="1:20" ht="15.75" hidden="1" x14ac:dyDescent="0.25">
      <c r="B2381" s="21" t="s">
        <v>395</v>
      </c>
      <c r="C2381" s="22" t="s">
        <v>2450</v>
      </c>
      <c r="D2381" s="22"/>
      <c r="E2381" s="21" t="s">
        <v>10</v>
      </c>
      <c r="F2381" s="21" t="s">
        <v>9721</v>
      </c>
      <c r="G2381" s="147" t="s">
        <v>10319</v>
      </c>
      <c r="H2381" s="23" t="s">
        <v>10471</v>
      </c>
      <c r="I2381" s="23" t="s">
        <v>10472</v>
      </c>
      <c r="J2381" s="21" t="s">
        <v>6557</v>
      </c>
      <c r="K2381" s="21"/>
      <c r="L2381" s="21" t="s">
        <v>10566</v>
      </c>
      <c r="M2381" s="26">
        <v>45548</v>
      </c>
      <c r="N2381" s="44">
        <v>426</v>
      </c>
      <c r="O2381" s="22" t="s">
        <v>15</v>
      </c>
      <c r="P2381" s="44">
        <f>401+25</f>
        <v>426</v>
      </c>
      <c r="Q2381" s="44">
        <f t="shared" si="150"/>
        <v>0</v>
      </c>
      <c r="R2381" s="24">
        <f t="shared" si="152"/>
        <v>426</v>
      </c>
      <c r="S2381" s="5"/>
      <c r="T2381" s="5"/>
    </row>
    <row r="2382" spans="1:20" ht="15.75" hidden="1" x14ac:dyDescent="0.25">
      <c r="B2382" s="21" t="s">
        <v>395</v>
      </c>
      <c r="C2382" s="22" t="s">
        <v>2450</v>
      </c>
      <c r="D2382" s="22"/>
      <c r="E2382" s="21" t="s">
        <v>10</v>
      </c>
      <c r="F2382" s="21" t="s">
        <v>9721</v>
      </c>
      <c r="G2382" s="147" t="s">
        <v>10319</v>
      </c>
      <c r="H2382" s="23" t="s">
        <v>10546</v>
      </c>
      <c r="I2382" s="23" t="s">
        <v>10547</v>
      </c>
      <c r="J2382" s="21" t="s">
        <v>6557</v>
      </c>
      <c r="K2382" s="21"/>
      <c r="L2382" s="21" t="s">
        <v>10790</v>
      </c>
      <c r="M2382" s="26">
        <v>45565</v>
      </c>
      <c r="N2382" s="44">
        <v>143.80000000000001</v>
      </c>
      <c r="O2382" s="22" t="s">
        <v>15</v>
      </c>
      <c r="P2382" s="44">
        <f>63.8+80</f>
        <v>143.80000000000001</v>
      </c>
      <c r="Q2382" s="44">
        <f t="shared" si="150"/>
        <v>0</v>
      </c>
      <c r="R2382" s="24">
        <f t="shared" si="152"/>
        <v>143.80000000000001</v>
      </c>
      <c r="S2382" s="5"/>
      <c r="T2382" s="5"/>
    </row>
    <row r="2383" spans="1:20" ht="15.75" hidden="1" x14ac:dyDescent="0.25">
      <c r="B2383" s="21" t="s">
        <v>395</v>
      </c>
      <c r="C2383" s="22" t="s">
        <v>2450</v>
      </c>
      <c r="D2383" s="22"/>
      <c r="E2383" s="21" t="s">
        <v>10</v>
      </c>
      <c r="F2383" s="21"/>
      <c r="G2383" s="147" t="s">
        <v>10319</v>
      </c>
      <c r="H2383" s="23" t="s">
        <v>10735</v>
      </c>
      <c r="I2383" s="23" t="s">
        <v>10736</v>
      </c>
      <c r="J2383" s="21" t="s">
        <v>6557</v>
      </c>
      <c r="K2383" s="21"/>
      <c r="L2383" s="21" t="s">
        <v>10851</v>
      </c>
      <c r="M2383" s="26" t="s">
        <v>10852</v>
      </c>
      <c r="N2383" s="44">
        <v>1135</v>
      </c>
      <c r="O2383" s="22" t="s">
        <v>15</v>
      </c>
      <c r="P2383" s="44">
        <f>222+333+555</f>
        <v>1110</v>
      </c>
      <c r="Q2383" s="24">
        <v>0</v>
      </c>
      <c r="R2383" s="24">
        <f>IF(P2383="OK",N2383-Q2383,IF(P2383="en cours",M2383-Q2383,P2383))</f>
        <v>1110</v>
      </c>
      <c r="S2383" s="5"/>
      <c r="T2383" s="5"/>
    </row>
    <row r="2384" spans="1:20" ht="15.75" hidden="1" x14ac:dyDescent="0.25">
      <c r="B2384" s="21" t="s">
        <v>395</v>
      </c>
      <c r="C2384" s="22" t="s">
        <v>2450</v>
      </c>
      <c r="D2384" s="22"/>
      <c r="E2384" s="21" t="s">
        <v>10</v>
      </c>
      <c r="F2384" s="21" t="s">
        <v>9721</v>
      </c>
      <c r="G2384" s="147" t="s">
        <v>10319</v>
      </c>
      <c r="H2384" s="23" t="s">
        <v>10830</v>
      </c>
      <c r="I2384" s="23" t="s">
        <v>10831</v>
      </c>
      <c r="J2384" s="21" t="s">
        <v>6557</v>
      </c>
      <c r="K2384" s="21"/>
      <c r="L2384" s="21" t="s">
        <v>10850</v>
      </c>
      <c r="M2384" s="26">
        <v>45625</v>
      </c>
      <c r="N2384" s="44">
        <v>1237</v>
      </c>
      <c r="O2384" s="22" t="s">
        <v>15</v>
      </c>
      <c r="P2384" s="44">
        <f>25+1212</f>
        <v>1237</v>
      </c>
      <c r="Q2384" s="44">
        <f t="shared" ref="Q2384:Q2427" si="153">IF(P2384="en cours",N2384,IF(P2384="OK",0,IF(N2384-P2384&lt;0,0,N2384-P2384)))</f>
        <v>0</v>
      </c>
      <c r="R2384" s="24">
        <f>IF(P2384="OK",N2384-Q2384,IF(P2384="en cours",M2384-Q2384,P2384))</f>
        <v>1237</v>
      </c>
      <c r="S2384" s="5"/>
      <c r="T2384" s="5"/>
    </row>
    <row r="2385" spans="1:20" ht="15.75" hidden="1" x14ac:dyDescent="0.25">
      <c r="B2385" s="21" t="s">
        <v>395</v>
      </c>
      <c r="C2385" s="22" t="s">
        <v>158</v>
      </c>
      <c r="D2385" s="22"/>
      <c r="E2385" s="21" t="s">
        <v>10</v>
      </c>
      <c r="F2385" s="21" t="s">
        <v>9721</v>
      </c>
      <c r="G2385" s="147" t="s">
        <v>10949</v>
      </c>
      <c r="H2385" s="23" t="s">
        <v>10950</v>
      </c>
      <c r="I2385" s="23" t="s">
        <v>10951</v>
      </c>
      <c r="J2385" s="21" t="s">
        <v>6557</v>
      </c>
      <c r="K2385" s="21"/>
      <c r="L2385" s="21" t="s">
        <v>10993</v>
      </c>
      <c r="M2385" s="26">
        <v>45646</v>
      </c>
      <c r="N2385" s="44">
        <v>495</v>
      </c>
      <c r="O2385" s="22" t="s">
        <v>15</v>
      </c>
      <c r="P2385" s="44">
        <v>470</v>
      </c>
      <c r="Q2385" s="44">
        <f t="shared" si="153"/>
        <v>25</v>
      </c>
      <c r="R2385" s="24">
        <f t="shared" ref="R2385:R2394" si="154">IF(P2385="OK",N2385-Q2385,IF(P2385="en cours",N2385-Q2385,P2385))</f>
        <v>470</v>
      </c>
      <c r="S2385" s="5"/>
      <c r="T2385" s="5"/>
    </row>
    <row r="2386" spans="1:20" ht="15.75" hidden="1" x14ac:dyDescent="0.25">
      <c r="B2386" s="21" t="s">
        <v>395</v>
      </c>
      <c r="C2386" s="22" t="s">
        <v>2450</v>
      </c>
      <c r="D2386" s="22"/>
      <c r="E2386" s="21" t="s">
        <v>0</v>
      </c>
      <c r="F2386" s="21"/>
      <c r="G2386" s="147" t="s">
        <v>10296</v>
      </c>
      <c r="H2386" s="23" t="s">
        <v>7035</v>
      </c>
      <c r="I2386" s="23" t="s">
        <v>8185</v>
      </c>
      <c r="J2386" s="21" t="s">
        <v>6502</v>
      </c>
      <c r="K2386" s="21"/>
      <c r="L2386" s="21" t="s">
        <v>7751</v>
      </c>
      <c r="M2386" s="26" t="s">
        <v>7752</v>
      </c>
      <c r="N2386" s="44">
        <v>2951</v>
      </c>
      <c r="O2386" s="22" t="s">
        <v>276</v>
      </c>
      <c r="P2386" s="44">
        <v>2951</v>
      </c>
      <c r="Q2386" s="24">
        <f t="shared" si="153"/>
        <v>0</v>
      </c>
      <c r="R2386" s="24">
        <f t="shared" si="154"/>
        <v>2951</v>
      </c>
      <c r="S2386" s="5"/>
      <c r="T2386" s="5"/>
    </row>
    <row r="2387" spans="1:20" ht="15.75" hidden="1" x14ac:dyDescent="0.25">
      <c r="B2387" s="21" t="s">
        <v>395</v>
      </c>
      <c r="C2387" s="22" t="s">
        <v>2450</v>
      </c>
      <c r="D2387" s="22"/>
      <c r="E2387" s="21" t="s">
        <v>0</v>
      </c>
      <c r="F2387" s="21"/>
      <c r="G2387" s="147" t="s">
        <v>10296</v>
      </c>
      <c r="H2387" s="23" t="s">
        <v>12543</v>
      </c>
      <c r="I2387" s="23" t="s">
        <v>12544</v>
      </c>
      <c r="J2387" s="21" t="s">
        <v>9597</v>
      </c>
      <c r="K2387" s="21"/>
      <c r="L2387" s="21" t="s">
        <v>10369</v>
      </c>
      <c r="M2387" s="26">
        <v>45377</v>
      </c>
      <c r="N2387" s="44">
        <v>3394.7</v>
      </c>
      <c r="O2387" s="22" t="s">
        <v>276</v>
      </c>
      <c r="P2387" s="44">
        <v>3394.7</v>
      </c>
      <c r="Q2387" s="24">
        <f t="shared" si="153"/>
        <v>0</v>
      </c>
      <c r="R2387" s="24">
        <f t="shared" si="154"/>
        <v>3394.7</v>
      </c>
      <c r="S2387" s="5"/>
      <c r="T2387" s="5"/>
    </row>
    <row r="2388" spans="1:20" ht="15.75" hidden="1" x14ac:dyDescent="0.25">
      <c r="B2388" s="21" t="s">
        <v>395</v>
      </c>
      <c r="C2388" s="22" t="s">
        <v>2450</v>
      </c>
      <c r="D2388" s="22"/>
      <c r="E2388" s="21" t="s">
        <v>0</v>
      </c>
      <c r="F2388" s="21" t="s">
        <v>9823</v>
      </c>
      <c r="G2388" s="147" t="s">
        <v>10296</v>
      </c>
      <c r="H2388" s="23" t="s">
        <v>9875</v>
      </c>
      <c r="I2388" s="23" t="s">
        <v>9876</v>
      </c>
      <c r="J2388" s="21" t="s">
        <v>9877</v>
      </c>
      <c r="K2388" s="21"/>
      <c r="L2388" s="21" t="s">
        <v>10297</v>
      </c>
      <c r="M2388" s="26">
        <v>45419</v>
      </c>
      <c r="N2388" s="44">
        <v>1338.75</v>
      </c>
      <c r="O2388" s="22" t="s">
        <v>276</v>
      </c>
      <c r="P2388" s="44">
        <v>1338.75</v>
      </c>
      <c r="Q2388" s="24">
        <f t="shared" si="153"/>
        <v>0</v>
      </c>
      <c r="R2388" s="24">
        <f t="shared" si="154"/>
        <v>1338.75</v>
      </c>
      <c r="S2388" s="5"/>
      <c r="T2388" s="5"/>
    </row>
    <row r="2389" spans="1:20" ht="15.75" hidden="1" x14ac:dyDescent="0.25">
      <c r="B2389" s="21" t="s">
        <v>395</v>
      </c>
      <c r="C2389" s="22" t="s">
        <v>2450</v>
      </c>
      <c r="D2389" s="22"/>
      <c r="E2389" s="21" t="s">
        <v>0</v>
      </c>
      <c r="F2389" s="21" t="s">
        <v>9823</v>
      </c>
      <c r="G2389" s="147" t="s">
        <v>10296</v>
      </c>
      <c r="H2389" s="23" t="s">
        <v>9910</v>
      </c>
      <c r="I2389" s="23" t="s">
        <v>9911</v>
      </c>
      <c r="J2389" s="21" t="s">
        <v>9877</v>
      </c>
      <c r="K2389" s="21"/>
      <c r="L2389" s="21" t="s">
        <v>10298</v>
      </c>
      <c r="M2389" s="26">
        <v>45504</v>
      </c>
      <c r="N2389" s="44">
        <v>2537.9</v>
      </c>
      <c r="O2389" s="22" t="s">
        <v>276</v>
      </c>
      <c r="P2389" s="44">
        <f>2537.9</f>
        <v>2537.9</v>
      </c>
      <c r="Q2389" s="24">
        <f t="shared" si="153"/>
        <v>0</v>
      </c>
      <c r="R2389" s="24">
        <f t="shared" si="154"/>
        <v>2537.9</v>
      </c>
      <c r="S2389" s="5"/>
      <c r="T2389" s="5"/>
    </row>
    <row r="2390" spans="1:20" ht="15.75" hidden="1" x14ac:dyDescent="0.25">
      <c r="B2390" s="21" t="s">
        <v>395</v>
      </c>
      <c r="C2390" s="22" t="s">
        <v>2450</v>
      </c>
      <c r="D2390" s="22"/>
      <c r="E2390" s="21" t="s">
        <v>0</v>
      </c>
      <c r="F2390" s="21" t="s">
        <v>9823</v>
      </c>
      <c r="G2390" s="147" t="s">
        <v>10296</v>
      </c>
      <c r="H2390" s="23" t="s">
        <v>10331</v>
      </c>
      <c r="I2390" s="23" t="s">
        <v>10332</v>
      </c>
      <c r="J2390" s="21" t="s">
        <v>9877</v>
      </c>
      <c r="K2390" s="21"/>
      <c r="L2390" s="21" t="s">
        <v>10370</v>
      </c>
      <c r="M2390" s="26">
        <v>45523</v>
      </c>
      <c r="N2390" s="44">
        <v>1752.5</v>
      </c>
      <c r="O2390" s="22" t="s">
        <v>276</v>
      </c>
      <c r="P2390" s="44">
        <v>1752.5</v>
      </c>
      <c r="Q2390" s="44">
        <f t="shared" si="153"/>
        <v>0</v>
      </c>
      <c r="R2390" s="24">
        <f t="shared" si="154"/>
        <v>1752.5</v>
      </c>
      <c r="S2390" s="5"/>
      <c r="T2390" s="5"/>
    </row>
    <row r="2391" spans="1:20" ht="15.75" hidden="1" x14ac:dyDescent="0.25">
      <c r="B2391" s="21" t="s">
        <v>395</v>
      </c>
      <c r="C2391" s="22" t="s">
        <v>2450</v>
      </c>
      <c r="D2391" s="22"/>
      <c r="E2391" s="21" t="s">
        <v>0</v>
      </c>
      <c r="F2391" s="21" t="s">
        <v>9823</v>
      </c>
      <c r="G2391" s="147" t="s">
        <v>10296</v>
      </c>
      <c r="H2391" s="23" t="s">
        <v>10616</v>
      </c>
      <c r="I2391" s="23" t="s">
        <v>10617</v>
      </c>
      <c r="J2391" s="21" t="s">
        <v>9877</v>
      </c>
      <c r="K2391" s="21"/>
      <c r="L2391" s="21" t="s">
        <v>10704</v>
      </c>
      <c r="M2391" s="26">
        <v>45597</v>
      </c>
      <c r="N2391" s="44">
        <v>2537.9</v>
      </c>
      <c r="O2391" s="22" t="s">
        <v>276</v>
      </c>
      <c r="P2391" s="44">
        <v>2537.9</v>
      </c>
      <c r="Q2391" s="44">
        <f t="shared" si="153"/>
        <v>0</v>
      </c>
      <c r="R2391" s="24">
        <f t="shared" si="154"/>
        <v>2537.9</v>
      </c>
      <c r="S2391" s="5"/>
      <c r="T2391" s="5"/>
    </row>
    <row r="2392" spans="1:20" ht="15.75" hidden="1" x14ac:dyDescent="0.25">
      <c r="A2392" t="s">
        <v>6753</v>
      </c>
      <c r="B2392" s="21" t="s">
        <v>395</v>
      </c>
      <c r="C2392" s="22" t="s">
        <v>2450</v>
      </c>
      <c r="D2392" s="22"/>
      <c r="E2392" s="21" t="s">
        <v>10</v>
      </c>
      <c r="F2392" s="21"/>
      <c r="G2392" s="147" t="s">
        <v>1090</v>
      </c>
      <c r="H2392" s="23" t="s">
        <v>6670</v>
      </c>
      <c r="I2392" s="23" t="s">
        <v>8156</v>
      </c>
      <c r="J2392" s="21" t="s">
        <v>6557</v>
      </c>
      <c r="K2392" s="21"/>
      <c r="L2392" s="21" t="s">
        <v>6743</v>
      </c>
      <c r="M2392" s="26" t="s">
        <v>6744</v>
      </c>
      <c r="N2392" s="44">
        <v>6812.8</v>
      </c>
      <c r="O2392" s="22" t="s">
        <v>15</v>
      </c>
      <c r="P2392" s="44">
        <f>862+5475.2+648</f>
        <v>6985.2</v>
      </c>
      <c r="Q2392" s="44">
        <f t="shared" si="153"/>
        <v>0</v>
      </c>
      <c r="R2392" s="24">
        <f t="shared" si="154"/>
        <v>6985.2</v>
      </c>
      <c r="S2392" s="5"/>
      <c r="T2392" s="5"/>
    </row>
    <row r="2393" spans="1:20" ht="15.75" hidden="1" x14ac:dyDescent="0.25">
      <c r="A2393" t="s">
        <v>6753</v>
      </c>
      <c r="B2393" s="21" t="s">
        <v>395</v>
      </c>
      <c r="C2393" s="22" t="s">
        <v>158</v>
      </c>
      <c r="D2393" s="22"/>
      <c r="E2393" s="21" t="s">
        <v>10</v>
      </c>
      <c r="F2393" s="21"/>
      <c r="G2393" s="147" t="s">
        <v>1090</v>
      </c>
      <c r="H2393" s="23" t="s">
        <v>7182</v>
      </c>
      <c r="I2393" s="23" t="s">
        <v>8197</v>
      </c>
      <c r="J2393" s="21" t="s">
        <v>7183</v>
      </c>
      <c r="K2393" s="21"/>
      <c r="L2393" s="21" t="s">
        <v>7356</v>
      </c>
      <c r="M2393" s="23" t="s">
        <v>7357</v>
      </c>
      <c r="N2393" s="44">
        <v>14608.44</v>
      </c>
      <c r="O2393" s="22" t="s">
        <v>15</v>
      </c>
      <c r="P2393" s="44">
        <f>1422.9+1328.04+11857.5</f>
        <v>14608.44</v>
      </c>
      <c r="Q2393" s="24">
        <f t="shared" si="153"/>
        <v>0</v>
      </c>
      <c r="R2393" s="24">
        <f t="shared" si="154"/>
        <v>14608.44</v>
      </c>
      <c r="S2393" s="5"/>
      <c r="T2393" s="5"/>
    </row>
    <row r="2394" spans="1:20" ht="15.75" hidden="1" x14ac:dyDescent="0.25">
      <c r="A2394" t="s">
        <v>6753</v>
      </c>
      <c r="B2394" s="21" t="s">
        <v>395</v>
      </c>
      <c r="C2394" s="22" t="s">
        <v>2450</v>
      </c>
      <c r="D2394" s="22"/>
      <c r="E2394" s="21" t="s">
        <v>10</v>
      </c>
      <c r="F2394" s="21"/>
      <c r="G2394" s="147" t="s">
        <v>1090</v>
      </c>
      <c r="H2394" s="23" t="s">
        <v>7368</v>
      </c>
      <c r="I2394" s="23" t="s">
        <v>8228</v>
      </c>
      <c r="J2394" s="21" t="s">
        <v>7369</v>
      </c>
      <c r="K2394" s="21"/>
      <c r="L2394" s="21" t="s">
        <v>7370</v>
      </c>
      <c r="M2394" s="26">
        <v>44908</v>
      </c>
      <c r="N2394" s="44">
        <v>5896</v>
      </c>
      <c r="O2394" s="22" t="s">
        <v>15</v>
      </c>
      <c r="P2394" s="44">
        <v>5896</v>
      </c>
      <c r="Q2394" s="24">
        <f t="shared" si="153"/>
        <v>0</v>
      </c>
      <c r="R2394" s="24">
        <f t="shared" si="154"/>
        <v>5896</v>
      </c>
      <c r="S2394" s="5"/>
      <c r="T2394" s="5"/>
    </row>
    <row r="2395" spans="1:20" ht="15.75" hidden="1" x14ac:dyDescent="0.25">
      <c r="A2395" t="s">
        <v>6753</v>
      </c>
      <c r="B2395" s="21" t="s">
        <v>395</v>
      </c>
      <c r="C2395" s="22" t="s">
        <v>2450</v>
      </c>
      <c r="D2395" s="22"/>
      <c r="E2395" s="21" t="s">
        <v>10</v>
      </c>
      <c r="F2395" s="21"/>
      <c r="G2395" s="147" t="s">
        <v>1090</v>
      </c>
      <c r="H2395" s="23" t="s">
        <v>7627</v>
      </c>
      <c r="I2395" s="23" t="s">
        <v>8270</v>
      </c>
      <c r="J2395" s="21" t="s">
        <v>7369</v>
      </c>
      <c r="K2395" s="21"/>
      <c r="L2395" s="21" t="s">
        <v>7665</v>
      </c>
      <c r="M2395" s="26">
        <v>44985</v>
      </c>
      <c r="N2395" s="44">
        <v>3146.4</v>
      </c>
      <c r="O2395" s="22" t="s">
        <v>15</v>
      </c>
      <c r="P2395" s="44">
        <v>3146.4</v>
      </c>
      <c r="Q2395" s="24">
        <f t="shared" si="153"/>
        <v>0</v>
      </c>
      <c r="R2395" s="24">
        <f>IF(P2395="OK",N2395-Q2395,IF(P2395="en cours",M2395-Q2395,P2395))</f>
        <v>3146.4</v>
      </c>
      <c r="S2395" s="5"/>
      <c r="T2395" s="5"/>
    </row>
    <row r="2396" spans="1:20" ht="15.75" hidden="1" x14ac:dyDescent="0.25">
      <c r="A2396" t="s">
        <v>6753</v>
      </c>
      <c r="B2396" s="21" t="s">
        <v>395</v>
      </c>
      <c r="C2396" s="22" t="s">
        <v>158</v>
      </c>
      <c r="D2396" s="22"/>
      <c r="E2396" s="21" t="s">
        <v>10</v>
      </c>
      <c r="F2396" s="21"/>
      <c r="G2396" s="147" t="s">
        <v>1090</v>
      </c>
      <c r="H2396" s="23" t="s">
        <v>7671</v>
      </c>
      <c r="I2396" s="23" t="s">
        <v>8276</v>
      </c>
      <c r="J2396" s="21" t="s">
        <v>7672</v>
      </c>
      <c r="K2396" s="21"/>
      <c r="L2396" s="21" t="s">
        <v>7680</v>
      </c>
      <c r="M2396" s="26">
        <v>44999</v>
      </c>
      <c r="N2396" s="44">
        <v>80000</v>
      </c>
      <c r="O2396" s="22" t="s">
        <v>15</v>
      </c>
      <c r="P2396" s="44">
        <v>80000</v>
      </c>
      <c r="Q2396" s="44">
        <f t="shared" si="153"/>
        <v>0</v>
      </c>
      <c r="R2396" s="24">
        <f>IF(P2396="OK",N2396-Q2396,IF(P2396="en cours",N2396-Q2396,P2396))</f>
        <v>80000</v>
      </c>
      <c r="S2396" s="5"/>
      <c r="T2396" s="5"/>
    </row>
    <row r="2397" spans="1:20" ht="15.75" hidden="1" x14ac:dyDescent="0.25">
      <c r="A2397" t="s">
        <v>6753</v>
      </c>
      <c r="B2397" s="21" t="s">
        <v>395</v>
      </c>
      <c r="C2397" s="22" t="s">
        <v>2450</v>
      </c>
      <c r="D2397" s="22"/>
      <c r="E2397" s="21" t="s">
        <v>10</v>
      </c>
      <c r="F2397" s="21"/>
      <c r="G2397" s="147" t="s">
        <v>1090</v>
      </c>
      <c r="H2397" s="23" t="s">
        <v>7646</v>
      </c>
      <c r="I2397" s="23" t="s">
        <v>8273</v>
      </c>
      <c r="J2397" s="21" t="s">
        <v>7369</v>
      </c>
      <c r="K2397" s="21"/>
      <c r="L2397" s="21" t="s">
        <v>7679</v>
      </c>
      <c r="M2397" s="26">
        <v>44999</v>
      </c>
      <c r="N2397" s="44">
        <v>3096.8</v>
      </c>
      <c r="O2397" s="22" t="s">
        <v>15</v>
      </c>
      <c r="P2397" s="44">
        <v>3096.8</v>
      </c>
      <c r="Q2397" s="24">
        <f t="shared" si="153"/>
        <v>0</v>
      </c>
      <c r="R2397" s="24">
        <f>IF(P2397="OK",N2397-Q2397,IF(P2397="en cours",M2397-Q2397,P2397))</f>
        <v>3096.8</v>
      </c>
      <c r="S2397" s="5"/>
      <c r="T2397" s="5"/>
    </row>
    <row r="2398" spans="1:20" ht="15.75" hidden="1" x14ac:dyDescent="0.25">
      <c r="A2398" t="s">
        <v>6753</v>
      </c>
      <c r="B2398" s="21" t="s">
        <v>395</v>
      </c>
      <c r="C2398" s="22" t="s">
        <v>2450</v>
      </c>
      <c r="D2398" s="22"/>
      <c r="E2398" s="21" t="s">
        <v>10</v>
      </c>
      <c r="F2398" s="21"/>
      <c r="G2398" s="147" t="s">
        <v>1090</v>
      </c>
      <c r="H2398" s="23" t="s">
        <v>7698</v>
      </c>
      <c r="I2398" s="23" t="s">
        <v>8280</v>
      </c>
      <c r="J2398" s="21" t="s">
        <v>6557</v>
      </c>
      <c r="K2398" s="21"/>
      <c r="L2398" s="21" t="s">
        <v>7785</v>
      </c>
      <c r="M2398" s="26">
        <v>45019</v>
      </c>
      <c r="N2398" s="44">
        <v>9996.7999999999993</v>
      </c>
      <c r="O2398" s="22" t="s">
        <v>15</v>
      </c>
      <c r="P2398" s="44">
        <f>9996.8</f>
        <v>9996.7999999999993</v>
      </c>
      <c r="Q2398" s="44">
        <f t="shared" si="153"/>
        <v>0</v>
      </c>
      <c r="R2398" s="24">
        <f t="shared" ref="R2398:R2411" si="155">IF(P2398="OK",N2398-Q2398,IF(P2398="en cours",N2398-Q2398,P2398))</f>
        <v>9996.7999999999993</v>
      </c>
      <c r="S2398" s="5"/>
      <c r="T2398" s="5"/>
    </row>
    <row r="2399" spans="1:20" ht="15.75" hidden="1" x14ac:dyDescent="0.25">
      <c r="A2399" t="s">
        <v>6753</v>
      </c>
      <c r="B2399" s="21" t="s">
        <v>395</v>
      </c>
      <c r="C2399" s="22" t="s">
        <v>158</v>
      </c>
      <c r="D2399" s="22"/>
      <c r="E2399" s="21" t="s">
        <v>10</v>
      </c>
      <c r="F2399" s="21"/>
      <c r="G2399" s="147" t="s">
        <v>1090</v>
      </c>
      <c r="H2399" s="23" t="s">
        <v>7683</v>
      </c>
      <c r="I2399" s="23" t="s">
        <v>8279</v>
      </c>
      <c r="J2399" s="21" t="s">
        <v>7736</v>
      </c>
      <c r="K2399" s="21"/>
      <c r="L2399" s="21" t="s">
        <v>7737</v>
      </c>
      <c r="M2399" s="26">
        <v>45009</v>
      </c>
      <c r="N2399" s="44">
        <v>10530</v>
      </c>
      <c r="O2399" s="22" t="s">
        <v>15</v>
      </c>
      <c r="P2399" s="44">
        <v>10530</v>
      </c>
      <c r="Q2399" s="44">
        <f t="shared" si="153"/>
        <v>0</v>
      </c>
      <c r="R2399" s="24">
        <f t="shared" si="155"/>
        <v>10530</v>
      </c>
      <c r="S2399" s="5"/>
      <c r="T2399" s="5"/>
    </row>
    <row r="2400" spans="1:20" ht="15.75" hidden="1" x14ac:dyDescent="0.25">
      <c r="A2400" t="s">
        <v>6753</v>
      </c>
      <c r="B2400" s="21" t="s">
        <v>395</v>
      </c>
      <c r="C2400" s="22" t="s">
        <v>158</v>
      </c>
      <c r="D2400" s="22"/>
      <c r="E2400" s="21" t="s">
        <v>10</v>
      </c>
      <c r="F2400" s="21"/>
      <c r="G2400" s="147" t="s">
        <v>1090</v>
      </c>
      <c r="H2400" s="23" t="s">
        <v>8477</v>
      </c>
      <c r="I2400" s="23" t="s">
        <v>8478</v>
      </c>
      <c r="J2400" s="21" t="s">
        <v>8476</v>
      </c>
      <c r="K2400" s="21"/>
      <c r="L2400" s="21" t="s">
        <v>8534</v>
      </c>
      <c r="M2400" s="26" t="s">
        <v>8535</v>
      </c>
      <c r="N2400" s="44">
        <v>14286.4</v>
      </c>
      <c r="O2400" s="22" t="s">
        <v>15</v>
      </c>
      <c r="P2400" s="44">
        <f>166.4+14120</f>
        <v>14286.4</v>
      </c>
      <c r="Q2400" s="44">
        <f t="shared" si="153"/>
        <v>0</v>
      </c>
      <c r="R2400" s="24">
        <f t="shared" si="155"/>
        <v>14286.4</v>
      </c>
      <c r="S2400" s="5"/>
      <c r="T2400" s="5"/>
    </row>
    <row r="2401" spans="1:20" ht="15.75" hidden="1" x14ac:dyDescent="0.25">
      <c r="A2401" t="s">
        <v>6753</v>
      </c>
      <c r="B2401" s="21" t="s">
        <v>395</v>
      </c>
      <c r="C2401" s="22" t="s">
        <v>2450</v>
      </c>
      <c r="D2401" s="22"/>
      <c r="E2401" s="21" t="s">
        <v>10</v>
      </c>
      <c r="F2401" s="21"/>
      <c r="G2401" s="147" t="s">
        <v>1090</v>
      </c>
      <c r="H2401" s="23" t="s">
        <v>8569</v>
      </c>
      <c r="I2401" s="23" t="s">
        <v>8570</v>
      </c>
      <c r="J2401" s="21" t="s">
        <v>8571</v>
      </c>
      <c r="K2401" s="21"/>
      <c r="L2401" s="21" t="s">
        <v>8620</v>
      </c>
      <c r="M2401" s="26">
        <v>45125</v>
      </c>
      <c r="N2401" s="44">
        <v>1220</v>
      </c>
      <c r="O2401" s="22" t="s">
        <v>15</v>
      </c>
      <c r="P2401" s="44">
        <v>1220</v>
      </c>
      <c r="Q2401" s="44">
        <f t="shared" si="153"/>
        <v>0</v>
      </c>
      <c r="R2401" s="116">
        <f t="shared" si="155"/>
        <v>1220</v>
      </c>
      <c r="S2401" s="5"/>
      <c r="T2401" s="5"/>
    </row>
    <row r="2402" spans="1:20" ht="15.75" hidden="1" x14ac:dyDescent="0.25">
      <c r="A2402" t="s">
        <v>6753</v>
      </c>
      <c r="B2402" s="21" t="s">
        <v>395</v>
      </c>
      <c r="C2402" s="22" t="s">
        <v>2450</v>
      </c>
      <c r="D2402" s="22"/>
      <c r="E2402" s="21" t="s">
        <v>10</v>
      </c>
      <c r="F2402" s="21"/>
      <c r="G2402" s="147" t="s">
        <v>1090</v>
      </c>
      <c r="H2402" s="23" t="s">
        <v>8765</v>
      </c>
      <c r="I2402" s="23" t="s">
        <v>8766</v>
      </c>
      <c r="J2402" s="21" t="s">
        <v>7369</v>
      </c>
      <c r="K2402" s="21"/>
      <c r="L2402" s="21" t="s">
        <v>8886</v>
      </c>
      <c r="M2402" s="26" t="s">
        <v>8887</v>
      </c>
      <c r="N2402" s="44">
        <v>3215.2</v>
      </c>
      <c r="O2402" s="22" t="s">
        <v>15</v>
      </c>
      <c r="P2402" s="44">
        <f>416+2799.2</f>
        <v>3215.2</v>
      </c>
      <c r="Q2402" s="44">
        <f t="shared" si="153"/>
        <v>0</v>
      </c>
      <c r="R2402" s="116">
        <f t="shared" si="155"/>
        <v>3215.2</v>
      </c>
      <c r="S2402" s="5"/>
      <c r="T2402" s="5"/>
    </row>
    <row r="2403" spans="1:20" ht="15.75" hidden="1" x14ac:dyDescent="0.25">
      <c r="A2403" t="s">
        <v>6753</v>
      </c>
      <c r="B2403" s="21" t="s">
        <v>395</v>
      </c>
      <c r="C2403" s="22" t="s">
        <v>2450</v>
      </c>
      <c r="D2403" s="22"/>
      <c r="E2403" s="21" t="s">
        <v>10</v>
      </c>
      <c r="F2403" s="21"/>
      <c r="G2403" s="147" t="s">
        <v>1090</v>
      </c>
      <c r="H2403" s="23" t="s">
        <v>8767</v>
      </c>
      <c r="I2403" s="23" t="s">
        <v>8768</v>
      </c>
      <c r="J2403" s="21" t="s">
        <v>7369</v>
      </c>
      <c r="K2403" s="21"/>
      <c r="L2403" s="21" t="s">
        <v>8884</v>
      </c>
      <c r="M2403" s="26" t="s">
        <v>8885</v>
      </c>
      <c r="N2403" s="44">
        <v>6212</v>
      </c>
      <c r="O2403" s="22" t="s">
        <v>15</v>
      </c>
      <c r="P2403" s="44">
        <f>6024+188</f>
        <v>6212</v>
      </c>
      <c r="Q2403" s="44">
        <f t="shared" si="153"/>
        <v>0</v>
      </c>
      <c r="R2403" s="116">
        <f t="shared" si="155"/>
        <v>6212</v>
      </c>
      <c r="S2403" s="5"/>
      <c r="T2403" s="5"/>
    </row>
    <row r="2404" spans="1:20" ht="15.75" hidden="1" x14ac:dyDescent="0.25">
      <c r="A2404" t="s">
        <v>6753</v>
      </c>
      <c r="B2404" s="21" t="s">
        <v>395</v>
      </c>
      <c r="C2404" s="22" t="s">
        <v>2450</v>
      </c>
      <c r="D2404" s="22"/>
      <c r="E2404" s="21" t="s">
        <v>10</v>
      </c>
      <c r="F2404" s="21"/>
      <c r="G2404" s="147" t="s">
        <v>1090</v>
      </c>
      <c r="H2404" s="23" t="s">
        <v>8864</v>
      </c>
      <c r="I2404" s="23" t="s">
        <v>8865</v>
      </c>
      <c r="J2404" s="21" t="s">
        <v>7369</v>
      </c>
      <c r="K2404" s="21"/>
      <c r="L2404" s="21" t="s">
        <v>8915</v>
      </c>
      <c r="M2404" s="23" t="s">
        <v>8916</v>
      </c>
      <c r="N2404" s="44">
        <v>12419.2</v>
      </c>
      <c r="O2404" s="22" t="s">
        <v>15</v>
      </c>
      <c r="P2404" s="44">
        <f>435.2+11984</f>
        <v>12419.2</v>
      </c>
      <c r="Q2404" s="44">
        <f t="shared" si="153"/>
        <v>0</v>
      </c>
      <c r="R2404" s="24">
        <f t="shared" si="155"/>
        <v>12419.2</v>
      </c>
      <c r="S2404" s="5"/>
      <c r="T2404" s="5"/>
    </row>
    <row r="2405" spans="1:20" ht="15.75" hidden="1" x14ac:dyDescent="0.25">
      <c r="A2405" t="s">
        <v>6753</v>
      </c>
      <c r="B2405" s="21" t="s">
        <v>395</v>
      </c>
      <c r="C2405" s="22" t="s">
        <v>2450</v>
      </c>
      <c r="D2405" s="22"/>
      <c r="E2405" s="21" t="s">
        <v>10</v>
      </c>
      <c r="F2405" s="21"/>
      <c r="G2405" s="147" t="s">
        <v>1090</v>
      </c>
      <c r="H2405" s="23" t="s">
        <v>1710</v>
      </c>
      <c r="I2405" s="23" t="s">
        <v>7869</v>
      </c>
      <c r="J2405" s="21" t="s">
        <v>1711</v>
      </c>
      <c r="K2405" s="120"/>
      <c r="L2405" s="21"/>
      <c r="M2405" s="47" t="s">
        <v>1759</v>
      </c>
      <c r="N2405" s="44">
        <v>7458</v>
      </c>
      <c r="O2405" s="22" t="s">
        <v>15</v>
      </c>
      <c r="P2405" s="22" t="s">
        <v>19</v>
      </c>
      <c r="Q2405" s="24">
        <f t="shared" si="153"/>
        <v>0</v>
      </c>
      <c r="R2405" s="24">
        <f t="shared" si="155"/>
        <v>7458</v>
      </c>
      <c r="S2405" s="5" t="s">
        <v>1726</v>
      </c>
      <c r="T2405" s="5"/>
    </row>
    <row r="2406" spans="1:20" ht="15.75" hidden="1" x14ac:dyDescent="0.25">
      <c r="A2406" t="s">
        <v>6753</v>
      </c>
      <c r="B2406" s="21" t="s">
        <v>395</v>
      </c>
      <c r="C2406" s="22" t="s">
        <v>2450</v>
      </c>
      <c r="D2406" s="22"/>
      <c r="E2406" s="21" t="s">
        <v>10</v>
      </c>
      <c r="F2406" s="21"/>
      <c r="G2406" s="147" t="s">
        <v>1090</v>
      </c>
      <c r="H2406" s="23" t="s">
        <v>1832</v>
      </c>
      <c r="I2406" s="23" t="s">
        <v>7879</v>
      </c>
      <c r="J2406" s="21" t="s">
        <v>1711</v>
      </c>
      <c r="K2406" s="120"/>
      <c r="L2406" s="21"/>
      <c r="M2406" s="26" t="s">
        <v>1834</v>
      </c>
      <c r="N2406" s="44">
        <v>8314</v>
      </c>
      <c r="O2406" s="22" t="s">
        <v>15</v>
      </c>
      <c r="P2406" s="22" t="s">
        <v>19</v>
      </c>
      <c r="Q2406" s="24">
        <f t="shared" si="153"/>
        <v>0</v>
      </c>
      <c r="R2406" s="24">
        <f t="shared" si="155"/>
        <v>8314</v>
      </c>
      <c r="S2406" s="5"/>
      <c r="T2406" s="5"/>
    </row>
    <row r="2407" spans="1:20" ht="15.75" hidden="1" x14ac:dyDescent="0.25">
      <c r="A2407" t="s">
        <v>6753</v>
      </c>
      <c r="B2407" s="21" t="s">
        <v>395</v>
      </c>
      <c r="C2407" s="22" t="s">
        <v>2450</v>
      </c>
      <c r="D2407" s="22"/>
      <c r="E2407" s="21" t="s">
        <v>10</v>
      </c>
      <c r="F2407" s="21"/>
      <c r="G2407" s="147" t="s">
        <v>1090</v>
      </c>
      <c r="H2407" s="23" t="s">
        <v>9097</v>
      </c>
      <c r="I2407" s="23" t="s">
        <v>9098</v>
      </c>
      <c r="J2407" s="21" t="s">
        <v>9099</v>
      </c>
      <c r="K2407" s="21"/>
      <c r="L2407" s="21" t="s">
        <v>9229</v>
      </c>
      <c r="M2407" s="26" t="s">
        <v>9230</v>
      </c>
      <c r="N2407" s="44">
        <v>11210.4</v>
      </c>
      <c r="O2407" s="22" t="s">
        <v>15</v>
      </c>
      <c r="P2407" s="44">
        <f>215.2+10995.2</f>
        <v>11210.400000000001</v>
      </c>
      <c r="Q2407" s="44">
        <f t="shared" si="153"/>
        <v>0</v>
      </c>
      <c r="R2407" s="24">
        <f t="shared" si="155"/>
        <v>11210.400000000001</v>
      </c>
      <c r="S2407" s="5"/>
      <c r="T2407" s="5"/>
    </row>
    <row r="2408" spans="1:20" ht="15.75" hidden="1" x14ac:dyDescent="0.25">
      <c r="B2408" s="21" t="s">
        <v>395</v>
      </c>
      <c r="C2408" s="22" t="s">
        <v>2450</v>
      </c>
      <c r="D2408" s="22"/>
      <c r="E2408" s="21" t="s">
        <v>10</v>
      </c>
      <c r="F2408" s="21" t="s">
        <v>9721</v>
      </c>
      <c r="G2408" s="147" t="s">
        <v>1090</v>
      </c>
      <c r="H2408" s="23" t="s">
        <v>9719</v>
      </c>
      <c r="I2408" s="23" t="s">
        <v>9720</v>
      </c>
      <c r="J2408" s="21" t="s">
        <v>6557</v>
      </c>
      <c r="K2408" s="21"/>
      <c r="L2408" s="21" t="s">
        <v>9908</v>
      </c>
      <c r="M2408" s="26">
        <v>45439</v>
      </c>
      <c r="N2408" s="44">
        <v>1986.45</v>
      </c>
      <c r="O2408" s="22" t="s">
        <v>15</v>
      </c>
      <c r="P2408" s="44">
        <v>1986.45</v>
      </c>
      <c r="Q2408" s="24">
        <f t="shared" si="153"/>
        <v>0</v>
      </c>
      <c r="R2408" s="24">
        <f t="shared" si="155"/>
        <v>1986.45</v>
      </c>
      <c r="S2408" s="5"/>
      <c r="T2408" s="5"/>
    </row>
    <row r="2409" spans="1:20" ht="15.75" hidden="1" x14ac:dyDescent="0.25">
      <c r="B2409" s="21" t="s">
        <v>395</v>
      </c>
      <c r="C2409" s="22" t="s">
        <v>2450</v>
      </c>
      <c r="D2409" s="22"/>
      <c r="E2409" s="21" t="s">
        <v>10</v>
      </c>
      <c r="F2409" s="21" t="s">
        <v>9721</v>
      </c>
      <c r="G2409" s="147" t="s">
        <v>1090</v>
      </c>
      <c r="H2409" s="23" t="s">
        <v>9938</v>
      </c>
      <c r="I2409" s="23" t="s">
        <v>9939</v>
      </c>
      <c r="J2409" s="21" t="s">
        <v>6557</v>
      </c>
      <c r="K2409" s="21"/>
      <c r="L2409" s="21" t="s">
        <v>9940</v>
      </c>
      <c r="M2409" s="26">
        <v>45461</v>
      </c>
      <c r="N2409" s="44">
        <v>4126.75</v>
      </c>
      <c r="O2409" s="22" t="s">
        <v>15</v>
      </c>
      <c r="P2409" s="44">
        <v>4126.75</v>
      </c>
      <c r="Q2409" s="24">
        <f t="shared" si="153"/>
        <v>0</v>
      </c>
      <c r="R2409" s="24">
        <f t="shared" si="155"/>
        <v>4126.75</v>
      </c>
      <c r="S2409" s="5"/>
      <c r="T2409" s="5"/>
    </row>
    <row r="2410" spans="1:20" ht="15.75" hidden="1" x14ac:dyDescent="0.25">
      <c r="B2410" s="21" t="s">
        <v>395</v>
      </c>
      <c r="C2410" s="22" t="s">
        <v>2450</v>
      </c>
      <c r="D2410" s="22"/>
      <c r="E2410" s="21" t="s">
        <v>10</v>
      </c>
      <c r="F2410" s="21" t="s">
        <v>9721</v>
      </c>
      <c r="G2410" s="147" t="s">
        <v>1090</v>
      </c>
      <c r="H2410" s="23" t="s">
        <v>9953</v>
      </c>
      <c r="I2410" s="23" t="s">
        <v>9954</v>
      </c>
      <c r="J2410" s="21" t="s">
        <v>6557</v>
      </c>
      <c r="K2410" s="21"/>
      <c r="L2410" s="21" t="s">
        <v>9955</v>
      </c>
      <c r="M2410" s="26">
        <v>45468</v>
      </c>
      <c r="N2410" s="44">
        <v>1139</v>
      </c>
      <c r="O2410" s="22" t="s">
        <v>15</v>
      </c>
      <c r="P2410" s="44">
        <f>1139</f>
        <v>1139</v>
      </c>
      <c r="Q2410" s="24">
        <f t="shared" si="153"/>
        <v>0</v>
      </c>
      <c r="R2410" s="24">
        <f t="shared" si="155"/>
        <v>1139</v>
      </c>
      <c r="S2410" s="5"/>
      <c r="T2410" s="5"/>
    </row>
    <row r="2411" spans="1:20" ht="15.75" hidden="1" x14ac:dyDescent="0.25">
      <c r="B2411" s="21" t="s">
        <v>395</v>
      </c>
      <c r="C2411" s="22" t="s">
        <v>2450</v>
      </c>
      <c r="D2411" s="22"/>
      <c r="E2411" s="21" t="s">
        <v>10</v>
      </c>
      <c r="F2411" s="21" t="s">
        <v>9721</v>
      </c>
      <c r="G2411" s="147" t="s">
        <v>1090</v>
      </c>
      <c r="H2411" s="23" t="s">
        <v>10643</v>
      </c>
      <c r="I2411" s="23" t="s">
        <v>10644</v>
      </c>
      <c r="J2411" s="21" t="s">
        <v>6557</v>
      </c>
      <c r="K2411" s="21"/>
      <c r="L2411" s="21" t="s">
        <v>10645</v>
      </c>
      <c r="M2411" s="26">
        <v>45572</v>
      </c>
      <c r="N2411" s="44">
        <v>135</v>
      </c>
      <c r="O2411" s="22" t="s">
        <v>15</v>
      </c>
      <c r="P2411" s="44">
        <f>135</f>
        <v>135</v>
      </c>
      <c r="Q2411" s="44">
        <f t="shared" si="153"/>
        <v>0</v>
      </c>
      <c r="R2411" s="24">
        <f t="shared" si="155"/>
        <v>135</v>
      </c>
      <c r="S2411" s="5"/>
      <c r="T2411" s="5"/>
    </row>
    <row r="2412" spans="1:20" ht="15.75" hidden="1" x14ac:dyDescent="0.25">
      <c r="B2412" s="21" t="s">
        <v>395</v>
      </c>
      <c r="C2412" s="22" t="s">
        <v>2450</v>
      </c>
      <c r="D2412" s="22"/>
      <c r="E2412" s="21" t="s">
        <v>10</v>
      </c>
      <c r="F2412" s="21"/>
      <c r="G2412" s="147" t="s">
        <v>1090</v>
      </c>
      <c r="H2412" s="23" t="s">
        <v>10758</v>
      </c>
      <c r="I2412" s="23" t="s">
        <v>10759</v>
      </c>
      <c r="J2412" s="21" t="s">
        <v>6557</v>
      </c>
      <c r="K2412" s="21"/>
      <c r="L2412" s="21" t="s">
        <v>10788</v>
      </c>
      <c r="M2412" s="26">
        <v>45617</v>
      </c>
      <c r="N2412" s="44">
        <v>1494</v>
      </c>
      <c r="O2412" s="22" t="s">
        <v>15</v>
      </c>
      <c r="P2412" s="44">
        <v>1494</v>
      </c>
      <c r="Q2412" s="44">
        <f t="shared" si="153"/>
        <v>0</v>
      </c>
      <c r="R2412" s="24">
        <f>IF(P2412="OK",N2412-Q2412,IF(P2412="en cours",M2412-Q2412,P2412))</f>
        <v>1494</v>
      </c>
      <c r="S2412" s="5"/>
      <c r="T2412" s="5"/>
    </row>
    <row r="2413" spans="1:20" ht="15.75" hidden="1" x14ac:dyDescent="0.25">
      <c r="B2413" s="21" t="s">
        <v>395</v>
      </c>
      <c r="C2413" s="22" t="s">
        <v>2450</v>
      </c>
      <c r="D2413" s="22"/>
      <c r="E2413" s="21" t="s">
        <v>10</v>
      </c>
      <c r="F2413" s="21" t="s">
        <v>9721</v>
      </c>
      <c r="G2413" s="147" t="s">
        <v>1090</v>
      </c>
      <c r="H2413" s="23" t="s">
        <v>10828</v>
      </c>
      <c r="I2413" s="23" t="s">
        <v>10829</v>
      </c>
      <c r="J2413" s="21" t="s">
        <v>6557</v>
      </c>
      <c r="K2413" s="21"/>
      <c r="L2413" s="21" t="s">
        <v>10858</v>
      </c>
      <c r="M2413" s="26">
        <v>45628</v>
      </c>
      <c r="N2413" s="44">
        <v>295.2</v>
      </c>
      <c r="O2413" s="22" t="s">
        <v>15</v>
      </c>
      <c r="P2413" s="44">
        <v>295.2</v>
      </c>
      <c r="Q2413" s="44">
        <f t="shared" si="153"/>
        <v>0</v>
      </c>
      <c r="R2413" s="24">
        <f>IF(P2413="OK",N2413-Q2413,IF(P2413="en cours",M2413-Q2413,P2413))</f>
        <v>295.2</v>
      </c>
      <c r="S2413" s="5"/>
      <c r="T2413" s="5"/>
    </row>
    <row r="2414" spans="1:20" ht="15.75" hidden="1" x14ac:dyDescent="0.25">
      <c r="B2414" s="21" t="s">
        <v>395</v>
      </c>
      <c r="C2414" s="22" t="s">
        <v>2450</v>
      </c>
      <c r="D2414" s="22"/>
      <c r="E2414" s="21" t="s">
        <v>0</v>
      </c>
      <c r="F2414" s="21"/>
      <c r="G2414" s="147" t="s">
        <v>9475</v>
      </c>
      <c r="H2414" s="23" t="s">
        <v>9662</v>
      </c>
      <c r="I2414" s="23" t="s">
        <v>9663</v>
      </c>
      <c r="J2414" s="21" t="s">
        <v>9664</v>
      </c>
      <c r="K2414" s="21"/>
      <c r="L2414" s="21" t="s">
        <v>12270</v>
      </c>
      <c r="M2414" s="26">
        <v>45425</v>
      </c>
      <c r="N2414" s="44">
        <v>11000</v>
      </c>
      <c r="O2414" s="22" t="s">
        <v>15</v>
      </c>
      <c r="P2414" s="44">
        <v>11000</v>
      </c>
      <c r="Q2414" s="24">
        <f t="shared" si="153"/>
        <v>0</v>
      </c>
      <c r="R2414" s="24">
        <f t="shared" ref="R2414:R2422" si="156">IF(P2414="OK",N2414-Q2414,IF(P2414="en cours",N2414-Q2414,P2414))</f>
        <v>11000</v>
      </c>
      <c r="S2414" s="5"/>
      <c r="T2414" s="5"/>
    </row>
    <row r="2415" spans="1:20" ht="15.75" hidden="1" x14ac:dyDescent="0.25">
      <c r="A2415" t="s">
        <v>6753</v>
      </c>
      <c r="B2415" s="21" t="s">
        <v>395</v>
      </c>
      <c r="C2415" s="22" t="s">
        <v>158</v>
      </c>
      <c r="D2415" s="22"/>
      <c r="E2415" s="21" t="s">
        <v>10</v>
      </c>
      <c r="F2415" s="21"/>
      <c r="G2415" s="147" t="s">
        <v>1090</v>
      </c>
      <c r="H2415" s="23" t="s">
        <v>9015</v>
      </c>
      <c r="I2415" s="23" t="s">
        <v>9016</v>
      </c>
      <c r="J2415" s="21" t="s">
        <v>9017</v>
      </c>
      <c r="K2415" s="377">
        <v>45261</v>
      </c>
      <c r="L2415" s="21" t="s">
        <v>9377</v>
      </c>
      <c r="M2415" s="26" t="s">
        <v>9378</v>
      </c>
      <c r="N2415" s="44">
        <v>14895.4</v>
      </c>
      <c r="O2415" s="22" t="s">
        <v>15</v>
      </c>
      <c r="P2415" s="44">
        <f>12030.05+1347.25+1518</f>
        <v>14895.3</v>
      </c>
      <c r="Q2415" s="24">
        <f t="shared" si="153"/>
        <v>0.1000000000003638</v>
      </c>
      <c r="R2415" s="24">
        <f t="shared" si="156"/>
        <v>14895.3</v>
      </c>
      <c r="S2415" s="5"/>
      <c r="T2415" s="5"/>
    </row>
    <row r="2416" spans="1:20" ht="15.75" hidden="1" x14ac:dyDescent="0.25">
      <c r="A2416" t="s">
        <v>6753</v>
      </c>
      <c r="B2416" s="5" t="s">
        <v>12231</v>
      </c>
      <c r="C2416" s="4" t="s">
        <v>158</v>
      </c>
      <c r="D2416" s="4"/>
      <c r="E2416" s="5" t="s">
        <v>10</v>
      </c>
      <c r="F2416" s="5"/>
      <c r="G2416" s="146" t="s">
        <v>1090</v>
      </c>
      <c r="H2416" s="7" t="s">
        <v>9015</v>
      </c>
      <c r="I2416" s="7" t="s">
        <v>9016</v>
      </c>
      <c r="J2416" s="5" t="s">
        <v>9308</v>
      </c>
      <c r="K2416" s="356">
        <v>45352</v>
      </c>
      <c r="L2416" s="5"/>
      <c r="M2416" s="7"/>
      <c r="N2416" s="45">
        <v>8808.9</v>
      </c>
      <c r="O2416" s="4" t="s">
        <v>15</v>
      </c>
      <c r="P2416" s="45"/>
      <c r="Q2416" s="3">
        <f t="shared" si="153"/>
        <v>8808.9</v>
      </c>
      <c r="R2416" s="3">
        <f t="shared" si="156"/>
        <v>0</v>
      </c>
      <c r="S2416" s="5"/>
      <c r="T2416" s="5"/>
    </row>
    <row r="2417" spans="1:20" ht="15.75" hidden="1" x14ac:dyDescent="0.25">
      <c r="A2417" t="s">
        <v>6753</v>
      </c>
      <c r="B2417" s="21" t="s">
        <v>395</v>
      </c>
      <c r="C2417" s="22" t="s">
        <v>158</v>
      </c>
      <c r="D2417" s="22"/>
      <c r="E2417" s="21" t="s">
        <v>10</v>
      </c>
      <c r="F2417" s="21"/>
      <c r="G2417" s="147" t="s">
        <v>1090</v>
      </c>
      <c r="H2417" s="23" t="s">
        <v>9015</v>
      </c>
      <c r="I2417" s="23" t="s">
        <v>9016</v>
      </c>
      <c r="J2417" s="21" t="s">
        <v>9308</v>
      </c>
      <c r="K2417" s="377"/>
      <c r="L2417" s="21" t="s">
        <v>10991</v>
      </c>
      <c r="M2417" s="26" t="s">
        <v>10992</v>
      </c>
      <c r="N2417" s="44">
        <v>26925.45</v>
      </c>
      <c r="O2417" s="22" t="s">
        <v>15</v>
      </c>
      <c r="P2417" s="44">
        <f>1347.25+12030.05+1518.4+12030.05</f>
        <v>26925.75</v>
      </c>
      <c r="Q2417" s="24">
        <f t="shared" si="153"/>
        <v>0</v>
      </c>
      <c r="R2417" s="24">
        <f t="shared" si="156"/>
        <v>26925.75</v>
      </c>
      <c r="S2417" s="5"/>
      <c r="T2417" s="5"/>
    </row>
    <row r="2418" spans="1:20" ht="15.75" hidden="1" x14ac:dyDescent="0.25">
      <c r="B2418" s="21" t="s">
        <v>395</v>
      </c>
      <c r="C2418" s="22" t="s">
        <v>2450</v>
      </c>
      <c r="D2418" s="22"/>
      <c r="E2418" s="21" t="s">
        <v>159</v>
      </c>
      <c r="F2418" s="21"/>
      <c r="G2418" s="147" t="s">
        <v>2932</v>
      </c>
      <c r="H2418" s="23" t="s">
        <v>2933</v>
      </c>
      <c r="I2418" s="23"/>
      <c r="J2418" s="21" t="s">
        <v>2934</v>
      </c>
      <c r="K2418" s="120"/>
      <c r="L2418" s="21" t="s">
        <v>2983</v>
      </c>
      <c r="M2418" s="26">
        <v>43894</v>
      </c>
      <c r="N2418" s="114">
        <v>10000</v>
      </c>
      <c r="O2418" s="22" t="s">
        <v>276</v>
      </c>
      <c r="P2418" s="114">
        <v>19329.75</v>
      </c>
      <c r="Q2418" s="24">
        <f t="shared" si="153"/>
        <v>0</v>
      </c>
      <c r="R2418" s="24">
        <f t="shared" si="156"/>
        <v>19329.75</v>
      </c>
      <c r="S2418" s="5"/>
      <c r="T2418" s="5"/>
    </row>
    <row r="2419" spans="1:20" ht="15.75" hidden="1" x14ac:dyDescent="0.25">
      <c r="B2419" s="21" t="s">
        <v>395</v>
      </c>
      <c r="C2419" s="22" t="s">
        <v>158</v>
      </c>
      <c r="D2419" s="22"/>
      <c r="E2419" s="21" t="s">
        <v>10</v>
      </c>
      <c r="F2419" s="21"/>
      <c r="G2419" s="147" t="s">
        <v>916</v>
      </c>
      <c r="H2419" s="23" t="s">
        <v>8686</v>
      </c>
      <c r="I2419" s="23" t="s">
        <v>8687</v>
      </c>
      <c r="J2419" s="21" t="s">
        <v>9055</v>
      </c>
      <c r="K2419" s="21"/>
      <c r="L2419" s="21" t="s">
        <v>9056</v>
      </c>
      <c r="M2419" s="26">
        <v>45229</v>
      </c>
      <c r="N2419" s="44">
        <v>2675.1</v>
      </c>
      <c r="O2419" s="22" t="s">
        <v>15</v>
      </c>
      <c r="P2419" s="44">
        <f>2675.1</f>
        <v>2675.1</v>
      </c>
      <c r="Q2419" s="44">
        <f t="shared" si="153"/>
        <v>0</v>
      </c>
      <c r="R2419" s="24">
        <f t="shared" si="156"/>
        <v>2675.1</v>
      </c>
      <c r="S2419" s="5"/>
      <c r="T2419" s="5"/>
    </row>
    <row r="2420" spans="1:20" ht="15.75" hidden="1" x14ac:dyDescent="0.25">
      <c r="B2420" s="21" t="s">
        <v>395</v>
      </c>
      <c r="C2420" s="22" t="s">
        <v>158</v>
      </c>
      <c r="D2420" s="22"/>
      <c r="E2420" s="21" t="s">
        <v>10</v>
      </c>
      <c r="F2420" s="21"/>
      <c r="G2420" s="147" t="s">
        <v>916</v>
      </c>
      <c r="H2420" s="23" t="s">
        <v>8683</v>
      </c>
      <c r="I2420" s="23" t="s">
        <v>8684</v>
      </c>
      <c r="J2420" s="21" t="s">
        <v>8685</v>
      </c>
      <c r="K2420" s="21"/>
      <c r="L2420" s="21" t="s">
        <v>8983</v>
      </c>
      <c r="M2420" s="26">
        <v>45222</v>
      </c>
      <c r="N2420" s="44">
        <v>960.5</v>
      </c>
      <c r="O2420" s="22" t="s">
        <v>15</v>
      </c>
      <c r="P2420" s="44">
        <v>960.5</v>
      </c>
      <c r="Q2420" s="44">
        <f t="shared" si="153"/>
        <v>0</v>
      </c>
      <c r="R2420" s="24">
        <f t="shared" si="156"/>
        <v>960.5</v>
      </c>
      <c r="S2420" s="5"/>
      <c r="T2420" s="5"/>
    </row>
    <row r="2421" spans="1:20" ht="15.75" hidden="1" x14ac:dyDescent="0.25">
      <c r="B2421" s="21" t="s">
        <v>395</v>
      </c>
      <c r="C2421" s="22" t="s">
        <v>158</v>
      </c>
      <c r="D2421" s="22"/>
      <c r="E2421" s="21" t="s">
        <v>10</v>
      </c>
      <c r="F2421" s="21"/>
      <c r="G2421" s="147" t="s">
        <v>916</v>
      </c>
      <c r="H2421" s="23" t="s">
        <v>8680</v>
      </c>
      <c r="I2421" s="23" t="s">
        <v>8681</v>
      </c>
      <c r="J2421" s="21" t="s">
        <v>8682</v>
      </c>
      <c r="K2421" s="21"/>
      <c r="L2421" s="21" t="s">
        <v>8702</v>
      </c>
      <c r="M2421" s="26">
        <v>45149</v>
      </c>
      <c r="N2421" s="44">
        <v>510.4</v>
      </c>
      <c r="O2421" s="22" t="s">
        <v>15</v>
      </c>
      <c r="P2421" s="44">
        <v>510.4</v>
      </c>
      <c r="Q2421" s="44">
        <f t="shared" si="153"/>
        <v>0</v>
      </c>
      <c r="R2421" s="24">
        <f t="shared" si="156"/>
        <v>510.4</v>
      </c>
      <c r="S2421" s="5"/>
      <c r="T2421" s="5"/>
    </row>
    <row r="2422" spans="1:20" ht="15.75" hidden="1" x14ac:dyDescent="0.25">
      <c r="B2422" s="21" t="s">
        <v>395</v>
      </c>
      <c r="C2422" s="22" t="s">
        <v>158</v>
      </c>
      <c r="D2422" s="22"/>
      <c r="E2422" s="21" t="s">
        <v>10</v>
      </c>
      <c r="F2422" s="21" t="s">
        <v>9721</v>
      </c>
      <c r="G2422" s="147" t="s">
        <v>916</v>
      </c>
      <c r="H2422" s="23" t="s">
        <v>10035</v>
      </c>
      <c r="I2422" s="23" t="s">
        <v>10036</v>
      </c>
      <c r="J2422" s="21" t="s">
        <v>10037</v>
      </c>
      <c r="K2422" s="21"/>
      <c r="L2422" s="21" t="s">
        <v>10077</v>
      </c>
      <c r="M2422" s="26">
        <v>45467</v>
      </c>
      <c r="N2422" s="44">
        <v>535.9</v>
      </c>
      <c r="O2422" s="22" t="s">
        <v>15</v>
      </c>
      <c r="P2422" s="44">
        <v>535.9</v>
      </c>
      <c r="Q2422" s="44">
        <f t="shared" si="153"/>
        <v>0</v>
      </c>
      <c r="R2422" s="24">
        <f t="shared" si="156"/>
        <v>535.9</v>
      </c>
      <c r="S2422" s="5"/>
      <c r="T2422" s="5"/>
    </row>
    <row r="2423" spans="1:20" ht="15.75" hidden="1" x14ac:dyDescent="0.25">
      <c r="B2423" s="21" t="s">
        <v>395</v>
      </c>
      <c r="C2423" s="22" t="s">
        <v>158</v>
      </c>
      <c r="D2423" s="22"/>
      <c r="E2423" s="21" t="s">
        <v>10</v>
      </c>
      <c r="F2423" s="21" t="s">
        <v>9721</v>
      </c>
      <c r="G2423" s="147" t="s">
        <v>916</v>
      </c>
      <c r="H2423" s="23" t="s">
        <v>10128</v>
      </c>
      <c r="I2423" s="23" t="s">
        <v>10129</v>
      </c>
      <c r="J2423" s="21" t="s">
        <v>8685</v>
      </c>
      <c r="K2423" s="21"/>
      <c r="L2423" s="21" t="s">
        <v>10565</v>
      </c>
      <c r="M2423" s="26">
        <v>45552</v>
      </c>
      <c r="N2423" s="44">
        <v>1075.8</v>
      </c>
      <c r="O2423" s="22" t="s">
        <v>15</v>
      </c>
      <c r="P2423" s="44">
        <f>1075.8</f>
        <v>1075.8</v>
      </c>
      <c r="Q2423" s="24">
        <f t="shared" si="153"/>
        <v>0</v>
      </c>
      <c r="R2423" s="24">
        <f>IF(P2423="OK",N2423-Q2423,IF(P2423="en cours",M2423-Q2423,P2423))</f>
        <v>1075.8</v>
      </c>
      <c r="S2423" s="5"/>
      <c r="T2423" s="5"/>
    </row>
    <row r="2424" spans="1:20" ht="15.75" hidden="1" x14ac:dyDescent="0.25">
      <c r="B2424" s="21" t="s">
        <v>395</v>
      </c>
      <c r="C2424" s="22" t="s">
        <v>158</v>
      </c>
      <c r="D2424" s="22"/>
      <c r="E2424" s="21" t="s">
        <v>10</v>
      </c>
      <c r="F2424" s="21" t="s">
        <v>9721</v>
      </c>
      <c r="G2424" s="147" t="s">
        <v>916</v>
      </c>
      <c r="H2424" s="23" t="s">
        <v>10130</v>
      </c>
      <c r="I2424" s="23" t="s">
        <v>10131</v>
      </c>
      <c r="J2424" s="21" t="s">
        <v>10132</v>
      </c>
      <c r="K2424" s="21"/>
      <c r="L2424" s="21" t="s">
        <v>10577</v>
      </c>
      <c r="M2424" s="26">
        <v>45569</v>
      </c>
      <c r="N2424" s="44">
        <v>2899.22</v>
      </c>
      <c r="O2424" s="22" t="s">
        <v>15</v>
      </c>
      <c r="P2424" s="44">
        <v>2899.22</v>
      </c>
      <c r="Q2424" s="24">
        <f t="shared" si="153"/>
        <v>0</v>
      </c>
      <c r="R2424" s="24">
        <f>IF(P2424="OK",N2424-Q2424,IF(P2424="en cours",M2424-Q2424,P2424))</f>
        <v>2899.22</v>
      </c>
      <c r="S2424" s="5"/>
      <c r="T2424" s="5"/>
    </row>
    <row r="2425" spans="1:20" ht="15.75" hidden="1" x14ac:dyDescent="0.25">
      <c r="B2425" s="21" t="s">
        <v>395</v>
      </c>
      <c r="C2425" s="22" t="s">
        <v>2450</v>
      </c>
      <c r="D2425" s="22"/>
      <c r="E2425" s="21" t="s">
        <v>10</v>
      </c>
      <c r="F2425" s="21" t="s">
        <v>9721</v>
      </c>
      <c r="G2425" s="147" t="s">
        <v>916</v>
      </c>
      <c r="H2425" s="23" t="s">
        <v>10607</v>
      </c>
      <c r="I2425" s="23" t="s">
        <v>10608</v>
      </c>
      <c r="J2425" s="21" t="s">
        <v>10609</v>
      </c>
      <c r="K2425" s="21"/>
      <c r="L2425" s="21" t="s">
        <v>10811</v>
      </c>
      <c r="M2425" s="26">
        <v>45624</v>
      </c>
      <c r="N2425" s="44">
        <v>132</v>
      </c>
      <c r="O2425" s="22" t="s">
        <v>15</v>
      </c>
      <c r="P2425" s="44">
        <v>132</v>
      </c>
      <c r="Q2425" s="44">
        <f t="shared" si="153"/>
        <v>0</v>
      </c>
      <c r="R2425" s="24">
        <f>IF(P2425="OK",N2425-Q2425,IF(P2425="en cours",N2425-Q2425,P2425))</f>
        <v>132</v>
      </c>
      <c r="S2425" s="5"/>
      <c r="T2425" s="5"/>
    </row>
    <row r="2426" spans="1:20" ht="15.75" hidden="1" x14ac:dyDescent="0.25">
      <c r="B2426" s="21" t="s">
        <v>395</v>
      </c>
      <c r="C2426" s="22" t="s">
        <v>158</v>
      </c>
      <c r="D2426" s="22"/>
      <c r="E2426" s="21" t="s">
        <v>10</v>
      </c>
      <c r="F2426" s="21" t="s">
        <v>9721</v>
      </c>
      <c r="G2426" s="147" t="s">
        <v>916</v>
      </c>
      <c r="H2426" s="23" t="s">
        <v>10666</v>
      </c>
      <c r="I2426" s="23" t="s">
        <v>10667</v>
      </c>
      <c r="J2426" s="21" t="s">
        <v>10668</v>
      </c>
      <c r="K2426" s="21"/>
      <c r="L2426" s="21" t="s">
        <v>10787</v>
      </c>
      <c r="M2426" s="26">
        <v>45621</v>
      </c>
      <c r="N2426" s="44">
        <v>371.7</v>
      </c>
      <c r="O2426" s="22" t="s">
        <v>15</v>
      </c>
      <c r="P2426" s="44">
        <v>371.7</v>
      </c>
      <c r="Q2426" s="24">
        <f t="shared" si="153"/>
        <v>0</v>
      </c>
      <c r="R2426" s="24">
        <f>IF(P2426="OK",N2426-Q2426,IF(P2426="en cours",M2426-Q2426,P2426))</f>
        <v>371.7</v>
      </c>
      <c r="S2426" s="5"/>
      <c r="T2426" s="5"/>
    </row>
    <row r="2427" spans="1:20" ht="15.75" hidden="1" x14ac:dyDescent="0.25">
      <c r="B2427" s="21" t="s">
        <v>395</v>
      </c>
      <c r="C2427" s="22" t="s">
        <v>2568</v>
      </c>
      <c r="D2427" s="22"/>
      <c r="E2427" s="21" t="s">
        <v>729</v>
      </c>
      <c r="F2427" s="21"/>
      <c r="G2427" s="147" t="s">
        <v>3692</v>
      </c>
      <c r="H2427" s="23" t="s">
        <v>4690</v>
      </c>
      <c r="I2427" s="23" t="s">
        <v>8023</v>
      </c>
      <c r="J2427" s="21" t="s">
        <v>5411</v>
      </c>
      <c r="K2427" s="120"/>
      <c r="L2427" s="21" t="s">
        <v>5412</v>
      </c>
      <c r="M2427" s="26" t="s">
        <v>5413</v>
      </c>
      <c r="N2427" s="44">
        <v>3000</v>
      </c>
      <c r="O2427" s="22" t="s">
        <v>15</v>
      </c>
      <c r="P2427" s="22">
        <f>2250+2790</f>
        <v>5040</v>
      </c>
      <c r="Q2427" s="24">
        <f t="shared" si="153"/>
        <v>0</v>
      </c>
      <c r="R2427" s="24">
        <f t="shared" ref="R2427:R2490" si="157">IF(P2427="OK",N2427-Q2427,IF(P2427="en cours",N2427-Q2427,P2427))</f>
        <v>5040</v>
      </c>
      <c r="S2427" s="5"/>
      <c r="T2427" s="5"/>
    </row>
    <row r="2428" spans="1:20" ht="15.75" hidden="1" x14ac:dyDescent="0.25">
      <c r="B2428" s="21" t="s">
        <v>395</v>
      </c>
      <c r="C2428" s="22" t="s">
        <v>2568</v>
      </c>
      <c r="D2428" s="22"/>
      <c r="E2428" s="21" t="s">
        <v>729</v>
      </c>
      <c r="F2428" s="21"/>
      <c r="G2428" s="147" t="s">
        <v>3692</v>
      </c>
      <c r="H2428" s="23" t="s">
        <v>4908</v>
      </c>
      <c r="I2428" s="23" t="s">
        <v>8035</v>
      </c>
      <c r="J2428" s="21" t="s">
        <v>4909</v>
      </c>
      <c r="K2428" s="120"/>
      <c r="L2428" s="21" t="s">
        <v>5513</v>
      </c>
      <c r="M2428" s="26" t="s">
        <v>5514</v>
      </c>
      <c r="N2428" s="44">
        <v>3000</v>
      </c>
      <c r="O2428" s="22" t="s">
        <v>15</v>
      </c>
      <c r="P2428" s="22">
        <f>1350+1350</f>
        <v>2700</v>
      </c>
      <c r="Q2428" s="24">
        <v>0</v>
      </c>
      <c r="R2428" s="24">
        <f t="shared" si="157"/>
        <v>2700</v>
      </c>
      <c r="S2428" s="5"/>
      <c r="T2428" s="5"/>
    </row>
    <row r="2429" spans="1:20" ht="15.75" hidden="1" x14ac:dyDescent="0.25">
      <c r="B2429" s="21" t="s">
        <v>395</v>
      </c>
      <c r="C2429" s="22" t="s">
        <v>2568</v>
      </c>
      <c r="D2429" s="22"/>
      <c r="E2429" s="21" t="s">
        <v>729</v>
      </c>
      <c r="F2429" s="21"/>
      <c r="G2429" s="147" t="s">
        <v>3692</v>
      </c>
      <c r="H2429" s="23" t="s">
        <v>5603</v>
      </c>
      <c r="I2429" s="23" t="s">
        <v>8092</v>
      </c>
      <c r="J2429" s="21" t="s">
        <v>5604</v>
      </c>
      <c r="K2429" s="120"/>
      <c r="L2429" s="21" t="s">
        <v>5983</v>
      </c>
      <c r="M2429" s="26" t="s">
        <v>5984</v>
      </c>
      <c r="N2429" s="44">
        <v>3000</v>
      </c>
      <c r="O2429" s="22" t="s">
        <v>15</v>
      </c>
      <c r="P2429" s="22">
        <f>1500+1500</f>
        <v>3000</v>
      </c>
      <c r="Q2429" s="24">
        <f t="shared" ref="Q2429:Q2482" si="158">IF(P2429="en cours",N2429,IF(P2429="OK",0,IF(N2429-P2429&lt;0,0,N2429-P2429)))</f>
        <v>0</v>
      </c>
      <c r="R2429" s="24">
        <f t="shared" si="157"/>
        <v>3000</v>
      </c>
      <c r="S2429" s="5"/>
      <c r="T2429" s="5"/>
    </row>
    <row r="2430" spans="1:20" ht="15.75" hidden="1" x14ac:dyDescent="0.25">
      <c r="B2430" s="21" t="s">
        <v>395</v>
      </c>
      <c r="C2430" s="22" t="s">
        <v>2450</v>
      </c>
      <c r="D2430" s="22"/>
      <c r="E2430" s="21" t="s">
        <v>0</v>
      </c>
      <c r="F2430" s="21"/>
      <c r="G2430" s="147" t="s">
        <v>995</v>
      </c>
      <c r="H2430" s="23" t="s">
        <v>7291</v>
      </c>
      <c r="I2430" s="23" t="s">
        <v>8214</v>
      </c>
      <c r="J2430" s="21" t="s">
        <v>7292</v>
      </c>
      <c r="K2430" s="21"/>
      <c r="L2430" s="21" t="s">
        <v>7296</v>
      </c>
      <c r="M2430" s="26">
        <v>44888</v>
      </c>
      <c r="N2430" s="44">
        <v>2500</v>
      </c>
      <c r="O2430" s="22" t="s">
        <v>15</v>
      </c>
      <c r="P2430" s="44">
        <v>2500</v>
      </c>
      <c r="Q2430" s="44">
        <f t="shared" si="158"/>
        <v>0</v>
      </c>
      <c r="R2430" s="24">
        <f t="shared" si="157"/>
        <v>2500</v>
      </c>
      <c r="S2430" s="5"/>
      <c r="T2430" s="5"/>
    </row>
    <row r="2431" spans="1:20" ht="15.75" hidden="1" x14ac:dyDescent="0.25">
      <c r="B2431" s="21" t="s">
        <v>395</v>
      </c>
      <c r="C2431" s="22" t="s">
        <v>7235</v>
      </c>
      <c r="D2431" s="22"/>
      <c r="E2431" s="21" t="s">
        <v>0</v>
      </c>
      <c r="F2431" s="21"/>
      <c r="G2431" s="147" t="s">
        <v>995</v>
      </c>
      <c r="H2431" s="23" t="s">
        <v>7482</v>
      </c>
      <c r="I2431" s="23" t="s">
        <v>8246</v>
      </c>
      <c r="J2431" s="21" t="s">
        <v>7483</v>
      </c>
      <c r="K2431" s="21"/>
      <c r="L2431" s="21" t="s">
        <v>7561</v>
      </c>
      <c r="M2431" s="26">
        <v>44963</v>
      </c>
      <c r="N2431" s="44">
        <v>1400</v>
      </c>
      <c r="O2431" s="22" t="s">
        <v>15</v>
      </c>
      <c r="P2431" s="22">
        <v>1400</v>
      </c>
      <c r="Q2431" s="44">
        <f t="shared" si="158"/>
        <v>0</v>
      </c>
      <c r="R2431" s="24">
        <f t="shared" si="157"/>
        <v>1400</v>
      </c>
      <c r="S2431" s="5"/>
      <c r="T2431" s="5"/>
    </row>
    <row r="2432" spans="1:20" ht="15.75" hidden="1" x14ac:dyDescent="0.25">
      <c r="B2432" s="21" t="s">
        <v>395</v>
      </c>
      <c r="C2432" s="55" t="s">
        <v>7235</v>
      </c>
      <c r="D2432" s="22"/>
      <c r="E2432" s="21" t="s">
        <v>0</v>
      </c>
      <c r="F2432" s="21"/>
      <c r="G2432" s="147" t="s">
        <v>995</v>
      </c>
      <c r="H2432" s="23" t="s">
        <v>7535</v>
      </c>
      <c r="I2432" s="23" t="s">
        <v>8250</v>
      </c>
      <c r="J2432" s="21" t="s">
        <v>7536</v>
      </c>
      <c r="K2432" s="21"/>
      <c r="L2432" s="21" t="s">
        <v>7560</v>
      </c>
      <c r="M2432" s="26">
        <v>44964</v>
      </c>
      <c r="N2432" s="44">
        <v>6195</v>
      </c>
      <c r="O2432" s="22" t="s">
        <v>15</v>
      </c>
      <c r="P2432" s="22">
        <v>6195</v>
      </c>
      <c r="Q2432" s="44">
        <f t="shared" si="158"/>
        <v>0</v>
      </c>
      <c r="R2432" s="24">
        <f t="shared" si="157"/>
        <v>6195</v>
      </c>
      <c r="S2432" s="5"/>
      <c r="T2432" s="5"/>
    </row>
    <row r="2433" spans="2:20" ht="15.75" hidden="1" x14ac:dyDescent="0.25">
      <c r="B2433" s="21" t="s">
        <v>395</v>
      </c>
      <c r="C2433" s="22" t="s">
        <v>7235</v>
      </c>
      <c r="D2433" s="22"/>
      <c r="E2433" s="21" t="s">
        <v>0</v>
      </c>
      <c r="F2433" s="21"/>
      <c r="G2433" s="147" t="s">
        <v>995</v>
      </c>
      <c r="H2433" s="107" t="s">
        <v>7470</v>
      </c>
      <c r="I2433" s="107" t="s">
        <v>7470</v>
      </c>
      <c r="J2433" s="21" t="s">
        <v>7471</v>
      </c>
      <c r="K2433" s="21"/>
      <c r="L2433" s="21" t="s">
        <v>7496</v>
      </c>
      <c r="M2433" s="26">
        <v>44949</v>
      </c>
      <c r="N2433" s="44">
        <v>2465</v>
      </c>
      <c r="O2433" s="22" t="s">
        <v>15</v>
      </c>
      <c r="P2433" s="44">
        <f>2465</f>
        <v>2465</v>
      </c>
      <c r="Q2433" s="44">
        <f t="shared" si="158"/>
        <v>0</v>
      </c>
      <c r="R2433" s="24">
        <f t="shared" si="157"/>
        <v>2465</v>
      </c>
      <c r="S2433" s="5"/>
      <c r="T2433" s="5"/>
    </row>
    <row r="2434" spans="2:20" ht="15.75" hidden="1" x14ac:dyDescent="0.25">
      <c r="B2434" s="21" t="s">
        <v>395</v>
      </c>
      <c r="C2434" s="22" t="s">
        <v>7235</v>
      </c>
      <c r="D2434" s="22"/>
      <c r="E2434" s="21" t="s">
        <v>0</v>
      </c>
      <c r="F2434" s="21"/>
      <c r="G2434" s="147" t="s">
        <v>995</v>
      </c>
      <c r="H2434" s="107" t="s">
        <v>7472</v>
      </c>
      <c r="I2434" s="107" t="s">
        <v>7472</v>
      </c>
      <c r="J2434" s="21" t="s">
        <v>7473</v>
      </c>
      <c r="K2434" s="21"/>
      <c r="L2434" s="21" t="s">
        <v>7495</v>
      </c>
      <c r="M2434" s="26">
        <v>44949</v>
      </c>
      <c r="N2434" s="44">
        <v>1140</v>
      </c>
      <c r="O2434" s="22" t="s">
        <v>15</v>
      </c>
      <c r="P2434" s="44">
        <f>1140</f>
        <v>1140</v>
      </c>
      <c r="Q2434" s="44">
        <f t="shared" si="158"/>
        <v>0</v>
      </c>
      <c r="R2434" s="24">
        <f t="shared" si="157"/>
        <v>1140</v>
      </c>
      <c r="S2434" s="5"/>
      <c r="T2434" s="5"/>
    </row>
    <row r="2435" spans="2:20" ht="15.75" hidden="1" x14ac:dyDescent="0.25">
      <c r="B2435" s="21" t="s">
        <v>395</v>
      </c>
      <c r="C2435" s="22" t="s">
        <v>2450</v>
      </c>
      <c r="D2435" s="22"/>
      <c r="E2435" s="21" t="s">
        <v>0</v>
      </c>
      <c r="F2435" s="21"/>
      <c r="G2435" s="147" t="s">
        <v>995</v>
      </c>
      <c r="H2435" s="23" t="s">
        <v>8352</v>
      </c>
      <c r="I2435" s="23" t="s">
        <v>8352</v>
      </c>
      <c r="J2435" s="21" t="s">
        <v>8353</v>
      </c>
      <c r="K2435" s="21"/>
      <c r="L2435" s="21" t="s">
        <v>8657</v>
      </c>
      <c r="M2435" s="26">
        <v>45134</v>
      </c>
      <c r="N2435" s="44">
        <v>2500</v>
      </c>
      <c r="O2435" s="22" t="s">
        <v>15</v>
      </c>
      <c r="P2435" s="44">
        <f>2500</f>
        <v>2500</v>
      </c>
      <c r="Q2435" s="44">
        <f t="shared" si="158"/>
        <v>0</v>
      </c>
      <c r="R2435" s="24">
        <f t="shared" si="157"/>
        <v>2500</v>
      </c>
      <c r="S2435" s="5"/>
      <c r="T2435" s="5"/>
    </row>
    <row r="2436" spans="2:20" ht="15.75" hidden="1" x14ac:dyDescent="0.25">
      <c r="B2436" s="21" t="s">
        <v>395</v>
      </c>
      <c r="C2436" s="22" t="s">
        <v>2450</v>
      </c>
      <c r="D2436" s="22"/>
      <c r="E2436" s="21" t="s">
        <v>0</v>
      </c>
      <c r="F2436" s="21"/>
      <c r="G2436" s="147" t="s">
        <v>995</v>
      </c>
      <c r="H2436" s="107" t="s">
        <v>7149</v>
      </c>
      <c r="I2436" s="107" t="s">
        <v>7149</v>
      </c>
      <c r="J2436" s="21" t="s">
        <v>7150</v>
      </c>
      <c r="K2436" s="21"/>
      <c r="L2436" s="21" t="s">
        <v>7166</v>
      </c>
      <c r="M2436" s="26">
        <v>44844</v>
      </c>
      <c r="N2436" s="44">
        <v>824</v>
      </c>
      <c r="O2436" s="22" t="s">
        <v>15</v>
      </c>
      <c r="P2436" s="44">
        <v>824</v>
      </c>
      <c r="Q2436" s="24">
        <f t="shared" si="158"/>
        <v>0</v>
      </c>
      <c r="R2436" s="24">
        <f t="shared" si="157"/>
        <v>824</v>
      </c>
      <c r="S2436" s="5"/>
      <c r="T2436" s="5"/>
    </row>
    <row r="2437" spans="2:20" ht="15.75" hidden="1" x14ac:dyDescent="0.25">
      <c r="B2437" s="21" t="s">
        <v>395</v>
      </c>
      <c r="C2437" s="22" t="s">
        <v>7235</v>
      </c>
      <c r="D2437" s="22"/>
      <c r="E2437" s="21" t="s">
        <v>0</v>
      </c>
      <c r="F2437" s="21"/>
      <c r="G2437" s="147" t="s">
        <v>995</v>
      </c>
      <c r="H2437" s="107" t="s">
        <v>7151</v>
      </c>
      <c r="I2437" s="107" t="s">
        <v>7151</v>
      </c>
      <c r="J2437" s="21" t="s">
        <v>7152</v>
      </c>
      <c r="K2437" s="21"/>
      <c r="L2437" s="21" t="s">
        <v>7532</v>
      </c>
      <c r="M2437" s="26">
        <v>44953</v>
      </c>
      <c r="N2437" s="44">
        <v>6150</v>
      </c>
      <c r="O2437" s="22" t="s">
        <v>15</v>
      </c>
      <c r="P2437" s="44">
        <f>6150</f>
        <v>6150</v>
      </c>
      <c r="Q2437" s="24">
        <f t="shared" si="158"/>
        <v>0</v>
      </c>
      <c r="R2437" s="24">
        <f t="shared" si="157"/>
        <v>6150</v>
      </c>
      <c r="S2437" s="5"/>
      <c r="T2437" s="5"/>
    </row>
    <row r="2438" spans="2:20" ht="15.75" hidden="1" x14ac:dyDescent="0.25">
      <c r="B2438" s="21" t="s">
        <v>395</v>
      </c>
      <c r="C2438" s="22" t="s">
        <v>2450</v>
      </c>
      <c r="D2438" s="22"/>
      <c r="E2438" s="21" t="s">
        <v>0</v>
      </c>
      <c r="F2438" s="21"/>
      <c r="G2438" s="147" t="s">
        <v>995</v>
      </c>
      <c r="H2438" s="107" t="s">
        <v>8939</v>
      </c>
      <c r="I2438" s="23" t="s">
        <v>8939</v>
      </c>
      <c r="J2438" s="21" t="s">
        <v>8944</v>
      </c>
      <c r="K2438" s="21"/>
      <c r="L2438" s="21" t="s">
        <v>11092</v>
      </c>
      <c r="M2438" s="26" t="s">
        <v>11093</v>
      </c>
      <c r="N2438" s="44">
        <v>7500</v>
      </c>
      <c r="O2438" s="22" t="s">
        <v>15</v>
      </c>
      <c r="P2438" s="44">
        <f>2500+2500+2500</f>
        <v>7500</v>
      </c>
      <c r="Q2438" s="44">
        <f t="shared" si="158"/>
        <v>0</v>
      </c>
      <c r="R2438" s="24">
        <f t="shared" si="157"/>
        <v>7500</v>
      </c>
      <c r="S2438" s="5"/>
      <c r="T2438" s="5"/>
    </row>
    <row r="2439" spans="2:20" ht="15.75" hidden="1" x14ac:dyDescent="0.25">
      <c r="B2439" s="21" t="s">
        <v>395</v>
      </c>
      <c r="C2439" s="22" t="s">
        <v>2450</v>
      </c>
      <c r="D2439" s="22"/>
      <c r="E2439" s="21" t="s">
        <v>0</v>
      </c>
      <c r="F2439" s="21"/>
      <c r="G2439" s="147" t="s">
        <v>995</v>
      </c>
      <c r="H2439" s="107" t="s">
        <v>3056</v>
      </c>
      <c r="I2439" s="107" t="s">
        <v>3056</v>
      </c>
      <c r="J2439" s="21" t="s">
        <v>3057</v>
      </c>
      <c r="K2439" s="120"/>
      <c r="L2439" s="21" t="s">
        <v>3192</v>
      </c>
      <c r="M2439" s="47">
        <v>43976</v>
      </c>
      <c r="N2439" s="44">
        <v>1300</v>
      </c>
      <c r="O2439" s="22" t="s">
        <v>15</v>
      </c>
      <c r="P2439" s="22" t="s">
        <v>19</v>
      </c>
      <c r="Q2439" s="24">
        <f t="shared" si="158"/>
        <v>0</v>
      </c>
      <c r="R2439" s="24">
        <f t="shared" si="157"/>
        <v>1300</v>
      </c>
      <c r="S2439" s="5"/>
      <c r="T2439" s="5"/>
    </row>
    <row r="2440" spans="2:20" ht="15.75" hidden="1" x14ac:dyDescent="0.25">
      <c r="B2440" s="5"/>
      <c r="C2440" s="4" t="s">
        <v>2450</v>
      </c>
      <c r="D2440" s="4"/>
      <c r="E2440" s="5" t="s">
        <v>0</v>
      </c>
      <c r="F2440" s="5"/>
      <c r="G2440" s="146" t="s">
        <v>995</v>
      </c>
      <c r="H2440" s="58" t="s">
        <v>3056</v>
      </c>
      <c r="I2440" s="58" t="s">
        <v>3056</v>
      </c>
      <c r="J2440" s="5" t="s">
        <v>3057</v>
      </c>
      <c r="K2440" s="13">
        <v>44216</v>
      </c>
      <c r="L2440" s="5"/>
      <c r="M2440" s="115"/>
      <c r="N2440" s="45">
        <v>2125</v>
      </c>
      <c r="O2440" s="4" t="s">
        <v>15</v>
      </c>
      <c r="P2440" s="4"/>
      <c r="Q2440" s="3">
        <f t="shared" si="158"/>
        <v>2125</v>
      </c>
      <c r="R2440" s="3">
        <f t="shared" si="157"/>
        <v>0</v>
      </c>
      <c r="S2440" s="5"/>
      <c r="T2440" s="5"/>
    </row>
    <row r="2441" spans="2:20" ht="15.75" hidden="1" x14ac:dyDescent="0.25">
      <c r="B2441" s="21" t="s">
        <v>395</v>
      </c>
      <c r="C2441" s="22" t="s">
        <v>2450</v>
      </c>
      <c r="D2441" s="22"/>
      <c r="E2441" s="21" t="s">
        <v>0</v>
      </c>
      <c r="F2441" s="21"/>
      <c r="G2441" s="147" t="s">
        <v>995</v>
      </c>
      <c r="H2441" s="107" t="s">
        <v>3056</v>
      </c>
      <c r="I2441" s="107" t="s">
        <v>3056</v>
      </c>
      <c r="J2441" s="21" t="s">
        <v>3058</v>
      </c>
      <c r="K2441" s="120"/>
      <c r="L2441" s="21" t="s">
        <v>3192</v>
      </c>
      <c r="M2441" s="47">
        <v>43976</v>
      </c>
      <c r="N2441" s="44">
        <v>1800</v>
      </c>
      <c r="O2441" s="22" t="s">
        <v>15</v>
      </c>
      <c r="P2441" s="22" t="s">
        <v>19</v>
      </c>
      <c r="Q2441" s="24">
        <f t="shared" si="158"/>
        <v>0</v>
      </c>
      <c r="R2441" s="24">
        <f t="shared" si="157"/>
        <v>1800</v>
      </c>
      <c r="S2441" s="5"/>
      <c r="T2441" s="5"/>
    </row>
    <row r="2442" spans="2:20" ht="15.75" hidden="1" x14ac:dyDescent="0.25">
      <c r="B2442" s="21" t="s">
        <v>395</v>
      </c>
      <c r="C2442" s="22" t="s">
        <v>2450</v>
      </c>
      <c r="D2442" s="22"/>
      <c r="E2442" s="21" t="s">
        <v>0</v>
      </c>
      <c r="F2442" s="21"/>
      <c r="G2442" s="147" t="s">
        <v>995</v>
      </c>
      <c r="H2442" s="107" t="s">
        <v>3056</v>
      </c>
      <c r="I2442" s="107" t="s">
        <v>3056</v>
      </c>
      <c r="J2442" s="21" t="s">
        <v>3059</v>
      </c>
      <c r="K2442" s="120"/>
      <c r="L2442" s="21" t="s">
        <v>3493</v>
      </c>
      <c r="M2442" s="47">
        <v>44034</v>
      </c>
      <c r="N2442" s="44">
        <v>2125</v>
      </c>
      <c r="O2442" s="22" t="s">
        <v>15</v>
      </c>
      <c r="P2442" s="22" t="s">
        <v>19</v>
      </c>
      <c r="Q2442" s="24">
        <f t="shared" si="158"/>
        <v>0</v>
      </c>
      <c r="R2442" s="24">
        <f t="shared" si="157"/>
        <v>2125</v>
      </c>
      <c r="S2442" s="5"/>
      <c r="T2442" s="5"/>
    </row>
    <row r="2443" spans="2:20" ht="15.75" hidden="1" x14ac:dyDescent="0.25">
      <c r="B2443" s="21" t="s">
        <v>395</v>
      </c>
      <c r="C2443" s="22" t="s">
        <v>2450</v>
      </c>
      <c r="D2443" s="22"/>
      <c r="E2443" s="21" t="s">
        <v>0</v>
      </c>
      <c r="F2443" s="21"/>
      <c r="G2443" s="147" t="s">
        <v>995</v>
      </c>
      <c r="H2443" s="107" t="s">
        <v>3056</v>
      </c>
      <c r="I2443" s="107" t="s">
        <v>3056</v>
      </c>
      <c r="J2443" s="21" t="s">
        <v>3060</v>
      </c>
      <c r="K2443" s="120"/>
      <c r="L2443" s="21" t="s">
        <v>3192</v>
      </c>
      <c r="M2443" s="47">
        <v>43976</v>
      </c>
      <c r="N2443" s="44">
        <v>1300</v>
      </c>
      <c r="O2443" s="22" t="s">
        <v>15</v>
      </c>
      <c r="P2443" s="22" t="s">
        <v>19</v>
      </c>
      <c r="Q2443" s="24">
        <f t="shared" si="158"/>
        <v>0</v>
      </c>
      <c r="R2443" s="24">
        <f t="shared" si="157"/>
        <v>1300</v>
      </c>
      <c r="S2443" s="5"/>
      <c r="T2443" s="5"/>
    </row>
    <row r="2444" spans="2:20" ht="15.75" hidden="1" x14ac:dyDescent="0.25">
      <c r="B2444" s="21" t="s">
        <v>395</v>
      </c>
      <c r="C2444" s="22" t="s">
        <v>2450</v>
      </c>
      <c r="D2444" s="22"/>
      <c r="E2444" s="21" t="s">
        <v>0</v>
      </c>
      <c r="F2444" s="21"/>
      <c r="G2444" s="147" t="s">
        <v>995</v>
      </c>
      <c r="H2444" s="107" t="s">
        <v>3056</v>
      </c>
      <c r="I2444" s="107" t="s">
        <v>3056</v>
      </c>
      <c r="J2444" s="21" t="s">
        <v>3060</v>
      </c>
      <c r="K2444" s="120"/>
      <c r="L2444" s="21" t="s">
        <v>3455</v>
      </c>
      <c r="M2444" s="47">
        <v>44018</v>
      </c>
      <c r="N2444" s="44">
        <v>1625</v>
      </c>
      <c r="O2444" s="22" t="s">
        <v>15</v>
      </c>
      <c r="P2444" s="22" t="s">
        <v>19</v>
      </c>
      <c r="Q2444" s="24">
        <f t="shared" si="158"/>
        <v>0</v>
      </c>
      <c r="R2444" s="24">
        <f t="shared" si="157"/>
        <v>1625</v>
      </c>
      <c r="S2444" s="5"/>
      <c r="T2444" s="5"/>
    </row>
    <row r="2445" spans="2:20" ht="15.75" hidden="1" x14ac:dyDescent="0.25">
      <c r="B2445" s="21" t="s">
        <v>395</v>
      </c>
      <c r="C2445" s="22" t="s">
        <v>2450</v>
      </c>
      <c r="D2445" s="22"/>
      <c r="E2445" s="21" t="s">
        <v>0</v>
      </c>
      <c r="F2445" s="21"/>
      <c r="G2445" s="147" t="s">
        <v>995</v>
      </c>
      <c r="H2445" s="107" t="s">
        <v>3056</v>
      </c>
      <c r="I2445" s="107" t="s">
        <v>3056</v>
      </c>
      <c r="J2445" s="21" t="s">
        <v>3060</v>
      </c>
      <c r="K2445" s="120"/>
      <c r="L2445" s="21" t="s">
        <v>3729</v>
      </c>
      <c r="M2445" s="47">
        <v>44098</v>
      </c>
      <c r="N2445" s="44">
        <v>1625</v>
      </c>
      <c r="O2445" s="22" t="s">
        <v>15</v>
      </c>
      <c r="P2445" s="22" t="s">
        <v>19</v>
      </c>
      <c r="Q2445" s="24">
        <f t="shared" si="158"/>
        <v>0</v>
      </c>
      <c r="R2445" s="24">
        <f t="shared" si="157"/>
        <v>1625</v>
      </c>
      <c r="S2445" s="5"/>
      <c r="T2445" s="5"/>
    </row>
    <row r="2446" spans="2:20" ht="15.75" hidden="1" x14ac:dyDescent="0.25">
      <c r="B2446" s="21" t="s">
        <v>395</v>
      </c>
      <c r="C2446" s="22" t="s">
        <v>2450</v>
      </c>
      <c r="D2446" s="22"/>
      <c r="E2446" s="21" t="s">
        <v>0</v>
      </c>
      <c r="F2446" s="21"/>
      <c r="G2446" s="147" t="s">
        <v>995</v>
      </c>
      <c r="H2446" s="23" t="s">
        <v>1393</v>
      </c>
      <c r="I2446" s="23" t="s">
        <v>7833</v>
      </c>
      <c r="J2446" s="21" t="s">
        <v>1394</v>
      </c>
      <c r="K2446" s="21"/>
      <c r="L2446" s="21" t="s">
        <v>6780</v>
      </c>
      <c r="M2446" s="26">
        <v>44712</v>
      </c>
      <c r="N2446" s="44">
        <v>3500</v>
      </c>
      <c r="O2446" s="22" t="s">
        <v>15</v>
      </c>
      <c r="P2446" s="44">
        <v>3500</v>
      </c>
      <c r="Q2446" s="24">
        <f t="shared" si="158"/>
        <v>0</v>
      </c>
      <c r="R2446" s="24">
        <f t="shared" si="157"/>
        <v>3500</v>
      </c>
      <c r="S2446" s="5"/>
      <c r="T2446" s="5"/>
    </row>
    <row r="2447" spans="2:20" ht="15.75" hidden="1" x14ac:dyDescent="0.25">
      <c r="B2447" s="21" t="s">
        <v>395</v>
      </c>
      <c r="C2447" s="22" t="s">
        <v>2450</v>
      </c>
      <c r="D2447" s="22"/>
      <c r="E2447" s="21" t="s">
        <v>0</v>
      </c>
      <c r="F2447" s="21"/>
      <c r="G2447" s="147" t="s">
        <v>995</v>
      </c>
      <c r="H2447" s="23" t="s">
        <v>1393</v>
      </c>
      <c r="I2447" s="23" t="s">
        <v>7833</v>
      </c>
      <c r="J2447" s="21" t="s">
        <v>1395</v>
      </c>
      <c r="K2447" s="21"/>
      <c r="L2447" s="21" t="s">
        <v>6780</v>
      </c>
      <c r="M2447" s="26">
        <v>44712</v>
      </c>
      <c r="N2447" s="44">
        <v>1750</v>
      </c>
      <c r="O2447" s="22" t="s">
        <v>15</v>
      </c>
      <c r="P2447" s="44">
        <v>1750</v>
      </c>
      <c r="Q2447" s="24">
        <f t="shared" si="158"/>
        <v>0</v>
      </c>
      <c r="R2447" s="24">
        <f t="shared" si="157"/>
        <v>1750</v>
      </c>
      <c r="S2447" s="5"/>
      <c r="T2447" s="5"/>
    </row>
    <row r="2448" spans="2:20" ht="15.75" hidden="1" x14ac:dyDescent="0.25">
      <c r="B2448" s="21" t="s">
        <v>395</v>
      </c>
      <c r="C2448" s="22" t="s">
        <v>2450</v>
      </c>
      <c r="D2448" s="22"/>
      <c r="E2448" s="21" t="s">
        <v>0</v>
      </c>
      <c r="F2448" s="21"/>
      <c r="G2448" s="147" t="s">
        <v>995</v>
      </c>
      <c r="H2448" s="23" t="s">
        <v>4861</v>
      </c>
      <c r="I2448" s="23" t="s">
        <v>7844</v>
      </c>
      <c r="J2448" s="21" t="s">
        <v>4862</v>
      </c>
      <c r="K2448" s="164"/>
      <c r="L2448" s="21" t="s">
        <v>8900</v>
      </c>
      <c r="M2448" s="26">
        <v>45198</v>
      </c>
      <c r="N2448" s="44">
        <v>1750</v>
      </c>
      <c r="O2448" s="22" t="s">
        <v>15</v>
      </c>
      <c r="P2448" s="22">
        <v>1750</v>
      </c>
      <c r="Q2448" s="24">
        <f t="shared" si="158"/>
        <v>0</v>
      </c>
      <c r="R2448" s="24">
        <f t="shared" si="157"/>
        <v>1750</v>
      </c>
      <c r="S2448" s="5"/>
      <c r="T2448" s="5"/>
    </row>
    <row r="2449" spans="2:20" ht="15.75" hidden="1" x14ac:dyDescent="0.25">
      <c r="B2449" s="21" t="s">
        <v>395</v>
      </c>
      <c r="C2449" s="22" t="s">
        <v>2450</v>
      </c>
      <c r="D2449" s="22"/>
      <c r="E2449" s="21" t="s">
        <v>0</v>
      </c>
      <c r="F2449" s="21"/>
      <c r="G2449" s="147" t="s">
        <v>995</v>
      </c>
      <c r="H2449" s="23" t="s">
        <v>7211</v>
      </c>
      <c r="I2449" s="23" t="s">
        <v>8200</v>
      </c>
      <c r="J2449" s="21" t="s">
        <v>7220</v>
      </c>
      <c r="K2449" s="21"/>
      <c r="L2449" s="21" t="s">
        <v>7221</v>
      </c>
      <c r="M2449" s="26">
        <v>44859</v>
      </c>
      <c r="N2449" s="44">
        <v>224</v>
      </c>
      <c r="O2449" s="22" t="s">
        <v>15</v>
      </c>
      <c r="P2449" s="44">
        <v>224</v>
      </c>
      <c r="Q2449" s="44">
        <f t="shared" si="158"/>
        <v>0</v>
      </c>
      <c r="R2449" s="24">
        <f t="shared" si="157"/>
        <v>224</v>
      </c>
      <c r="S2449" s="5"/>
      <c r="T2449" s="5"/>
    </row>
    <row r="2450" spans="2:20" ht="15.75" hidden="1" x14ac:dyDescent="0.25">
      <c r="B2450" s="21" t="s">
        <v>395</v>
      </c>
      <c r="C2450" s="22" t="s">
        <v>2450</v>
      </c>
      <c r="D2450" s="22"/>
      <c r="E2450" s="21" t="s">
        <v>0</v>
      </c>
      <c r="F2450" s="21"/>
      <c r="G2450" s="147" t="s">
        <v>995</v>
      </c>
      <c r="H2450" s="23" t="s">
        <v>9091</v>
      </c>
      <c r="I2450" s="23" t="s">
        <v>9092</v>
      </c>
      <c r="J2450" s="21" t="s">
        <v>9093</v>
      </c>
      <c r="K2450" s="21"/>
      <c r="L2450" s="21" t="s">
        <v>9126</v>
      </c>
      <c r="M2450" s="26">
        <v>45244</v>
      </c>
      <c r="N2450" s="44">
        <v>2450</v>
      </c>
      <c r="O2450" s="22" t="s">
        <v>15</v>
      </c>
      <c r="P2450" s="44">
        <v>2450</v>
      </c>
      <c r="Q2450" s="44">
        <f t="shared" si="158"/>
        <v>0</v>
      </c>
      <c r="R2450" s="24">
        <f t="shared" si="157"/>
        <v>2450</v>
      </c>
      <c r="S2450" s="5"/>
      <c r="T2450" s="5"/>
    </row>
    <row r="2451" spans="2:20" ht="15.75" hidden="1" x14ac:dyDescent="0.25">
      <c r="B2451" s="21" t="s">
        <v>395</v>
      </c>
      <c r="C2451" s="22" t="s">
        <v>2450</v>
      </c>
      <c r="D2451" s="22"/>
      <c r="E2451" s="21" t="s">
        <v>0</v>
      </c>
      <c r="F2451" s="21"/>
      <c r="G2451" s="147" t="s">
        <v>995</v>
      </c>
      <c r="H2451" s="23" t="s">
        <v>9604</v>
      </c>
      <c r="I2451" s="23" t="s">
        <v>9605</v>
      </c>
      <c r="J2451" s="21" t="s">
        <v>9606</v>
      </c>
      <c r="K2451" s="21"/>
      <c r="L2451" s="21" t="s">
        <v>9628</v>
      </c>
      <c r="M2451" s="26">
        <v>45372</v>
      </c>
      <c r="N2451" s="44">
        <v>7360</v>
      </c>
      <c r="O2451" s="22" t="s">
        <v>15</v>
      </c>
      <c r="P2451" s="44">
        <f>7360</f>
        <v>7360</v>
      </c>
      <c r="Q2451" s="24">
        <f t="shared" si="158"/>
        <v>0</v>
      </c>
      <c r="R2451" s="24">
        <f t="shared" si="157"/>
        <v>7360</v>
      </c>
      <c r="S2451" s="5"/>
      <c r="T2451" s="5"/>
    </row>
    <row r="2452" spans="2:20" ht="15.75" hidden="1" x14ac:dyDescent="0.25">
      <c r="B2452" s="21" t="s">
        <v>395</v>
      </c>
      <c r="C2452" s="22" t="s">
        <v>3484</v>
      </c>
      <c r="D2452" s="22"/>
      <c r="E2452" s="21" t="s">
        <v>75</v>
      </c>
      <c r="F2452" s="21"/>
      <c r="G2452" s="147" t="s">
        <v>100</v>
      </c>
      <c r="H2452" s="23" t="s">
        <v>5032</v>
      </c>
      <c r="I2452" s="23"/>
      <c r="J2452" s="21" t="s">
        <v>5033</v>
      </c>
      <c r="K2452" s="120"/>
      <c r="L2452" s="21" t="s">
        <v>5043</v>
      </c>
      <c r="M2452" s="26">
        <v>44336</v>
      </c>
      <c r="N2452" s="44">
        <f>1036623-1031310</f>
        <v>5313</v>
      </c>
      <c r="O2452" s="22" t="s">
        <v>15</v>
      </c>
      <c r="P2452" s="22" t="s">
        <v>19</v>
      </c>
      <c r="Q2452" s="24">
        <f t="shared" si="158"/>
        <v>0</v>
      </c>
      <c r="R2452" s="24">
        <f t="shared" si="157"/>
        <v>5313</v>
      </c>
      <c r="S2452" s="5"/>
      <c r="T2452" s="5"/>
    </row>
    <row r="2453" spans="2:20" ht="15.75" hidden="1" x14ac:dyDescent="0.25">
      <c r="B2453" s="5"/>
      <c r="C2453" s="4" t="s">
        <v>3484</v>
      </c>
      <c r="D2453" s="4"/>
      <c r="E2453" s="5" t="s">
        <v>75</v>
      </c>
      <c r="F2453" s="5"/>
      <c r="G2453" s="146" t="s">
        <v>100</v>
      </c>
      <c r="H2453" s="7" t="s">
        <v>5032</v>
      </c>
      <c r="I2453" s="7"/>
      <c r="J2453" s="5" t="s">
        <v>5034</v>
      </c>
      <c r="K2453" s="5"/>
      <c r="L2453" s="5"/>
      <c r="M2453" s="7"/>
      <c r="N2453" s="45">
        <v>4431</v>
      </c>
      <c r="O2453" s="4" t="s">
        <v>15</v>
      </c>
      <c r="P2453" s="4"/>
      <c r="Q2453" s="45">
        <f t="shared" si="158"/>
        <v>4431</v>
      </c>
      <c r="R2453" s="3">
        <f t="shared" si="157"/>
        <v>0</v>
      </c>
      <c r="S2453" s="5"/>
      <c r="T2453" s="5"/>
    </row>
    <row r="2454" spans="2:20" ht="15.75" hidden="1" x14ac:dyDescent="0.25">
      <c r="B2454" s="21" t="s">
        <v>395</v>
      </c>
      <c r="C2454" s="22" t="s">
        <v>3484</v>
      </c>
      <c r="D2454" s="22"/>
      <c r="E2454" s="21" t="s">
        <v>75</v>
      </c>
      <c r="F2454" s="21"/>
      <c r="G2454" s="147" t="s">
        <v>100</v>
      </c>
      <c r="H2454" s="23" t="s">
        <v>5220</v>
      </c>
      <c r="I2454" s="23"/>
      <c r="J2454" s="21" t="s">
        <v>5221</v>
      </c>
      <c r="K2454" s="21"/>
      <c r="L2454" s="21" t="s">
        <v>5222</v>
      </c>
      <c r="M2454" s="26">
        <v>44363</v>
      </c>
      <c r="N2454" s="44">
        <v>1029</v>
      </c>
      <c r="O2454" s="22" t="s">
        <v>15</v>
      </c>
      <c r="P2454" s="22">
        <v>1019</v>
      </c>
      <c r="Q2454" s="44">
        <f t="shared" si="158"/>
        <v>10</v>
      </c>
      <c r="R2454" s="24">
        <f t="shared" si="157"/>
        <v>1019</v>
      </c>
      <c r="S2454" s="5"/>
      <c r="T2454" s="5"/>
    </row>
    <row r="2455" spans="2:20" ht="15.75" hidden="1" x14ac:dyDescent="0.25">
      <c r="B2455" s="21" t="s">
        <v>395</v>
      </c>
      <c r="C2455" s="22" t="s">
        <v>3484</v>
      </c>
      <c r="D2455" s="22"/>
      <c r="E2455" s="21" t="s">
        <v>75</v>
      </c>
      <c r="F2455" s="21"/>
      <c r="G2455" s="147" t="s">
        <v>100</v>
      </c>
      <c r="H2455" s="23" t="s">
        <v>5415</v>
      </c>
      <c r="I2455" s="23"/>
      <c r="J2455" s="21" t="s">
        <v>5416</v>
      </c>
      <c r="K2455" s="21"/>
      <c r="L2455" s="21" t="s">
        <v>5417</v>
      </c>
      <c r="M2455" s="26">
        <v>44386</v>
      </c>
      <c r="N2455" s="44">
        <v>3450.75</v>
      </c>
      <c r="O2455" s="22" t="s">
        <v>15</v>
      </c>
      <c r="P2455" s="22">
        <v>3450.75</v>
      </c>
      <c r="Q2455" s="44">
        <f t="shared" si="158"/>
        <v>0</v>
      </c>
      <c r="R2455" s="24">
        <f t="shared" si="157"/>
        <v>3450.75</v>
      </c>
      <c r="S2455" s="5"/>
      <c r="T2455" s="5"/>
    </row>
    <row r="2456" spans="2:20" ht="15.75" hidden="1" x14ac:dyDescent="0.25">
      <c r="B2456" s="21" t="s">
        <v>395</v>
      </c>
      <c r="C2456" s="22" t="s">
        <v>3484</v>
      </c>
      <c r="D2456" s="22"/>
      <c r="E2456" s="21" t="s">
        <v>75</v>
      </c>
      <c r="F2456" s="21"/>
      <c r="G2456" s="147" t="s">
        <v>100</v>
      </c>
      <c r="H2456" s="23" t="s">
        <v>5885</v>
      </c>
      <c r="I2456" s="23"/>
      <c r="J2456" s="21" t="s">
        <v>5890</v>
      </c>
      <c r="K2456" s="21"/>
      <c r="L2456" s="21" t="s">
        <v>5889</v>
      </c>
      <c r="M2456" s="26">
        <v>44474</v>
      </c>
      <c r="N2456" s="44">
        <v>1424.63</v>
      </c>
      <c r="O2456" s="22" t="s">
        <v>15</v>
      </c>
      <c r="P2456" s="22">
        <v>1424.63</v>
      </c>
      <c r="Q2456" s="44">
        <f t="shared" si="158"/>
        <v>0</v>
      </c>
      <c r="R2456" s="24">
        <f t="shared" si="157"/>
        <v>1424.63</v>
      </c>
      <c r="S2456" s="5"/>
      <c r="T2456" s="5"/>
    </row>
    <row r="2457" spans="2:20" ht="15.75" hidden="1" x14ac:dyDescent="0.25">
      <c r="B2457" s="21" t="s">
        <v>395</v>
      </c>
      <c r="C2457" s="22" t="s">
        <v>3484</v>
      </c>
      <c r="D2457" s="22"/>
      <c r="E2457" s="21" t="s">
        <v>75</v>
      </c>
      <c r="F2457" s="21"/>
      <c r="G2457" s="147" t="s">
        <v>100</v>
      </c>
      <c r="H2457" s="23" t="s">
        <v>6924</v>
      </c>
      <c r="I2457" s="23" t="s">
        <v>7995</v>
      </c>
      <c r="J2457" s="331" t="s">
        <v>6951</v>
      </c>
      <c r="K2457" s="21"/>
      <c r="L2457" s="21" t="s">
        <v>6952</v>
      </c>
      <c r="M2457" s="26">
        <v>44770</v>
      </c>
      <c r="N2457" s="44">
        <v>662.89</v>
      </c>
      <c r="O2457" s="22" t="s">
        <v>15</v>
      </c>
      <c r="P2457" s="44">
        <v>662.89</v>
      </c>
      <c r="Q2457" s="44">
        <f t="shared" si="158"/>
        <v>0</v>
      </c>
      <c r="R2457" s="24">
        <f t="shared" si="157"/>
        <v>662.89</v>
      </c>
      <c r="S2457" s="5"/>
      <c r="T2457" s="5"/>
    </row>
    <row r="2458" spans="2:20" ht="15.75" hidden="1" x14ac:dyDescent="0.25">
      <c r="B2458" s="21" t="s">
        <v>395</v>
      </c>
      <c r="C2458" s="22" t="s">
        <v>3484</v>
      </c>
      <c r="D2458" s="22"/>
      <c r="E2458" s="21" t="s">
        <v>75</v>
      </c>
      <c r="F2458" s="21"/>
      <c r="G2458" s="147" t="s">
        <v>100</v>
      </c>
      <c r="H2458" s="23" t="s">
        <v>3800</v>
      </c>
      <c r="I2458" s="23" t="s">
        <v>7970</v>
      </c>
      <c r="J2458" s="21" t="s">
        <v>3801</v>
      </c>
      <c r="K2458" s="120"/>
      <c r="L2458" s="21" t="s">
        <v>3803</v>
      </c>
      <c r="M2458" s="26">
        <v>44110</v>
      </c>
      <c r="N2458" s="44">
        <f>157560</f>
        <v>157560</v>
      </c>
      <c r="O2458" s="22" t="s">
        <v>15</v>
      </c>
      <c r="P2458" s="22" t="s">
        <v>19</v>
      </c>
      <c r="Q2458" s="24">
        <f t="shared" si="158"/>
        <v>0</v>
      </c>
      <c r="R2458" s="24">
        <f t="shared" si="157"/>
        <v>157560</v>
      </c>
      <c r="S2458" s="5"/>
      <c r="T2458" s="5"/>
    </row>
    <row r="2459" spans="2:20" ht="15.75" hidden="1" x14ac:dyDescent="0.25">
      <c r="B2459" s="21" t="s">
        <v>395</v>
      </c>
      <c r="C2459" s="22" t="s">
        <v>3484</v>
      </c>
      <c r="D2459" s="22"/>
      <c r="E2459" s="21" t="s">
        <v>75</v>
      </c>
      <c r="F2459" s="21"/>
      <c r="G2459" s="147" t="s">
        <v>100</v>
      </c>
      <c r="H2459" s="23" t="s">
        <v>3800</v>
      </c>
      <c r="I2459" s="23" t="s">
        <v>7970</v>
      </c>
      <c r="J2459" s="21" t="s">
        <v>3802</v>
      </c>
      <c r="K2459" s="120"/>
      <c r="L2459" s="21" t="s">
        <v>3804</v>
      </c>
      <c r="M2459" s="26">
        <v>44110</v>
      </c>
      <c r="N2459" s="264">
        <v>14378</v>
      </c>
      <c r="O2459" s="22" t="s">
        <v>15</v>
      </c>
      <c r="P2459" s="22" t="s">
        <v>19</v>
      </c>
      <c r="Q2459" s="24">
        <f t="shared" si="158"/>
        <v>0</v>
      </c>
      <c r="R2459" s="24">
        <f t="shared" si="157"/>
        <v>14378</v>
      </c>
      <c r="S2459" s="5" t="s">
        <v>5036</v>
      </c>
      <c r="T2459" s="5"/>
    </row>
    <row r="2460" spans="2:20" ht="15.75" hidden="1" x14ac:dyDescent="0.25">
      <c r="B2460" s="21" t="s">
        <v>395</v>
      </c>
      <c r="C2460" s="22" t="s">
        <v>3484</v>
      </c>
      <c r="D2460" s="165"/>
      <c r="E2460" s="21" t="s">
        <v>75</v>
      </c>
      <c r="F2460" s="21"/>
      <c r="G2460" s="147" t="s">
        <v>100</v>
      </c>
      <c r="H2460" s="23" t="s">
        <v>3466</v>
      </c>
      <c r="I2460" s="23" t="s">
        <v>7943</v>
      </c>
      <c r="J2460" s="21" t="s">
        <v>3463</v>
      </c>
      <c r="K2460" s="120"/>
      <c r="L2460" s="165" t="s">
        <v>3465</v>
      </c>
      <c r="M2460" s="26">
        <v>44027</v>
      </c>
      <c r="N2460" s="264">
        <f>0.5*17019</f>
        <v>8509.5</v>
      </c>
      <c r="O2460" s="22" t="s">
        <v>15</v>
      </c>
      <c r="P2460" s="22" t="s">
        <v>19</v>
      </c>
      <c r="Q2460" s="24">
        <f t="shared" si="158"/>
        <v>0</v>
      </c>
      <c r="R2460" s="24">
        <f t="shared" si="157"/>
        <v>8509.5</v>
      </c>
      <c r="S2460" s="5" t="s">
        <v>5035</v>
      </c>
      <c r="T2460" s="5"/>
    </row>
    <row r="2461" spans="2:20" ht="15.75" hidden="1" x14ac:dyDescent="0.25">
      <c r="B2461" s="21" t="s">
        <v>395</v>
      </c>
      <c r="C2461" s="22" t="s">
        <v>3484</v>
      </c>
      <c r="D2461" s="22"/>
      <c r="E2461" s="21" t="s">
        <v>75</v>
      </c>
      <c r="F2461" s="21"/>
      <c r="G2461" s="147" t="s">
        <v>100</v>
      </c>
      <c r="H2461" s="23" t="s">
        <v>3466</v>
      </c>
      <c r="I2461" s="23" t="s">
        <v>7943</v>
      </c>
      <c r="J2461" s="21" t="s">
        <v>3464</v>
      </c>
      <c r="K2461" s="120"/>
      <c r="L2461" s="21" t="s">
        <v>3675</v>
      </c>
      <c r="M2461" s="26">
        <v>44081</v>
      </c>
      <c r="N2461" s="264">
        <f>0.5*17019</f>
        <v>8509.5</v>
      </c>
      <c r="O2461" s="22" t="s">
        <v>15</v>
      </c>
      <c r="P2461" s="22" t="s">
        <v>19</v>
      </c>
      <c r="Q2461" s="24">
        <f t="shared" si="158"/>
        <v>0</v>
      </c>
      <c r="R2461" s="24">
        <f t="shared" si="157"/>
        <v>8509.5</v>
      </c>
      <c r="S2461" s="5" t="s">
        <v>5035</v>
      </c>
      <c r="T2461" s="5"/>
    </row>
    <row r="2462" spans="2:20" ht="15.75" hidden="1" x14ac:dyDescent="0.25">
      <c r="B2462" s="21" t="s">
        <v>395</v>
      </c>
      <c r="C2462" s="22" t="s">
        <v>3484</v>
      </c>
      <c r="D2462" s="22"/>
      <c r="E2462" s="21" t="s">
        <v>75</v>
      </c>
      <c r="F2462" s="21"/>
      <c r="G2462" s="147" t="s">
        <v>100</v>
      </c>
      <c r="H2462" s="23" t="s">
        <v>4097</v>
      </c>
      <c r="I2462" s="23"/>
      <c r="J2462" s="21" t="s">
        <v>4098</v>
      </c>
      <c r="K2462" s="120"/>
      <c r="L2462" s="21" t="s">
        <v>4146</v>
      </c>
      <c r="M2462" s="26">
        <v>44172</v>
      </c>
      <c r="N2462" s="44">
        <v>257828</v>
      </c>
      <c r="O2462" s="22" t="s">
        <v>15</v>
      </c>
      <c r="P2462" s="22" t="s">
        <v>19</v>
      </c>
      <c r="Q2462" s="24">
        <f t="shared" si="158"/>
        <v>0</v>
      </c>
      <c r="R2462" s="24">
        <f t="shared" si="157"/>
        <v>257828</v>
      </c>
      <c r="S2462" s="5"/>
      <c r="T2462" s="5"/>
    </row>
    <row r="2463" spans="2:20" ht="15.75" hidden="1" x14ac:dyDescent="0.25">
      <c r="B2463" s="21" t="s">
        <v>395</v>
      </c>
      <c r="C2463" s="22" t="s">
        <v>3484</v>
      </c>
      <c r="D2463" s="22"/>
      <c r="E2463" s="21" t="s">
        <v>75</v>
      </c>
      <c r="F2463" s="21"/>
      <c r="G2463" s="147" t="s">
        <v>100</v>
      </c>
      <c r="H2463" s="23" t="s">
        <v>4097</v>
      </c>
      <c r="I2463" s="23"/>
      <c r="J2463" s="21" t="s">
        <v>4099</v>
      </c>
      <c r="K2463" s="120"/>
      <c r="L2463" s="21" t="s">
        <v>4205</v>
      </c>
      <c r="M2463" s="26">
        <v>44183</v>
      </c>
      <c r="N2463" s="44">
        <v>154697</v>
      </c>
      <c r="O2463" s="22" t="s">
        <v>15</v>
      </c>
      <c r="P2463" s="22" t="s">
        <v>19</v>
      </c>
      <c r="Q2463" s="24">
        <f t="shared" si="158"/>
        <v>0</v>
      </c>
      <c r="R2463" s="24">
        <f t="shared" si="157"/>
        <v>154697</v>
      </c>
      <c r="S2463" s="5"/>
      <c r="T2463" s="5"/>
    </row>
    <row r="2464" spans="2:20" ht="15.75" hidden="1" x14ac:dyDescent="0.25">
      <c r="B2464" s="21" t="s">
        <v>395</v>
      </c>
      <c r="C2464" s="22" t="s">
        <v>3484</v>
      </c>
      <c r="D2464" s="22"/>
      <c r="E2464" s="21" t="s">
        <v>75</v>
      </c>
      <c r="F2464" s="21"/>
      <c r="G2464" s="147" t="s">
        <v>100</v>
      </c>
      <c r="H2464" s="23" t="s">
        <v>4097</v>
      </c>
      <c r="I2464" s="23"/>
      <c r="J2464" s="21" t="s">
        <v>4100</v>
      </c>
      <c r="K2464" s="120"/>
      <c r="L2464" s="21" t="s">
        <v>4376</v>
      </c>
      <c r="M2464" s="26">
        <v>44478</v>
      </c>
      <c r="N2464" s="44">
        <v>154697</v>
      </c>
      <c r="O2464" s="22" t="s">
        <v>15</v>
      </c>
      <c r="P2464" s="22" t="s">
        <v>19</v>
      </c>
      <c r="Q2464" s="24">
        <f t="shared" si="158"/>
        <v>0</v>
      </c>
      <c r="R2464" s="24">
        <f t="shared" si="157"/>
        <v>154697</v>
      </c>
      <c r="S2464" s="5"/>
      <c r="T2464" s="5"/>
    </row>
    <row r="2465" spans="2:20" ht="15.75" hidden="1" x14ac:dyDescent="0.25">
      <c r="B2465" s="21" t="s">
        <v>395</v>
      </c>
      <c r="C2465" s="22" t="s">
        <v>3484</v>
      </c>
      <c r="D2465" s="22"/>
      <c r="E2465" s="21" t="s">
        <v>75</v>
      </c>
      <c r="F2465" s="21"/>
      <c r="G2465" s="147" t="s">
        <v>100</v>
      </c>
      <c r="H2465" s="23" t="s">
        <v>4097</v>
      </c>
      <c r="I2465" s="23"/>
      <c r="J2465" s="21" t="s">
        <v>4101</v>
      </c>
      <c r="K2465" s="47"/>
      <c r="L2465" s="21" t="s">
        <v>4565</v>
      </c>
      <c r="M2465" s="26">
        <v>44265</v>
      </c>
      <c r="N2465" s="44">
        <v>154697</v>
      </c>
      <c r="O2465" s="22" t="s">
        <v>15</v>
      </c>
      <c r="P2465" s="22" t="s">
        <v>19</v>
      </c>
      <c r="Q2465" s="24">
        <f t="shared" si="158"/>
        <v>0</v>
      </c>
      <c r="R2465" s="24">
        <f t="shared" si="157"/>
        <v>154697</v>
      </c>
      <c r="S2465" s="5"/>
      <c r="T2465" s="5"/>
    </row>
    <row r="2466" spans="2:20" ht="15.75" hidden="1" x14ac:dyDescent="0.25">
      <c r="B2466" s="21" t="s">
        <v>395</v>
      </c>
      <c r="C2466" s="22" t="s">
        <v>3484</v>
      </c>
      <c r="D2466" s="22"/>
      <c r="E2466" s="21" t="s">
        <v>75</v>
      </c>
      <c r="F2466" s="21"/>
      <c r="G2466" s="147" t="s">
        <v>100</v>
      </c>
      <c r="H2466" s="23" t="s">
        <v>4097</v>
      </c>
      <c r="I2466" s="23"/>
      <c r="J2466" s="21" t="s">
        <v>4102</v>
      </c>
      <c r="K2466" s="47"/>
      <c r="L2466" s="21" t="s">
        <v>4676</v>
      </c>
      <c r="M2466" s="26">
        <v>44284</v>
      </c>
      <c r="N2466" s="44">
        <v>154697</v>
      </c>
      <c r="O2466" s="22" t="s">
        <v>15</v>
      </c>
      <c r="P2466" s="22" t="s">
        <v>19</v>
      </c>
      <c r="Q2466" s="24">
        <f t="shared" si="158"/>
        <v>0</v>
      </c>
      <c r="R2466" s="24">
        <f t="shared" si="157"/>
        <v>154697</v>
      </c>
      <c r="S2466" s="5"/>
      <c r="T2466" s="5"/>
    </row>
    <row r="2467" spans="2:20" ht="15.75" hidden="1" x14ac:dyDescent="0.25">
      <c r="B2467" s="21" t="s">
        <v>395</v>
      </c>
      <c r="C2467" s="22" t="s">
        <v>3484</v>
      </c>
      <c r="D2467" s="22"/>
      <c r="E2467" s="21" t="s">
        <v>75</v>
      </c>
      <c r="F2467" s="21"/>
      <c r="G2467" s="147" t="s">
        <v>100</v>
      </c>
      <c r="H2467" s="23" t="s">
        <v>4097</v>
      </c>
      <c r="I2467" s="23"/>
      <c r="J2467" s="21" t="s">
        <v>4103</v>
      </c>
      <c r="K2467" s="47"/>
      <c r="L2467" s="21" t="s">
        <v>4977</v>
      </c>
      <c r="M2467" s="26">
        <v>44330</v>
      </c>
      <c r="N2467" s="44">
        <v>51566</v>
      </c>
      <c r="O2467" s="22" t="s">
        <v>15</v>
      </c>
      <c r="P2467" s="22" t="s">
        <v>19</v>
      </c>
      <c r="Q2467" s="24">
        <f t="shared" si="158"/>
        <v>0</v>
      </c>
      <c r="R2467" s="24">
        <f t="shared" si="157"/>
        <v>51566</v>
      </c>
      <c r="S2467" s="5"/>
      <c r="T2467" s="5"/>
    </row>
    <row r="2468" spans="2:20" ht="15.75" hidden="1" x14ac:dyDescent="0.25">
      <c r="B2468" s="21" t="s">
        <v>395</v>
      </c>
      <c r="C2468" s="22" t="s">
        <v>3484</v>
      </c>
      <c r="D2468" s="22"/>
      <c r="E2468" s="21" t="s">
        <v>75</v>
      </c>
      <c r="F2468" s="21"/>
      <c r="G2468" s="147" t="s">
        <v>100</v>
      </c>
      <c r="H2468" s="23" t="s">
        <v>4097</v>
      </c>
      <c r="I2468" s="23"/>
      <c r="J2468" s="21" t="s">
        <v>4104</v>
      </c>
      <c r="K2468" s="47"/>
      <c r="L2468" s="21" t="s">
        <v>5199</v>
      </c>
      <c r="M2468" s="26">
        <v>44362</v>
      </c>
      <c r="N2468" s="44">
        <v>51566</v>
      </c>
      <c r="O2468" s="22" t="s">
        <v>15</v>
      </c>
      <c r="P2468" s="22" t="s">
        <v>19</v>
      </c>
      <c r="Q2468" s="44">
        <f t="shared" si="158"/>
        <v>0</v>
      </c>
      <c r="R2468" s="24">
        <f t="shared" si="157"/>
        <v>51566</v>
      </c>
      <c r="S2468" s="5"/>
      <c r="T2468" s="5"/>
    </row>
    <row r="2469" spans="2:20" ht="15.75" hidden="1" x14ac:dyDescent="0.25">
      <c r="B2469" s="21" t="s">
        <v>395</v>
      </c>
      <c r="C2469" s="22" t="s">
        <v>3484</v>
      </c>
      <c r="D2469" s="22"/>
      <c r="E2469" s="21" t="s">
        <v>75</v>
      </c>
      <c r="F2469" s="21"/>
      <c r="G2469" s="147" t="s">
        <v>100</v>
      </c>
      <c r="H2469" s="23" t="s">
        <v>4097</v>
      </c>
      <c r="I2469" s="23"/>
      <c r="J2469" s="21" t="s">
        <v>4105</v>
      </c>
      <c r="K2469" s="47"/>
      <c r="L2469" s="21" t="s">
        <v>5978</v>
      </c>
      <c r="M2469" s="26">
        <v>44490</v>
      </c>
      <c r="N2469" s="44">
        <v>51566</v>
      </c>
      <c r="O2469" s="22" t="s">
        <v>15</v>
      </c>
      <c r="P2469" s="22" t="s">
        <v>19</v>
      </c>
      <c r="Q2469" s="44">
        <f t="shared" si="158"/>
        <v>0</v>
      </c>
      <c r="R2469" s="24">
        <f t="shared" si="157"/>
        <v>51566</v>
      </c>
      <c r="S2469" s="5"/>
      <c r="T2469" s="5"/>
    </row>
    <row r="2470" spans="2:20" ht="15.75" hidden="1" x14ac:dyDescent="0.25">
      <c r="B2470" s="21" t="s">
        <v>395</v>
      </c>
      <c r="C2470" s="22" t="s">
        <v>3484</v>
      </c>
      <c r="D2470" s="22"/>
      <c r="E2470" s="21" t="s">
        <v>75</v>
      </c>
      <c r="F2470" s="21"/>
      <c r="G2470" s="147" t="s">
        <v>100</v>
      </c>
      <c r="H2470" s="23" t="s">
        <v>4097</v>
      </c>
      <c r="I2470" s="23"/>
      <c r="J2470" s="21" t="s">
        <v>3746</v>
      </c>
      <c r="K2470" s="47"/>
      <c r="L2470" s="21" t="s">
        <v>4772</v>
      </c>
      <c r="M2470" s="26">
        <v>44295</v>
      </c>
      <c r="N2470" s="44">
        <v>45316</v>
      </c>
      <c r="O2470" s="22" t="s">
        <v>15</v>
      </c>
      <c r="P2470" s="22" t="s">
        <v>19</v>
      </c>
      <c r="Q2470" s="24">
        <f t="shared" si="158"/>
        <v>0</v>
      </c>
      <c r="R2470" s="24">
        <f t="shared" si="157"/>
        <v>45316</v>
      </c>
      <c r="S2470" s="5"/>
      <c r="T2470" s="5"/>
    </row>
    <row r="2471" spans="2:20" ht="15.75" hidden="1" x14ac:dyDescent="0.25">
      <c r="B2471" s="21" t="s">
        <v>395</v>
      </c>
      <c r="C2471" s="22" t="s">
        <v>3484</v>
      </c>
      <c r="D2471" s="22"/>
      <c r="E2471" s="21" t="s">
        <v>75</v>
      </c>
      <c r="F2471" s="21"/>
      <c r="G2471" s="147" t="s">
        <v>100</v>
      </c>
      <c r="H2471" s="23" t="s">
        <v>4097</v>
      </c>
      <c r="I2471" s="23"/>
      <c r="J2471" s="21" t="s">
        <v>3746</v>
      </c>
      <c r="K2471" s="47"/>
      <c r="L2471" s="21" t="s">
        <v>4772</v>
      </c>
      <c r="M2471" s="26">
        <v>44295</v>
      </c>
      <c r="N2471" s="44">
        <v>76908</v>
      </c>
      <c r="O2471" s="22" t="s">
        <v>15</v>
      </c>
      <c r="P2471" s="22" t="s">
        <v>19</v>
      </c>
      <c r="Q2471" s="24">
        <f t="shared" si="158"/>
        <v>0</v>
      </c>
      <c r="R2471" s="24">
        <f t="shared" si="157"/>
        <v>76908</v>
      </c>
      <c r="S2471" s="5"/>
      <c r="T2471" s="5"/>
    </row>
    <row r="2472" spans="2:20" ht="15.75" hidden="1" x14ac:dyDescent="0.25">
      <c r="B2472" s="21" t="s">
        <v>395</v>
      </c>
      <c r="C2472" s="22" t="s">
        <v>3484</v>
      </c>
      <c r="D2472" s="22"/>
      <c r="E2472" s="21" t="s">
        <v>75</v>
      </c>
      <c r="F2472" s="21"/>
      <c r="G2472" s="147" t="s">
        <v>100</v>
      </c>
      <c r="H2472" s="23" t="s">
        <v>4097</v>
      </c>
      <c r="I2472" s="23"/>
      <c r="J2472" s="21" t="s">
        <v>3746</v>
      </c>
      <c r="K2472" s="47"/>
      <c r="L2472" s="21" t="s">
        <v>4772</v>
      </c>
      <c r="M2472" s="26">
        <v>44295</v>
      </c>
      <c r="N2472" s="44">
        <v>76908</v>
      </c>
      <c r="O2472" s="22" t="s">
        <v>15</v>
      </c>
      <c r="P2472" s="22" t="s">
        <v>19</v>
      </c>
      <c r="Q2472" s="24">
        <f t="shared" si="158"/>
        <v>0</v>
      </c>
      <c r="R2472" s="24">
        <f t="shared" si="157"/>
        <v>76908</v>
      </c>
      <c r="S2472" s="5"/>
      <c r="T2472" s="5"/>
    </row>
    <row r="2473" spans="2:20" ht="15.75" hidden="1" x14ac:dyDescent="0.25">
      <c r="B2473" s="21" t="s">
        <v>395</v>
      </c>
      <c r="C2473" s="22" t="s">
        <v>3484</v>
      </c>
      <c r="D2473" s="22"/>
      <c r="E2473" s="21" t="s">
        <v>75</v>
      </c>
      <c r="F2473" s="21"/>
      <c r="G2473" s="147" t="s">
        <v>100</v>
      </c>
      <c r="H2473" s="23" t="s">
        <v>4097</v>
      </c>
      <c r="I2473" s="23"/>
      <c r="J2473" s="21" t="s">
        <v>3746</v>
      </c>
      <c r="K2473" s="47"/>
      <c r="L2473" s="21" t="s">
        <v>4772</v>
      </c>
      <c r="M2473" s="26">
        <v>44295</v>
      </c>
      <c r="N2473" s="44">
        <v>23436</v>
      </c>
      <c r="O2473" s="22" t="s">
        <v>15</v>
      </c>
      <c r="P2473" s="22" t="s">
        <v>19</v>
      </c>
      <c r="Q2473" s="24">
        <f t="shared" si="158"/>
        <v>0</v>
      </c>
      <c r="R2473" s="24">
        <f t="shared" si="157"/>
        <v>23436</v>
      </c>
      <c r="S2473" s="5"/>
      <c r="T2473" s="5"/>
    </row>
    <row r="2474" spans="2:20" ht="15.75" hidden="1" x14ac:dyDescent="0.25">
      <c r="B2474" s="5"/>
      <c r="C2474" s="4" t="s">
        <v>3484</v>
      </c>
      <c r="D2474" s="4"/>
      <c r="E2474" s="5" t="s">
        <v>75</v>
      </c>
      <c r="F2474" s="5"/>
      <c r="G2474" s="146" t="s">
        <v>100</v>
      </c>
      <c r="H2474" s="7" t="s">
        <v>4097</v>
      </c>
      <c r="I2474" s="7"/>
      <c r="J2474" s="5" t="s">
        <v>4106</v>
      </c>
      <c r="K2474" s="5"/>
      <c r="L2474" s="5" t="s">
        <v>5653</v>
      </c>
      <c r="M2474" s="12" t="s">
        <v>5654</v>
      </c>
      <c r="N2474" s="45">
        <v>23006</v>
      </c>
      <c r="O2474" s="4" t="s">
        <v>15</v>
      </c>
      <c r="P2474" s="45">
        <f>3341.36+8062.07+2489.05+93.54+914.62</f>
        <v>14900.640000000001</v>
      </c>
      <c r="Q2474" s="45">
        <f t="shared" si="158"/>
        <v>8105.3599999999988</v>
      </c>
      <c r="R2474" s="3">
        <f t="shared" si="157"/>
        <v>14900.640000000001</v>
      </c>
      <c r="S2474" s="5"/>
      <c r="T2474" s="5"/>
    </row>
    <row r="2475" spans="2:20" ht="15.75" hidden="1" x14ac:dyDescent="0.25">
      <c r="B2475" s="5"/>
      <c r="C2475" s="4" t="s">
        <v>3484</v>
      </c>
      <c r="D2475" s="4"/>
      <c r="E2475" s="5" t="s">
        <v>75</v>
      </c>
      <c r="F2475" s="5"/>
      <c r="G2475" s="146" t="s">
        <v>100</v>
      </c>
      <c r="H2475" s="7" t="s">
        <v>4097</v>
      </c>
      <c r="I2475" s="7"/>
      <c r="J2475" s="170" t="s">
        <v>180</v>
      </c>
      <c r="K2475" s="5"/>
      <c r="L2475" s="5" t="s">
        <v>7281</v>
      </c>
      <c r="M2475" s="12" t="s">
        <v>7282</v>
      </c>
      <c r="N2475" s="45">
        <v>35774</v>
      </c>
      <c r="O2475" s="4" t="s">
        <v>15</v>
      </c>
      <c r="P2475" s="45">
        <f>31449.27+3305.27+226.98</f>
        <v>34981.520000000004</v>
      </c>
      <c r="Q2475" s="45">
        <f t="shared" si="158"/>
        <v>792.47999999999593</v>
      </c>
      <c r="R2475" s="3">
        <f t="shared" si="157"/>
        <v>34981.520000000004</v>
      </c>
      <c r="S2475" s="5"/>
      <c r="T2475" s="5"/>
    </row>
    <row r="2476" spans="2:20" ht="15.75" hidden="1" x14ac:dyDescent="0.25">
      <c r="B2476" s="21" t="s">
        <v>395</v>
      </c>
      <c r="C2476" s="22" t="s">
        <v>2457</v>
      </c>
      <c r="D2476" s="22"/>
      <c r="E2476" s="21" t="s">
        <v>75</v>
      </c>
      <c r="F2476" s="21"/>
      <c r="G2476" s="147" t="s">
        <v>100</v>
      </c>
      <c r="H2476" s="23" t="s">
        <v>634</v>
      </c>
      <c r="I2476" s="23"/>
      <c r="J2476" s="21" t="s">
        <v>628</v>
      </c>
      <c r="K2476" s="21"/>
      <c r="L2476" s="21"/>
      <c r="M2476" s="26" t="s">
        <v>645</v>
      </c>
      <c r="N2476" s="94">
        <f>138751</f>
        <v>138751</v>
      </c>
      <c r="O2476" s="22" t="s">
        <v>15</v>
      </c>
      <c r="P2476" s="44">
        <f>62129+76622.38</f>
        <v>138751.38</v>
      </c>
      <c r="Q2476" s="24">
        <f t="shared" si="158"/>
        <v>0</v>
      </c>
      <c r="R2476" s="24">
        <f t="shared" si="157"/>
        <v>138751.38</v>
      </c>
      <c r="S2476" s="5"/>
      <c r="T2476" s="5"/>
    </row>
    <row r="2477" spans="2:20" ht="15.75" hidden="1" x14ac:dyDescent="0.25">
      <c r="B2477" s="21" t="s">
        <v>395</v>
      </c>
      <c r="C2477" s="22" t="s">
        <v>2457</v>
      </c>
      <c r="D2477" s="22"/>
      <c r="E2477" s="21" t="s">
        <v>75</v>
      </c>
      <c r="F2477" s="21"/>
      <c r="G2477" s="147" t="s">
        <v>100</v>
      </c>
      <c r="H2477" s="23" t="s">
        <v>634</v>
      </c>
      <c r="I2477" s="23"/>
      <c r="J2477" s="21" t="s">
        <v>532</v>
      </c>
      <c r="K2477" s="21"/>
      <c r="L2477" s="21"/>
      <c r="M2477" s="26" t="s">
        <v>726</v>
      </c>
      <c r="N2477" s="94">
        <f>20812</f>
        <v>20812</v>
      </c>
      <c r="O2477" s="22" t="s">
        <v>15</v>
      </c>
      <c r="P2477" s="44" t="s">
        <v>19</v>
      </c>
      <c r="Q2477" s="24">
        <f t="shared" si="158"/>
        <v>0</v>
      </c>
      <c r="R2477" s="24">
        <f t="shared" si="157"/>
        <v>20812</v>
      </c>
      <c r="S2477" s="5"/>
      <c r="T2477" s="5"/>
    </row>
    <row r="2478" spans="2:20" ht="15.75" hidden="1" x14ac:dyDescent="0.25">
      <c r="B2478" s="21" t="s">
        <v>395</v>
      </c>
      <c r="C2478" s="22" t="s">
        <v>2457</v>
      </c>
      <c r="D2478" s="22"/>
      <c r="E2478" s="21" t="s">
        <v>75</v>
      </c>
      <c r="F2478" s="21"/>
      <c r="G2478" s="147" t="s">
        <v>100</v>
      </c>
      <c r="H2478" s="23" t="s">
        <v>634</v>
      </c>
      <c r="I2478" s="23"/>
      <c r="J2478" s="21" t="s">
        <v>629</v>
      </c>
      <c r="K2478" s="21"/>
      <c r="L2478" s="21"/>
      <c r="M2478" s="26" t="s">
        <v>646</v>
      </c>
      <c r="N2478" s="94">
        <v>27750</v>
      </c>
      <c r="O2478" s="22" t="s">
        <v>15</v>
      </c>
      <c r="P2478" s="44" t="s">
        <v>19</v>
      </c>
      <c r="Q2478" s="24">
        <f t="shared" si="158"/>
        <v>0</v>
      </c>
      <c r="R2478" s="24">
        <f t="shared" si="157"/>
        <v>27750</v>
      </c>
      <c r="S2478" s="5"/>
      <c r="T2478" s="5"/>
    </row>
    <row r="2479" spans="2:20" ht="15.75" hidden="1" x14ac:dyDescent="0.25">
      <c r="B2479" s="21" t="s">
        <v>395</v>
      </c>
      <c r="C2479" s="22" t="s">
        <v>2457</v>
      </c>
      <c r="D2479" s="22"/>
      <c r="E2479" s="21" t="s">
        <v>75</v>
      </c>
      <c r="F2479" s="21"/>
      <c r="G2479" s="147" t="s">
        <v>100</v>
      </c>
      <c r="H2479" s="23" t="s">
        <v>634</v>
      </c>
      <c r="I2479" s="23"/>
      <c r="J2479" s="21" t="s">
        <v>630</v>
      </c>
      <c r="K2479" s="21"/>
      <c r="L2479" s="21"/>
      <c r="M2479" s="26" t="s">
        <v>646</v>
      </c>
      <c r="N2479" s="94">
        <v>41625</v>
      </c>
      <c r="O2479" s="22" t="s">
        <v>15</v>
      </c>
      <c r="P2479" s="44" t="s">
        <v>19</v>
      </c>
      <c r="Q2479" s="24">
        <f t="shared" si="158"/>
        <v>0</v>
      </c>
      <c r="R2479" s="24">
        <f t="shared" si="157"/>
        <v>41625</v>
      </c>
      <c r="S2479" s="5"/>
      <c r="T2479" s="5"/>
    </row>
    <row r="2480" spans="2:20" ht="15.75" hidden="1" x14ac:dyDescent="0.25">
      <c r="B2480" s="21" t="s">
        <v>395</v>
      </c>
      <c r="C2480" s="22" t="s">
        <v>2457</v>
      </c>
      <c r="D2480" s="22"/>
      <c r="E2480" s="21" t="s">
        <v>75</v>
      </c>
      <c r="F2480" s="21"/>
      <c r="G2480" s="147" t="s">
        <v>100</v>
      </c>
      <c r="H2480" s="23" t="s">
        <v>634</v>
      </c>
      <c r="I2480" s="23"/>
      <c r="J2480" s="21" t="s">
        <v>631</v>
      </c>
      <c r="K2480" s="21"/>
      <c r="L2480" s="21"/>
      <c r="M2480" s="26" t="s">
        <v>726</v>
      </c>
      <c r="N2480" s="94">
        <v>41625</v>
      </c>
      <c r="O2480" s="22" t="s">
        <v>15</v>
      </c>
      <c r="P2480" s="44" t="s">
        <v>19</v>
      </c>
      <c r="Q2480" s="24">
        <f t="shared" si="158"/>
        <v>0</v>
      </c>
      <c r="R2480" s="24">
        <f t="shared" si="157"/>
        <v>41625</v>
      </c>
      <c r="S2480" s="5"/>
      <c r="T2480" s="5"/>
    </row>
    <row r="2481" spans="2:20" ht="15.75" hidden="1" x14ac:dyDescent="0.25">
      <c r="B2481" s="21" t="s">
        <v>395</v>
      </c>
      <c r="C2481" s="22" t="s">
        <v>2457</v>
      </c>
      <c r="D2481" s="22"/>
      <c r="E2481" s="21" t="s">
        <v>75</v>
      </c>
      <c r="F2481" s="21"/>
      <c r="G2481" s="147" t="s">
        <v>100</v>
      </c>
      <c r="H2481" s="23" t="s">
        <v>634</v>
      </c>
      <c r="I2481" s="23"/>
      <c r="J2481" s="21" t="s">
        <v>538</v>
      </c>
      <c r="K2481" s="21"/>
      <c r="L2481" s="21"/>
      <c r="M2481" s="26" t="s">
        <v>717</v>
      </c>
      <c r="N2481" s="94">
        <v>41625</v>
      </c>
      <c r="O2481" s="22" t="s">
        <v>15</v>
      </c>
      <c r="P2481" s="44" t="s">
        <v>19</v>
      </c>
      <c r="Q2481" s="24">
        <f t="shared" si="158"/>
        <v>0</v>
      </c>
      <c r="R2481" s="24">
        <f t="shared" si="157"/>
        <v>41625</v>
      </c>
      <c r="S2481" s="5"/>
      <c r="T2481" s="5"/>
    </row>
    <row r="2482" spans="2:20" ht="15.75" hidden="1" x14ac:dyDescent="0.25">
      <c r="B2482" s="21" t="s">
        <v>395</v>
      </c>
      <c r="C2482" s="22" t="s">
        <v>2457</v>
      </c>
      <c r="D2482" s="22"/>
      <c r="E2482" s="21" t="s">
        <v>75</v>
      </c>
      <c r="F2482" s="21"/>
      <c r="G2482" s="147" t="s">
        <v>100</v>
      </c>
      <c r="H2482" s="23" t="s">
        <v>634</v>
      </c>
      <c r="I2482" s="23"/>
      <c r="J2482" s="21" t="s">
        <v>539</v>
      </c>
      <c r="K2482" s="21"/>
      <c r="L2482" s="21"/>
      <c r="M2482" s="26" t="s">
        <v>775</v>
      </c>
      <c r="N2482" s="94">
        <v>34688</v>
      </c>
      <c r="O2482" s="22" t="s">
        <v>15</v>
      </c>
      <c r="P2482" s="44" t="s">
        <v>19</v>
      </c>
      <c r="Q2482" s="24">
        <f t="shared" si="158"/>
        <v>0</v>
      </c>
      <c r="R2482" s="24">
        <f t="shared" si="157"/>
        <v>34688</v>
      </c>
      <c r="S2482" s="5"/>
      <c r="T2482" s="5"/>
    </row>
    <row r="2483" spans="2:20" ht="15.75" hidden="1" x14ac:dyDescent="0.25">
      <c r="B2483" s="21" t="s">
        <v>395</v>
      </c>
      <c r="C2483" s="22" t="s">
        <v>2457</v>
      </c>
      <c r="D2483" s="22"/>
      <c r="E2483" s="21" t="s">
        <v>75</v>
      </c>
      <c r="F2483" s="21"/>
      <c r="G2483" s="147" t="s">
        <v>100</v>
      </c>
      <c r="H2483" s="23" t="s">
        <v>634</v>
      </c>
      <c r="I2483" s="23"/>
      <c r="J2483" s="21" t="s">
        <v>540</v>
      </c>
      <c r="K2483" s="21"/>
      <c r="L2483" s="21"/>
      <c r="M2483" s="26" t="s">
        <v>777</v>
      </c>
      <c r="N2483" s="94">
        <v>41625</v>
      </c>
      <c r="O2483" s="22" t="s">
        <v>15</v>
      </c>
      <c r="P2483" s="44">
        <v>41525.410000000003</v>
      </c>
      <c r="Q2483" s="24">
        <v>0</v>
      </c>
      <c r="R2483" s="24">
        <f t="shared" si="157"/>
        <v>41525.410000000003</v>
      </c>
      <c r="S2483" s="5"/>
      <c r="T2483" s="5"/>
    </row>
    <row r="2484" spans="2:20" ht="15.75" hidden="1" x14ac:dyDescent="0.25">
      <c r="B2484" s="21" t="s">
        <v>395</v>
      </c>
      <c r="C2484" s="22" t="s">
        <v>2457</v>
      </c>
      <c r="D2484" s="22"/>
      <c r="E2484" s="21" t="s">
        <v>75</v>
      </c>
      <c r="F2484" s="21"/>
      <c r="G2484" s="147" t="s">
        <v>100</v>
      </c>
      <c r="H2484" s="23" t="s">
        <v>634</v>
      </c>
      <c r="I2484" s="23"/>
      <c r="J2484" s="21" t="s">
        <v>545</v>
      </c>
      <c r="K2484" s="21"/>
      <c r="L2484" s="21"/>
      <c r="M2484" s="26" t="s">
        <v>872</v>
      </c>
      <c r="N2484" s="94">
        <v>0</v>
      </c>
      <c r="O2484" s="22" t="s">
        <v>15</v>
      </c>
      <c r="P2484" s="44" t="s">
        <v>19</v>
      </c>
      <c r="Q2484" s="24">
        <f t="shared" ref="Q2484:Q2543" si="159">IF(P2484="en cours",N2484,IF(P2484="OK",0,IF(N2484-P2484&lt;0,0,N2484-P2484)))</f>
        <v>0</v>
      </c>
      <c r="R2484" s="24">
        <f t="shared" si="157"/>
        <v>0</v>
      </c>
      <c r="S2484" s="5"/>
      <c r="T2484" s="5"/>
    </row>
    <row r="2485" spans="2:20" ht="15.75" hidden="1" x14ac:dyDescent="0.25">
      <c r="B2485" s="21" t="s">
        <v>395</v>
      </c>
      <c r="C2485" s="22" t="s">
        <v>2457</v>
      </c>
      <c r="D2485" s="22"/>
      <c r="E2485" s="21" t="s">
        <v>75</v>
      </c>
      <c r="F2485" s="21"/>
      <c r="G2485" s="147" t="s">
        <v>100</v>
      </c>
      <c r="H2485" s="23" t="s">
        <v>634</v>
      </c>
      <c r="I2485" s="23"/>
      <c r="J2485" s="21" t="s">
        <v>632</v>
      </c>
      <c r="K2485" s="21"/>
      <c r="L2485" s="21"/>
      <c r="M2485" s="26" t="s">
        <v>873</v>
      </c>
      <c r="N2485" s="94">
        <v>0</v>
      </c>
      <c r="O2485" s="22" t="s">
        <v>15</v>
      </c>
      <c r="P2485" s="44" t="s">
        <v>19</v>
      </c>
      <c r="Q2485" s="24">
        <f t="shared" si="159"/>
        <v>0</v>
      </c>
      <c r="R2485" s="24">
        <f t="shared" si="157"/>
        <v>0</v>
      </c>
      <c r="S2485" s="5"/>
      <c r="T2485" s="5"/>
    </row>
    <row r="2486" spans="2:20" ht="15.75" hidden="1" x14ac:dyDescent="0.25">
      <c r="B2486" s="21" t="s">
        <v>395</v>
      </c>
      <c r="C2486" s="22" t="s">
        <v>2457</v>
      </c>
      <c r="D2486" s="22"/>
      <c r="E2486" s="21" t="s">
        <v>75</v>
      </c>
      <c r="F2486" s="21"/>
      <c r="G2486" s="147" t="s">
        <v>100</v>
      </c>
      <c r="H2486" s="23" t="s">
        <v>634</v>
      </c>
      <c r="I2486" s="23"/>
      <c r="J2486" s="21" t="s">
        <v>542</v>
      </c>
      <c r="K2486" s="21"/>
      <c r="L2486" s="21"/>
      <c r="M2486" s="26" t="s">
        <v>874</v>
      </c>
      <c r="N2486" s="94">
        <v>0</v>
      </c>
      <c r="O2486" s="22" t="s">
        <v>15</v>
      </c>
      <c r="P2486" s="44" t="s">
        <v>19</v>
      </c>
      <c r="Q2486" s="24">
        <f t="shared" si="159"/>
        <v>0</v>
      </c>
      <c r="R2486" s="24">
        <f t="shared" si="157"/>
        <v>0</v>
      </c>
      <c r="S2486" s="5"/>
      <c r="T2486" s="5"/>
    </row>
    <row r="2487" spans="2:20" ht="15.75" hidden="1" x14ac:dyDescent="0.25">
      <c r="B2487" s="21" t="s">
        <v>395</v>
      </c>
      <c r="C2487" s="22" t="s">
        <v>2457</v>
      </c>
      <c r="D2487" s="22"/>
      <c r="E2487" s="21" t="s">
        <v>75</v>
      </c>
      <c r="F2487" s="21"/>
      <c r="G2487" s="147" t="s">
        <v>100</v>
      </c>
      <c r="H2487" s="23" t="s">
        <v>634</v>
      </c>
      <c r="I2487" s="23"/>
      <c r="J2487" s="21" t="s">
        <v>876</v>
      </c>
      <c r="K2487" s="21"/>
      <c r="L2487" s="21"/>
      <c r="M2487" s="26" t="s">
        <v>756</v>
      </c>
      <c r="N2487" s="94">
        <f>9*10954.06</f>
        <v>98586.54</v>
      </c>
      <c r="O2487" s="22" t="s">
        <v>15</v>
      </c>
      <c r="P2487" s="44">
        <f>((11519.71*3)-1696.97)+10954.06+32862.18+10954.06+10954.06</f>
        <v>98586.51999999999</v>
      </c>
      <c r="Q2487" s="24">
        <f t="shared" si="159"/>
        <v>2.0000000004074536E-2</v>
      </c>
      <c r="R2487" s="24">
        <f t="shared" si="157"/>
        <v>98586.51999999999</v>
      </c>
      <c r="S2487" s="5"/>
      <c r="T2487" s="5"/>
    </row>
    <row r="2488" spans="2:20" ht="15.75" hidden="1" x14ac:dyDescent="0.25">
      <c r="B2488" s="21" t="s">
        <v>395</v>
      </c>
      <c r="C2488" s="22" t="s">
        <v>2457</v>
      </c>
      <c r="D2488" s="22"/>
      <c r="E2488" s="21" t="s">
        <v>75</v>
      </c>
      <c r="F2488" s="21"/>
      <c r="G2488" s="147" t="s">
        <v>100</v>
      </c>
      <c r="H2488" s="23" t="s">
        <v>8469</v>
      </c>
      <c r="I2488" s="350"/>
      <c r="J2488" s="21" t="s">
        <v>8470</v>
      </c>
      <c r="K2488" s="351"/>
      <c r="L2488" s="26" t="s">
        <v>8508</v>
      </c>
      <c r="M2488" s="26">
        <v>45098</v>
      </c>
      <c r="N2488" s="44">
        <v>24435</v>
      </c>
      <c r="O2488" s="22" t="s">
        <v>15</v>
      </c>
      <c r="P2488" s="44">
        <f>24435</f>
        <v>24435</v>
      </c>
      <c r="Q2488" s="24">
        <f t="shared" si="159"/>
        <v>0</v>
      </c>
      <c r="R2488" s="24">
        <f t="shared" si="157"/>
        <v>24435</v>
      </c>
      <c r="S2488" s="5"/>
      <c r="T2488" s="5"/>
    </row>
    <row r="2489" spans="2:20" ht="15.75" hidden="1" x14ac:dyDescent="0.25">
      <c r="B2489" s="21" t="s">
        <v>395</v>
      </c>
      <c r="C2489" s="22" t="s">
        <v>2457</v>
      </c>
      <c r="D2489" s="22"/>
      <c r="E2489" s="21" t="s">
        <v>75</v>
      </c>
      <c r="F2489" s="21"/>
      <c r="G2489" s="147" t="s">
        <v>100</v>
      </c>
      <c r="H2489" s="23" t="s">
        <v>5372</v>
      </c>
      <c r="I2489" s="23"/>
      <c r="J2489" s="21" t="s">
        <v>5373</v>
      </c>
      <c r="K2489" s="21"/>
      <c r="L2489" s="21" t="s">
        <v>5473</v>
      </c>
      <c r="M2489" s="23" t="s">
        <v>5375</v>
      </c>
      <c r="N2489" s="44">
        <f>330000-217919.84</f>
        <v>112080.16</v>
      </c>
      <c r="O2489" s="22" t="s">
        <v>15</v>
      </c>
      <c r="P2489" s="44">
        <f>3381+11063.85+4940.82+2093.8+1242.5+1973+1056.51+13952+915.6+40000+40000</f>
        <v>120619.07999999999</v>
      </c>
      <c r="Q2489" s="24">
        <f t="shared" si="159"/>
        <v>0</v>
      </c>
      <c r="R2489" s="24">
        <f t="shared" si="157"/>
        <v>120619.07999999999</v>
      </c>
      <c r="S2489" s="5"/>
      <c r="T2489" s="5"/>
    </row>
    <row r="2490" spans="2:20" ht="15.75" hidden="1" x14ac:dyDescent="0.25">
      <c r="B2490" s="21" t="s">
        <v>395</v>
      </c>
      <c r="C2490" s="22" t="s">
        <v>2457</v>
      </c>
      <c r="D2490" s="22"/>
      <c r="E2490" s="21" t="s">
        <v>75</v>
      </c>
      <c r="F2490" s="21"/>
      <c r="G2490" s="147" t="s">
        <v>100</v>
      </c>
      <c r="H2490" s="23" t="s">
        <v>5372</v>
      </c>
      <c r="I2490" s="23"/>
      <c r="J2490" s="21" t="s">
        <v>5374</v>
      </c>
      <c r="K2490" s="21"/>
      <c r="L2490" s="21"/>
      <c r="M2490" s="23" t="s">
        <v>5472</v>
      </c>
      <c r="N2490" s="44">
        <f>P2490</f>
        <v>217919.84</v>
      </c>
      <c r="O2490" s="22" t="s">
        <v>15</v>
      </c>
      <c r="P2490" s="44">
        <f>2250+3450+(2575.7-950)+7808.19+7078.9+6634.84+30641.12+2080.24+21358.22+3128.64+3384+646.38+24046+6736+12862.24+300+10260+(6171.12+7278+4433.6+1593.67+8180.3+5764+1529+11080+1250.32+2800.65+2762.71+12606+8180)</f>
        <v>217919.84</v>
      </c>
      <c r="Q2490" s="24">
        <f t="shared" si="159"/>
        <v>0</v>
      </c>
      <c r="R2490" s="24">
        <f t="shared" si="157"/>
        <v>217919.84</v>
      </c>
      <c r="S2490" s="5"/>
      <c r="T2490" s="5"/>
    </row>
    <row r="2491" spans="2:20" ht="15.75" hidden="1" x14ac:dyDescent="0.25">
      <c r="B2491" s="21" t="s">
        <v>395</v>
      </c>
      <c r="C2491" s="22" t="s">
        <v>2457</v>
      </c>
      <c r="D2491" s="22"/>
      <c r="E2491" s="21" t="s">
        <v>75</v>
      </c>
      <c r="F2491" s="21"/>
      <c r="G2491" s="147" t="s">
        <v>100</v>
      </c>
      <c r="H2491" s="23" t="s">
        <v>8471</v>
      </c>
      <c r="I2491" s="23" t="s">
        <v>7836</v>
      </c>
      <c r="J2491" s="323" t="s">
        <v>180</v>
      </c>
      <c r="K2491" s="21"/>
      <c r="L2491" s="21" t="s">
        <v>8666</v>
      </c>
      <c r="M2491" s="26" t="s">
        <v>8667</v>
      </c>
      <c r="N2491" s="44">
        <f>635858-(330000+189138)-37351-13823.5</f>
        <v>65545.5</v>
      </c>
      <c r="O2491" s="22" t="s">
        <v>15</v>
      </c>
      <c r="P2491" s="44">
        <f>(18252.13+3246.42+1067.6+6569.12+854.9+(11131.64-8610.6)+1898.13+7093.32+915.4)+(1100.09+104.24+466.39+149.25+920.83+1534.82+402.68+14.63+783.55+389.43)+371.09+1047.53+(458.5)+61.4+849.59+268+(70.46)+188.33+1192.65+466.72+187.7+430.34+544.67+601+60.08+385.66+53.59+511.1+1553.23+(2505.6+113.5)+273.89+552.84+435.1+395.87+856.52+644.06+741.24+(629.66+18.54+24.69+38.57)+752.94+277.21+1197.57+773.62+111.01+371.28+63.5</f>
        <v>68362.819999999978</v>
      </c>
      <c r="Q2491" s="24">
        <f t="shared" si="159"/>
        <v>0</v>
      </c>
      <c r="R2491" s="24">
        <f t="shared" ref="R2491:R2554" si="160">IF(P2491="OK",N2491-Q2491,IF(P2491="en cours",N2491-Q2491,P2491))</f>
        <v>68362.819999999978</v>
      </c>
      <c r="S2491" s="5" t="s">
        <v>1719</v>
      </c>
      <c r="T2491" s="5"/>
    </row>
    <row r="2492" spans="2:20" ht="15.75" hidden="1" x14ac:dyDescent="0.25">
      <c r="B2492" s="21" t="s">
        <v>395</v>
      </c>
      <c r="C2492" s="22" t="s">
        <v>2457</v>
      </c>
      <c r="D2492" s="22"/>
      <c r="E2492" s="21" t="s">
        <v>75</v>
      </c>
      <c r="F2492" s="21"/>
      <c r="G2492" s="147" t="s">
        <v>100</v>
      </c>
      <c r="H2492" s="23" t="s">
        <v>871</v>
      </c>
      <c r="I2492" s="23"/>
      <c r="J2492" s="21" t="s">
        <v>5361</v>
      </c>
      <c r="K2492" s="21"/>
      <c r="L2492" s="21" t="s">
        <v>5360</v>
      </c>
      <c r="M2492" s="26" t="s">
        <v>5364</v>
      </c>
      <c r="N2492" s="94">
        <v>45095.3</v>
      </c>
      <c r="O2492" s="22" t="s">
        <v>15</v>
      </c>
      <c r="P2492" s="44">
        <f>13818.2+31277.1</f>
        <v>45095.3</v>
      </c>
      <c r="Q2492" s="24">
        <f t="shared" si="159"/>
        <v>0</v>
      </c>
      <c r="R2492" s="24">
        <f t="shared" si="160"/>
        <v>45095.3</v>
      </c>
      <c r="S2492" s="5" t="s">
        <v>1793</v>
      </c>
      <c r="T2492" s="5"/>
    </row>
    <row r="2493" spans="2:20" ht="15.75" hidden="1" x14ac:dyDescent="0.25">
      <c r="B2493" s="21" t="s">
        <v>395</v>
      </c>
      <c r="C2493" s="22" t="s">
        <v>2457</v>
      </c>
      <c r="D2493" s="22"/>
      <c r="E2493" s="21" t="s">
        <v>75</v>
      </c>
      <c r="F2493" s="21"/>
      <c r="G2493" s="147" t="s">
        <v>100</v>
      </c>
      <c r="H2493" s="23" t="s">
        <v>871</v>
      </c>
      <c r="I2493" s="23"/>
      <c r="J2493" s="21" t="s">
        <v>5365</v>
      </c>
      <c r="K2493" s="21"/>
      <c r="L2493" s="21" t="s">
        <v>5362</v>
      </c>
      <c r="M2493" s="26" t="s">
        <v>5363</v>
      </c>
      <c r="N2493" s="94">
        <f>3*8610.6</f>
        <v>25831.800000000003</v>
      </c>
      <c r="O2493" s="22" t="s">
        <v>15</v>
      </c>
      <c r="P2493" s="44">
        <f>8610.6+8610.6+8610.6</f>
        <v>25831.800000000003</v>
      </c>
      <c r="Q2493" s="24">
        <f t="shared" si="159"/>
        <v>0</v>
      </c>
      <c r="R2493" s="24">
        <f t="shared" si="160"/>
        <v>25831.800000000003</v>
      </c>
      <c r="S2493" s="5" t="s">
        <v>1793</v>
      </c>
      <c r="T2493" s="5"/>
    </row>
    <row r="2494" spans="2:20" ht="15.75" hidden="1" x14ac:dyDescent="0.25">
      <c r="B2494" s="21" t="s">
        <v>395</v>
      </c>
      <c r="C2494" s="22" t="s">
        <v>2457</v>
      </c>
      <c r="D2494" s="22"/>
      <c r="E2494" s="21" t="s">
        <v>75</v>
      </c>
      <c r="F2494" s="21"/>
      <c r="G2494" s="147" t="s">
        <v>100</v>
      </c>
      <c r="H2494" s="190" t="s">
        <v>875</v>
      </c>
      <c r="I2494" s="190"/>
      <c r="J2494" s="191" t="s">
        <v>545</v>
      </c>
      <c r="K2494" s="193">
        <v>44166</v>
      </c>
      <c r="L2494" s="193"/>
      <c r="M2494" s="193"/>
      <c r="N2494" s="194">
        <v>0</v>
      </c>
      <c r="O2494" s="22" t="s">
        <v>15</v>
      </c>
      <c r="P2494" s="44" t="s">
        <v>19</v>
      </c>
      <c r="Q2494" s="24">
        <f t="shared" si="159"/>
        <v>0</v>
      </c>
      <c r="R2494" s="24">
        <f t="shared" si="160"/>
        <v>0</v>
      </c>
      <c r="S2494" s="5" t="s">
        <v>1717</v>
      </c>
      <c r="T2494" s="5"/>
    </row>
    <row r="2495" spans="2:20" ht="15.75" hidden="1" x14ac:dyDescent="0.25">
      <c r="B2495" s="21" t="s">
        <v>395</v>
      </c>
      <c r="C2495" s="22" t="s">
        <v>2457</v>
      </c>
      <c r="D2495" s="22"/>
      <c r="E2495" s="21" t="s">
        <v>75</v>
      </c>
      <c r="F2495" s="21"/>
      <c r="G2495" s="147" t="s">
        <v>100</v>
      </c>
      <c r="H2495" s="190" t="s">
        <v>875</v>
      </c>
      <c r="I2495" s="190"/>
      <c r="J2495" s="191" t="s">
        <v>3198</v>
      </c>
      <c r="K2495" s="193"/>
      <c r="L2495" s="193"/>
      <c r="M2495" s="193"/>
      <c r="N2495" s="194">
        <v>0</v>
      </c>
      <c r="O2495" s="22" t="s">
        <v>15</v>
      </c>
      <c r="P2495" s="44" t="s">
        <v>19</v>
      </c>
      <c r="Q2495" s="24">
        <f t="shared" si="159"/>
        <v>0</v>
      </c>
      <c r="R2495" s="24">
        <f t="shared" si="160"/>
        <v>0</v>
      </c>
      <c r="S2495" s="5" t="s">
        <v>1717</v>
      </c>
      <c r="T2495" s="5"/>
    </row>
    <row r="2496" spans="2:20" ht="15.75" hidden="1" x14ac:dyDescent="0.25">
      <c r="B2496" s="21" t="s">
        <v>395</v>
      </c>
      <c r="C2496" s="22" t="s">
        <v>2457</v>
      </c>
      <c r="D2496" s="22"/>
      <c r="E2496" s="21" t="s">
        <v>75</v>
      </c>
      <c r="F2496" s="21"/>
      <c r="G2496" s="147" t="s">
        <v>100</v>
      </c>
      <c r="H2496" s="190" t="s">
        <v>875</v>
      </c>
      <c r="I2496" s="190"/>
      <c r="J2496" s="191" t="s">
        <v>3199</v>
      </c>
      <c r="K2496" s="193"/>
      <c r="L2496" s="193"/>
      <c r="M2496" s="193"/>
      <c r="N2496" s="194">
        <v>0</v>
      </c>
      <c r="O2496" s="22" t="s">
        <v>15</v>
      </c>
      <c r="P2496" s="44" t="s">
        <v>19</v>
      </c>
      <c r="Q2496" s="24">
        <f t="shared" si="159"/>
        <v>0</v>
      </c>
      <c r="R2496" s="24">
        <f t="shared" si="160"/>
        <v>0</v>
      </c>
      <c r="S2496" s="5" t="s">
        <v>1717</v>
      </c>
      <c r="T2496" s="5"/>
    </row>
    <row r="2497" spans="2:20" ht="15.75" hidden="1" x14ac:dyDescent="0.25">
      <c r="B2497" s="21" t="s">
        <v>395</v>
      </c>
      <c r="C2497" s="22" t="s">
        <v>2457</v>
      </c>
      <c r="D2497" s="22"/>
      <c r="E2497" s="21" t="s">
        <v>75</v>
      </c>
      <c r="F2497" s="21"/>
      <c r="G2497" s="147" t="s">
        <v>100</v>
      </c>
      <c r="H2497" s="23" t="s">
        <v>875</v>
      </c>
      <c r="I2497" s="23"/>
      <c r="J2497" s="21" t="s">
        <v>893</v>
      </c>
      <c r="K2497" s="21"/>
      <c r="L2497" s="21"/>
      <c r="M2497" s="26" t="s">
        <v>1905</v>
      </c>
      <c r="N2497" s="94">
        <f>13*6992</f>
        <v>90896</v>
      </c>
      <c r="O2497" s="22" t="s">
        <v>15</v>
      </c>
      <c r="P2497" s="44">
        <f>6992+6992+(10954-3962)+6992+6992+6992+6992+6992+6992+6992+6992+6992+6992+(6992-6992)</f>
        <v>90896</v>
      </c>
      <c r="Q2497" s="24">
        <f t="shared" si="159"/>
        <v>0</v>
      </c>
      <c r="R2497" s="24">
        <f t="shared" si="160"/>
        <v>90896</v>
      </c>
      <c r="S2497" s="5" t="s">
        <v>1717</v>
      </c>
      <c r="T2497" s="5"/>
    </row>
    <row r="2498" spans="2:20" ht="15.75" hidden="1" x14ac:dyDescent="0.25">
      <c r="B2498" s="21" t="s">
        <v>395</v>
      </c>
      <c r="C2498" s="22" t="s">
        <v>2457</v>
      </c>
      <c r="D2498" s="22"/>
      <c r="E2498" s="21" t="s">
        <v>75</v>
      </c>
      <c r="F2498" s="21"/>
      <c r="G2498" s="147" t="s">
        <v>100</v>
      </c>
      <c r="H2498" s="190" t="s">
        <v>875</v>
      </c>
      <c r="I2498" s="190"/>
      <c r="J2498" s="191" t="s">
        <v>3204</v>
      </c>
      <c r="K2498" s="193"/>
      <c r="L2498" s="26" t="s">
        <v>3068</v>
      </c>
      <c r="M2498" s="26">
        <v>43922</v>
      </c>
      <c r="N2498" s="194">
        <f>4698.47*7</f>
        <v>32889.29</v>
      </c>
      <c r="O2498" s="22" t="s">
        <v>15</v>
      </c>
      <c r="P2498" s="44">
        <v>32889.29</v>
      </c>
      <c r="Q2498" s="24">
        <f t="shared" si="159"/>
        <v>0</v>
      </c>
      <c r="R2498" s="24">
        <f t="shared" si="160"/>
        <v>32889.29</v>
      </c>
      <c r="S2498" s="5"/>
      <c r="T2498" s="5"/>
    </row>
    <row r="2499" spans="2:20" ht="15.75" hidden="1" x14ac:dyDescent="0.25">
      <c r="B2499" s="21" t="s">
        <v>3210</v>
      </c>
      <c r="C2499" s="22" t="s">
        <v>2457</v>
      </c>
      <c r="D2499" s="22"/>
      <c r="E2499" s="21" t="s">
        <v>75</v>
      </c>
      <c r="F2499" s="21"/>
      <c r="G2499" s="147" t="s">
        <v>100</v>
      </c>
      <c r="H2499" s="195" t="s">
        <v>3197</v>
      </c>
      <c r="I2499" s="195"/>
      <c r="J2499" s="196" t="s">
        <v>3200</v>
      </c>
      <c r="K2499" s="197"/>
      <c r="L2499" s="26" t="s">
        <v>3209</v>
      </c>
      <c r="M2499" s="26">
        <v>43980</v>
      </c>
      <c r="N2499" s="101">
        <v>157850</v>
      </c>
      <c r="O2499" s="22" t="s">
        <v>15</v>
      </c>
      <c r="P2499" s="44" t="s">
        <v>19</v>
      </c>
      <c r="Q2499" s="24">
        <f t="shared" si="159"/>
        <v>0</v>
      </c>
      <c r="R2499" s="24">
        <f t="shared" si="160"/>
        <v>157850</v>
      </c>
      <c r="S2499" s="5"/>
      <c r="T2499" s="5"/>
    </row>
    <row r="2500" spans="2:20" ht="15.75" hidden="1" x14ac:dyDescent="0.25">
      <c r="B2500" s="21" t="s">
        <v>395</v>
      </c>
      <c r="C2500" s="22" t="s">
        <v>2457</v>
      </c>
      <c r="D2500" s="22"/>
      <c r="E2500" s="21" t="s">
        <v>75</v>
      </c>
      <c r="F2500" s="21"/>
      <c r="G2500" s="147" t="s">
        <v>100</v>
      </c>
      <c r="H2500" s="195" t="s">
        <v>3197</v>
      </c>
      <c r="I2500" s="195"/>
      <c r="J2500" s="196" t="s">
        <v>3201</v>
      </c>
      <c r="K2500" s="197"/>
      <c r="L2500" s="26" t="s">
        <v>3480</v>
      </c>
      <c r="M2500" s="26">
        <v>44027</v>
      </c>
      <c r="N2500" s="101">
        <v>63140</v>
      </c>
      <c r="O2500" s="22" t="s">
        <v>15</v>
      </c>
      <c r="P2500" s="44" t="s">
        <v>19</v>
      </c>
      <c r="Q2500" s="24">
        <f t="shared" si="159"/>
        <v>0</v>
      </c>
      <c r="R2500" s="24">
        <f t="shared" si="160"/>
        <v>63140</v>
      </c>
      <c r="S2500" s="5"/>
      <c r="T2500" s="5"/>
    </row>
    <row r="2501" spans="2:20" ht="15.75" hidden="1" x14ac:dyDescent="0.25">
      <c r="B2501" s="21" t="s">
        <v>395</v>
      </c>
      <c r="C2501" s="22" t="s">
        <v>2457</v>
      </c>
      <c r="D2501" s="22"/>
      <c r="E2501" s="21" t="s">
        <v>75</v>
      </c>
      <c r="F2501" s="21"/>
      <c r="G2501" s="147" t="s">
        <v>100</v>
      </c>
      <c r="H2501" s="195" t="s">
        <v>3197</v>
      </c>
      <c r="I2501" s="195"/>
      <c r="J2501" s="196" t="s">
        <v>3205</v>
      </c>
      <c r="K2501" s="197"/>
      <c r="L2501" s="26" t="s">
        <v>3208</v>
      </c>
      <c r="M2501" s="26">
        <v>43979</v>
      </c>
      <c r="N2501" s="101">
        <v>4698.47</v>
      </c>
      <c r="O2501" s="22" t="s">
        <v>15</v>
      </c>
      <c r="P2501" s="44">
        <v>4698.47</v>
      </c>
      <c r="Q2501" s="24">
        <f t="shared" si="159"/>
        <v>0</v>
      </c>
      <c r="R2501" s="24">
        <f t="shared" si="160"/>
        <v>4698.47</v>
      </c>
      <c r="S2501" s="5"/>
      <c r="T2501" s="5"/>
    </row>
    <row r="2502" spans="2:20" ht="15.75" hidden="1" x14ac:dyDescent="0.25">
      <c r="B2502" s="21" t="s">
        <v>395</v>
      </c>
      <c r="C2502" s="22" t="s">
        <v>2457</v>
      </c>
      <c r="D2502" s="22"/>
      <c r="E2502" s="21" t="s">
        <v>75</v>
      </c>
      <c r="F2502" s="21"/>
      <c r="G2502" s="147" t="s">
        <v>100</v>
      </c>
      <c r="H2502" s="195" t="s">
        <v>3197</v>
      </c>
      <c r="I2502" s="195"/>
      <c r="J2502" s="196" t="s">
        <v>3205</v>
      </c>
      <c r="K2502" s="197"/>
      <c r="L2502" s="26" t="s">
        <v>3232</v>
      </c>
      <c r="M2502" s="26">
        <v>43983</v>
      </c>
      <c r="N2502" s="101">
        <v>4698.47</v>
      </c>
      <c r="O2502" s="22" t="s">
        <v>15</v>
      </c>
      <c r="P2502" s="44">
        <v>4698.47</v>
      </c>
      <c r="Q2502" s="24">
        <f t="shared" si="159"/>
        <v>0</v>
      </c>
      <c r="R2502" s="24">
        <f t="shared" si="160"/>
        <v>4698.47</v>
      </c>
      <c r="S2502" s="5"/>
      <c r="T2502" s="5"/>
    </row>
    <row r="2503" spans="2:20" ht="15.75" hidden="1" x14ac:dyDescent="0.25">
      <c r="B2503" s="21" t="s">
        <v>395</v>
      </c>
      <c r="C2503" s="22" t="s">
        <v>2457</v>
      </c>
      <c r="D2503" s="22"/>
      <c r="E2503" s="21" t="s">
        <v>75</v>
      </c>
      <c r="F2503" s="21"/>
      <c r="G2503" s="147" t="s">
        <v>100</v>
      </c>
      <c r="H2503" s="195" t="s">
        <v>3197</v>
      </c>
      <c r="I2503" s="195"/>
      <c r="J2503" s="196" t="s">
        <v>3205</v>
      </c>
      <c r="K2503" s="197"/>
      <c r="L2503" s="26" t="s">
        <v>3432</v>
      </c>
      <c r="M2503" s="26">
        <v>44013</v>
      </c>
      <c r="N2503" s="101">
        <v>4698.47</v>
      </c>
      <c r="O2503" s="22" t="s">
        <v>15</v>
      </c>
      <c r="P2503" s="44">
        <v>4698.47</v>
      </c>
      <c r="Q2503" s="24">
        <f t="shared" si="159"/>
        <v>0</v>
      </c>
      <c r="R2503" s="24">
        <f t="shared" si="160"/>
        <v>4698.47</v>
      </c>
      <c r="S2503" s="5"/>
      <c r="T2503" s="5"/>
    </row>
    <row r="2504" spans="2:20" ht="15.75" hidden="1" x14ac:dyDescent="0.25">
      <c r="B2504" s="21" t="s">
        <v>395</v>
      </c>
      <c r="C2504" s="22" t="s">
        <v>2457</v>
      </c>
      <c r="D2504" s="22"/>
      <c r="E2504" s="21" t="s">
        <v>75</v>
      </c>
      <c r="F2504" s="21"/>
      <c r="G2504" s="147" t="s">
        <v>100</v>
      </c>
      <c r="H2504" s="195" t="s">
        <v>3197</v>
      </c>
      <c r="I2504" s="195"/>
      <c r="J2504" s="196" t="s">
        <v>3205</v>
      </c>
      <c r="K2504" s="197"/>
      <c r="L2504" s="26" t="s">
        <v>3585</v>
      </c>
      <c r="M2504" s="26">
        <v>44046</v>
      </c>
      <c r="N2504" s="101">
        <v>4698.47</v>
      </c>
      <c r="O2504" s="22" t="s">
        <v>15</v>
      </c>
      <c r="P2504" s="44">
        <v>4698.47</v>
      </c>
      <c r="Q2504" s="24">
        <f t="shared" si="159"/>
        <v>0</v>
      </c>
      <c r="R2504" s="24">
        <f t="shared" si="160"/>
        <v>4698.47</v>
      </c>
      <c r="S2504" s="5"/>
      <c r="T2504" s="5"/>
    </row>
    <row r="2505" spans="2:20" ht="15.75" hidden="1" x14ac:dyDescent="0.25">
      <c r="B2505" s="21" t="s">
        <v>395</v>
      </c>
      <c r="C2505" s="22" t="s">
        <v>2457</v>
      </c>
      <c r="D2505" s="22"/>
      <c r="E2505" s="21" t="s">
        <v>75</v>
      </c>
      <c r="F2505" s="21"/>
      <c r="G2505" s="147" t="s">
        <v>100</v>
      </c>
      <c r="H2505" s="195" t="s">
        <v>3197</v>
      </c>
      <c r="I2505" s="195"/>
      <c r="J2505" s="196" t="s">
        <v>3205</v>
      </c>
      <c r="K2505" s="197"/>
      <c r="L2505" s="26" t="s">
        <v>3639</v>
      </c>
      <c r="M2505" s="26">
        <v>44076</v>
      </c>
      <c r="N2505" s="101">
        <v>4698.47</v>
      </c>
      <c r="O2505" s="22" t="s">
        <v>15</v>
      </c>
      <c r="P2505" s="44">
        <v>4698.47</v>
      </c>
      <c r="Q2505" s="24">
        <f t="shared" si="159"/>
        <v>0</v>
      </c>
      <c r="R2505" s="24">
        <f t="shared" si="160"/>
        <v>4698.47</v>
      </c>
      <c r="S2505" s="5"/>
      <c r="T2505" s="5"/>
    </row>
    <row r="2506" spans="2:20" ht="15.75" hidden="1" x14ac:dyDescent="0.25">
      <c r="B2506" s="21" t="s">
        <v>395</v>
      </c>
      <c r="C2506" s="22" t="s">
        <v>2457</v>
      </c>
      <c r="D2506" s="22"/>
      <c r="E2506" s="21" t="s">
        <v>75</v>
      </c>
      <c r="F2506" s="21"/>
      <c r="G2506" s="147" t="s">
        <v>100</v>
      </c>
      <c r="H2506" s="195" t="s">
        <v>3197</v>
      </c>
      <c r="I2506" s="195"/>
      <c r="J2506" s="196" t="s">
        <v>3205</v>
      </c>
      <c r="K2506" s="197"/>
      <c r="L2506" s="26" t="s">
        <v>3775</v>
      </c>
      <c r="M2506" s="26">
        <v>44105</v>
      </c>
      <c r="N2506" s="101">
        <v>4698.47</v>
      </c>
      <c r="O2506" s="22" t="s">
        <v>15</v>
      </c>
      <c r="P2506" s="44">
        <v>4698.47</v>
      </c>
      <c r="Q2506" s="24">
        <f t="shared" si="159"/>
        <v>0</v>
      </c>
      <c r="R2506" s="24">
        <f t="shared" si="160"/>
        <v>4698.47</v>
      </c>
      <c r="S2506" s="5"/>
      <c r="T2506" s="5"/>
    </row>
    <row r="2507" spans="2:20" ht="15.75" hidden="1" x14ac:dyDescent="0.25">
      <c r="B2507" s="21" t="s">
        <v>395</v>
      </c>
      <c r="C2507" s="22" t="s">
        <v>2457</v>
      </c>
      <c r="D2507" s="22"/>
      <c r="E2507" s="21" t="s">
        <v>75</v>
      </c>
      <c r="F2507" s="21"/>
      <c r="G2507" s="147" t="s">
        <v>100</v>
      </c>
      <c r="H2507" s="195" t="s">
        <v>3197</v>
      </c>
      <c r="I2507" s="195"/>
      <c r="J2507" s="196" t="s">
        <v>3205</v>
      </c>
      <c r="K2507" s="197"/>
      <c r="L2507" s="26" t="s">
        <v>3925</v>
      </c>
      <c r="M2507" s="26">
        <v>44138</v>
      </c>
      <c r="N2507" s="101">
        <v>4698.47</v>
      </c>
      <c r="O2507" s="22" t="s">
        <v>15</v>
      </c>
      <c r="P2507" s="44">
        <v>4698.47</v>
      </c>
      <c r="Q2507" s="24">
        <f t="shared" si="159"/>
        <v>0</v>
      </c>
      <c r="R2507" s="24">
        <f t="shared" si="160"/>
        <v>4698.47</v>
      </c>
      <c r="S2507" s="5"/>
      <c r="T2507" s="5"/>
    </row>
    <row r="2508" spans="2:20" ht="15.75" hidden="1" x14ac:dyDescent="0.25">
      <c r="B2508" s="21" t="s">
        <v>395</v>
      </c>
      <c r="C2508" s="22" t="s">
        <v>2457</v>
      </c>
      <c r="D2508" s="22"/>
      <c r="E2508" s="21" t="s">
        <v>75</v>
      </c>
      <c r="F2508" s="21"/>
      <c r="G2508" s="147" t="s">
        <v>100</v>
      </c>
      <c r="H2508" s="244" t="s">
        <v>4247</v>
      </c>
      <c r="I2508" s="244"/>
      <c r="J2508" s="245" t="s">
        <v>4248</v>
      </c>
      <c r="K2508" s="197"/>
      <c r="L2508" s="26" t="s">
        <v>4250</v>
      </c>
      <c r="M2508" s="26">
        <v>44186</v>
      </c>
      <c r="N2508" s="89">
        <v>61565</v>
      </c>
      <c r="O2508" s="22" t="s">
        <v>15</v>
      </c>
      <c r="P2508" s="44" t="s">
        <v>19</v>
      </c>
      <c r="Q2508" s="24">
        <f t="shared" si="159"/>
        <v>0</v>
      </c>
      <c r="R2508" s="24">
        <f t="shared" si="160"/>
        <v>61565</v>
      </c>
      <c r="S2508" s="5"/>
      <c r="T2508" s="5"/>
    </row>
    <row r="2509" spans="2:20" ht="15.75" hidden="1" x14ac:dyDescent="0.25">
      <c r="B2509" s="21" t="s">
        <v>395</v>
      </c>
      <c r="C2509" s="22" t="s">
        <v>2457</v>
      </c>
      <c r="D2509" s="22"/>
      <c r="E2509" s="21" t="s">
        <v>75</v>
      </c>
      <c r="F2509" s="21"/>
      <c r="G2509" s="147" t="s">
        <v>100</v>
      </c>
      <c r="H2509" s="244" t="s">
        <v>4247</v>
      </c>
      <c r="I2509" s="244"/>
      <c r="J2509" s="245" t="s">
        <v>4249</v>
      </c>
      <c r="K2509" s="197"/>
      <c r="L2509" s="26" t="s">
        <v>5418</v>
      </c>
      <c r="M2509" s="26">
        <v>44392</v>
      </c>
      <c r="N2509" s="89">
        <v>61565</v>
      </c>
      <c r="O2509" s="22" t="s">
        <v>15</v>
      </c>
      <c r="P2509" s="44" t="s">
        <v>19</v>
      </c>
      <c r="Q2509" s="24">
        <f t="shared" si="159"/>
        <v>0</v>
      </c>
      <c r="R2509" s="24">
        <f t="shared" si="160"/>
        <v>61565</v>
      </c>
      <c r="S2509" s="5"/>
      <c r="T2509" s="5"/>
    </row>
    <row r="2510" spans="2:20" ht="15.75" hidden="1" x14ac:dyDescent="0.25">
      <c r="B2510" s="21" t="s">
        <v>395</v>
      </c>
      <c r="C2510" s="22" t="s">
        <v>2457</v>
      </c>
      <c r="D2510" s="22"/>
      <c r="E2510" s="21" t="s">
        <v>75</v>
      </c>
      <c r="F2510" s="21"/>
      <c r="G2510" s="147" t="s">
        <v>100</v>
      </c>
      <c r="H2510" s="244" t="s">
        <v>4293</v>
      </c>
      <c r="I2510" s="244"/>
      <c r="J2510" s="245" t="s">
        <v>4251</v>
      </c>
      <c r="K2510" s="197"/>
      <c r="L2510" s="26" t="s">
        <v>4079</v>
      </c>
      <c r="M2510" s="26">
        <v>44167</v>
      </c>
      <c r="N2510" s="89">
        <f t="shared" ref="N2510:N2522" si="161">4698.47</f>
        <v>4698.47</v>
      </c>
      <c r="O2510" s="22" t="s">
        <v>15</v>
      </c>
      <c r="P2510" s="44">
        <v>4698.47</v>
      </c>
      <c r="Q2510" s="24">
        <f t="shared" si="159"/>
        <v>0</v>
      </c>
      <c r="R2510" s="24">
        <f t="shared" si="160"/>
        <v>4698.47</v>
      </c>
      <c r="S2510" s="5"/>
      <c r="T2510" s="5"/>
    </row>
    <row r="2511" spans="2:20" ht="15.75" hidden="1" x14ac:dyDescent="0.25">
      <c r="B2511" s="21" t="s">
        <v>395</v>
      </c>
      <c r="C2511" s="22" t="s">
        <v>2457</v>
      </c>
      <c r="D2511" s="22"/>
      <c r="E2511" s="21" t="s">
        <v>75</v>
      </c>
      <c r="F2511" s="21"/>
      <c r="G2511" s="147" t="s">
        <v>100</v>
      </c>
      <c r="H2511" s="244" t="s">
        <v>4293</v>
      </c>
      <c r="I2511" s="244"/>
      <c r="J2511" s="245" t="s">
        <v>4251</v>
      </c>
      <c r="K2511" s="197"/>
      <c r="L2511" s="26" t="s">
        <v>4294</v>
      </c>
      <c r="M2511" s="26">
        <v>44202</v>
      </c>
      <c r="N2511" s="89">
        <f t="shared" si="161"/>
        <v>4698.47</v>
      </c>
      <c r="O2511" s="22" t="s">
        <v>15</v>
      </c>
      <c r="P2511" s="44">
        <v>4698.47</v>
      </c>
      <c r="Q2511" s="24">
        <f t="shared" si="159"/>
        <v>0</v>
      </c>
      <c r="R2511" s="24">
        <f t="shared" si="160"/>
        <v>4698.47</v>
      </c>
      <c r="S2511" s="5"/>
      <c r="T2511" s="5"/>
    </row>
    <row r="2512" spans="2:20" ht="15.75" hidden="1" x14ac:dyDescent="0.25">
      <c r="B2512" s="21" t="s">
        <v>395</v>
      </c>
      <c r="C2512" s="22" t="s">
        <v>2457</v>
      </c>
      <c r="D2512" s="22"/>
      <c r="E2512" s="21" t="s">
        <v>75</v>
      </c>
      <c r="F2512" s="21"/>
      <c r="G2512" s="147" t="s">
        <v>100</v>
      </c>
      <c r="H2512" s="244" t="s">
        <v>4293</v>
      </c>
      <c r="I2512" s="244"/>
      <c r="J2512" s="245" t="s">
        <v>4251</v>
      </c>
      <c r="K2512" s="197"/>
      <c r="L2512" s="26" t="s">
        <v>4323</v>
      </c>
      <c r="M2512" s="26">
        <v>44230</v>
      </c>
      <c r="N2512" s="89">
        <f t="shared" si="161"/>
        <v>4698.47</v>
      </c>
      <c r="O2512" s="22" t="s">
        <v>15</v>
      </c>
      <c r="P2512" s="44">
        <v>4698.47</v>
      </c>
      <c r="Q2512" s="24">
        <f t="shared" si="159"/>
        <v>0</v>
      </c>
      <c r="R2512" s="24">
        <f t="shared" si="160"/>
        <v>4698.47</v>
      </c>
      <c r="S2512" s="5"/>
      <c r="T2512" s="5"/>
    </row>
    <row r="2513" spans="2:20" ht="15.75" hidden="1" x14ac:dyDescent="0.25">
      <c r="B2513" s="21" t="s">
        <v>395</v>
      </c>
      <c r="C2513" s="22" t="s">
        <v>2457</v>
      </c>
      <c r="D2513" s="22"/>
      <c r="E2513" s="21" t="s">
        <v>75</v>
      </c>
      <c r="F2513" s="21"/>
      <c r="G2513" s="147" t="s">
        <v>100</v>
      </c>
      <c r="H2513" s="244" t="s">
        <v>4293</v>
      </c>
      <c r="I2513" s="244"/>
      <c r="J2513" s="245" t="s">
        <v>4251</v>
      </c>
      <c r="K2513" s="259"/>
      <c r="L2513" s="26" t="s">
        <v>4521</v>
      </c>
      <c r="M2513" s="26">
        <v>44257</v>
      </c>
      <c r="N2513" s="89">
        <f t="shared" si="161"/>
        <v>4698.47</v>
      </c>
      <c r="O2513" s="22" t="s">
        <v>15</v>
      </c>
      <c r="P2513" s="44">
        <v>4698.47</v>
      </c>
      <c r="Q2513" s="24">
        <f t="shared" si="159"/>
        <v>0</v>
      </c>
      <c r="R2513" s="24">
        <f t="shared" si="160"/>
        <v>4698.47</v>
      </c>
      <c r="S2513" s="5"/>
      <c r="T2513" s="5"/>
    </row>
    <row r="2514" spans="2:20" ht="15.75" hidden="1" x14ac:dyDescent="0.25">
      <c r="B2514" s="21" t="s">
        <v>395</v>
      </c>
      <c r="C2514" s="22" t="s">
        <v>2457</v>
      </c>
      <c r="D2514" s="22"/>
      <c r="E2514" s="21" t="s">
        <v>75</v>
      </c>
      <c r="F2514" s="21"/>
      <c r="G2514" s="147" t="s">
        <v>100</v>
      </c>
      <c r="H2514" s="244" t="s">
        <v>4293</v>
      </c>
      <c r="I2514" s="244"/>
      <c r="J2514" s="245" t="s">
        <v>4251</v>
      </c>
      <c r="K2514" s="259"/>
      <c r="L2514" s="26" t="s">
        <v>4688</v>
      </c>
      <c r="M2514" s="26">
        <v>44287</v>
      </c>
      <c r="N2514" s="89">
        <f t="shared" si="161"/>
        <v>4698.47</v>
      </c>
      <c r="O2514" s="22" t="s">
        <v>15</v>
      </c>
      <c r="P2514" s="44">
        <v>4698.47</v>
      </c>
      <c r="Q2514" s="24">
        <f t="shared" si="159"/>
        <v>0</v>
      </c>
      <c r="R2514" s="24">
        <f t="shared" si="160"/>
        <v>4698.47</v>
      </c>
      <c r="S2514" s="5"/>
      <c r="T2514" s="5"/>
    </row>
    <row r="2515" spans="2:20" ht="15.75" hidden="1" x14ac:dyDescent="0.25">
      <c r="B2515" s="21" t="s">
        <v>395</v>
      </c>
      <c r="C2515" s="22" t="s">
        <v>2457</v>
      </c>
      <c r="D2515" s="22"/>
      <c r="E2515" s="21" t="s">
        <v>75</v>
      </c>
      <c r="F2515" s="21"/>
      <c r="G2515" s="147" t="s">
        <v>100</v>
      </c>
      <c r="H2515" s="244" t="s">
        <v>4293</v>
      </c>
      <c r="I2515" s="244"/>
      <c r="J2515" s="245" t="s">
        <v>4251</v>
      </c>
      <c r="K2515" s="259"/>
      <c r="L2515" s="26" t="s">
        <v>4949</v>
      </c>
      <c r="M2515" s="26">
        <v>44321</v>
      </c>
      <c r="N2515" s="89">
        <f t="shared" si="161"/>
        <v>4698.47</v>
      </c>
      <c r="O2515" s="22" t="s">
        <v>15</v>
      </c>
      <c r="P2515" s="44">
        <v>4698.47</v>
      </c>
      <c r="Q2515" s="24">
        <f t="shared" si="159"/>
        <v>0</v>
      </c>
      <c r="R2515" s="24">
        <f t="shared" si="160"/>
        <v>4698.47</v>
      </c>
      <c r="S2515" s="5"/>
      <c r="T2515" s="5"/>
    </row>
    <row r="2516" spans="2:20" ht="15.75" hidden="1" x14ac:dyDescent="0.25">
      <c r="B2516" s="21" t="s">
        <v>395</v>
      </c>
      <c r="C2516" s="22" t="s">
        <v>2457</v>
      </c>
      <c r="D2516" s="22"/>
      <c r="E2516" s="21" t="s">
        <v>75</v>
      </c>
      <c r="F2516" s="21"/>
      <c r="G2516" s="147" t="s">
        <v>100</v>
      </c>
      <c r="H2516" s="244" t="s">
        <v>4293</v>
      </c>
      <c r="I2516" s="244"/>
      <c r="J2516" s="245" t="s">
        <v>4251</v>
      </c>
      <c r="K2516" s="259"/>
      <c r="L2516" s="26" t="s">
        <v>5107</v>
      </c>
      <c r="M2516" s="26">
        <v>44349</v>
      </c>
      <c r="N2516" s="89">
        <f t="shared" si="161"/>
        <v>4698.47</v>
      </c>
      <c r="O2516" s="22" t="s">
        <v>15</v>
      </c>
      <c r="P2516" s="44">
        <v>4698.47</v>
      </c>
      <c r="Q2516" s="24">
        <f t="shared" si="159"/>
        <v>0</v>
      </c>
      <c r="R2516" s="24">
        <f t="shared" si="160"/>
        <v>4698.47</v>
      </c>
      <c r="S2516" s="5"/>
      <c r="T2516" s="5"/>
    </row>
    <row r="2517" spans="2:20" ht="15.75" hidden="1" x14ac:dyDescent="0.25">
      <c r="B2517" s="21" t="s">
        <v>395</v>
      </c>
      <c r="C2517" s="22" t="s">
        <v>2457</v>
      </c>
      <c r="D2517" s="22"/>
      <c r="E2517" s="21" t="s">
        <v>75</v>
      </c>
      <c r="F2517" s="21"/>
      <c r="G2517" s="147" t="s">
        <v>100</v>
      </c>
      <c r="H2517" s="244" t="s">
        <v>4293</v>
      </c>
      <c r="I2517" s="244"/>
      <c r="J2517" s="245" t="s">
        <v>4251</v>
      </c>
      <c r="K2517" s="259"/>
      <c r="L2517" s="26" t="s">
        <v>5312</v>
      </c>
      <c r="M2517" s="26">
        <v>44379</v>
      </c>
      <c r="N2517" s="89">
        <f t="shared" si="161"/>
        <v>4698.47</v>
      </c>
      <c r="O2517" s="22" t="s">
        <v>15</v>
      </c>
      <c r="P2517" s="44">
        <v>4698.47</v>
      </c>
      <c r="Q2517" s="24">
        <f t="shared" si="159"/>
        <v>0</v>
      </c>
      <c r="R2517" s="24">
        <f t="shared" si="160"/>
        <v>4698.47</v>
      </c>
      <c r="S2517" s="5"/>
      <c r="T2517" s="5"/>
    </row>
    <row r="2518" spans="2:20" ht="15.75" hidden="1" x14ac:dyDescent="0.25">
      <c r="B2518" s="21" t="s">
        <v>395</v>
      </c>
      <c r="C2518" s="22" t="s">
        <v>2457</v>
      </c>
      <c r="D2518" s="22"/>
      <c r="E2518" s="21" t="s">
        <v>75</v>
      </c>
      <c r="F2518" s="21"/>
      <c r="G2518" s="147" t="s">
        <v>100</v>
      </c>
      <c r="H2518" s="244" t="s">
        <v>4293</v>
      </c>
      <c r="I2518" s="244"/>
      <c r="J2518" s="245" t="s">
        <v>4251</v>
      </c>
      <c r="K2518" s="259"/>
      <c r="L2518" s="26" t="s">
        <v>5532</v>
      </c>
      <c r="M2518" s="26">
        <v>44411</v>
      </c>
      <c r="N2518" s="89">
        <f t="shared" si="161"/>
        <v>4698.47</v>
      </c>
      <c r="O2518" s="22" t="s">
        <v>15</v>
      </c>
      <c r="P2518" s="44">
        <v>4698.47</v>
      </c>
      <c r="Q2518" s="24">
        <f t="shared" si="159"/>
        <v>0</v>
      </c>
      <c r="R2518" s="24">
        <f t="shared" si="160"/>
        <v>4698.47</v>
      </c>
      <c r="S2518" s="5"/>
      <c r="T2518" s="5"/>
    </row>
    <row r="2519" spans="2:20" ht="15.75" hidden="1" x14ac:dyDescent="0.25">
      <c r="B2519" s="21" t="s">
        <v>395</v>
      </c>
      <c r="C2519" s="22" t="s">
        <v>2457</v>
      </c>
      <c r="D2519" s="22"/>
      <c r="E2519" s="21" t="s">
        <v>75</v>
      </c>
      <c r="F2519" s="21"/>
      <c r="G2519" s="147" t="s">
        <v>100</v>
      </c>
      <c r="H2519" s="244" t="s">
        <v>4293</v>
      </c>
      <c r="I2519" s="244"/>
      <c r="J2519" s="245" t="s">
        <v>4251</v>
      </c>
      <c r="K2519" s="259"/>
      <c r="L2519" s="26" t="s">
        <v>5744</v>
      </c>
      <c r="M2519" s="26">
        <v>44442</v>
      </c>
      <c r="N2519" s="89">
        <f t="shared" si="161"/>
        <v>4698.47</v>
      </c>
      <c r="O2519" s="22" t="s">
        <v>15</v>
      </c>
      <c r="P2519" s="44">
        <v>4698.47</v>
      </c>
      <c r="Q2519" s="24">
        <f t="shared" si="159"/>
        <v>0</v>
      </c>
      <c r="R2519" s="24">
        <f t="shared" si="160"/>
        <v>4698.47</v>
      </c>
      <c r="S2519" s="5"/>
      <c r="T2519" s="5"/>
    </row>
    <row r="2520" spans="2:20" ht="15.75" hidden="1" x14ac:dyDescent="0.25">
      <c r="B2520" s="21" t="s">
        <v>395</v>
      </c>
      <c r="C2520" s="22" t="s">
        <v>2457</v>
      </c>
      <c r="D2520" s="22"/>
      <c r="E2520" s="21" t="s">
        <v>75</v>
      </c>
      <c r="F2520" s="21"/>
      <c r="G2520" s="147" t="s">
        <v>100</v>
      </c>
      <c r="H2520" s="244" t="s">
        <v>4293</v>
      </c>
      <c r="I2520" s="244"/>
      <c r="J2520" s="245" t="s">
        <v>4251</v>
      </c>
      <c r="K2520" s="259"/>
      <c r="L2520" s="26" t="s">
        <v>5891</v>
      </c>
      <c r="M2520" s="26">
        <v>44473</v>
      </c>
      <c r="N2520" s="89">
        <f t="shared" si="161"/>
        <v>4698.47</v>
      </c>
      <c r="O2520" s="22" t="s">
        <v>15</v>
      </c>
      <c r="P2520" s="44">
        <v>4698.47</v>
      </c>
      <c r="Q2520" s="24">
        <f t="shared" si="159"/>
        <v>0</v>
      </c>
      <c r="R2520" s="24">
        <f t="shared" si="160"/>
        <v>4698.47</v>
      </c>
      <c r="S2520" s="5"/>
      <c r="T2520" s="5"/>
    </row>
    <row r="2521" spans="2:20" ht="15.75" hidden="1" x14ac:dyDescent="0.25">
      <c r="B2521" s="21" t="s">
        <v>395</v>
      </c>
      <c r="C2521" s="22" t="s">
        <v>2457</v>
      </c>
      <c r="D2521" s="22"/>
      <c r="E2521" s="21" t="s">
        <v>75</v>
      </c>
      <c r="F2521" s="21"/>
      <c r="G2521" s="147" t="s">
        <v>100</v>
      </c>
      <c r="H2521" s="244" t="s">
        <v>4293</v>
      </c>
      <c r="I2521" s="244"/>
      <c r="J2521" s="245" t="s">
        <v>4251</v>
      </c>
      <c r="K2521" s="259"/>
      <c r="L2521" s="26" t="s">
        <v>6010</v>
      </c>
      <c r="M2521" s="26">
        <v>44502</v>
      </c>
      <c r="N2521" s="89">
        <f t="shared" si="161"/>
        <v>4698.47</v>
      </c>
      <c r="O2521" s="22" t="s">
        <v>15</v>
      </c>
      <c r="P2521" s="44">
        <v>4698.47</v>
      </c>
      <c r="Q2521" s="24">
        <f t="shared" si="159"/>
        <v>0</v>
      </c>
      <c r="R2521" s="24">
        <f t="shared" si="160"/>
        <v>4698.47</v>
      </c>
      <c r="S2521" s="5"/>
      <c r="T2521" s="5"/>
    </row>
    <row r="2522" spans="2:20" ht="15.75" hidden="1" x14ac:dyDescent="0.25">
      <c r="B2522" s="21" t="s">
        <v>395</v>
      </c>
      <c r="C2522" s="22" t="s">
        <v>2457</v>
      </c>
      <c r="D2522" s="22"/>
      <c r="E2522" s="21" t="s">
        <v>75</v>
      </c>
      <c r="F2522" s="21"/>
      <c r="G2522" s="147" t="s">
        <v>100</v>
      </c>
      <c r="H2522" s="244" t="s">
        <v>4293</v>
      </c>
      <c r="I2522" s="244"/>
      <c r="J2522" s="245" t="s">
        <v>4251</v>
      </c>
      <c r="K2522" s="259"/>
      <c r="L2522" s="26" t="s">
        <v>6223</v>
      </c>
      <c r="M2522" s="26">
        <v>44532</v>
      </c>
      <c r="N2522" s="89">
        <f t="shared" si="161"/>
        <v>4698.47</v>
      </c>
      <c r="O2522" s="22" t="s">
        <v>15</v>
      </c>
      <c r="P2522" s="44">
        <v>4698.47</v>
      </c>
      <c r="Q2522" s="24">
        <f t="shared" si="159"/>
        <v>0</v>
      </c>
      <c r="R2522" s="24">
        <f t="shared" si="160"/>
        <v>4698.47</v>
      </c>
      <c r="S2522" s="5"/>
      <c r="T2522" s="5"/>
    </row>
    <row r="2523" spans="2:20" ht="15.75" hidden="1" x14ac:dyDescent="0.25">
      <c r="B2523" s="21" t="s">
        <v>395</v>
      </c>
      <c r="C2523" s="22" t="s">
        <v>2457</v>
      </c>
      <c r="D2523" s="22"/>
      <c r="E2523" s="21" t="s">
        <v>75</v>
      </c>
      <c r="F2523" s="21"/>
      <c r="G2523" s="147" t="s">
        <v>100</v>
      </c>
      <c r="H2523" s="244" t="s">
        <v>8472</v>
      </c>
      <c r="I2523" s="244" t="s">
        <v>7836</v>
      </c>
      <c r="J2523" s="357" t="s">
        <v>8473</v>
      </c>
      <c r="K2523" s="197"/>
      <c r="L2523" s="26" t="s">
        <v>7625</v>
      </c>
      <c r="M2523" s="26" t="s">
        <v>7626</v>
      </c>
      <c r="N2523" s="44">
        <f>189138-(45095.3+25831.8+34442.4+28702)+16424-10683.34</f>
        <v>60807.16</v>
      </c>
      <c r="O2523" s="22" t="s">
        <v>15</v>
      </c>
      <c r="P2523" s="44">
        <f>8610.6+8610.6+8610.6+8610.6+8610.6+8610.6+8610.6+2904.91+(2870.2+4340.06-2314.67)-4340.06</f>
        <v>63734.64</v>
      </c>
      <c r="Q2523" s="24">
        <f t="shared" si="159"/>
        <v>0</v>
      </c>
      <c r="R2523" s="24">
        <f t="shared" si="160"/>
        <v>63734.64</v>
      </c>
      <c r="S2523" s="5"/>
      <c r="T2523" s="5"/>
    </row>
    <row r="2524" spans="2:20" ht="15.75" hidden="1" x14ac:dyDescent="0.25">
      <c r="B2524" s="21" t="s">
        <v>395</v>
      </c>
      <c r="C2524" s="22" t="s">
        <v>2457</v>
      </c>
      <c r="D2524" s="22"/>
      <c r="E2524" s="21" t="s">
        <v>75</v>
      </c>
      <c r="F2524" s="21"/>
      <c r="G2524" s="147" t="s">
        <v>100</v>
      </c>
      <c r="H2524" s="350" t="s">
        <v>6400</v>
      </c>
      <c r="I2524" s="350" t="s">
        <v>7835</v>
      </c>
      <c r="J2524" s="350" t="s">
        <v>6410</v>
      </c>
      <c r="K2524" s="197"/>
      <c r="L2524" s="26" t="s">
        <v>6445</v>
      </c>
      <c r="M2524" s="26">
        <v>44596</v>
      </c>
      <c r="N2524" s="99">
        <v>94437</v>
      </c>
      <c r="O2524" s="22" t="s">
        <v>15</v>
      </c>
      <c r="P2524" s="44" t="s">
        <v>19</v>
      </c>
      <c r="Q2524" s="24">
        <f t="shared" si="159"/>
        <v>0</v>
      </c>
      <c r="R2524" s="24">
        <f t="shared" si="160"/>
        <v>94437</v>
      </c>
      <c r="S2524" s="5"/>
      <c r="T2524" s="5"/>
    </row>
    <row r="2525" spans="2:20" ht="21" hidden="1" customHeight="1" x14ac:dyDescent="0.25">
      <c r="B2525" s="21" t="s">
        <v>395</v>
      </c>
      <c r="C2525" s="22" t="s">
        <v>2457</v>
      </c>
      <c r="D2525" s="22"/>
      <c r="E2525" s="21" t="s">
        <v>75</v>
      </c>
      <c r="F2525" s="21"/>
      <c r="G2525" s="147" t="s">
        <v>100</v>
      </c>
      <c r="H2525" s="350" t="s">
        <v>6400</v>
      </c>
      <c r="I2525" s="350" t="s">
        <v>7835</v>
      </c>
      <c r="J2525" s="350" t="s">
        <v>3202</v>
      </c>
      <c r="K2525" s="197"/>
      <c r="L2525" s="26" t="s">
        <v>6453</v>
      </c>
      <c r="M2525" s="26">
        <v>44596</v>
      </c>
      <c r="N2525" s="99">
        <v>57854</v>
      </c>
      <c r="O2525" s="22" t="s">
        <v>15</v>
      </c>
      <c r="P2525" s="44" t="s">
        <v>19</v>
      </c>
      <c r="Q2525" s="24">
        <f t="shared" si="159"/>
        <v>0</v>
      </c>
      <c r="R2525" s="24">
        <f t="shared" si="160"/>
        <v>57854</v>
      </c>
      <c r="S2525" s="5"/>
      <c r="T2525" s="5"/>
    </row>
    <row r="2526" spans="2:20" ht="21" hidden="1" customHeight="1" x14ac:dyDescent="0.25">
      <c r="B2526" s="21" t="s">
        <v>395</v>
      </c>
      <c r="C2526" s="22" t="s">
        <v>2457</v>
      </c>
      <c r="D2526" s="22"/>
      <c r="E2526" s="21" t="s">
        <v>75</v>
      </c>
      <c r="F2526" s="21"/>
      <c r="G2526" s="147" t="s">
        <v>100</v>
      </c>
      <c r="H2526" s="350" t="s">
        <v>6400</v>
      </c>
      <c r="I2526" s="350" t="s">
        <v>7835</v>
      </c>
      <c r="J2526" s="350" t="s">
        <v>6452</v>
      </c>
      <c r="K2526" s="259"/>
      <c r="L2526" s="26" t="s">
        <v>6695</v>
      </c>
      <c r="M2526" s="26">
        <v>44670</v>
      </c>
      <c r="N2526" s="99">
        <v>43483</v>
      </c>
      <c r="O2526" s="22" t="s">
        <v>15</v>
      </c>
      <c r="P2526" s="44" t="s">
        <v>19</v>
      </c>
      <c r="Q2526" s="24">
        <f t="shared" si="159"/>
        <v>0</v>
      </c>
      <c r="R2526" s="24">
        <f t="shared" si="160"/>
        <v>43483</v>
      </c>
      <c r="S2526" s="5"/>
      <c r="T2526" s="5"/>
    </row>
    <row r="2527" spans="2:20" ht="15.75" hidden="1" customHeight="1" x14ac:dyDescent="0.25">
      <c r="B2527" s="21" t="s">
        <v>395</v>
      </c>
      <c r="C2527" s="22" t="s">
        <v>2457</v>
      </c>
      <c r="D2527" s="22"/>
      <c r="E2527" s="21" t="s">
        <v>75</v>
      </c>
      <c r="F2527" s="21"/>
      <c r="G2527" s="147" t="s">
        <v>100</v>
      </c>
      <c r="H2527" s="350" t="s">
        <v>6874</v>
      </c>
      <c r="I2527" s="350" t="s">
        <v>7835</v>
      </c>
      <c r="J2527" s="350" t="s">
        <v>3203</v>
      </c>
      <c r="K2527" s="259"/>
      <c r="L2527" s="26" t="s">
        <v>7048</v>
      </c>
      <c r="M2527" s="26">
        <v>44791</v>
      </c>
      <c r="N2527" s="99">
        <v>43483</v>
      </c>
      <c r="O2527" s="22" t="s">
        <v>15</v>
      </c>
      <c r="P2527" s="44" t="s">
        <v>19</v>
      </c>
      <c r="Q2527" s="24">
        <f t="shared" si="159"/>
        <v>0</v>
      </c>
      <c r="R2527" s="24">
        <f t="shared" si="160"/>
        <v>43483</v>
      </c>
      <c r="S2527" s="5"/>
      <c r="T2527" s="5"/>
    </row>
    <row r="2528" spans="2:20" ht="15.75" hidden="1" x14ac:dyDescent="0.25">
      <c r="B2528" s="21" t="s">
        <v>395</v>
      </c>
      <c r="C2528" s="22" t="s">
        <v>2457</v>
      </c>
      <c r="D2528" s="22"/>
      <c r="E2528" s="21" t="s">
        <v>75</v>
      </c>
      <c r="F2528" s="21"/>
      <c r="G2528" s="147" t="s">
        <v>100</v>
      </c>
      <c r="H2528" s="350" t="s">
        <v>6875</v>
      </c>
      <c r="I2528" s="350" t="s">
        <v>7835</v>
      </c>
      <c r="J2528" s="350" t="s">
        <v>7204</v>
      </c>
      <c r="K2528" s="259"/>
      <c r="L2528" s="26" t="s">
        <v>7205</v>
      </c>
      <c r="M2528" s="26">
        <v>44853</v>
      </c>
      <c r="N2528" s="99">
        <v>43483</v>
      </c>
      <c r="O2528" s="22" t="s">
        <v>15</v>
      </c>
      <c r="P2528" s="44" t="s">
        <v>19</v>
      </c>
      <c r="Q2528" s="24">
        <f t="shared" si="159"/>
        <v>0</v>
      </c>
      <c r="R2528" s="24">
        <f t="shared" si="160"/>
        <v>43483</v>
      </c>
      <c r="S2528" s="5"/>
      <c r="T2528" s="5"/>
    </row>
    <row r="2529" spans="2:20" ht="15.75" hidden="1" x14ac:dyDescent="0.25">
      <c r="B2529" s="21" t="s">
        <v>3210</v>
      </c>
      <c r="C2529" s="22" t="s">
        <v>2457</v>
      </c>
      <c r="D2529" s="22"/>
      <c r="E2529" s="21" t="s">
        <v>75</v>
      </c>
      <c r="F2529" s="21"/>
      <c r="G2529" s="147" t="s">
        <v>100</v>
      </c>
      <c r="H2529" s="350" t="s">
        <v>6875</v>
      </c>
      <c r="I2529" s="350" t="s">
        <v>7835</v>
      </c>
      <c r="J2529" s="350" t="s">
        <v>542</v>
      </c>
      <c r="K2529" s="259"/>
      <c r="L2529" s="26" t="s">
        <v>7667</v>
      </c>
      <c r="M2529" s="26">
        <v>44998</v>
      </c>
      <c r="N2529" s="99">
        <v>29109</v>
      </c>
      <c r="O2529" s="22" t="s">
        <v>15</v>
      </c>
      <c r="P2529" s="44">
        <v>29109</v>
      </c>
      <c r="Q2529" s="24">
        <f t="shared" si="159"/>
        <v>0</v>
      </c>
      <c r="R2529" s="24">
        <f t="shared" si="160"/>
        <v>29109</v>
      </c>
      <c r="S2529" s="5"/>
      <c r="T2529" s="5"/>
    </row>
    <row r="2530" spans="2:20" ht="15.75" hidden="1" x14ac:dyDescent="0.25">
      <c r="B2530" s="21" t="s">
        <v>395</v>
      </c>
      <c r="C2530" s="22" t="s">
        <v>2457</v>
      </c>
      <c r="D2530" s="22"/>
      <c r="E2530" s="21" t="s">
        <v>75</v>
      </c>
      <c r="F2530" s="21"/>
      <c r="G2530" s="147" t="s">
        <v>100</v>
      </c>
      <c r="H2530" s="350" t="s">
        <v>6400</v>
      </c>
      <c r="I2530" s="350" t="s">
        <v>7835</v>
      </c>
      <c r="J2530" s="274" t="s">
        <v>6561</v>
      </c>
      <c r="K2530" s="351"/>
      <c r="L2530" s="26" t="s">
        <v>6454</v>
      </c>
      <c r="M2530" s="26">
        <v>44600</v>
      </c>
      <c r="N2530" s="99">
        <v>10882</v>
      </c>
      <c r="O2530" s="22" t="s">
        <v>15</v>
      </c>
      <c r="P2530" s="44">
        <v>10882</v>
      </c>
      <c r="Q2530" s="24">
        <f t="shared" si="159"/>
        <v>0</v>
      </c>
      <c r="R2530" s="24">
        <f t="shared" si="160"/>
        <v>10882</v>
      </c>
      <c r="S2530" s="5"/>
      <c r="T2530" s="5"/>
    </row>
    <row r="2531" spans="2:20" ht="15.75" hidden="1" x14ac:dyDescent="0.25">
      <c r="B2531" s="21" t="s">
        <v>395</v>
      </c>
      <c r="C2531" s="22" t="s">
        <v>2457</v>
      </c>
      <c r="D2531" s="22"/>
      <c r="E2531" s="21" t="s">
        <v>75</v>
      </c>
      <c r="F2531" s="21"/>
      <c r="G2531" s="147" t="s">
        <v>100</v>
      </c>
      <c r="H2531" s="350" t="s">
        <v>6400</v>
      </c>
      <c r="I2531" s="350" t="s">
        <v>7835</v>
      </c>
      <c r="J2531" s="274" t="s">
        <v>6561</v>
      </c>
      <c r="K2531" s="351"/>
      <c r="L2531" s="26" t="s">
        <v>6455</v>
      </c>
      <c r="M2531" s="26">
        <v>44600</v>
      </c>
      <c r="N2531" s="99">
        <v>10882</v>
      </c>
      <c r="O2531" s="22" t="s">
        <v>15</v>
      </c>
      <c r="P2531" s="44">
        <v>10882</v>
      </c>
      <c r="Q2531" s="24">
        <f t="shared" si="159"/>
        <v>0</v>
      </c>
      <c r="R2531" s="24">
        <f t="shared" si="160"/>
        <v>10882</v>
      </c>
      <c r="S2531" s="5"/>
      <c r="T2531" s="5"/>
    </row>
    <row r="2532" spans="2:20" ht="15.75" hidden="1" x14ac:dyDescent="0.25">
      <c r="B2532" s="21" t="s">
        <v>395</v>
      </c>
      <c r="C2532" s="22" t="s">
        <v>2457</v>
      </c>
      <c r="D2532" s="22"/>
      <c r="E2532" s="21" t="s">
        <v>75</v>
      </c>
      <c r="F2532" s="21"/>
      <c r="G2532" s="147" t="s">
        <v>100</v>
      </c>
      <c r="H2532" s="350" t="s">
        <v>6400</v>
      </c>
      <c r="I2532" s="350" t="s">
        <v>7835</v>
      </c>
      <c r="J2532" s="274" t="s">
        <v>6561</v>
      </c>
      <c r="K2532" s="351"/>
      <c r="L2532" s="26" t="s">
        <v>6560</v>
      </c>
      <c r="M2532" s="26">
        <v>44623</v>
      </c>
      <c r="N2532" s="99">
        <v>10882</v>
      </c>
      <c r="O2532" s="22" t="s">
        <v>15</v>
      </c>
      <c r="P2532" s="44">
        <v>10882</v>
      </c>
      <c r="Q2532" s="24">
        <f t="shared" si="159"/>
        <v>0</v>
      </c>
      <c r="R2532" s="24">
        <f t="shared" si="160"/>
        <v>10882</v>
      </c>
      <c r="S2532" s="5"/>
      <c r="T2532" s="5"/>
    </row>
    <row r="2533" spans="2:20" ht="15.75" hidden="1" x14ac:dyDescent="0.25">
      <c r="B2533" s="21" t="s">
        <v>395</v>
      </c>
      <c r="C2533" s="22" t="s">
        <v>2457</v>
      </c>
      <c r="D2533" s="22"/>
      <c r="E2533" s="21" t="s">
        <v>75</v>
      </c>
      <c r="F2533" s="21"/>
      <c r="G2533" s="147" t="s">
        <v>100</v>
      </c>
      <c r="H2533" s="350" t="s">
        <v>6400</v>
      </c>
      <c r="I2533" s="350" t="s">
        <v>7835</v>
      </c>
      <c r="J2533" s="274" t="s">
        <v>6562</v>
      </c>
      <c r="K2533" s="351"/>
      <c r="L2533" s="26" t="s">
        <v>6653</v>
      </c>
      <c r="M2533" s="26">
        <v>44656</v>
      </c>
      <c r="N2533" s="99">
        <v>10882</v>
      </c>
      <c r="O2533" s="22" t="s">
        <v>15</v>
      </c>
      <c r="P2533" s="44">
        <v>10882</v>
      </c>
      <c r="Q2533" s="24">
        <f t="shared" si="159"/>
        <v>0</v>
      </c>
      <c r="R2533" s="24">
        <f t="shared" si="160"/>
        <v>10882</v>
      </c>
      <c r="S2533" s="5"/>
      <c r="T2533" s="5"/>
    </row>
    <row r="2534" spans="2:20" ht="15.75" hidden="1" x14ac:dyDescent="0.25">
      <c r="B2534" s="21" t="s">
        <v>395</v>
      </c>
      <c r="C2534" s="22" t="s">
        <v>2457</v>
      </c>
      <c r="D2534" s="22"/>
      <c r="E2534" s="21" t="s">
        <v>75</v>
      </c>
      <c r="F2534" s="21"/>
      <c r="G2534" s="147" t="s">
        <v>100</v>
      </c>
      <c r="H2534" s="350" t="s">
        <v>6400</v>
      </c>
      <c r="I2534" s="350" t="s">
        <v>7835</v>
      </c>
      <c r="J2534" s="274" t="s">
        <v>6562</v>
      </c>
      <c r="K2534" s="351"/>
      <c r="L2534" s="26" t="s">
        <v>6721</v>
      </c>
      <c r="M2534" s="26">
        <v>44686</v>
      </c>
      <c r="N2534" s="99">
        <v>10882</v>
      </c>
      <c r="O2534" s="22" t="s">
        <v>15</v>
      </c>
      <c r="P2534" s="44">
        <v>10882</v>
      </c>
      <c r="Q2534" s="24">
        <f t="shared" si="159"/>
        <v>0</v>
      </c>
      <c r="R2534" s="24">
        <f t="shared" si="160"/>
        <v>10882</v>
      </c>
      <c r="S2534" s="5"/>
      <c r="T2534" s="5"/>
    </row>
    <row r="2535" spans="2:20" ht="15.75" hidden="1" x14ac:dyDescent="0.25">
      <c r="B2535" s="21" t="s">
        <v>395</v>
      </c>
      <c r="C2535" s="22" t="s">
        <v>2457</v>
      </c>
      <c r="D2535" s="22"/>
      <c r="E2535" s="21" t="s">
        <v>75</v>
      </c>
      <c r="F2535" s="21"/>
      <c r="G2535" s="147" t="s">
        <v>100</v>
      </c>
      <c r="H2535" s="350" t="s">
        <v>6400</v>
      </c>
      <c r="I2535" s="350" t="s">
        <v>7835</v>
      </c>
      <c r="J2535" s="274" t="s">
        <v>6562</v>
      </c>
      <c r="K2535" s="351"/>
      <c r="L2535" s="26" t="s">
        <v>6775</v>
      </c>
      <c r="M2535" s="26">
        <v>44713</v>
      </c>
      <c r="N2535" s="99">
        <v>10882</v>
      </c>
      <c r="O2535" s="22" t="s">
        <v>15</v>
      </c>
      <c r="P2535" s="44">
        <v>10882</v>
      </c>
      <c r="Q2535" s="24">
        <f t="shared" si="159"/>
        <v>0</v>
      </c>
      <c r="R2535" s="24">
        <f t="shared" si="160"/>
        <v>10882</v>
      </c>
      <c r="S2535" s="5"/>
      <c r="T2535" s="5"/>
    </row>
    <row r="2536" spans="2:20" ht="15.75" hidden="1" x14ac:dyDescent="0.25">
      <c r="B2536" s="21" t="s">
        <v>395</v>
      </c>
      <c r="C2536" s="22" t="s">
        <v>2457</v>
      </c>
      <c r="D2536" s="22"/>
      <c r="E2536" s="21" t="s">
        <v>75</v>
      </c>
      <c r="F2536" s="21"/>
      <c r="G2536" s="147" t="s">
        <v>100</v>
      </c>
      <c r="H2536" s="350" t="s">
        <v>6874</v>
      </c>
      <c r="I2536" s="350" t="s">
        <v>7835</v>
      </c>
      <c r="J2536" s="274" t="s">
        <v>6562</v>
      </c>
      <c r="K2536" s="351"/>
      <c r="L2536" s="26" t="s">
        <v>6900</v>
      </c>
      <c r="M2536" s="26">
        <v>44743</v>
      </c>
      <c r="N2536" s="99">
        <v>10882</v>
      </c>
      <c r="O2536" s="22" t="s">
        <v>15</v>
      </c>
      <c r="P2536" s="44">
        <v>10882</v>
      </c>
      <c r="Q2536" s="24">
        <f t="shared" si="159"/>
        <v>0</v>
      </c>
      <c r="R2536" s="24">
        <f t="shared" si="160"/>
        <v>10882</v>
      </c>
      <c r="S2536" s="5"/>
      <c r="T2536" s="5"/>
    </row>
    <row r="2537" spans="2:20" ht="15.75" hidden="1" x14ac:dyDescent="0.25">
      <c r="B2537" s="21" t="s">
        <v>395</v>
      </c>
      <c r="C2537" s="22" t="s">
        <v>2457</v>
      </c>
      <c r="D2537" s="22"/>
      <c r="E2537" s="21" t="s">
        <v>75</v>
      </c>
      <c r="F2537" s="21"/>
      <c r="G2537" s="147" t="s">
        <v>100</v>
      </c>
      <c r="H2537" s="350" t="s">
        <v>6874</v>
      </c>
      <c r="I2537" s="350" t="s">
        <v>7835</v>
      </c>
      <c r="J2537" s="274" t="s">
        <v>6562</v>
      </c>
      <c r="K2537" s="351"/>
      <c r="L2537" s="26" t="s">
        <v>6953</v>
      </c>
      <c r="M2537" s="26">
        <v>44775</v>
      </c>
      <c r="N2537" s="99">
        <v>10882</v>
      </c>
      <c r="O2537" s="22" t="s">
        <v>15</v>
      </c>
      <c r="P2537" s="44">
        <v>10882</v>
      </c>
      <c r="Q2537" s="24">
        <f t="shared" si="159"/>
        <v>0</v>
      </c>
      <c r="R2537" s="24">
        <f t="shared" si="160"/>
        <v>10882</v>
      </c>
      <c r="S2537" s="5"/>
      <c r="T2537" s="5"/>
    </row>
    <row r="2538" spans="2:20" ht="15.75" hidden="1" x14ac:dyDescent="0.25">
      <c r="B2538" s="21" t="s">
        <v>395</v>
      </c>
      <c r="C2538" s="22" t="s">
        <v>2457</v>
      </c>
      <c r="D2538" s="22"/>
      <c r="E2538" s="21" t="s">
        <v>75</v>
      </c>
      <c r="F2538" s="21"/>
      <c r="G2538" s="147" t="s">
        <v>100</v>
      </c>
      <c r="H2538" s="350" t="s">
        <v>6875</v>
      </c>
      <c r="I2538" s="350" t="s">
        <v>7835</v>
      </c>
      <c r="J2538" s="274" t="s">
        <v>6562</v>
      </c>
      <c r="K2538" s="351"/>
      <c r="L2538" s="26" t="s">
        <v>7063</v>
      </c>
      <c r="M2538" s="26">
        <v>44809</v>
      </c>
      <c r="N2538" s="99">
        <v>10882</v>
      </c>
      <c r="O2538" s="22" t="s">
        <v>15</v>
      </c>
      <c r="P2538" s="44">
        <v>10882</v>
      </c>
      <c r="Q2538" s="24">
        <f t="shared" si="159"/>
        <v>0</v>
      </c>
      <c r="R2538" s="24">
        <f t="shared" si="160"/>
        <v>10882</v>
      </c>
      <c r="S2538" s="5"/>
      <c r="T2538" s="5"/>
    </row>
    <row r="2539" spans="2:20" ht="15.75" hidden="1" x14ac:dyDescent="0.25">
      <c r="B2539" s="21" t="s">
        <v>395</v>
      </c>
      <c r="C2539" s="22" t="s">
        <v>2457</v>
      </c>
      <c r="D2539" s="22"/>
      <c r="E2539" s="21" t="s">
        <v>75</v>
      </c>
      <c r="F2539" s="21"/>
      <c r="G2539" s="147" t="s">
        <v>100</v>
      </c>
      <c r="H2539" s="350" t="s">
        <v>6874</v>
      </c>
      <c r="I2539" s="350" t="s">
        <v>7835</v>
      </c>
      <c r="J2539" s="274" t="s">
        <v>6562</v>
      </c>
      <c r="K2539" s="351"/>
      <c r="L2539" s="26" t="s">
        <v>7184</v>
      </c>
      <c r="M2539" s="26">
        <v>44838</v>
      </c>
      <c r="N2539" s="99">
        <v>10882</v>
      </c>
      <c r="O2539" s="22" t="s">
        <v>15</v>
      </c>
      <c r="P2539" s="44">
        <v>10882</v>
      </c>
      <c r="Q2539" s="24">
        <f t="shared" si="159"/>
        <v>0</v>
      </c>
      <c r="R2539" s="24">
        <f t="shared" si="160"/>
        <v>10882</v>
      </c>
      <c r="S2539" s="5"/>
      <c r="T2539" s="5"/>
    </row>
    <row r="2540" spans="2:20" ht="15.75" hidden="1" x14ac:dyDescent="0.25">
      <c r="B2540" s="21" t="s">
        <v>395</v>
      </c>
      <c r="C2540" s="22" t="s">
        <v>2457</v>
      </c>
      <c r="D2540" s="22"/>
      <c r="E2540" s="21" t="s">
        <v>75</v>
      </c>
      <c r="F2540" s="21"/>
      <c r="G2540" s="147" t="s">
        <v>100</v>
      </c>
      <c r="H2540" s="23" t="s">
        <v>8474</v>
      </c>
      <c r="I2540" s="23" t="s">
        <v>7835</v>
      </c>
      <c r="J2540" s="21" t="s">
        <v>8475</v>
      </c>
      <c r="K2540" s="21"/>
      <c r="L2540" s="21" t="s">
        <v>8467</v>
      </c>
      <c r="M2540" s="26" t="s">
        <v>8468</v>
      </c>
      <c r="N2540" s="94">
        <f>36431-10800</f>
        <v>25631</v>
      </c>
      <c r="O2540" s="22" t="s">
        <v>15</v>
      </c>
      <c r="P2540" s="44">
        <f>20000+16000+6000</f>
        <v>42000</v>
      </c>
      <c r="Q2540" s="24">
        <f t="shared" si="159"/>
        <v>0</v>
      </c>
      <c r="R2540" s="24">
        <f t="shared" si="160"/>
        <v>42000</v>
      </c>
      <c r="S2540" s="5"/>
      <c r="T2540" s="5"/>
    </row>
    <row r="2541" spans="2:20" ht="15.75" hidden="1" x14ac:dyDescent="0.25">
      <c r="B2541" s="21" t="s">
        <v>395</v>
      </c>
      <c r="C2541" s="22" t="s">
        <v>2457</v>
      </c>
      <c r="D2541" s="22"/>
      <c r="E2541" s="21" t="s">
        <v>75</v>
      </c>
      <c r="F2541" s="21"/>
      <c r="G2541" s="147" t="s">
        <v>6871</v>
      </c>
      <c r="H2541" s="357" t="s">
        <v>6872</v>
      </c>
      <c r="I2541" s="357" t="s">
        <v>7836</v>
      </c>
      <c r="J2541" s="357" t="s">
        <v>6873</v>
      </c>
      <c r="K2541" s="259"/>
      <c r="L2541" s="26" t="s">
        <v>6898</v>
      </c>
      <c r="M2541" s="26">
        <v>44870</v>
      </c>
      <c r="N2541" s="100">
        <v>32226</v>
      </c>
      <c r="O2541" s="22" t="s">
        <v>15</v>
      </c>
      <c r="P2541" s="44" t="s">
        <v>19</v>
      </c>
      <c r="Q2541" s="24">
        <f t="shared" si="159"/>
        <v>0</v>
      </c>
      <c r="R2541" s="24">
        <f t="shared" si="160"/>
        <v>32226</v>
      </c>
      <c r="S2541" s="5"/>
      <c r="T2541" s="5"/>
    </row>
    <row r="2542" spans="2:20" ht="15.75" hidden="1" x14ac:dyDescent="0.25">
      <c r="B2542" s="21" t="s">
        <v>395</v>
      </c>
      <c r="C2542" s="22" t="s">
        <v>2457</v>
      </c>
      <c r="D2542" s="22"/>
      <c r="E2542" s="21" t="s">
        <v>75</v>
      </c>
      <c r="F2542" s="21"/>
      <c r="G2542" s="147" t="s">
        <v>100</v>
      </c>
      <c r="H2542" s="23" t="s">
        <v>1608</v>
      </c>
      <c r="I2542" s="23"/>
      <c r="J2542" s="21" t="s">
        <v>5366</v>
      </c>
      <c r="K2542" s="21"/>
      <c r="L2542" s="21" t="s">
        <v>5367</v>
      </c>
      <c r="M2542" s="26" t="s">
        <v>5368</v>
      </c>
      <c r="N2542" s="94">
        <f>4*8610.6</f>
        <v>34442.400000000001</v>
      </c>
      <c r="O2542" s="22" t="s">
        <v>15</v>
      </c>
      <c r="P2542" s="44">
        <f>8610.6+8610.6+8610.6+8610.6</f>
        <v>34442.400000000001</v>
      </c>
      <c r="Q2542" s="24">
        <f t="shared" si="159"/>
        <v>0</v>
      </c>
      <c r="R2542" s="24">
        <f t="shared" si="160"/>
        <v>34442.400000000001</v>
      </c>
      <c r="S2542" s="5"/>
      <c r="T2542" s="5"/>
    </row>
    <row r="2543" spans="2:20" ht="15.75" hidden="1" x14ac:dyDescent="0.25">
      <c r="B2543" s="21" t="s">
        <v>395</v>
      </c>
      <c r="C2543" s="22" t="s">
        <v>2457</v>
      </c>
      <c r="D2543" s="22"/>
      <c r="E2543" s="21" t="s">
        <v>75</v>
      </c>
      <c r="F2543" s="21"/>
      <c r="G2543" s="147" t="s">
        <v>100</v>
      </c>
      <c r="H2543" s="23" t="s">
        <v>1608</v>
      </c>
      <c r="I2543" s="23"/>
      <c r="J2543" s="21" t="s">
        <v>5369</v>
      </c>
      <c r="K2543" s="21"/>
      <c r="L2543" s="21" t="s">
        <v>5370</v>
      </c>
      <c r="M2543" s="26" t="s">
        <v>5371</v>
      </c>
      <c r="N2543" s="94">
        <f>P2543</f>
        <v>28702</v>
      </c>
      <c r="O2543" s="22" t="s">
        <v>15</v>
      </c>
      <c r="P2543" s="44">
        <f>8610.6+8610.6+2870.2+8610.6</f>
        <v>28702</v>
      </c>
      <c r="Q2543" s="24">
        <f t="shared" si="159"/>
        <v>0</v>
      </c>
      <c r="R2543" s="24">
        <f t="shared" si="160"/>
        <v>28702</v>
      </c>
      <c r="S2543" s="5"/>
      <c r="T2543" s="5"/>
    </row>
    <row r="2544" spans="2:20" ht="15.75" hidden="1" x14ac:dyDescent="0.25">
      <c r="B2544" s="21" t="s">
        <v>395</v>
      </c>
      <c r="C2544" s="22" t="s">
        <v>2457</v>
      </c>
      <c r="D2544" s="22"/>
      <c r="E2544" s="21" t="s">
        <v>75</v>
      </c>
      <c r="F2544" s="21"/>
      <c r="G2544" s="147" t="s">
        <v>100</v>
      </c>
      <c r="H2544" s="23" t="s">
        <v>633</v>
      </c>
      <c r="I2544" s="23"/>
      <c r="J2544" s="21" t="s">
        <v>367</v>
      </c>
      <c r="K2544" s="21"/>
      <c r="L2544" s="21"/>
      <c r="M2544" s="26" t="s">
        <v>635</v>
      </c>
      <c r="N2544" s="94">
        <v>0</v>
      </c>
      <c r="O2544" s="22" t="s">
        <v>15</v>
      </c>
      <c r="P2544" s="44"/>
      <c r="Q2544" s="24">
        <v>0</v>
      </c>
      <c r="R2544" s="24">
        <f t="shared" si="160"/>
        <v>0</v>
      </c>
      <c r="S2544" s="5"/>
      <c r="T2544" s="5"/>
    </row>
    <row r="2545" spans="2:20" ht="15.75" hidden="1" x14ac:dyDescent="0.25">
      <c r="B2545" s="21" t="s">
        <v>395</v>
      </c>
      <c r="C2545" s="22" t="s">
        <v>7372</v>
      </c>
      <c r="D2545" s="22"/>
      <c r="E2545" s="21" t="s">
        <v>75</v>
      </c>
      <c r="F2545" s="21"/>
      <c r="G2545" s="147" t="s">
        <v>100</v>
      </c>
      <c r="H2545" s="23" t="s">
        <v>7719</v>
      </c>
      <c r="I2545" s="23"/>
      <c r="J2545" s="21" t="s">
        <v>7720</v>
      </c>
      <c r="K2545" s="47"/>
      <c r="L2545" s="21" t="s">
        <v>7735</v>
      </c>
      <c r="M2545" s="26">
        <v>45015</v>
      </c>
      <c r="N2545" s="44">
        <v>227483</v>
      </c>
      <c r="O2545" s="22" t="s">
        <v>15</v>
      </c>
      <c r="P2545" s="44">
        <v>227483</v>
      </c>
      <c r="Q2545" s="44">
        <f t="shared" ref="Q2545:Q2608" si="162">IF(P2545="en cours",N2545,IF(P2545="OK",0,IF(N2545-P2545&lt;0,0,N2545-P2545)))</f>
        <v>0</v>
      </c>
      <c r="R2545" s="24">
        <f t="shared" si="160"/>
        <v>227483</v>
      </c>
      <c r="S2545" s="5" t="s">
        <v>9047</v>
      </c>
      <c r="T2545" s="5"/>
    </row>
    <row r="2546" spans="2:20" ht="15.75" hidden="1" x14ac:dyDescent="0.25">
      <c r="B2546" s="21" t="s">
        <v>395</v>
      </c>
      <c r="C2546" s="22" t="s">
        <v>7372</v>
      </c>
      <c r="D2546" s="22"/>
      <c r="E2546" s="21" t="s">
        <v>75</v>
      </c>
      <c r="F2546" s="21"/>
      <c r="G2546" s="147" t="s">
        <v>100</v>
      </c>
      <c r="H2546" s="23" t="s">
        <v>7719</v>
      </c>
      <c r="I2546" s="23"/>
      <c r="J2546" s="21" t="s">
        <v>7721</v>
      </c>
      <c r="K2546" s="47"/>
      <c r="L2546" s="21" t="s">
        <v>9046</v>
      </c>
      <c r="M2546" s="26">
        <v>45223</v>
      </c>
      <c r="N2546" s="44">
        <v>92457</v>
      </c>
      <c r="O2546" s="22" t="s">
        <v>15</v>
      </c>
      <c r="P2546" s="44">
        <v>92457.08</v>
      </c>
      <c r="Q2546" s="44">
        <f t="shared" si="162"/>
        <v>0</v>
      </c>
      <c r="R2546" s="24">
        <f t="shared" si="160"/>
        <v>92457.08</v>
      </c>
      <c r="S2546" s="5"/>
      <c r="T2546" s="5"/>
    </row>
    <row r="2547" spans="2:20" ht="15.75" hidden="1" x14ac:dyDescent="0.25">
      <c r="B2547" s="21" t="s">
        <v>395</v>
      </c>
      <c r="C2547" s="22" t="s">
        <v>7372</v>
      </c>
      <c r="D2547" s="22"/>
      <c r="E2547" s="21" t="s">
        <v>75</v>
      </c>
      <c r="F2547" s="21"/>
      <c r="G2547" s="147" t="s">
        <v>100</v>
      </c>
      <c r="H2547" s="23" t="s">
        <v>7719</v>
      </c>
      <c r="I2547" s="23"/>
      <c r="J2547" s="21" t="s">
        <v>7722</v>
      </c>
      <c r="K2547" s="47"/>
      <c r="L2547" s="21" t="s">
        <v>8980</v>
      </c>
      <c r="M2547" s="26">
        <v>45209</v>
      </c>
      <c r="N2547" s="44">
        <v>92457</v>
      </c>
      <c r="O2547" s="22" t="s">
        <v>15</v>
      </c>
      <c r="P2547" s="44">
        <v>92457.08</v>
      </c>
      <c r="Q2547" s="44">
        <f t="shared" si="162"/>
        <v>0</v>
      </c>
      <c r="R2547" s="24">
        <f t="shared" si="160"/>
        <v>92457.08</v>
      </c>
      <c r="S2547" s="5"/>
      <c r="T2547" s="5"/>
    </row>
    <row r="2548" spans="2:20" ht="15.75" hidden="1" x14ac:dyDescent="0.25">
      <c r="B2548" s="21" t="s">
        <v>395</v>
      </c>
      <c r="C2548" s="22" t="s">
        <v>7372</v>
      </c>
      <c r="D2548" s="22"/>
      <c r="E2548" s="21" t="s">
        <v>75</v>
      </c>
      <c r="F2548" s="21"/>
      <c r="G2548" s="147" t="s">
        <v>100</v>
      </c>
      <c r="H2548" s="23" t="s">
        <v>7719</v>
      </c>
      <c r="I2548" s="23"/>
      <c r="J2548" s="21" t="s">
        <v>7723</v>
      </c>
      <c r="K2548" s="47"/>
      <c r="L2548" s="21" t="s">
        <v>8982</v>
      </c>
      <c r="M2548" s="26">
        <v>45222</v>
      </c>
      <c r="N2548" s="44">
        <v>92457</v>
      </c>
      <c r="O2548" s="22" t="s">
        <v>15</v>
      </c>
      <c r="P2548" s="44">
        <v>92457.08</v>
      </c>
      <c r="Q2548" s="44">
        <f t="shared" si="162"/>
        <v>0</v>
      </c>
      <c r="R2548" s="24">
        <f t="shared" si="160"/>
        <v>92457.08</v>
      </c>
      <c r="S2548" s="5"/>
      <c r="T2548" s="5"/>
    </row>
    <row r="2549" spans="2:20" ht="15.75" hidden="1" x14ac:dyDescent="0.25">
      <c r="B2549" s="21" t="s">
        <v>395</v>
      </c>
      <c r="C2549" s="22" t="s">
        <v>7372</v>
      </c>
      <c r="D2549" s="22"/>
      <c r="E2549" s="21" t="s">
        <v>75</v>
      </c>
      <c r="F2549" s="21"/>
      <c r="G2549" s="147" t="s">
        <v>100</v>
      </c>
      <c r="H2549" s="23" t="s">
        <v>7719</v>
      </c>
      <c r="I2549" s="23"/>
      <c r="J2549" s="21" t="s">
        <v>7724</v>
      </c>
      <c r="K2549" s="47"/>
      <c r="L2549" s="21" t="s">
        <v>9115</v>
      </c>
      <c r="M2549" s="26">
        <v>45253</v>
      </c>
      <c r="N2549" s="44">
        <v>92457</v>
      </c>
      <c r="O2549" s="22" t="s">
        <v>15</v>
      </c>
      <c r="P2549" s="44">
        <v>92457.08</v>
      </c>
      <c r="Q2549" s="44">
        <f t="shared" si="162"/>
        <v>0</v>
      </c>
      <c r="R2549" s="24">
        <f t="shared" si="160"/>
        <v>92457.08</v>
      </c>
      <c r="S2549" s="5"/>
      <c r="T2549" s="5"/>
    </row>
    <row r="2550" spans="2:20" ht="15.75" hidden="1" x14ac:dyDescent="0.25">
      <c r="B2550" s="21" t="s">
        <v>395</v>
      </c>
      <c r="C2550" s="22" t="s">
        <v>7372</v>
      </c>
      <c r="D2550" s="22"/>
      <c r="E2550" s="21" t="s">
        <v>75</v>
      </c>
      <c r="F2550" s="21"/>
      <c r="G2550" s="147" t="s">
        <v>100</v>
      </c>
      <c r="H2550" s="23" t="s">
        <v>7719</v>
      </c>
      <c r="I2550" s="23"/>
      <c r="J2550" s="21" t="s">
        <v>7725</v>
      </c>
      <c r="K2550" s="47"/>
      <c r="L2550" s="21" t="s">
        <v>10514</v>
      </c>
      <c r="M2550" s="26">
        <v>45547</v>
      </c>
      <c r="N2550" s="44">
        <v>46229</v>
      </c>
      <c r="O2550" s="22" t="s">
        <v>15</v>
      </c>
      <c r="P2550" s="44">
        <v>46228.54</v>
      </c>
      <c r="Q2550" s="44">
        <f t="shared" si="162"/>
        <v>0.45999999999912689</v>
      </c>
      <c r="R2550" s="24">
        <f t="shared" si="160"/>
        <v>46228.54</v>
      </c>
      <c r="S2550" s="5"/>
      <c r="T2550" s="5"/>
    </row>
    <row r="2551" spans="2:20" ht="15.75" hidden="1" x14ac:dyDescent="0.25">
      <c r="B2551" s="21" t="s">
        <v>395</v>
      </c>
      <c r="C2551" s="22" t="s">
        <v>7372</v>
      </c>
      <c r="D2551" s="22"/>
      <c r="E2551" s="21" t="s">
        <v>75</v>
      </c>
      <c r="F2551" s="21"/>
      <c r="G2551" s="147" t="s">
        <v>100</v>
      </c>
      <c r="H2551" s="23" t="s">
        <v>10717</v>
      </c>
      <c r="I2551" s="23"/>
      <c r="J2551" s="21" t="s">
        <v>10719</v>
      </c>
      <c r="K2551" s="47"/>
      <c r="L2551" s="21" t="s">
        <v>10720</v>
      </c>
      <c r="M2551" s="26">
        <v>45603</v>
      </c>
      <c r="N2551" s="44">
        <v>121669</v>
      </c>
      <c r="O2551" s="22" t="s">
        <v>15</v>
      </c>
      <c r="P2551" s="44">
        <v>121668.8</v>
      </c>
      <c r="Q2551" s="44">
        <f t="shared" si="162"/>
        <v>0.19999999999708962</v>
      </c>
      <c r="R2551" s="24">
        <f t="shared" si="160"/>
        <v>121668.8</v>
      </c>
      <c r="S2551" s="5"/>
      <c r="T2551" s="5"/>
    </row>
    <row r="2552" spans="2:20" ht="15.75" hidden="1" x14ac:dyDescent="0.25">
      <c r="B2552" s="21" t="s">
        <v>395</v>
      </c>
      <c r="C2552" s="22" t="s">
        <v>7372</v>
      </c>
      <c r="D2552" s="22"/>
      <c r="E2552" s="21" t="s">
        <v>75</v>
      </c>
      <c r="F2552" s="21"/>
      <c r="G2552" s="147" t="s">
        <v>100</v>
      </c>
      <c r="H2552" s="23" t="s">
        <v>7719</v>
      </c>
      <c r="I2552" s="23"/>
      <c r="J2552" s="21" t="s">
        <v>7726</v>
      </c>
      <c r="K2552" s="47"/>
      <c r="L2552" s="21" t="s">
        <v>10663</v>
      </c>
      <c r="M2552" s="26">
        <v>45593</v>
      </c>
      <c r="N2552" s="44">
        <v>46229</v>
      </c>
      <c r="O2552" s="22" t="s">
        <v>15</v>
      </c>
      <c r="P2552" s="44">
        <v>46228.54</v>
      </c>
      <c r="Q2552" s="44">
        <f t="shared" si="162"/>
        <v>0.45999999999912689</v>
      </c>
      <c r="R2552" s="24">
        <f t="shared" si="160"/>
        <v>46228.54</v>
      </c>
      <c r="S2552" s="5"/>
      <c r="T2552" s="5"/>
    </row>
    <row r="2553" spans="2:20" ht="15.75" hidden="1" x14ac:dyDescent="0.25">
      <c r="B2553" s="21" t="s">
        <v>395</v>
      </c>
      <c r="C2553" s="22" t="s">
        <v>7372</v>
      </c>
      <c r="D2553" s="22"/>
      <c r="E2553" s="21" t="s">
        <v>75</v>
      </c>
      <c r="F2553" s="21"/>
      <c r="G2553" s="147" t="s">
        <v>100</v>
      </c>
      <c r="H2553" s="23" t="s">
        <v>7719</v>
      </c>
      <c r="I2553" s="23"/>
      <c r="J2553" s="21" t="s">
        <v>7727</v>
      </c>
      <c r="K2553" s="47"/>
      <c r="L2553" s="21" t="s">
        <v>11270</v>
      </c>
      <c r="M2553" s="26">
        <v>45713</v>
      </c>
      <c r="N2553" s="44">
        <v>18491</v>
      </c>
      <c r="O2553" s="22" t="s">
        <v>15</v>
      </c>
      <c r="P2553" s="44">
        <v>18491.419999999998</v>
      </c>
      <c r="Q2553" s="44">
        <f t="shared" si="162"/>
        <v>0</v>
      </c>
      <c r="R2553" s="24">
        <f t="shared" si="160"/>
        <v>18491.419999999998</v>
      </c>
      <c r="S2553" s="5"/>
      <c r="T2553" s="5"/>
    </row>
    <row r="2554" spans="2:20" ht="15.75" hidden="1" x14ac:dyDescent="0.25">
      <c r="B2554" s="21" t="s">
        <v>395</v>
      </c>
      <c r="C2554" s="22" t="s">
        <v>7372</v>
      </c>
      <c r="D2554" s="22"/>
      <c r="E2554" s="21" t="s">
        <v>75</v>
      </c>
      <c r="F2554" s="21"/>
      <c r="G2554" s="147" t="s">
        <v>100</v>
      </c>
      <c r="H2554" s="23" t="s">
        <v>7719</v>
      </c>
      <c r="I2554" s="23"/>
      <c r="J2554" s="21" t="s">
        <v>7728</v>
      </c>
      <c r="K2554" s="47"/>
      <c r="L2554" s="21" t="s">
        <v>7773</v>
      </c>
      <c r="M2554" s="26">
        <v>45022</v>
      </c>
      <c r="N2554" s="44">
        <f t="shared" ref="N2554:N2562" si="163">110949/9</f>
        <v>12327.666666666666</v>
      </c>
      <c r="O2554" s="22" t="s">
        <v>15</v>
      </c>
      <c r="P2554" s="44">
        <f>12327.61</f>
        <v>12327.61</v>
      </c>
      <c r="Q2554" s="44">
        <f t="shared" si="162"/>
        <v>5.666666666547826E-2</v>
      </c>
      <c r="R2554" s="24">
        <f t="shared" si="160"/>
        <v>12327.61</v>
      </c>
      <c r="S2554" s="5"/>
      <c r="T2554" s="5"/>
    </row>
    <row r="2555" spans="2:20" ht="15.75" hidden="1" x14ac:dyDescent="0.25">
      <c r="B2555" s="21" t="s">
        <v>395</v>
      </c>
      <c r="C2555" s="22" t="s">
        <v>7372</v>
      </c>
      <c r="D2555" s="22"/>
      <c r="E2555" s="21" t="s">
        <v>75</v>
      </c>
      <c r="F2555" s="21"/>
      <c r="G2555" s="147" t="s">
        <v>100</v>
      </c>
      <c r="H2555" s="23" t="s">
        <v>7719</v>
      </c>
      <c r="I2555" s="23"/>
      <c r="J2555" s="21" t="s">
        <v>7728</v>
      </c>
      <c r="K2555" s="47"/>
      <c r="L2555" s="21" t="s">
        <v>8341</v>
      </c>
      <c r="M2555" s="26">
        <v>45050</v>
      </c>
      <c r="N2555" s="44">
        <f t="shared" si="163"/>
        <v>12327.666666666666</v>
      </c>
      <c r="O2555" s="22" t="s">
        <v>15</v>
      </c>
      <c r="P2555" s="44">
        <f>12327.61</f>
        <v>12327.61</v>
      </c>
      <c r="Q2555" s="44">
        <f t="shared" si="162"/>
        <v>5.666666666547826E-2</v>
      </c>
      <c r="R2555" s="24">
        <f t="shared" ref="R2555:R2618" si="164">IF(P2555="OK",N2555-Q2555,IF(P2555="en cours",N2555-Q2555,P2555))</f>
        <v>12327.61</v>
      </c>
      <c r="S2555" s="5"/>
      <c r="T2555" s="5"/>
    </row>
    <row r="2556" spans="2:20" ht="15.75" hidden="1" x14ac:dyDescent="0.25">
      <c r="B2556" s="21" t="s">
        <v>395</v>
      </c>
      <c r="C2556" s="22" t="s">
        <v>7372</v>
      </c>
      <c r="D2556" s="22"/>
      <c r="E2556" s="21" t="s">
        <v>75</v>
      </c>
      <c r="F2556" s="21"/>
      <c r="G2556" s="147" t="s">
        <v>100</v>
      </c>
      <c r="H2556" s="23" t="s">
        <v>7719</v>
      </c>
      <c r="I2556" s="23"/>
      <c r="J2556" s="21" t="s">
        <v>7728</v>
      </c>
      <c r="K2556" s="47"/>
      <c r="L2556" s="21" t="s">
        <v>8459</v>
      </c>
      <c r="M2556" s="26">
        <v>45084</v>
      </c>
      <c r="N2556" s="44">
        <f t="shared" si="163"/>
        <v>12327.666666666666</v>
      </c>
      <c r="O2556" s="22" t="s">
        <v>15</v>
      </c>
      <c r="P2556" s="44">
        <v>12327.61</v>
      </c>
      <c r="Q2556" s="44">
        <f t="shared" si="162"/>
        <v>5.666666666547826E-2</v>
      </c>
      <c r="R2556" s="24">
        <f t="shared" si="164"/>
        <v>12327.61</v>
      </c>
      <c r="S2556" s="5"/>
      <c r="T2556" s="5"/>
    </row>
    <row r="2557" spans="2:20" ht="15.75" hidden="1" x14ac:dyDescent="0.25">
      <c r="B2557" s="21" t="s">
        <v>395</v>
      </c>
      <c r="C2557" s="22" t="s">
        <v>7372</v>
      </c>
      <c r="D2557" s="22"/>
      <c r="E2557" s="21" t="s">
        <v>75</v>
      </c>
      <c r="F2557" s="21"/>
      <c r="G2557" s="147" t="s">
        <v>100</v>
      </c>
      <c r="H2557" s="23" t="s">
        <v>7719</v>
      </c>
      <c r="I2557" s="23"/>
      <c r="J2557" s="21" t="s">
        <v>7728</v>
      </c>
      <c r="K2557" s="47"/>
      <c r="L2557" s="21" t="s">
        <v>8601</v>
      </c>
      <c r="M2557" s="26">
        <v>45112</v>
      </c>
      <c r="N2557" s="44">
        <f t="shared" si="163"/>
        <v>12327.666666666666</v>
      </c>
      <c r="O2557" s="22" t="s">
        <v>15</v>
      </c>
      <c r="P2557" s="44">
        <f>12327.61</f>
        <v>12327.61</v>
      </c>
      <c r="Q2557" s="44">
        <f t="shared" si="162"/>
        <v>5.666666666547826E-2</v>
      </c>
      <c r="R2557" s="24">
        <f t="shared" si="164"/>
        <v>12327.61</v>
      </c>
      <c r="S2557" s="5"/>
      <c r="T2557" s="5"/>
    </row>
    <row r="2558" spans="2:20" ht="15.75" hidden="1" x14ac:dyDescent="0.25">
      <c r="B2558" s="21" t="s">
        <v>395</v>
      </c>
      <c r="C2558" s="22" t="s">
        <v>7372</v>
      </c>
      <c r="D2558" s="22"/>
      <c r="E2558" s="21" t="s">
        <v>75</v>
      </c>
      <c r="F2558" s="21"/>
      <c r="G2558" s="147" t="s">
        <v>100</v>
      </c>
      <c r="H2558" s="23" t="s">
        <v>7719</v>
      </c>
      <c r="I2558" s="23"/>
      <c r="J2558" s="21" t="s">
        <v>7728</v>
      </c>
      <c r="K2558" s="47"/>
      <c r="L2558" s="21" t="s">
        <v>8710</v>
      </c>
      <c r="M2558" s="26">
        <v>45140</v>
      </c>
      <c r="N2558" s="44">
        <f t="shared" si="163"/>
        <v>12327.666666666666</v>
      </c>
      <c r="O2558" s="22" t="s">
        <v>15</v>
      </c>
      <c r="P2558" s="44">
        <f>12327.61</f>
        <v>12327.61</v>
      </c>
      <c r="Q2558" s="44">
        <f t="shared" si="162"/>
        <v>5.666666666547826E-2</v>
      </c>
      <c r="R2558" s="24">
        <f t="shared" si="164"/>
        <v>12327.61</v>
      </c>
      <c r="S2558" s="5"/>
      <c r="T2558" s="5"/>
    </row>
    <row r="2559" spans="2:20" ht="15.75" hidden="1" x14ac:dyDescent="0.25">
      <c r="B2559" s="21" t="s">
        <v>395</v>
      </c>
      <c r="C2559" s="22" t="s">
        <v>7372</v>
      </c>
      <c r="D2559" s="22"/>
      <c r="E2559" s="21" t="s">
        <v>75</v>
      </c>
      <c r="F2559" s="21"/>
      <c r="G2559" s="147" t="s">
        <v>100</v>
      </c>
      <c r="H2559" s="23" t="s">
        <v>7719</v>
      </c>
      <c r="I2559" s="23"/>
      <c r="J2559" s="21" t="s">
        <v>7728</v>
      </c>
      <c r="K2559" s="47"/>
      <c r="L2559" s="21" t="s">
        <v>8811</v>
      </c>
      <c r="M2559" s="26">
        <v>45173</v>
      </c>
      <c r="N2559" s="44">
        <f t="shared" si="163"/>
        <v>12327.666666666666</v>
      </c>
      <c r="O2559" s="22" t="s">
        <v>15</v>
      </c>
      <c r="P2559" s="44">
        <v>12327.61</v>
      </c>
      <c r="Q2559" s="44">
        <f t="shared" si="162"/>
        <v>5.666666666547826E-2</v>
      </c>
      <c r="R2559" s="24">
        <f t="shared" si="164"/>
        <v>12327.61</v>
      </c>
      <c r="S2559" s="5"/>
      <c r="T2559" s="5"/>
    </row>
    <row r="2560" spans="2:20" ht="15.75" hidden="1" x14ac:dyDescent="0.25">
      <c r="B2560" s="21" t="s">
        <v>395</v>
      </c>
      <c r="C2560" s="22" t="s">
        <v>7372</v>
      </c>
      <c r="D2560" s="22"/>
      <c r="E2560" s="21" t="s">
        <v>75</v>
      </c>
      <c r="F2560" s="21"/>
      <c r="G2560" s="147" t="s">
        <v>100</v>
      </c>
      <c r="H2560" s="23" t="s">
        <v>7719</v>
      </c>
      <c r="I2560" s="23"/>
      <c r="J2560" s="21" t="s">
        <v>7728</v>
      </c>
      <c r="K2560" s="47"/>
      <c r="L2560" s="21" t="s">
        <v>8880</v>
      </c>
      <c r="M2560" s="26">
        <v>45199</v>
      </c>
      <c r="N2560" s="44">
        <f t="shared" si="163"/>
        <v>12327.666666666666</v>
      </c>
      <c r="O2560" s="22" t="s">
        <v>15</v>
      </c>
      <c r="P2560" s="44">
        <v>12327.61</v>
      </c>
      <c r="Q2560" s="44">
        <f t="shared" si="162"/>
        <v>5.666666666547826E-2</v>
      </c>
      <c r="R2560" s="24">
        <f t="shared" si="164"/>
        <v>12327.61</v>
      </c>
      <c r="S2560" s="5"/>
      <c r="T2560" s="5"/>
    </row>
    <row r="2561" spans="2:20" ht="15.75" hidden="1" x14ac:dyDescent="0.25">
      <c r="B2561" s="21" t="s">
        <v>395</v>
      </c>
      <c r="C2561" s="22" t="s">
        <v>7372</v>
      </c>
      <c r="D2561" s="22"/>
      <c r="E2561" s="21" t="s">
        <v>75</v>
      </c>
      <c r="F2561" s="21"/>
      <c r="G2561" s="147" t="s">
        <v>100</v>
      </c>
      <c r="H2561" s="23" t="s">
        <v>7719</v>
      </c>
      <c r="I2561" s="23"/>
      <c r="J2561" s="21" t="s">
        <v>7728</v>
      </c>
      <c r="K2561" s="47"/>
      <c r="L2561" s="21" t="s">
        <v>10722</v>
      </c>
      <c r="M2561" s="26">
        <v>45231</v>
      </c>
      <c r="N2561" s="44">
        <f t="shared" si="163"/>
        <v>12327.666666666666</v>
      </c>
      <c r="O2561" s="22" t="s">
        <v>15</v>
      </c>
      <c r="P2561" s="44">
        <v>12327.61</v>
      </c>
      <c r="Q2561" s="44">
        <f t="shared" si="162"/>
        <v>5.666666666547826E-2</v>
      </c>
      <c r="R2561" s="24">
        <f t="shared" si="164"/>
        <v>12327.61</v>
      </c>
      <c r="S2561" s="5"/>
      <c r="T2561" s="5"/>
    </row>
    <row r="2562" spans="2:20" ht="15.75" hidden="1" x14ac:dyDescent="0.25">
      <c r="B2562" s="21" t="s">
        <v>395</v>
      </c>
      <c r="C2562" s="22" t="s">
        <v>7372</v>
      </c>
      <c r="D2562" s="22"/>
      <c r="E2562" s="21" t="s">
        <v>75</v>
      </c>
      <c r="F2562" s="21"/>
      <c r="G2562" s="147" t="s">
        <v>100</v>
      </c>
      <c r="H2562" s="23" t="s">
        <v>7719</v>
      </c>
      <c r="I2562" s="23"/>
      <c r="J2562" s="21" t="s">
        <v>7728</v>
      </c>
      <c r="K2562" s="47"/>
      <c r="L2562" s="21" t="s">
        <v>10723</v>
      </c>
      <c r="M2562" s="26">
        <v>45265</v>
      </c>
      <c r="N2562" s="44">
        <f t="shared" si="163"/>
        <v>12327.666666666666</v>
      </c>
      <c r="O2562" s="22" t="s">
        <v>15</v>
      </c>
      <c r="P2562" s="44">
        <v>12327.61</v>
      </c>
      <c r="Q2562" s="44">
        <f t="shared" si="162"/>
        <v>5.666666666547826E-2</v>
      </c>
      <c r="R2562" s="24">
        <f t="shared" si="164"/>
        <v>12327.61</v>
      </c>
      <c r="S2562" s="5"/>
      <c r="T2562" s="5"/>
    </row>
    <row r="2563" spans="2:20" ht="15.75" hidden="1" x14ac:dyDescent="0.25">
      <c r="B2563" s="21" t="s">
        <v>395</v>
      </c>
      <c r="C2563" s="22" t="s">
        <v>7372</v>
      </c>
      <c r="D2563" s="22"/>
      <c r="E2563" s="21" t="s">
        <v>75</v>
      </c>
      <c r="F2563" s="21"/>
      <c r="G2563" s="147" t="s">
        <v>100</v>
      </c>
      <c r="H2563" s="23" t="s">
        <v>7719</v>
      </c>
      <c r="I2563" s="23"/>
      <c r="J2563" s="21" t="s">
        <v>7729</v>
      </c>
      <c r="K2563" s="47"/>
      <c r="L2563" s="21" t="s">
        <v>10724</v>
      </c>
      <c r="M2563" s="26">
        <v>45294</v>
      </c>
      <c r="N2563" s="44">
        <f t="shared" ref="N2563:N2574" si="165">55474/7</f>
        <v>7924.8571428571431</v>
      </c>
      <c r="O2563" s="22" t="s">
        <v>15</v>
      </c>
      <c r="P2563" s="44">
        <v>7924.89</v>
      </c>
      <c r="Q2563" s="44">
        <f t="shared" si="162"/>
        <v>0</v>
      </c>
      <c r="R2563" s="24">
        <f t="shared" si="164"/>
        <v>7924.89</v>
      </c>
      <c r="S2563" s="5"/>
      <c r="T2563" s="5"/>
    </row>
    <row r="2564" spans="2:20" ht="15.75" hidden="1" x14ac:dyDescent="0.25">
      <c r="B2564" s="21" t="s">
        <v>395</v>
      </c>
      <c r="C2564" s="22" t="s">
        <v>7372</v>
      </c>
      <c r="D2564" s="22"/>
      <c r="E2564" s="21" t="s">
        <v>75</v>
      </c>
      <c r="F2564" s="21"/>
      <c r="G2564" s="147" t="s">
        <v>100</v>
      </c>
      <c r="H2564" s="23" t="s">
        <v>7719</v>
      </c>
      <c r="I2564" s="23"/>
      <c r="J2564" s="21" t="s">
        <v>7729</v>
      </c>
      <c r="K2564" s="47"/>
      <c r="L2564" s="21" t="s">
        <v>10725</v>
      </c>
      <c r="M2564" s="26">
        <v>45328</v>
      </c>
      <c r="N2564" s="44">
        <f t="shared" si="165"/>
        <v>7924.8571428571431</v>
      </c>
      <c r="O2564" s="22" t="s">
        <v>15</v>
      </c>
      <c r="P2564" s="44">
        <v>7924.89</v>
      </c>
      <c r="Q2564" s="44">
        <f t="shared" si="162"/>
        <v>0</v>
      </c>
      <c r="R2564" s="24">
        <f t="shared" si="164"/>
        <v>7924.89</v>
      </c>
      <c r="S2564" s="5"/>
      <c r="T2564" s="5"/>
    </row>
    <row r="2565" spans="2:20" ht="15.75" hidden="1" x14ac:dyDescent="0.25">
      <c r="B2565" s="21" t="s">
        <v>395</v>
      </c>
      <c r="C2565" s="22" t="s">
        <v>7372</v>
      </c>
      <c r="D2565" s="22"/>
      <c r="E2565" s="21" t="s">
        <v>75</v>
      </c>
      <c r="F2565" s="21"/>
      <c r="G2565" s="147" t="s">
        <v>100</v>
      </c>
      <c r="H2565" s="23" t="s">
        <v>7719</v>
      </c>
      <c r="I2565" s="23"/>
      <c r="J2565" s="21" t="s">
        <v>7729</v>
      </c>
      <c r="K2565" s="47"/>
      <c r="L2565" s="21" t="s">
        <v>10726</v>
      </c>
      <c r="M2565" s="26">
        <v>45355</v>
      </c>
      <c r="N2565" s="44">
        <f t="shared" si="165"/>
        <v>7924.8571428571431</v>
      </c>
      <c r="O2565" s="22" t="s">
        <v>15</v>
      </c>
      <c r="P2565" s="44">
        <v>7924.89</v>
      </c>
      <c r="Q2565" s="44">
        <f t="shared" si="162"/>
        <v>0</v>
      </c>
      <c r="R2565" s="24">
        <f t="shared" si="164"/>
        <v>7924.89</v>
      </c>
      <c r="S2565" s="5"/>
      <c r="T2565" s="5"/>
    </row>
    <row r="2566" spans="2:20" ht="15.75" hidden="1" x14ac:dyDescent="0.25">
      <c r="B2566" s="21" t="s">
        <v>395</v>
      </c>
      <c r="C2566" s="22" t="s">
        <v>7372</v>
      </c>
      <c r="D2566" s="22"/>
      <c r="E2566" s="21" t="s">
        <v>75</v>
      </c>
      <c r="F2566" s="21"/>
      <c r="G2566" s="147" t="s">
        <v>100</v>
      </c>
      <c r="H2566" s="23" t="s">
        <v>7719</v>
      </c>
      <c r="I2566" s="23"/>
      <c r="J2566" s="21" t="s">
        <v>7729</v>
      </c>
      <c r="K2566" s="47"/>
      <c r="L2566" s="21" t="s">
        <v>10727</v>
      </c>
      <c r="M2566" s="26">
        <v>45385</v>
      </c>
      <c r="N2566" s="44">
        <f t="shared" si="165"/>
        <v>7924.8571428571431</v>
      </c>
      <c r="O2566" s="22" t="s">
        <v>15</v>
      </c>
      <c r="P2566" s="44">
        <v>7924.89</v>
      </c>
      <c r="Q2566" s="44">
        <f t="shared" si="162"/>
        <v>0</v>
      </c>
      <c r="R2566" s="24">
        <f t="shared" si="164"/>
        <v>7924.89</v>
      </c>
      <c r="S2566" s="5"/>
      <c r="T2566" s="5"/>
    </row>
    <row r="2567" spans="2:20" ht="15.75" hidden="1" x14ac:dyDescent="0.25">
      <c r="B2567" s="21" t="s">
        <v>395</v>
      </c>
      <c r="C2567" s="22" t="s">
        <v>7372</v>
      </c>
      <c r="D2567" s="22"/>
      <c r="E2567" s="21" t="s">
        <v>75</v>
      </c>
      <c r="F2567" s="21"/>
      <c r="G2567" s="147" t="s">
        <v>100</v>
      </c>
      <c r="H2567" s="23" t="s">
        <v>7719</v>
      </c>
      <c r="I2567" s="23"/>
      <c r="J2567" s="21" t="s">
        <v>7729</v>
      </c>
      <c r="K2567" s="47"/>
      <c r="L2567" s="21" t="s">
        <v>10728</v>
      </c>
      <c r="M2567" s="26">
        <v>45414</v>
      </c>
      <c r="N2567" s="44">
        <f t="shared" si="165"/>
        <v>7924.8571428571431</v>
      </c>
      <c r="O2567" s="22" t="s">
        <v>15</v>
      </c>
      <c r="P2567" s="44">
        <v>7924.89</v>
      </c>
      <c r="Q2567" s="44">
        <f t="shared" si="162"/>
        <v>0</v>
      </c>
      <c r="R2567" s="24">
        <f t="shared" si="164"/>
        <v>7924.89</v>
      </c>
      <c r="S2567" s="5"/>
      <c r="T2567" s="5"/>
    </row>
    <row r="2568" spans="2:20" ht="15.75" hidden="1" x14ac:dyDescent="0.25">
      <c r="B2568" s="21" t="s">
        <v>395</v>
      </c>
      <c r="C2568" s="22" t="s">
        <v>7372</v>
      </c>
      <c r="D2568" s="22"/>
      <c r="E2568" s="21" t="s">
        <v>75</v>
      </c>
      <c r="F2568" s="21"/>
      <c r="G2568" s="147" t="s">
        <v>100</v>
      </c>
      <c r="H2568" s="23" t="s">
        <v>7719</v>
      </c>
      <c r="I2568" s="23"/>
      <c r="J2568" s="21" t="s">
        <v>7729</v>
      </c>
      <c r="K2568" s="47"/>
      <c r="L2568" s="21" t="s">
        <v>10729</v>
      </c>
      <c r="M2568" s="26">
        <v>45453</v>
      </c>
      <c r="N2568" s="44">
        <f t="shared" si="165"/>
        <v>7924.8571428571431</v>
      </c>
      <c r="O2568" s="22" t="s">
        <v>15</v>
      </c>
      <c r="P2568" s="44">
        <v>7924.89</v>
      </c>
      <c r="Q2568" s="44">
        <f t="shared" si="162"/>
        <v>0</v>
      </c>
      <c r="R2568" s="24">
        <f t="shared" si="164"/>
        <v>7924.89</v>
      </c>
      <c r="S2568" s="5"/>
      <c r="T2568" s="5"/>
    </row>
    <row r="2569" spans="2:20" ht="15.75" hidden="1" x14ac:dyDescent="0.25">
      <c r="B2569" s="21" t="s">
        <v>395</v>
      </c>
      <c r="C2569" s="22" t="s">
        <v>7372</v>
      </c>
      <c r="D2569" s="22"/>
      <c r="E2569" s="21" t="s">
        <v>75</v>
      </c>
      <c r="F2569" s="21"/>
      <c r="G2569" s="147" t="s">
        <v>100</v>
      </c>
      <c r="H2569" s="23" t="s">
        <v>7719</v>
      </c>
      <c r="I2569" s="23"/>
      <c r="J2569" s="21" t="s">
        <v>7729</v>
      </c>
      <c r="K2569" s="47"/>
      <c r="L2569" s="21" t="s">
        <v>10721</v>
      </c>
      <c r="M2569" s="26">
        <v>45475</v>
      </c>
      <c r="N2569" s="44">
        <f t="shared" si="165"/>
        <v>7924.8571428571431</v>
      </c>
      <c r="O2569" s="22" t="s">
        <v>15</v>
      </c>
      <c r="P2569" s="44">
        <v>7924.89</v>
      </c>
      <c r="Q2569" s="44">
        <f t="shared" si="162"/>
        <v>0</v>
      </c>
      <c r="R2569" s="24">
        <f t="shared" si="164"/>
        <v>7924.89</v>
      </c>
      <c r="S2569" s="5"/>
      <c r="T2569" s="5"/>
    </row>
    <row r="2570" spans="2:20" ht="15.75" hidden="1" x14ac:dyDescent="0.25">
      <c r="B2570" s="21" t="s">
        <v>395</v>
      </c>
      <c r="C2570" s="22" t="s">
        <v>7372</v>
      </c>
      <c r="D2570" s="22"/>
      <c r="E2570" s="21" t="s">
        <v>75</v>
      </c>
      <c r="F2570" s="21"/>
      <c r="G2570" s="147" t="s">
        <v>100</v>
      </c>
      <c r="H2570" s="23" t="s">
        <v>10717</v>
      </c>
      <c r="I2570" s="23"/>
      <c r="J2570" s="21" t="s">
        <v>7729</v>
      </c>
      <c r="K2570" s="47"/>
      <c r="L2570" s="21" t="s">
        <v>10778</v>
      </c>
      <c r="M2570" s="26">
        <v>45603</v>
      </c>
      <c r="N2570" s="44">
        <f t="shared" si="165"/>
        <v>7924.8571428571431</v>
      </c>
      <c r="O2570" s="22" t="s">
        <v>15</v>
      </c>
      <c r="P2570" s="44">
        <f>31699.57/4</f>
        <v>7924.8924999999999</v>
      </c>
      <c r="Q2570" s="44">
        <f t="shared" si="162"/>
        <v>0</v>
      </c>
      <c r="R2570" s="24">
        <f t="shared" si="164"/>
        <v>7924.8924999999999</v>
      </c>
      <c r="S2570" s="5"/>
      <c r="T2570" s="5"/>
    </row>
    <row r="2571" spans="2:20" ht="15.75" hidden="1" x14ac:dyDescent="0.25">
      <c r="B2571" s="21" t="s">
        <v>395</v>
      </c>
      <c r="C2571" s="22" t="s">
        <v>7372</v>
      </c>
      <c r="D2571" s="22"/>
      <c r="E2571" s="21" t="s">
        <v>75</v>
      </c>
      <c r="F2571" s="21"/>
      <c r="G2571" s="147" t="s">
        <v>100</v>
      </c>
      <c r="H2571" s="23" t="s">
        <v>10717</v>
      </c>
      <c r="I2571" s="23"/>
      <c r="J2571" s="21" t="s">
        <v>7729</v>
      </c>
      <c r="K2571" s="47"/>
      <c r="L2571" s="21" t="s">
        <v>10778</v>
      </c>
      <c r="M2571" s="26">
        <v>45603</v>
      </c>
      <c r="N2571" s="44">
        <f t="shared" si="165"/>
        <v>7924.8571428571431</v>
      </c>
      <c r="O2571" s="22" t="s">
        <v>15</v>
      </c>
      <c r="P2571" s="44">
        <f>31699.57/4</f>
        <v>7924.8924999999999</v>
      </c>
      <c r="Q2571" s="44">
        <f t="shared" si="162"/>
        <v>0</v>
      </c>
      <c r="R2571" s="24">
        <f t="shared" si="164"/>
        <v>7924.8924999999999</v>
      </c>
      <c r="S2571" s="5"/>
      <c r="T2571" s="5"/>
    </row>
    <row r="2572" spans="2:20" ht="15.75" hidden="1" x14ac:dyDescent="0.25">
      <c r="B2572" s="21" t="s">
        <v>395</v>
      </c>
      <c r="C2572" s="22" t="s">
        <v>7372</v>
      </c>
      <c r="D2572" s="22"/>
      <c r="E2572" s="21" t="s">
        <v>75</v>
      </c>
      <c r="F2572" s="21"/>
      <c r="G2572" s="147" t="s">
        <v>100</v>
      </c>
      <c r="H2572" s="23" t="s">
        <v>10717</v>
      </c>
      <c r="I2572" s="23"/>
      <c r="J2572" s="21" t="s">
        <v>7729</v>
      </c>
      <c r="K2572" s="47"/>
      <c r="L2572" s="21" t="s">
        <v>10778</v>
      </c>
      <c r="M2572" s="26">
        <v>45603</v>
      </c>
      <c r="N2572" s="44">
        <f t="shared" si="165"/>
        <v>7924.8571428571431</v>
      </c>
      <c r="O2572" s="22" t="s">
        <v>15</v>
      </c>
      <c r="P2572" s="44">
        <f>31699.57/4</f>
        <v>7924.8924999999999</v>
      </c>
      <c r="Q2572" s="44">
        <f t="shared" si="162"/>
        <v>0</v>
      </c>
      <c r="R2572" s="24">
        <f t="shared" si="164"/>
        <v>7924.8924999999999</v>
      </c>
      <c r="S2572" s="5"/>
      <c r="T2572" s="5"/>
    </row>
    <row r="2573" spans="2:20" ht="15.75" hidden="1" x14ac:dyDescent="0.25">
      <c r="B2573" s="21" t="s">
        <v>395</v>
      </c>
      <c r="C2573" s="22" t="s">
        <v>7372</v>
      </c>
      <c r="D2573" s="22"/>
      <c r="E2573" s="21" t="s">
        <v>75</v>
      </c>
      <c r="F2573" s="21"/>
      <c r="G2573" s="147" t="s">
        <v>100</v>
      </c>
      <c r="H2573" s="23" t="s">
        <v>10717</v>
      </c>
      <c r="I2573" s="23"/>
      <c r="J2573" s="21" t="s">
        <v>7729</v>
      </c>
      <c r="K2573" s="47"/>
      <c r="L2573" s="21" t="s">
        <v>10778</v>
      </c>
      <c r="M2573" s="26">
        <v>45603</v>
      </c>
      <c r="N2573" s="44">
        <f t="shared" si="165"/>
        <v>7924.8571428571431</v>
      </c>
      <c r="O2573" s="22" t="s">
        <v>15</v>
      </c>
      <c r="P2573" s="44">
        <f>31699.57/4</f>
        <v>7924.8924999999999</v>
      </c>
      <c r="Q2573" s="44">
        <f t="shared" si="162"/>
        <v>0</v>
      </c>
      <c r="R2573" s="24">
        <f t="shared" si="164"/>
        <v>7924.8924999999999</v>
      </c>
      <c r="S2573" s="5"/>
      <c r="T2573" s="5"/>
    </row>
    <row r="2574" spans="2:20" ht="15.75" hidden="1" x14ac:dyDescent="0.25">
      <c r="B2574" s="21" t="s">
        <v>395</v>
      </c>
      <c r="C2574" s="22" t="s">
        <v>7372</v>
      </c>
      <c r="D2574" s="22"/>
      <c r="E2574" s="21" t="s">
        <v>75</v>
      </c>
      <c r="F2574" s="21"/>
      <c r="G2574" s="147" t="s">
        <v>100</v>
      </c>
      <c r="H2574" s="23" t="s">
        <v>10717</v>
      </c>
      <c r="I2574" s="23"/>
      <c r="J2574" s="21" t="s">
        <v>7729</v>
      </c>
      <c r="K2574" s="47"/>
      <c r="L2574" s="21" t="s">
        <v>10864</v>
      </c>
      <c r="M2574" s="26">
        <v>45629</v>
      </c>
      <c r="N2574" s="44">
        <f t="shared" si="165"/>
        <v>7924.8571428571431</v>
      </c>
      <c r="O2574" s="22" t="s">
        <v>15</v>
      </c>
      <c r="P2574" s="44">
        <v>7924.89</v>
      </c>
      <c r="Q2574" s="44">
        <f t="shared" si="162"/>
        <v>0</v>
      </c>
      <c r="R2574" s="24">
        <f t="shared" si="164"/>
        <v>7924.89</v>
      </c>
      <c r="S2574" s="5"/>
      <c r="T2574" s="5"/>
    </row>
    <row r="2575" spans="2:20" ht="15.75" hidden="1" x14ac:dyDescent="0.25">
      <c r="B2575" s="21" t="s">
        <v>395</v>
      </c>
      <c r="C2575" s="22" t="s">
        <v>7372</v>
      </c>
      <c r="D2575" s="22"/>
      <c r="E2575" s="21" t="s">
        <v>75</v>
      </c>
      <c r="F2575" s="21"/>
      <c r="G2575" s="147" t="s">
        <v>100</v>
      </c>
      <c r="H2575" s="23" t="s">
        <v>10717</v>
      </c>
      <c r="I2575" s="23"/>
      <c r="J2575" s="21" t="s">
        <v>10718</v>
      </c>
      <c r="K2575" s="47"/>
      <c r="L2575" s="21" t="s">
        <v>11086</v>
      </c>
      <c r="M2575" s="26">
        <v>45664</v>
      </c>
      <c r="N2575" s="44">
        <f>23775/3</f>
        <v>7925</v>
      </c>
      <c r="O2575" s="22" t="s">
        <v>15</v>
      </c>
      <c r="P2575" s="44">
        <v>7924.89</v>
      </c>
      <c r="Q2575" s="44">
        <f t="shared" si="162"/>
        <v>0.10999999999967258</v>
      </c>
      <c r="R2575" s="24">
        <f t="shared" si="164"/>
        <v>7924.89</v>
      </c>
      <c r="S2575" s="5"/>
      <c r="T2575" s="5"/>
    </row>
    <row r="2576" spans="2:20" ht="15.75" hidden="1" x14ac:dyDescent="0.25">
      <c r="B2576" s="21" t="s">
        <v>395</v>
      </c>
      <c r="C2576" s="22" t="s">
        <v>7372</v>
      </c>
      <c r="D2576" s="22"/>
      <c r="E2576" s="21" t="s">
        <v>75</v>
      </c>
      <c r="F2576" s="21"/>
      <c r="G2576" s="147" t="s">
        <v>100</v>
      </c>
      <c r="H2576" s="23" t="s">
        <v>10717</v>
      </c>
      <c r="I2576" s="23"/>
      <c r="J2576" s="21" t="s">
        <v>10718</v>
      </c>
      <c r="K2576" s="47"/>
      <c r="L2576" s="21" t="s">
        <v>11203</v>
      </c>
      <c r="M2576" s="26">
        <v>45692</v>
      </c>
      <c r="N2576" s="44">
        <f>23775/3</f>
        <v>7925</v>
      </c>
      <c r="O2576" s="22" t="s">
        <v>15</v>
      </c>
      <c r="P2576" s="44">
        <v>7924.89</v>
      </c>
      <c r="Q2576" s="44">
        <f t="shared" si="162"/>
        <v>0.10999999999967258</v>
      </c>
      <c r="R2576" s="24">
        <f t="shared" si="164"/>
        <v>7924.89</v>
      </c>
      <c r="S2576" s="5"/>
      <c r="T2576" s="5"/>
    </row>
    <row r="2577" spans="1:20" ht="15.75" hidden="1" x14ac:dyDescent="0.25">
      <c r="B2577" s="21" t="s">
        <v>395</v>
      </c>
      <c r="C2577" s="22" t="s">
        <v>7372</v>
      </c>
      <c r="D2577" s="22"/>
      <c r="E2577" s="21" t="s">
        <v>75</v>
      </c>
      <c r="F2577" s="21"/>
      <c r="G2577" s="147" t="s">
        <v>100</v>
      </c>
      <c r="H2577" s="23" t="s">
        <v>10717</v>
      </c>
      <c r="I2577" s="23"/>
      <c r="J2577" s="21" t="s">
        <v>10718</v>
      </c>
      <c r="K2577" s="47"/>
      <c r="L2577" s="21" t="s">
        <v>11346</v>
      </c>
      <c r="M2577" s="26">
        <v>45721</v>
      </c>
      <c r="N2577" s="44">
        <f>23775/3</f>
        <v>7925</v>
      </c>
      <c r="O2577" s="22" t="s">
        <v>15</v>
      </c>
      <c r="P2577" s="44">
        <v>7924.89</v>
      </c>
      <c r="Q2577" s="44">
        <f t="shared" si="162"/>
        <v>0.10999999999967258</v>
      </c>
      <c r="R2577" s="24">
        <f t="shared" si="164"/>
        <v>7924.89</v>
      </c>
      <c r="S2577" s="5"/>
      <c r="T2577" s="5"/>
    </row>
    <row r="2578" spans="1:20" ht="15.75" hidden="1" x14ac:dyDescent="0.25">
      <c r="B2578" s="5"/>
      <c r="C2578" s="4" t="s">
        <v>7372</v>
      </c>
      <c r="D2578" s="4"/>
      <c r="E2578" s="5" t="s">
        <v>75</v>
      </c>
      <c r="F2578" s="5"/>
      <c r="G2578" s="146" t="s">
        <v>100</v>
      </c>
      <c r="H2578" s="7" t="s">
        <v>10717</v>
      </c>
      <c r="I2578" s="7"/>
      <c r="J2578" s="5" t="s">
        <v>180</v>
      </c>
      <c r="K2578" s="115"/>
      <c r="L2578" s="5" t="s">
        <v>12069</v>
      </c>
      <c r="M2578" s="12" t="s">
        <v>12070</v>
      </c>
      <c r="N2578" s="45">
        <v>39352</v>
      </c>
      <c r="O2578" s="4" t="s">
        <v>15</v>
      </c>
      <c r="P2578" s="45">
        <f>12717.39+3837.87+1082.37+3342.99+667.78+903.98+3342.99+918.72+257+51.2+2769.18+241.84+459.36+2167.4+518.8+1114.33+159.8</f>
        <v>34553.000000000007</v>
      </c>
      <c r="Q2578" s="45">
        <f t="shared" si="162"/>
        <v>4798.9999999999927</v>
      </c>
      <c r="R2578" s="3">
        <f t="shared" si="164"/>
        <v>34553.000000000007</v>
      </c>
      <c r="S2578" s="5"/>
      <c r="T2578" s="5"/>
    </row>
    <row r="2579" spans="1:20" ht="15.75" hidden="1" x14ac:dyDescent="0.25">
      <c r="B2579" s="21" t="s">
        <v>395</v>
      </c>
      <c r="C2579" s="22" t="s">
        <v>3916</v>
      </c>
      <c r="D2579" s="22"/>
      <c r="E2579" s="21" t="s">
        <v>75</v>
      </c>
      <c r="F2579" s="21" t="s">
        <v>9767</v>
      </c>
      <c r="G2579" s="147" t="s">
        <v>11265</v>
      </c>
      <c r="H2579" s="23" t="s">
        <v>10972</v>
      </c>
      <c r="I2579" s="23" t="s">
        <v>10973</v>
      </c>
      <c r="J2579" s="21" t="s">
        <v>10974</v>
      </c>
      <c r="K2579" s="21"/>
      <c r="L2579" s="21" t="s">
        <v>11264</v>
      </c>
      <c r="M2579" s="26">
        <v>45714</v>
      </c>
      <c r="N2579" s="44">
        <v>1018</v>
      </c>
      <c r="O2579" s="22" t="s">
        <v>15</v>
      </c>
      <c r="P2579" s="44">
        <f>1018</f>
        <v>1018</v>
      </c>
      <c r="Q2579" s="24">
        <f t="shared" si="162"/>
        <v>0</v>
      </c>
      <c r="R2579" s="24">
        <f t="shared" si="164"/>
        <v>1018</v>
      </c>
      <c r="S2579" s="5"/>
      <c r="T2579" s="5"/>
    </row>
    <row r="2580" spans="1:20" ht="15.75" hidden="1" x14ac:dyDescent="0.25">
      <c r="A2580" t="s">
        <v>6753</v>
      </c>
      <c r="B2580" s="21" t="s">
        <v>395</v>
      </c>
      <c r="C2580" s="22" t="s">
        <v>3916</v>
      </c>
      <c r="D2580" s="22"/>
      <c r="E2580" s="21" t="s">
        <v>75</v>
      </c>
      <c r="F2580" s="21"/>
      <c r="G2580" s="147" t="s">
        <v>6850</v>
      </c>
      <c r="H2580" s="23" t="s">
        <v>6851</v>
      </c>
      <c r="I2580" s="23" t="s">
        <v>8175</v>
      </c>
      <c r="J2580" s="21" t="s">
        <v>6852</v>
      </c>
      <c r="K2580" s="21"/>
      <c r="L2580" s="21" t="s">
        <v>6853</v>
      </c>
      <c r="M2580" s="23" t="s">
        <v>6854</v>
      </c>
      <c r="N2580" s="44">
        <v>8507.7800000000007</v>
      </c>
      <c r="O2580" s="22" t="s">
        <v>15</v>
      </c>
      <c r="P2580" s="44">
        <f>-1201.16+3409.84+6299.1</f>
        <v>8507.7800000000007</v>
      </c>
      <c r="Q2580" s="24">
        <f t="shared" si="162"/>
        <v>0</v>
      </c>
      <c r="R2580" s="24">
        <f t="shared" si="164"/>
        <v>8507.7800000000007</v>
      </c>
      <c r="S2580" s="5"/>
      <c r="T2580" s="5"/>
    </row>
    <row r="2581" spans="1:20" ht="15.75" hidden="1" x14ac:dyDescent="0.25">
      <c r="B2581" s="21" t="s">
        <v>395</v>
      </c>
      <c r="C2581" s="22" t="s">
        <v>7235</v>
      </c>
      <c r="D2581" s="22"/>
      <c r="E2581" s="21" t="s">
        <v>0</v>
      </c>
      <c r="F2581" s="21"/>
      <c r="G2581" s="147" t="s">
        <v>7261</v>
      </c>
      <c r="H2581" s="23" t="s">
        <v>7571</v>
      </c>
      <c r="I2581" s="23" t="s">
        <v>8256</v>
      </c>
      <c r="J2581" s="21" t="s">
        <v>7572</v>
      </c>
      <c r="K2581" s="21"/>
      <c r="L2581" s="21" t="s">
        <v>8342</v>
      </c>
      <c r="M2581" s="26">
        <v>45051</v>
      </c>
      <c r="N2581" s="44">
        <v>22379</v>
      </c>
      <c r="O2581" s="22" t="s">
        <v>15</v>
      </c>
      <c r="P2581" s="44">
        <f>22379</f>
        <v>22379</v>
      </c>
      <c r="Q2581" s="44">
        <f t="shared" si="162"/>
        <v>0</v>
      </c>
      <c r="R2581" s="24">
        <f t="shared" si="164"/>
        <v>22379</v>
      </c>
      <c r="S2581" s="5"/>
      <c r="T2581" s="5"/>
    </row>
    <row r="2582" spans="1:20" ht="15.75" hidden="1" x14ac:dyDescent="0.25">
      <c r="B2582" s="21" t="s">
        <v>395</v>
      </c>
      <c r="C2582" s="22" t="s">
        <v>7235</v>
      </c>
      <c r="D2582" s="22"/>
      <c r="E2582" s="21" t="s">
        <v>0</v>
      </c>
      <c r="F2582" s="21"/>
      <c r="G2582" s="147" t="s">
        <v>7261</v>
      </c>
      <c r="H2582" s="23" t="s">
        <v>9357</v>
      </c>
      <c r="I2582" s="23" t="s">
        <v>8208</v>
      </c>
      <c r="J2582" s="21" t="s">
        <v>8532</v>
      </c>
      <c r="K2582" s="21"/>
      <c r="L2582" s="21" t="s">
        <v>9180</v>
      </c>
      <c r="M2582" s="26" t="s">
        <v>9181</v>
      </c>
      <c r="N2582" s="44">
        <f>P2582</f>
        <v>98498</v>
      </c>
      <c r="O2582" s="22" t="s">
        <v>15</v>
      </c>
      <c r="P2582" s="44">
        <f>75816+7406+12015+3261</f>
        <v>98498</v>
      </c>
      <c r="Q2582" s="44">
        <f t="shared" si="162"/>
        <v>0</v>
      </c>
      <c r="R2582" s="24">
        <f t="shared" si="164"/>
        <v>98498</v>
      </c>
      <c r="S2582" s="5"/>
      <c r="T2582" s="5"/>
    </row>
    <row r="2583" spans="1:20" ht="15.75" hidden="1" x14ac:dyDescent="0.25">
      <c r="B2583" s="21" t="s">
        <v>395</v>
      </c>
      <c r="C2583" s="22" t="s">
        <v>7235</v>
      </c>
      <c r="D2583" s="22"/>
      <c r="E2583" s="21" t="s">
        <v>0</v>
      </c>
      <c r="F2583" s="21"/>
      <c r="G2583" s="147" t="s">
        <v>7261</v>
      </c>
      <c r="H2583" s="23" t="s">
        <v>9357</v>
      </c>
      <c r="I2583" s="23" t="s">
        <v>8208</v>
      </c>
      <c r="J2583" s="21" t="s">
        <v>7262</v>
      </c>
      <c r="K2583" s="21"/>
      <c r="L2583" s="21" t="s">
        <v>8533</v>
      </c>
      <c r="M2583" s="26">
        <v>45051</v>
      </c>
      <c r="N2583" s="44">
        <f>P2583</f>
        <v>23000</v>
      </c>
      <c r="O2583" s="22" t="s">
        <v>15</v>
      </c>
      <c r="P2583" s="44">
        <f>23000</f>
        <v>23000</v>
      </c>
      <c r="Q2583" s="44">
        <f t="shared" si="162"/>
        <v>0</v>
      </c>
      <c r="R2583" s="24">
        <f t="shared" si="164"/>
        <v>23000</v>
      </c>
      <c r="S2583" s="5"/>
      <c r="T2583" s="5"/>
    </row>
    <row r="2584" spans="1:20" ht="15.75" hidden="1" x14ac:dyDescent="0.25">
      <c r="B2584" s="21" t="s">
        <v>395</v>
      </c>
      <c r="C2584" s="22" t="s">
        <v>2450</v>
      </c>
      <c r="D2584" s="22"/>
      <c r="E2584" s="21" t="s">
        <v>0</v>
      </c>
      <c r="F2584" s="21"/>
      <c r="G2584" s="147" t="s">
        <v>36</v>
      </c>
      <c r="H2584" s="23" t="s">
        <v>1096</v>
      </c>
      <c r="I2584" s="23"/>
      <c r="J2584" s="21" t="s">
        <v>1094</v>
      </c>
      <c r="K2584" s="21"/>
      <c r="L2584" s="21" t="s">
        <v>1907</v>
      </c>
      <c r="M2584" s="26">
        <v>43487</v>
      </c>
      <c r="N2584" s="44">
        <f>(210000-105000)*(1/3)</f>
        <v>35000</v>
      </c>
      <c r="O2584" s="22" t="s">
        <v>15</v>
      </c>
      <c r="P2584" s="22" t="s">
        <v>19</v>
      </c>
      <c r="Q2584" s="24">
        <f t="shared" si="162"/>
        <v>0</v>
      </c>
      <c r="R2584" s="24">
        <f t="shared" si="164"/>
        <v>35000</v>
      </c>
      <c r="S2584" s="5"/>
      <c r="T2584" s="5"/>
    </row>
    <row r="2585" spans="1:20" ht="15.75" hidden="1" x14ac:dyDescent="0.25">
      <c r="B2585" s="21" t="s">
        <v>395</v>
      </c>
      <c r="C2585" s="22" t="s">
        <v>2450</v>
      </c>
      <c r="D2585" s="22"/>
      <c r="E2585" s="21" t="s">
        <v>0</v>
      </c>
      <c r="F2585" s="21"/>
      <c r="G2585" s="147" t="s">
        <v>36</v>
      </c>
      <c r="H2585" s="23" t="s">
        <v>1096</v>
      </c>
      <c r="I2585" s="23"/>
      <c r="J2585" s="21" t="s">
        <v>1095</v>
      </c>
      <c r="K2585" s="21"/>
      <c r="L2585" s="21" t="s">
        <v>2353</v>
      </c>
      <c r="M2585" s="26">
        <v>43707</v>
      </c>
      <c r="N2585" s="44">
        <f>(210000-105000)*(2/3)</f>
        <v>70000</v>
      </c>
      <c r="O2585" s="22" t="s">
        <v>15</v>
      </c>
      <c r="P2585" s="22" t="s">
        <v>19</v>
      </c>
      <c r="Q2585" s="24">
        <f t="shared" si="162"/>
        <v>0</v>
      </c>
      <c r="R2585" s="24">
        <f t="shared" si="164"/>
        <v>70000</v>
      </c>
      <c r="S2585" s="5"/>
      <c r="T2585" s="5"/>
    </row>
    <row r="2586" spans="1:20" ht="15.75" hidden="1" x14ac:dyDescent="0.25">
      <c r="B2586" s="21" t="s">
        <v>395</v>
      </c>
      <c r="C2586" s="22" t="s">
        <v>2450</v>
      </c>
      <c r="D2586" s="22"/>
      <c r="E2586" s="21" t="s">
        <v>0</v>
      </c>
      <c r="F2586" s="21"/>
      <c r="G2586" s="147" t="s">
        <v>36</v>
      </c>
      <c r="H2586" s="23" t="s">
        <v>1097</v>
      </c>
      <c r="I2586" s="23"/>
      <c r="J2586" s="21" t="s">
        <v>1098</v>
      </c>
      <c r="K2586" s="21"/>
      <c r="L2586" s="21" t="s">
        <v>2349</v>
      </c>
      <c r="M2586" s="26">
        <v>43434</v>
      </c>
      <c r="N2586" s="44">
        <v>2400</v>
      </c>
      <c r="O2586" s="22" t="s">
        <v>15</v>
      </c>
      <c r="P2586" s="22" t="s">
        <v>19</v>
      </c>
      <c r="Q2586" s="24">
        <f t="shared" si="162"/>
        <v>0</v>
      </c>
      <c r="R2586" s="24">
        <f t="shared" si="164"/>
        <v>2400</v>
      </c>
      <c r="S2586" s="5"/>
      <c r="T2586" s="5"/>
    </row>
    <row r="2587" spans="1:20" ht="15.75" hidden="1" x14ac:dyDescent="0.25">
      <c r="B2587" s="5"/>
      <c r="C2587" s="4" t="s">
        <v>2450</v>
      </c>
      <c r="D2587" s="4"/>
      <c r="E2587" s="5" t="s">
        <v>0</v>
      </c>
      <c r="F2587" s="5"/>
      <c r="G2587" s="146" t="s">
        <v>36</v>
      </c>
      <c r="H2587" s="7" t="s">
        <v>183</v>
      </c>
      <c r="I2587" s="7"/>
      <c r="J2587" s="5" t="s">
        <v>187</v>
      </c>
      <c r="K2587" s="13"/>
      <c r="L2587" s="5"/>
      <c r="M2587" s="7" t="s">
        <v>560</v>
      </c>
      <c r="N2587" s="88">
        <v>763</v>
      </c>
      <c r="O2587" s="4" t="s">
        <v>15</v>
      </c>
      <c r="P2587" s="4"/>
      <c r="Q2587" s="3">
        <f t="shared" si="162"/>
        <v>763</v>
      </c>
      <c r="R2587" s="3">
        <f t="shared" si="164"/>
        <v>0</v>
      </c>
      <c r="S2587" s="5"/>
      <c r="T2587" s="5"/>
    </row>
    <row r="2588" spans="1:20" ht="15.75" hidden="1" x14ac:dyDescent="0.25">
      <c r="B2588" s="21" t="s">
        <v>395</v>
      </c>
      <c r="C2588" s="22" t="s">
        <v>2450</v>
      </c>
      <c r="D2588" s="22"/>
      <c r="E2588" s="21" t="s">
        <v>0</v>
      </c>
      <c r="F2588" s="21"/>
      <c r="G2588" s="147" t="s">
        <v>3261</v>
      </c>
      <c r="H2588" s="23" t="s">
        <v>4412</v>
      </c>
      <c r="I2588" s="23" t="s">
        <v>7945</v>
      </c>
      <c r="J2588" s="21" t="s">
        <v>4411</v>
      </c>
      <c r="K2588" s="120"/>
      <c r="L2588" s="21" t="s">
        <v>4596</v>
      </c>
      <c r="M2588" s="26">
        <v>44267</v>
      </c>
      <c r="N2588" s="44">
        <v>4820</v>
      </c>
      <c r="O2588" s="22" t="s">
        <v>15</v>
      </c>
      <c r="P2588" s="22" t="s">
        <v>19</v>
      </c>
      <c r="Q2588" s="44">
        <f t="shared" si="162"/>
        <v>0</v>
      </c>
      <c r="R2588" s="24">
        <f t="shared" si="164"/>
        <v>4820</v>
      </c>
      <c r="S2588" s="5"/>
      <c r="T2588" s="5"/>
    </row>
    <row r="2589" spans="1:20" ht="15.75" hidden="1" x14ac:dyDescent="0.25">
      <c r="B2589" s="21" t="s">
        <v>395</v>
      </c>
      <c r="C2589" s="22" t="s">
        <v>2450</v>
      </c>
      <c r="D2589" s="22"/>
      <c r="E2589" s="21" t="s">
        <v>0</v>
      </c>
      <c r="F2589" s="21"/>
      <c r="G2589" s="147" t="s">
        <v>3261</v>
      </c>
      <c r="H2589" s="23" t="s">
        <v>4755</v>
      </c>
      <c r="I2589" s="23" t="s">
        <v>7944</v>
      </c>
      <c r="J2589" s="21" t="s">
        <v>4411</v>
      </c>
      <c r="K2589" s="120"/>
      <c r="L2589" s="21" t="s">
        <v>5207</v>
      </c>
      <c r="M2589" s="26">
        <v>44361</v>
      </c>
      <c r="N2589" s="44">
        <v>9175</v>
      </c>
      <c r="O2589" s="22" t="s">
        <v>15</v>
      </c>
      <c r="P2589" s="22" t="s">
        <v>19</v>
      </c>
      <c r="Q2589" s="44">
        <f t="shared" si="162"/>
        <v>0</v>
      </c>
      <c r="R2589" s="24">
        <f t="shared" si="164"/>
        <v>9175</v>
      </c>
      <c r="S2589" s="5"/>
      <c r="T2589" s="5"/>
    </row>
    <row r="2590" spans="1:20" ht="15.75" hidden="1" x14ac:dyDescent="0.25">
      <c r="B2590" s="21" t="s">
        <v>395</v>
      </c>
      <c r="C2590" s="22" t="s">
        <v>2450</v>
      </c>
      <c r="D2590" s="22"/>
      <c r="E2590" s="21" t="s">
        <v>0</v>
      </c>
      <c r="F2590" s="21"/>
      <c r="G2590" s="147" t="s">
        <v>3261</v>
      </c>
      <c r="H2590" s="23" t="s">
        <v>4671</v>
      </c>
      <c r="I2590" s="23" t="s">
        <v>8314</v>
      </c>
      <c r="J2590" s="21" t="s">
        <v>4413</v>
      </c>
      <c r="K2590" s="21"/>
      <c r="L2590" s="21" t="s">
        <v>4515</v>
      </c>
      <c r="M2590" s="26">
        <v>44259</v>
      </c>
      <c r="N2590" s="44">
        <v>1200</v>
      </c>
      <c r="O2590" s="22" t="s">
        <v>15</v>
      </c>
      <c r="P2590" s="22" t="s">
        <v>19</v>
      </c>
      <c r="Q2590" s="44">
        <f t="shared" si="162"/>
        <v>0</v>
      </c>
      <c r="R2590" s="24">
        <f t="shared" si="164"/>
        <v>1200</v>
      </c>
      <c r="S2590" s="5"/>
      <c r="T2590" s="5"/>
    </row>
    <row r="2591" spans="1:20" ht="15.75" hidden="1" x14ac:dyDescent="0.25">
      <c r="B2591" s="21" t="s">
        <v>395</v>
      </c>
      <c r="C2591" s="22" t="s">
        <v>2450</v>
      </c>
      <c r="D2591" s="22"/>
      <c r="E2591" s="21" t="s">
        <v>0</v>
      </c>
      <c r="F2591" s="21"/>
      <c r="G2591" s="147" t="s">
        <v>3261</v>
      </c>
      <c r="H2591" s="23" t="s">
        <v>4671</v>
      </c>
      <c r="I2591" s="23" t="s">
        <v>8314</v>
      </c>
      <c r="J2591" s="21" t="s">
        <v>4414</v>
      </c>
      <c r="K2591" s="21"/>
      <c r="L2591" s="21" t="s">
        <v>4515</v>
      </c>
      <c r="M2591" s="26">
        <v>44259</v>
      </c>
      <c r="N2591" s="44">
        <v>2450</v>
      </c>
      <c r="O2591" s="22" t="s">
        <v>15</v>
      </c>
      <c r="P2591" s="22" t="s">
        <v>19</v>
      </c>
      <c r="Q2591" s="44">
        <f t="shared" si="162"/>
        <v>0</v>
      </c>
      <c r="R2591" s="24">
        <f t="shared" si="164"/>
        <v>2450</v>
      </c>
      <c r="S2591" s="5"/>
      <c r="T2591" s="5"/>
    </row>
    <row r="2592" spans="1:20" ht="15.75" hidden="1" x14ac:dyDescent="0.25">
      <c r="B2592" s="21" t="s">
        <v>395</v>
      </c>
      <c r="C2592" s="22" t="s">
        <v>2450</v>
      </c>
      <c r="D2592" s="22"/>
      <c r="E2592" s="21" t="s">
        <v>0</v>
      </c>
      <c r="F2592" s="21"/>
      <c r="G2592" s="147" t="s">
        <v>3261</v>
      </c>
      <c r="H2592" s="23" t="s">
        <v>4671</v>
      </c>
      <c r="I2592" s="23" t="s">
        <v>8314</v>
      </c>
      <c r="J2592" s="21" t="s">
        <v>4415</v>
      </c>
      <c r="K2592" s="21"/>
      <c r="L2592" s="21" t="s">
        <v>4515</v>
      </c>
      <c r="M2592" s="26">
        <v>44259</v>
      </c>
      <c r="N2592" s="44">
        <v>1280</v>
      </c>
      <c r="O2592" s="22" t="s">
        <v>15</v>
      </c>
      <c r="P2592" s="22" t="s">
        <v>19</v>
      </c>
      <c r="Q2592" s="44">
        <f t="shared" si="162"/>
        <v>0</v>
      </c>
      <c r="R2592" s="24">
        <f t="shared" si="164"/>
        <v>1280</v>
      </c>
      <c r="S2592" s="5"/>
      <c r="T2592" s="5"/>
    </row>
    <row r="2593" spans="2:20" ht="15.75" hidden="1" x14ac:dyDescent="0.25">
      <c r="B2593" s="21" t="s">
        <v>395</v>
      </c>
      <c r="C2593" s="22" t="s">
        <v>2450</v>
      </c>
      <c r="D2593" s="22"/>
      <c r="E2593" s="21" t="s">
        <v>0</v>
      </c>
      <c r="F2593" s="21"/>
      <c r="G2593" s="147" t="s">
        <v>3261</v>
      </c>
      <c r="H2593" s="23" t="s">
        <v>4671</v>
      </c>
      <c r="I2593" s="23" t="s">
        <v>8314</v>
      </c>
      <c r="J2593" s="21" t="s">
        <v>4416</v>
      </c>
      <c r="K2593" s="21"/>
      <c r="L2593" s="21" t="s">
        <v>4515</v>
      </c>
      <c r="M2593" s="26">
        <v>44259</v>
      </c>
      <c r="N2593" s="44">
        <v>1150</v>
      </c>
      <c r="O2593" s="22" t="s">
        <v>15</v>
      </c>
      <c r="P2593" s="22" t="s">
        <v>19</v>
      </c>
      <c r="Q2593" s="44">
        <f t="shared" si="162"/>
        <v>0</v>
      </c>
      <c r="R2593" s="24">
        <f t="shared" si="164"/>
        <v>1150</v>
      </c>
      <c r="S2593" s="5"/>
      <c r="T2593" s="5"/>
    </row>
    <row r="2594" spans="2:20" ht="15.75" hidden="1" x14ac:dyDescent="0.25">
      <c r="B2594" s="21" t="s">
        <v>395</v>
      </c>
      <c r="C2594" s="22" t="s">
        <v>2450</v>
      </c>
      <c r="D2594" s="22"/>
      <c r="E2594" s="21" t="s">
        <v>0</v>
      </c>
      <c r="F2594" s="21"/>
      <c r="G2594" s="147" t="s">
        <v>3261</v>
      </c>
      <c r="H2594" s="23" t="s">
        <v>4671</v>
      </c>
      <c r="I2594" s="23" t="s">
        <v>8314</v>
      </c>
      <c r="J2594" s="21" t="s">
        <v>4417</v>
      </c>
      <c r="K2594" s="21"/>
      <c r="L2594" s="21" t="s">
        <v>4515</v>
      </c>
      <c r="M2594" s="26">
        <v>44259</v>
      </c>
      <c r="N2594" s="44">
        <v>1280</v>
      </c>
      <c r="O2594" s="22" t="s">
        <v>15</v>
      </c>
      <c r="P2594" s="22" t="s">
        <v>19</v>
      </c>
      <c r="Q2594" s="44">
        <f t="shared" si="162"/>
        <v>0</v>
      </c>
      <c r="R2594" s="24">
        <f t="shared" si="164"/>
        <v>1280</v>
      </c>
      <c r="S2594" s="5"/>
      <c r="T2594" s="5"/>
    </row>
    <row r="2595" spans="2:20" ht="15.75" hidden="1" x14ac:dyDescent="0.25">
      <c r="B2595" s="21" t="s">
        <v>395</v>
      </c>
      <c r="C2595" s="22" t="s">
        <v>2450</v>
      </c>
      <c r="D2595" s="22"/>
      <c r="E2595" s="21" t="s">
        <v>0</v>
      </c>
      <c r="F2595" s="21"/>
      <c r="G2595" s="147" t="s">
        <v>3261</v>
      </c>
      <c r="H2595" s="23" t="s">
        <v>4630</v>
      </c>
      <c r="I2595" s="23" t="s">
        <v>8311</v>
      </c>
      <c r="J2595" s="208" t="s">
        <v>4462</v>
      </c>
      <c r="K2595" s="47"/>
      <c r="L2595" s="21"/>
      <c r="M2595" s="23"/>
      <c r="N2595" s="44">
        <v>0</v>
      </c>
      <c r="O2595" s="22" t="s">
        <v>15</v>
      </c>
      <c r="P2595" s="22"/>
      <c r="Q2595" s="44">
        <f t="shared" si="162"/>
        <v>0</v>
      </c>
      <c r="R2595" s="24">
        <f t="shared" si="164"/>
        <v>0</v>
      </c>
      <c r="S2595" s="5"/>
      <c r="T2595" s="5"/>
    </row>
    <row r="2596" spans="2:20" ht="15.75" hidden="1" x14ac:dyDescent="0.25">
      <c r="B2596" s="21" t="s">
        <v>395</v>
      </c>
      <c r="C2596" s="22" t="s">
        <v>2450</v>
      </c>
      <c r="D2596" s="22"/>
      <c r="E2596" s="21" t="s">
        <v>0</v>
      </c>
      <c r="F2596" s="21"/>
      <c r="G2596" s="147" t="s">
        <v>3261</v>
      </c>
      <c r="H2596" s="23" t="s">
        <v>4630</v>
      </c>
      <c r="I2596" s="23" t="s">
        <v>8311</v>
      </c>
      <c r="J2596" s="208" t="s">
        <v>4463</v>
      </c>
      <c r="K2596" s="47"/>
      <c r="L2596" s="21"/>
      <c r="M2596" s="23"/>
      <c r="N2596" s="44">
        <v>0</v>
      </c>
      <c r="O2596" s="22" t="s">
        <v>15</v>
      </c>
      <c r="P2596" s="22"/>
      <c r="Q2596" s="44">
        <f t="shared" si="162"/>
        <v>0</v>
      </c>
      <c r="R2596" s="24">
        <f t="shared" si="164"/>
        <v>0</v>
      </c>
      <c r="S2596" s="5"/>
      <c r="T2596" s="5"/>
    </row>
    <row r="2597" spans="2:20" ht="15.75" hidden="1" x14ac:dyDescent="0.25">
      <c r="B2597" s="21" t="s">
        <v>395</v>
      </c>
      <c r="C2597" s="22" t="s">
        <v>2450</v>
      </c>
      <c r="D2597" s="22"/>
      <c r="E2597" s="21" t="s">
        <v>0</v>
      </c>
      <c r="F2597" s="21"/>
      <c r="G2597" s="147" t="s">
        <v>3261</v>
      </c>
      <c r="H2597" s="23" t="s">
        <v>4630</v>
      </c>
      <c r="I2597" s="23" t="s">
        <v>8311</v>
      </c>
      <c r="J2597" s="208" t="s">
        <v>4464</v>
      </c>
      <c r="K2597" s="47"/>
      <c r="L2597" s="21"/>
      <c r="M2597" s="23"/>
      <c r="N2597" s="44">
        <v>0</v>
      </c>
      <c r="O2597" s="22" t="s">
        <v>15</v>
      </c>
      <c r="P2597" s="22"/>
      <c r="Q2597" s="44">
        <f t="shared" si="162"/>
        <v>0</v>
      </c>
      <c r="R2597" s="24">
        <f t="shared" si="164"/>
        <v>0</v>
      </c>
      <c r="S2597" s="5"/>
      <c r="T2597" s="5"/>
    </row>
    <row r="2598" spans="2:20" ht="15.75" hidden="1" x14ac:dyDescent="0.25">
      <c r="B2598" s="21" t="s">
        <v>395</v>
      </c>
      <c r="C2598" s="22" t="s">
        <v>2450</v>
      </c>
      <c r="D2598" s="22"/>
      <c r="E2598" s="21" t="s">
        <v>0</v>
      </c>
      <c r="F2598" s="21"/>
      <c r="G2598" s="147" t="s">
        <v>3261</v>
      </c>
      <c r="H2598" s="23" t="s">
        <v>4631</v>
      </c>
      <c r="I2598" s="23" t="s">
        <v>8311</v>
      </c>
      <c r="J2598" s="21" t="s">
        <v>4632</v>
      </c>
      <c r="K2598" s="47"/>
      <c r="L2598" s="21" t="s">
        <v>4641</v>
      </c>
      <c r="M2598" s="26">
        <v>44272</v>
      </c>
      <c r="N2598" s="44">
        <v>269225</v>
      </c>
      <c r="O2598" s="22" t="s">
        <v>15</v>
      </c>
      <c r="P2598" s="22" t="s">
        <v>19</v>
      </c>
      <c r="Q2598" s="44">
        <f t="shared" si="162"/>
        <v>0</v>
      </c>
      <c r="R2598" s="24">
        <f t="shared" si="164"/>
        <v>269225</v>
      </c>
      <c r="S2598" s="5"/>
      <c r="T2598" s="5"/>
    </row>
    <row r="2599" spans="2:20" ht="15.75" hidden="1" x14ac:dyDescent="0.25">
      <c r="B2599" s="21" t="s">
        <v>395</v>
      </c>
      <c r="C2599" s="22" t="s">
        <v>2450</v>
      </c>
      <c r="D2599" s="22"/>
      <c r="E2599" s="21" t="s">
        <v>0</v>
      </c>
      <c r="F2599" s="21"/>
      <c r="G2599" s="147" t="s">
        <v>3261</v>
      </c>
      <c r="H2599" s="23" t="s">
        <v>4670</v>
      </c>
      <c r="I2599" s="23" t="s">
        <v>8314</v>
      </c>
      <c r="J2599" s="21" t="s">
        <v>4410</v>
      </c>
      <c r="K2599" s="21"/>
      <c r="L2599" s="21" t="s">
        <v>4866</v>
      </c>
      <c r="M2599" s="26">
        <v>44258</v>
      </c>
      <c r="N2599" s="44">
        <v>1245</v>
      </c>
      <c r="O2599" s="22" t="s">
        <v>15</v>
      </c>
      <c r="P2599" s="22" t="s">
        <v>19</v>
      </c>
      <c r="Q2599" s="44">
        <f t="shared" si="162"/>
        <v>0</v>
      </c>
      <c r="R2599" s="24">
        <f t="shared" si="164"/>
        <v>1245</v>
      </c>
      <c r="S2599" s="5"/>
      <c r="T2599" s="5"/>
    </row>
    <row r="2600" spans="2:20" ht="15.75" hidden="1" x14ac:dyDescent="0.25">
      <c r="B2600" s="21" t="s">
        <v>395</v>
      </c>
      <c r="C2600" s="22" t="s">
        <v>2450</v>
      </c>
      <c r="D2600" s="22"/>
      <c r="E2600" s="21" t="s">
        <v>0</v>
      </c>
      <c r="F2600" s="21"/>
      <c r="G2600" s="147" t="s">
        <v>3261</v>
      </c>
      <c r="H2600" s="23" t="s">
        <v>4758</v>
      </c>
      <c r="I2600" s="23" t="s">
        <v>8026</v>
      </c>
      <c r="J2600" s="21" t="s">
        <v>5195</v>
      </c>
      <c r="K2600" s="21"/>
      <c r="L2600" s="21" t="s">
        <v>5196</v>
      </c>
      <c r="M2600" s="23" t="s">
        <v>5197</v>
      </c>
      <c r="N2600" s="44">
        <v>3000</v>
      </c>
      <c r="O2600" s="44" t="s">
        <v>15</v>
      </c>
      <c r="P2600" s="22" t="s">
        <v>19</v>
      </c>
      <c r="Q2600" s="44">
        <f t="shared" si="162"/>
        <v>0</v>
      </c>
      <c r="R2600" s="236">
        <f t="shared" si="164"/>
        <v>3000</v>
      </c>
      <c r="S2600" s="5"/>
      <c r="T2600" s="5"/>
    </row>
    <row r="2601" spans="2:20" ht="15.75" hidden="1" x14ac:dyDescent="0.25">
      <c r="B2601" s="21" t="s">
        <v>395</v>
      </c>
      <c r="C2601" s="22" t="s">
        <v>2450</v>
      </c>
      <c r="D2601" s="22"/>
      <c r="E2601" s="21" t="s">
        <v>0</v>
      </c>
      <c r="F2601" s="21"/>
      <c r="G2601" s="147" t="s">
        <v>3261</v>
      </c>
      <c r="H2601" s="23" t="s">
        <v>5243</v>
      </c>
      <c r="I2601" s="23"/>
      <c r="J2601" s="21" t="s">
        <v>4659</v>
      </c>
      <c r="K2601" s="47"/>
      <c r="L2601" s="21" t="s">
        <v>5618</v>
      </c>
      <c r="M2601" s="26" t="s">
        <v>5619</v>
      </c>
      <c r="N2601" s="44">
        <v>2085</v>
      </c>
      <c r="O2601" s="22" t="s">
        <v>15</v>
      </c>
      <c r="P2601" s="22" t="s">
        <v>19</v>
      </c>
      <c r="Q2601" s="44">
        <f t="shared" si="162"/>
        <v>0</v>
      </c>
      <c r="R2601" s="24">
        <f t="shared" si="164"/>
        <v>2085</v>
      </c>
      <c r="S2601" s="5"/>
      <c r="T2601" s="5"/>
    </row>
    <row r="2602" spans="2:20" ht="15.75" hidden="1" x14ac:dyDescent="0.25">
      <c r="B2602" s="21" t="s">
        <v>395</v>
      </c>
      <c r="C2602" s="22" t="s">
        <v>2450</v>
      </c>
      <c r="D2602" s="22"/>
      <c r="E2602" s="21" t="s">
        <v>0</v>
      </c>
      <c r="F2602" s="21"/>
      <c r="G2602" s="147" t="s">
        <v>3261</v>
      </c>
      <c r="H2602" s="23" t="s">
        <v>4658</v>
      </c>
      <c r="I2602" s="23" t="s">
        <v>8022</v>
      </c>
      <c r="J2602" s="21" t="s">
        <v>4659</v>
      </c>
      <c r="K2602" s="47"/>
      <c r="L2602" s="21" t="s">
        <v>4660</v>
      </c>
      <c r="M2602" s="26">
        <v>44281</v>
      </c>
      <c r="N2602" s="44">
        <v>3025</v>
      </c>
      <c r="O2602" s="22" t="s">
        <v>15</v>
      </c>
      <c r="P2602" s="22" t="s">
        <v>19</v>
      </c>
      <c r="Q2602" s="44">
        <f t="shared" si="162"/>
        <v>0</v>
      </c>
      <c r="R2602" s="24">
        <f t="shared" si="164"/>
        <v>3025</v>
      </c>
      <c r="S2602" s="5"/>
      <c r="T2602" s="5"/>
    </row>
    <row r="2603" spans="2:20" ht="15.75" hidden="1" x14ac:dyDescent="0.25">
      <c r="B2603" s="21" t="s">
        <v>395</v>
      </c>
      <c r="C2603" s="22" t="s">
        <v>2450</v>
      </c>
      <c r="D2603" s="22"/>
      <c r="E2603" s="21" t="s">
        <v>0</v>
      </c>
      <c r="F2603" s="21"/>
      <c r="G2603" s="147" t="s">
        <v>3261</v>
      </c>
      <c r="H2603" s="23" t="s">
        <v>4759</v>
      </c>
      <c r="I2603" s="23" t="s">
        <v>8027</v>
      </c>
      <c r="J2603" s="21" t="s">
        <v>4760</v>
      </c>
      <c r="K2603" s="21"/>
      <c r="L2603" s="21" t="s">
        <v>4887</v>
      </c>
      <c r="M2603" s="26">
        <v>44314</v>
      </c>
      <c r="N2603" s="44">
        <v>18000</v>
      </c>
      <c r="O2603" s="44" t="s">
        <v>15</v>
      </c>
      <c r="P2603" s="22" t="s">
        <v>19</v>
      </c>
      <c r="Q2603" s="44">
        <f t="shared" si="162"/>
        <v>0</v>
      </c>
      <c r="R2603" s="236">
        <f t="shared" si="164"/>
        <v>18000</v>
      </c>
      <c r="S2603" s="5"/>
      <c r="T2603" s="5"/>
    </row>
    <row r="2604" spans="2:20" ht="15.75" hidden="1" x14ac:dyDescent="0.25">
      <c r="B2604" s="21" t="s">
        <v>395</v>
      </c>
      <c r="C2604" s="22" t="s">
        <v>2450</v>
      </c>
      <c r="D2604" s="22"/>
      <c r="E2604" s="21" t="s">
        <v>0</v>
      </c>
      <c r="F2604" s="21"/>
      <c r="G2604" s="147" t="s">
        <v>3261</v>
      </c>
      <c r="H2604" s="23" t="s">
        <v>4759</v>
      </c>
      <c r="I2604" s="23" t="s">
        <v>8027</v>
      </c>
      <c r="J2604" s="21" t="s">
        <v>4761</v>
      </c>
      <c r="K2604" s="21"/>
      <c r="L2604" s="21" t="s">
        <v>5068</v>
      </c>
      <c r="M2604" s="26">
        <v>44341</v>
      </c>
      <c r="N2604" s="44">
        <v>12000</v>
      </c>
      <c r="O2604" s="44" t="s">
        <v>15</v>
      </c>
      <c r="P2604" s="22" t="s">
        <v>19</v>
      </c>
      <c r="Q2604" s="44">
        <f t="shared" si="162"/>
        <v>0</v>
      </c>
      <c r="R2604" s="236">
        <f t="shared" si="164"/>
        <v>12000</v>
      </c>
      <c r="S2604" s="5"/>
      <c r="T2604" s="5"/>
    </row>
    <row r="2605" spans="2:20" ht="15.75" hidden="1" x14ac:dyDescent="0.25">
      <c r="B2605" s="21" t="s">
        <v>395</v>
      </c>
      <c r="C2605" s="22" t="s">
        <v>2450</v>
      </c>
      <c r="D2605" s="22"/>
      <c r="E2605" s="21" t="s">
        <v>0</v>
      </c>
      <c r="F2605" s="21"/>
      <c r="G2605" s="147" t="s">
        <v>3261</v>
      </c>
      <c r="H2605" s="23" t="s">
        <v>4756</v>
      </c>
      <c r="I2605" s="23" t="s">
        <v>8028</v>
      </c>
      <c r="J2605" s="21" t="s">
        <v>4757</v>
      </c>
      <c r="K2605" s="21"/>
      <c r="L2605" s="21" t="s">
        <v>12051</v>
      </c>
      <c r="M2605" s="26" t="s">
        <v>12052</v>
      </c>
      <c r="N2605" s="44">
        <v>7680</v>
      </c>
      <c r="O2605" s="44" t="s">
        <v>15</v>
      </c>
      <c r="P2605" s="22">
        <f>2560+5120</f>
        <v>7680</v>
      </c>
      <c r="Q2605" s="44">
        <f t="shared" si="162"/>
        <v>0</v>
      </c>
      <c r="R2605" s="236">
        <f t="shared" si="164"/>
        <v>7680</v>
      </c>
      <c r="S2605" s="21"/>
      <c r="T2605" s="5"/>
    </row>
    <row r="2606" spans="2:20" ht="15.75" hidden="1" x14ac:dyDescent="0.25">
      <c r="B2606" s="21" t="s">
        <v>395</v>
      </c>
      <c r="C2606" s="22" t="s">
        <v>2450</v>
      </c>
      <c r="D2606" s="22"/>
      <c r="E2606" s="21" t="s">
        <v>0</v>
      </c>
      <c r="F2606" s="21"/>
      <c r="G2606" s="147" t="s">
        <v>3261</v>
      </c>
      <c r="H2606" s="23" t="s">
        <v>5121</v>
      </c>
      <c r="I2606" s="23" t="s">
        <v>8032</v>
      </c>
      <c r="J2606" s="21" t="s">
        <v>5122</v>
      </c>
      <c r="K2606" s="47"/>
      <c r="L2606" s="21" t="s">
        <v>5124</v>
      </c>
      <c r="M2606" s="26">
        <v>44351</v>
      </c>
      <c r="N2606" s="44">
        <v>22975</v>
      </c>
      <c r="O2606" s="44" t="s">
        <v>15</v>
      </c>
      <c r="P2606" s="22" t="s">
        <v>19</v>
      </c>
      <c r="Q2606" s="44">
        <f t="shared" si="162"/>
        <v>0</v>
      </c>
      <c r="R2606" s="236">
        <f t="shared" si="164"/>
        <v>22975</v>
      </c>
      <c r="S2606" s="5"/>
      <c r="T2606" s="5"/>
    </row>
    <row r="2607" spans="2:20" ht="15.75" hidden="1" x14ac:dyDescent="0.25">
      <c r="B2607" s="21" t="s">
        <v>395</v>
      </c>
      <c r="C2607" s="22" t="s">
        <v>2450</v>
      </c>
      <c r="D2607" s="22"/>
      <c r="E2607" s="21" t="s">
        <v>0</v>
      </c>
      <c r="F2607" s="21"/>
      <c r="G2607" s="147" t="s">
        <v>3261</v>
      </c>
      <c r="H2607" s="23" t="s">
        <v>5121</v>
      </c>
      <c r="I2607" s="23" t="s">
        <v>8032</v>
      </c>
      <c r="J2607" s="21" t="s">
        <v>5123</v>
      </c>
      <c r="K2607" s="47"/>
      <c r="L2607" s="21" t="s">
        <v>7786</v>
      </c>
      <c r="M2607" s="26">
        <v>45029</v>
      </c>
      <c r="N2607" s="44">
        <v>16850</v>
      </c>
      <c r="O2607" s="44" t="s">
        <v>15</v>
      </c>
      <c r="P2607" s="22" t="s">
        <v>19</v>
      </c>
      <c r="Q2607" s="44">
        <f t="shared" si="162"/>
        <v>0</v>
      </c>
      <c r="R2607" s="236">
        <f t="shared" si="164"/>
        <v>16850</v>
      </c>
      <c r="S2607" s="5"/>
      <c r="T2607" s="5"/>
    </row>
    <row r="2608" spans="2:20" ht="15.75" hidden="1" x14ac:dyDescent="0.25">
      <c r="B2608" s="21" t="s">
        <v>395</v>
      </c>
      <c r="C2608" s="22" t="s">
        <v>2450</v>
      </c>
      <c r="D2608" s="22"/>
      <c r="E2608" s="21" t="s">
        <v>0</v>
      </c>
      <c r="F2608" s="21"/>
      <c r="G2608" s="147" t="s">
        <v>3261</v>
      </c>
      <c r="H2608" s="23" t="s">
        <v>4901</v>
      </c>
      <c r="I2608" s="23" t="s">
        <v>8033</v>
      </c>
      <c r="J2608" s="21" t="s">
        <v>4902</v>
      </c>
      <c r="K2608" s="21"/>
      <c r="L2608" s="21" t="s">
        <v>5481</v>
      </c>
      <c r="M2608" s="26">
        <v>44404</v>
      </c>
      <c r="N2608" s="44">
        <v>3975</v>
      </c>
      <c r="O2608" s="44" t="s">
        <v>15</v>
      </c>
      <c r="P2608" s="22">
        <v>3975</v>
      </c>
      <c r="Q2608" s="44">
        <f t="shared" si="162"/>
        <v>0</v>
      </c>
      <c r="R2608" s="236">
        <f t="shared" si="164"/>
        <v>3975</v>
      </c>
      <c r="S2608" s="5"/>
      <c r="T2608" s="5"/>
    </row>
    <row r="2609" spans="2:20" ht="15.75" hidden="1" x14ac:dyDescent="0.25">
      <c r="B2609" s="21" t="s">
        <v>395</v>
      </c>
      <c r="C2609" s="22" t="s">
        <v>2450</v>
      </c>
      <c r="D2609" s="22"/>
      <c r="E2609" s="21" t="s">
        <v>0</v>
      </c>
      <c r="F2609" s="21"/>
      <c r="G2609" s="147" t="s">
        <v>3261</v>
      </c>
      <c r="H2609" s="23" t="s">
        <v>4903</v>
      </c>
      <c r="I2609" s="23" t="s">
        <v>8034</v>
      </c>
      <c r="J2609" s="21" t="s">
        <v>4904</v>
      </c>
      <c r="K2609" s="21"/>
      <c r="L2609" s="21" t="s">
        <v>4944</v>
      </c>
      <c r="M2609" s="26">
        <v>44322</v>
      </c>
      <c r="N2609" s="44">
        <v>4250</v>
      </c>
      <c r="O2609" s="44" t="s">
        <v>15</v>
      </c>
      <c r="P2609" s="22" t="s">
        <v>19</v>
      </c>
      <c r="Q2609" s="44">
        <f t="shared" ref="Q2609:Q2672" si="166">IF(P2609="en cours",N2609,IF(P2609="OK",0,IF(N2609-P2609&lt;0,0,N2609-P2609)))</f>
        <v>0</v>
      </c>
      <c r="R2609" s="236">
        <f t="shared" si="164"/>
        <v>4250</v>
      </c>
      <c r="S2609" s="5"/>
      <c r="T2609" s="5"/>
    </row>
    <row r="2610" spans="2:20" ht="15.75" hidden="1" x14ac:dyDescent="0.25">
      <c r="B2610" s="21" t="s">
        <v>395</v>
      </c>
      <c r="C2610" s="22" t="s">
        <v>2450</v>
      </c>
      <c r="D2610" s="22"/>
      <c r="E2610" s="21" t="s">
        <v>0</v>
      </c>
      <c r="F2610" s="21"/>
      <c r="G2610" s="147" t="s">
        <v>3261</v>
      </c>
      <c r="H2610" s="23" t="s">
        <v>4903</v>
      </c>
      <c r="I2610" s="23" t="s">
        <v>8034</v>
      </c>
      <c r="J2610" s="21" t="s">
        <v>4905</v>
      </c>
      <c r="K2610" s="21"/>
      <c r="L2610" s="21" t="s">
        <v>4944</v>
      </c>
      <c r="M2610" s="26">
        <v>44322</v>
      </c>
      <c r="N2610" s="44">
        <v>1500</v>
      </c>
      <c r="O2610" s="44" t="s">
        <v>15</v>
      </c>
      <c r="P2610" s="22" t="s">
        <v>19</v>
      </c>
      <c r="Q2610" s="44">
        <f t="shared" si="166"/>
        <v>0</v>
      </c>
      <c r="R2610" s="236">
        <f t="shared" si="164"/>
        <v>1500</v>
      </c>
      <c r="S2610" s="5"/>
      <c r="T2610" s="5"/>
    </row>
    <row r="2611" spans="2:20" ht="15.75" hidden="1" x14ac:dyDescent="0.25">
      <c r="B2611" s="21" t="s">
        <v>395</v>
      </c>
      <c r="C2611" s="22" t="s">
        <v>2450</v>
      </c>
      <c r="D2611" s="22"/>
      <c r="E2611" s="21" t="s">
        <v>0</v>
      </c>
      <c r="F2611" s="21"/>
      <c r="G2611" s="147" t="s">
        <v>3261</v>
      </c>
      <c r="H2611" s="23" t="s">
        <v>4998</v>
      </c>
      <c r="I2611" s="23" t="s">
        <v>8040</v>
      </c>
      <c r="J2611" s="21" t="s">
        <v>4993</v>
      </c>
      <c r="K2611" s="47"/>
      <c r="L2611" s="21" t="s">
        <v>5779</v>
      </c>
      <c r="M2611" s="26">
        <v>44460</v>
      </c>
      <c r="N2611" s="44">
        <v>1345</v>
      </c>
      <c r="O2611" s="44" t="s">
        <v>15</v>
      </c>
      <c r="P2611" s="22" t="s">
        <v>19</v>
      </c>
      <c r="Q2611" s="44">
        <f t="shared" si="166"/>
        <v>0</v>
      </c>
      <c r="R2611" s="236">
        <f t="shared" si="164"/>
        <v>1345</v>
      </c>
      <c r="S2611" s="5"/>
      <c r="T2611" s="5"/>
    </row>
    <row r="2612" spans="2:20" ht="15.75" hidden="1" x14ac:dyDescent="0.25">
      <c r="B2612" s="21" t="s">
        <v>395</v>
      </c>
      <c r="C2612" s="22" t="s">
        <v>2450</v>
      </c>
      <c r="D2612" s="22"/>
      <c r="E2612" s="21" t="s">
        <v>0</v>
      </c>
      <c r="F2612" s="21"/>
      <c r="G2612" s="147" t="s">
        <v>3261</v>
      </c>
      <c r="H2612" s="23" t="s">
        <v>4998</v>
      </c>
      <c r="I2612" s="23" t="s">
        <v>8040</v>
      </c>
      <c r="J2612" s="21" t="s">
        <v>4994</v>
      </c>
      <c r="K2612" s="47"/>
      <c r="L2612" s="21" t="s">
        <v>5779</v>
      </c>
      <c r="M2612" s="26">
        <v>44460</v>
      </c>
      <c r="N2612" s="44">
        <v>1345</v>
      </c>
      <c r="O2612" s="44" t="s">
        <v>15</v>
      </c>
      <c r="P2612" s="22" t="s">
        <v>19</v>
      </c>
      <c r="Q2612" s="44">
        <f t="shared" si="166"/>
        <v>0</v>
      </c>
      <c r="R2612" s="236">
        <f t="shared" si="164"/>
        <v>1345</v>
      </c>
      <c r="S2612" s="5"/>
      <c r="T2612" s="5"/>
    </row>
    <row r="2613" spans="2:20" ht="15.75" hidden="1" x14ac:dyDescent="0.25">
      <c r="B2613" s="21" t="s">
        <v>395</v>
      </c>
      <c r="C2613" s="22" t="s">
        <v>2450</v>
      </c>
      <c r="D2613" s="22"/>
      <c r="E2613" s="21" t="s">
        <v>0</v>
      </c>
      <c r="F2613" s="21"/>
      <c r="G2613" s="147" t="s">
        <v>3261</v>
      </c>
      <c r="H2613" s="23" t="s">
        <v>4998</v>
      </c>
      <c r="I2613" s="23" t="s">
        <v>8040</v>
      </c>
      <c r="J2613" s="21" t="s">
        <v>4995</v>
      </c>
      <c r="K2613" s="47"/>
      <c r="L2613" s="21" t="s">
        <v>5779</v>
      </c>
      <c r="M2613" s="26">
        <v>44460</v>
      </c>
      <c r="N2613" s="44">
        <v>1345</v>
      </c>
      <c r="O2613" s="44" t="s">
        <v>15</v>
      </c>
      <c r="P2613" s="22" t="s">
        <v>19</v>
      </c>
      <c r="Q2613" s="44">
        <f t="shared" si="166"/>
        <v>0</v>
      </c>
      <c r="R2613" s="236">
        <f t="shared" si="164"/>
        <v>1345</v>
      </c>
      <c r="S2613" s="5"/>
      <c r="T2613" s="5"/>
    </row>
    <row r="2614" spans="2:20" ht="15.75" hidden="1" x14ac:dyDescent="0.25">
      <c r="B2614" s="21" t="s">
        <v>395</v>
      </c>
      <c r="C2614" s="22" t="s">
        <v>2450</v>
      </c>
      <c r="D2614" s="22"/>
      <c r="E2614" s="21" t="s">
        <v>0</v>
      </c>
      <c r="F2614" s="21"/>
      <c r="G2614" s="147" t="s">
        <v>3261</v>
      </c>
      <c r="H2614" s="23" t="s">
        <v>4998</v>
      </c>
      <c r="I2614" s="23" t="s">
        <v>8040</v>
      </c>
      <c r="J2614" s="21" t="s">
        <v>4996</v>
      </c>
      <c r="K2614" s="47"/>
      <c r="L2614" s="21" t="s">
        <v>5779</v>
      </c>
      <c r="M2614" s="26">
        <v>44460</v>
      </c>
      <c r="N2614" s="44">
        <v>1345</v>
      </c>
      <c r="O2614" s="44" t="s">
        <v>15</v>
      </c>
      <c r="P2614" s="22" t="s">
        <v>19</v>
      </c>
      <c r="Q2614" s="44">
        <f t="shared" si="166"/>
        <v>0</v>
      </c>
      <c r="R2614" s="236">
        <f t="shared" si="164"/>
        <v>1345</v>
      </c>
      <c r="S2614" s="5"/>
      <c r="T2614" s="5"/>
    </row>
    <row r="2615" spans="2:20" ht="15.75" hidden="1" x14ac:dyDescent="0.25">
      <c r="B2615" s="21" t="s">
        <v>395</v>
      </c>
      <c r="C2615" s="22" t="s">
        <v>2450</v>
      </c>
      <c r="D2615" s="22"/>
      <c r="E2615" s="21" t="s">
        <v>0</v>
      </c>
      <c r="F2615" s="21"/>
      <c r="G2615" s="147" t="s">
        <v>3261</v>
      </c>
      <c r="H2615" s="23" t="s">
        <v>4998</v>
      </c>
      <c r="I2615" s="23" t="s">
        <v>8040</v>
      </c>
      <c r="J2615" s="21" t="s">
        <v>4997</v>
      </c>
      <c r="K2615" s="47"/>
      <c r="L2615" s="21" t="s">
        <v>5779</v>
      </c>
      <c r="M2615" s="26">
        <v>44460</v>
      </c>
      <c r="N2615" s="44">
        <v>1345</v>
      </c>
      <c r="O2615" s="44" t="s">
        <v>15</v>
      </c>
      <c r="P2615" s="22" t="s">
        <v>19</v>
      </c>
      <c r="Q2615" s="44">
        <f t="shared" si="166"/>
        <v>0</v>
      </c>
      <c r="R2615" s="236">
        <f t="shared" si="164"/>
        <v>1345</v>
      </c>
      <c r="S2615" s="5"/>
      <c r="T2615" s="5"/>
    </row>
    <row r="2616" spans="2:20" ht="15.75" hidden="1" x14ac:dyDescent="0.25">
      <c r="B2616" s="21" t="s">
        <v>395</v>
      </c>
      <c r="C2616" s="22" t="s">
        <v>2450</v>
      </c>
      <c r="D2616" s="22"/>
      <c r="E2616" s="21" t="s">
        <v>0</v>
      </c>
      <c r="F2616" s="21"/>
      <c r="G2616" s="147" t="s">
        <v>3261</v>
      </c>
      <c r="H2616" s="23" t="s">
        <v>5116</v>
      </c>
      <c r="I2616" s="23" t="s">
        <v>8056</v>
      </c>
      <c r="J2616" s="21" t="s">
        <v>5117</v>
      </c>
      <c r="K2616" s="47"/>
      <c r="L2616" s="21" t="s">
        <v>5126</v>
      </c>
      <c r="M2616" s="26">
        <v>44351</v>
      </c>
      <c r="N2616" s="44">
        <v>2260</v>
      </c>
      <c r="O2616" s="44" t="s">
        <v>15</v>
      </c>
      <c r="P2616" s="22" t="s">
        <v>19</v>
      </c>
      <c r="Q2616" s="44">
        <f t="shared" si="166"/>
        <v>0</v>
      </c>
      <c r="R2616" s="236">
        <f t="shared" si="164"/>
        <v>2260</v>
      </c>
      <c r="S2616" s="5"/>
      <c r="T2616" s="5"/>
    </row>
    <row r="2617" spans="2:20" ht="15.75" hidden="1" x14ac:dyDescent="0.25">
      <c r="B2617" s="21" t="s">
        <v>395</v>
      </c>
      <c r="C2617" s="22" t="s">
        <v>2450</v>
      </c>
      <c r="D2617" s="22"/>
      <c r="E2617" s="21" t="s">
        <v>0</v>
      </c>
      <c r="F2617" s="21"/>
      <c r="G2617" s="147" t="s">
        <v>3261</v>
      </c>
      <c r="H2617" s="23" t="s">
        <v>5230</v>
      </c>
      <c r="I2617" s="23" t="s">
        <v>8062</v>
      </c>
      <c r="J2617" s="21" t="s">
        <v>5231</v>
      </c>
      <c r="K2617" s="47"/>
      <c r="L2617" s="21" t="s">
        <v>5252</v>
      </c>
      <c r="M2617" s="26">
        <v>44371</v>
      </c>
      <c r="N2617" s="44">
        <v>5600</v>
      </c>
      <c r="O2617" s="44" t="s">
        <v>15</v>
      </c>
      <c r="P2617" s="22" t="s">
        <v>19</v>
      </c>
      <c r="Q2617" s="44">
        <f t="shared" si="166"/>
        <v>0</v>
      </c>
      <c r="R2617" s="236">
        <f t="shared" si="164"/>
        <v>5600</v>
      </c>
      <c r="S2617" s="5"/>
      <c r="T2617" s="5"/>
    </row>
    <row r="2618" spans="2:20" ht="15.75" hidden="1" x14ac:dyDescent="0.25">
      <c r="B2618" s="21" t="s">
        <v>395</v>
      </c>
      <c r="C2618" s="22" t="s">
        <v>2450</v>
      </c>
      <c r="D2618" s="22"/>
      <c r="E2618" s="21" t="s">
        <v>0</v>
      </c>
      <c r="F2618" s="21"/>
      <c r="G2618" s="147" t="s">
        <v>3261</v>
      </c>
      <c r="H2618" s="23" t="s">
        <v>5798</v>
      </c>
      <c r="I2618" s="23" t="s">
        <v>8102</v>
      </c>
      <c r="J2618" s="21" t="s">
        <v>5799</v>
      </c>
      <c r="K2618" s="21"/>
      <c r="L2618" s="21" t="s">
        <v>6018</v>
      </c>
      <c r="M2618" s="26">
        <v>44498</v>
      </c>
      <c r="N2618" s="44">
        <v>26570</v>
      </c>
      <c r="O2618" s="22" t="s">
        <v>15</v>
      </c>
      <c r="P2618" s="44" t="s">
        <v>19</v>
      </c>
      <c r="Q2618" s="44">
        <f t="shared" si="166"/>
        <v>0</v>
      </c>
      <c r="R2618" s="236">
        <f t="shared" si="164"/>
        <v>26570</v>
      </c>
      <c r="S2618" s="5"/>
      <c r="T2618" s="5"/>
    </row>
    <row r="2619" spans="2:20" ht="15.75" hidden="1" x14ac:dyDescent="0.25">
      <c r="B2619" s="21" t="s">
        <v>395</v>
      </c>
      <c r="C2619" s="22" t="s">
        <v>2450</v>
      </c>
      <c r="D2619" s="22"/>
      <c r="E2619" s="21" t="s">
        <v>0</v>
      </c>
      <c r="F2619" s="21"/>
      <c r="G2619" s="147" t="s">
        <v>3261</v>
      </c>
      <c r="H2619" s="23" t="s">
        <v>5800</v>
      </c>
      <c r="I2619" s="23" t="s">
        <v>8103</v>
      </c>
      <c r="J2619" s="21" t="s">
        <v>5802</v>
      </c>
      <c r="K2619" s="21"/>
      <c r="L2619" s="21" t="s">
        <v>5808</v>
      </c>
      <c r="M2619" s="26">
        <v>44462</v>
      </c>
      <c r="N2619" s="44">
        <v>1200</v>
      </c>
      <c r="O2619" s="22" t="s">
        <v>15</v>
      </c>
      <c r="P2619" s="44">
        <v>1200</v>
      </c>
      <c r="Q2619" s="44">
        <f t="shared" si="166"/>
        <v>0</v>
      </c>
      <c r="R2619" s="236">
        <f t="shared" ref="R2619:R2665" si="167">IF(P2619="OK",N2619-Q2619,IF(P2619="en cours",N2619-Q2619,P2619))</f>
        <v>1200</v>
      </c>
      <c r="S2619" s="5"/>
      <c r="T2619" s="5"/>
    </row>
    <row r="2620" spans="2:20" ht="15.75" hidden="1" x14ac:dyDescent="0.25">
      <c r="B2620" s="21" t="s">
        <v>395</v>
      </c>
      <c r="C2620" s="22" t="s">
        <v>2450</v>
      </c>
      <c r="D2620" s="22"/>
      <c r="E2620" s="21" t="s">
        <v>0</v>
      </c>
      <c r="F2620" s="21"/>
      <c r="G2620" s="147" t="s">
        <v>3261</v>
      </c>
      <c r="H2620" s="23" t="s">
        <v>5800</v>
      </c>
      <c r="I2620" s="23" t="s">
        <v>8103</v>
      </c>
      <c r="J2620" s="21" t="s">
        <v>5803</v>
      </c>
      <c r="K2620" s="21"/>
      <c r="L2620" s="21" t="s">
        <v>5808</v>
      </c>
      <c r="M2620" s="26">
        <v>44462</v>
      </c>
      <c r="N2620" s="44">
        <v>8300</v>
      </c>
      <c r="O2620" s="22" t="s">
        <v>15</v>
      </c>
      <c r="P2620" s="44">
        <v>8300</v>
      </c>
      <c r="Q2620" s="44">
        <f t="shared" si="166"/>
        <v>0</v>
      </c>
      <c r="R2620" s="236">
        <f t="shared" si="167"/>
        <v>8300</v>
      </c>
      <c r="S2620" s="5"/>
      <c r="T2620" s="5"/>
    </row>
    <row r="2621" spans="2:20" ht="15.75" hidden="1" x14ac:dyDescent="0.25">
      <c r="B2621" s="21" t="s">
        <v>395</v>
      </c>
      <c r="C2621" s="22" t="s">
        <v>2450</v>
      </c>
      <c r="D2621" s="22"/>
      <c r="E2621" s="21" t="s">
        <v>0</v>
      </c>
      <c r="F2621" s="21"/>
      <c r="G2621" s="147" t="s">
        <v>3261</v>
      </c>
      <c r="H2621" s="23" t="s">
        <v>5800</v>
      </c>
      <c r="I2621" s="23" t="s">
        <v>8103</v>
      </c>
      <c r="J2621" s="21" t="s">
        <v>5804</v>
      </c>
      <c r="K2621" s="21"/>
      <c r="L2621" s="21" t="s">
        <v>5808</v>
      </c>
      <c r="M2621" s="26">
        <v>44462</v>
      </c>
      <c r="N2621" s="44">
        <v>2550</v>
      </c>
      <c r="O2621" s="22" t="s">
        <v>15</v>
      </c>
      <c r="P2621" s="44">
        <v>2550</v>
      </c>
      <c r="Q2621" s="44">
        <f t="shared" si="166"/>
        <v>0</v>
      </c>
      <c r="R2621" s="236">
        <f t="shared" si="167"/>
        <v>2550</v>
      </c>
      <c r="S2621" s="5"/>
      <c r="T2621" s="5"/>
    </row>
    <row r="2622" spans="2:20" ht="15.75" hidden="1" x14ac:dyDescent="0.25">
      <c r="B2622" s="21" t="s">
        <v>395</v>
      </c>
      <c r="C2622" s="22" t="s">
        <v>2450</v>
      </c>
      <c r="D2622" s="22"/>
      <c r="E2622" s="21" t="s">
        <v>0</v>
      </c>
      <c r="F2622" s="21"/>
      <c r="G2622" s="147" t="s">
        <v>3261</v>
      </c>
      <c r="H2622" s="23" t="s">
        <v>5800</v>
      </c>
      <c r="I2622" s="23" t="s">
        <v>8103</v>
      </c>
      <c r="J2622" s="21" t="s">
        <v>5805</v>
      </c>
      <c r="K2622" s="21"/>
      <c r="L2622" s="21" t="s">
        <v>5808</v>
      </c>
      <c r="M2622" s="26">
        <v>44462</v>
      </c>
      <c r="N2622" s="44">
        <v>3000</v>
      </c>
      <c r="O2622" s="22" t="s">
        <v>15</v>
      </c>
      <c r="P2622" s="44">
        <v>3000</v>
      </c>
      <c r="Q2622" s="44">
        <f t="shared" si="166"/>
        <v>0</v>
      </c>
      <c r="R2622" s="236">
        <f t="shared" si="167"/>
        <v>3000</v>
      </c>
      <c r="S2622" s="5"/>
      <c r="T2622" s="5"/>
    </row>
    <row r="2623" spans="2:20" ht="15.75" hidden="1" x14ac:dyDescent="0.25">
      <c r="B2623" s="21" t="s">
        <v>395</v>
      </c>
      <c r="C2623" s="22" t="s">
        <v>2450</v>
      </c>
      <c r="D2623" s="22"/>
      <c r="E2623" s="21" t="s">
        <v>0</v>
      </c>
      <c r="F2623" s="21"/>
      <c r="G2623" s="147" t="s">
        <v>3261</v>
      </c>
      <c r="H2623" s="23" t="s">
        <v>5800</v>
      </c>
      <c r="I2623" s="23" t="s">
        <v>8103</v>
      </c>
      <c r="J2623" s="21" t="s">
        <v>5806</v>
      </c>
      <c r="K2623" s="21"/>
      <c r="L2623" s="21" t="s">
        <v>5808</v>
      </c>
      <c r="M2623" s="26">
        <v>44462</v>
      </c>
      <c r="N2623" s="44">
        <v>0</v>
      </c>
      <c r="O2623" s="22" t="s">
        <v>15</v>
      </c>
      <c r="P2623" s="44">
        <v>0</v>
      </c>
      <c r="Q2623" s="44">
        <f t="shared" si="166"/>
        <v>0</v>
      </c>
      <c r="R2623" s="236">
        <f t="shared" si="167"/>
        <v>0</v>
      </c>
      <c r="S2623" s="5"/>
      <c r="T2623" s="5"/>
    </row>
    <row r="2624" spans="2:20" ht="15.75" hidden="1" x14ac:dyDescent="0.25">
      <c r="B2624" s="21" t="s">
        <v>395</v>
      </c>
      <c r="C2624" s="22" t="s">
        <v>2450</v>
      </c>
      <c r="D2624" s="22"/>
      <c r="E2624" s="21" t="s">
        <v>0</v>
      </c>
      <c r="F2624" s="21"/>
      <c r="G2624" s="147" t="s">
        <v>3261</v>
      </c>
      <c r="H2624" s="23" t="s">
        <v>5801</v>
      </c>
      <c r="I2624" s="23" t="s">
        <v>8104</v>
      </c>
      <c r="J2624" s="21" t="s">
        <v>5807</v>
      </c>
      <c r="K2624" s="21"/>
      <c r="L2624" s="21" t="s">
        <v>6150</v>
      </c>
      <c r="M2624" s="26">
        <v>44530</v>
      </c>
      <c r="N2624" s="44">
        <v>8900</v>
      </c>
      <c r="O2624" s="22" t="s">
        <v>15</v>
      </c>
      <c r="P2624" s="44">
        <v>8900</v>
      </c>
      <c r="Q2624" s="44">
        <f t="shared" si="166"/>
        <v>0</v>
      </c>
      <c r="R2624" s="236">
        <f t="shared" si="167"/>
        <v>8900</v>
      </c>
      <c r="S2624" s="5"/>
      <c r="T2624" s="5"/>
    </row>
    <row r="2625" spans="2:20" ht="15.75" hidden="1" x14ac:dyDescent="0.25">
      <c r="B2625" s="21" t="s">
        <v>395</v>
      </c>
      <c r="C2625" s="22" t="s">
        <v>2450</v>
      </c>
      <c r="D2625" s="22"/>
      <c r="E2625" s="21" t="s">
        <v>0</v>
      </c>
      <c r="F2625" s="21"/>
      <c r="G2625" s="147" t="s">
        <v>3261</v>
      </c>
      <c r="H2625" s="23" t="s">
        <v>5928</v>
      </c>
      <c r="I2625" s="23" t="s">
        <v>8107</v>
      </c>
      <c r="J2625" s="21" t="s">
        <v>5929</v>
      </c>
      <c r="K2625" s="21"/>
      <c r="L2625" s="21" t="s">
        <v>6060</v>
      </c>
      <c r="M2625" s="26">
        <v>44508</v>
      </c>
      <c r="N2625" s="44">
        <v>6825</v>
      </c>
      <c r="O2625" s="22" t="s">
        <v>15</v>
      </c>
      <c r="P2625" s="44">
        <v>6825</v>
      </c>
      <c r="Q2625" s="44">
        <f t="shared" si="166"/>
        <v>0</v>
      </c>
      <c r="R2625" s="236">
        <f t="shared" si="167"/>
        <v>6825</v>
      </c>
      <c r="S2625" s="5"/>
      <c r="T2625" s="5"/>
    </row>
    <row r="2626" spans="2:20" ht="15.75" hidden="1" x14ac:dyDescent="0.25">
      <c r="B2626" s="21" t="s">
        <v>395</v>
      </c>
      <c r="C2626" s="22" t="s">
        <v>2450</v>
      </c>
      <c r="D2626" s="22"/>
      <c r="E2626" s="21" t="s">
        <v>0</v>
      </c>
      <c r="F2626" s="21"/>
      <c r="G2626" s="147" t="s">
        <v>3261</v>
      </c>
      <c r="H2626" s="23" t="s">
        <v>6152</v>
      </c>
      <c r="I2626" s="23" t="s">
        <v>8114</v>
      </c>
      <c r="J2626" s="21" t="s">
        <v>6093</v>
      </c>
      <c r="K2626" s="21"/>
      <c r="L2626" s="21" t="s">
        <v>6348</v>
      </c>
      <c r="M2626" s="26">
        <v>44568</v>
      </c>
      <c r="N2626" s="44">
        <v>27080</v>
      </c>
      <c r="O2626" s="22" t="s">
        <v>15</v>
      </c>
      <c r="P2626" s="44">
        <v>27080</v>
      </c>
      <c r="Q2626" s="24">
        <f t="shared" si="166"/>
        <v>0</v>
      </c>
      <c r="R2626" s="24">
        <f t="shared" si="167"/>
        <v>27080</v>
      </c>
      <c r="S2626" s="5"/>
      <c r="T2626" s="5"/>
    </row>
    <row r="2627" spans="2:20" ht="15.75" hidden="1" x14ac:dyDescent="0.25">
      <c r="B2627" s="21" t="s">
        <v>395</v>
      </c>
      <c r="C2627" s="22" t="s">
        <v>2450</v>
      </c>
      <c r="D2627" s="22"/>
      <c r="E2627" s="21" t="s">
        <v>0</v>
      </c>
      <c r="F2627" s="21"/>
      <c r="G2627" s="147" t="s">
        <v>3261</v>
      </c>
      <c r="H2627" s="23" t="s">
        <v>6315</v>
      </c>
      <c r="I2627" s="23" t="s">
        <v>8130</v>
      </c>
      <c r="J2627" s="21" t="s">
        <v>6316</v>
      </c>
      <c r="K2627" s="21"/>
      <c r="L2627" s="21" t="s">
        <v>6317</v>
      </c>
      <c r="M2627" s="26">
        <v>44551</v>
      </c>
      <c r="N2627" s="44">
        <v>9890</v>
      </c>
      <c r="O2627" s="22" t="s">
        <v>15</v>
      </c>
      <c r="P2627" s="44">
        <v>9890</v>
      </c>
      <c r="Q2627" s="44">
        <f t="shared" si="166"/>
        <v>0</v>
      </c>
      <c r="R2627" s="236">
        <f t="shared" si="167"/>
        <v>9890</v>
      </c>
      <c r="S2627" s="5"/>
      <c r="T2627" s="5"/>
    </row>
    <row r="2628" spans="2:20" ht="15.75" hidden="1" x14ac:dyDescent="0.25">
      <c r="B2628" s="21" t="s">
        <v>395</v>
      </c>
      <c r="C2628" s="22" t="s">
        <v>2450</v>
      </c>
      <c r="D2628" s="22"/>
      <c r="E2628" s="21" t="s">
        <v>0</v>
      </c>
      <c r="F2628" s="21"/>
      <c r="G2628" s="147" t="s">
        <v>3261</v>
      </c>
      <c r="H2628" s="23" t="s">
        <v>6401</v>
      </c>
      <c r="I2628" s="23" t="s">
        <v>8139</v>
      </c>
      <c r="J2628" s="21" t="s">
        <v>6402</v>
      </c>
      <c r="K2628" s="21"/>
      <c r="L2628" s="21" t="s">
        <v>6614</v>
      </c>
      <c r="M2628" s="26">
        <v>44644</v>
      </c>
      <c r="N2628" s="44">
        <v>13700</v>
      </c>
      <c r="O2628" s="22" t="s">
        <v>15</v>
      </c>
      <c r="P2628" s="44">
        <v>13700</v>
      </c>
      <c r="Q2628" s="24">
        <f t="shared" si="166"/>
        <v>0</v>
      </c>
      <c r="R2628" s="24">
        <f t="shared" si="167"/>
        <v>13700</v>
      </c>
      <c r="S2628" s="5"/>
      <c r="T2628" s="5"/>
    </row>
    <row r="2629" spans="2:20" ht="15.75" hidden="1" x14ac:dyDescent="0.25">
      <c r="B2629" s="21" t="s">
        <v>395</v>
      </c>
      <c r="C2629" s="22" t="s">
        <v>2450</v>
      </c>
      <c r="D2629" s="22"/>
      <c r="E2629" s="21" t="s">
        <v>0</v>
      </c>
      <c r="F2629" s="21"/>
      <c r="G2629" s="147" t="s">
        <v>3261</v>
      </c>
      <c r="H2629" s="23" t="s">
        <v>6615</v>
      </c>
      <c r="I2629" s="23" t="s">
        <v>8131</v>
      </c>
      <c r="J2629" s="21" t="s">
        <v>6406</v>
      </c>
      <c r="K2629" s="21"/>
      <c r="L2629" s="21" t="s">
        <v>6616</v>
      </c>
      <c r="M2629" s="26">
        <v>44644</v>
      </c>
      <c r="N2629" s="44">
        <v>17710</v>
      </c>
      <c r="O2629" s="22" t="s">
        <v>15</v>
      </c>
      <c r="P2629" s="44">
        <v>17710</v>
      </c>
      <c r="Q2629" s="44">
        <f t="shared" si="166"/>
        <v>0</v>
      </c>
      <c r="R2629" s="236">
        <f t="shared" si="167"/>
        <v>17710</v>
      </c>
      <c r="S2629" s="5"/>
      <c r="T2629" s="5"/>
    </row>
    <row r="2630" spans="2:20" ht="15.75" hidden="1" x14ac:dyDescent="0.25">
      <c r="B2630" s="21" t="s">
        <v>395</v>
      </c>
      <c r="C2630" s="22" t="s">
        <v>2450</v>
      </c>
      <c r="D2630" s="22"/>
      <c r="E2630" s="21" t="s">
        <v>0</v>
      </c>
      <c r="F2630" s="21"/>
      <c r="G2630" s="147" t="s">
        <v>3261</v>
      </c>
      <c r="H2630" s="23" t="s">
        <v>6590</v>
      </c>
      <c r="I2630" s="23" t="s">
        <v>8149</v>
      </c>
      <c r="J2630" s="21" t="s">
        <v>6591</v>
      </c>
      <c r="K2630" s="21"/>
      <c r="L2630" s="21" t="s">
        <v>7223</v>
      </c>
      <c r="M2630" s="26">
        <v>44865</v>
      </c>
      <c r="N2630" s="44">
        <v>9000</v>
      </c>
      <c r="O2630" s="22" t="s">
        <v>15</v>
      </c>
      <c r="P2630" s="44">
        <f>5750+3250</f>
        <v>9000</v>
      </c>
      <c r="Q2630" s="24">
        <f t="shared" si="166"/>
        <v>0</v>
      </c>
      <c r="R2630" s="24">
        <f t="shared" si="167"/>
        <v>9000</v>
      </c>
      <c r="S2630" s="5"/>
      <c r="T2630" s="5"/>
    </row>
    <row r="2631" spans="2:20" ht="15.75" hidden="1" x14ac:dyDescent="0.25">
      <c r="B2631" s="21" t="s">
        <v>395</v>
      </c>
      <c r="C2631" s="22" t="s">
        <v>2450</v>
      </c>
      <c r="D2631" s="22"/>
      <c r="E2631" s="21" t="s">
        <v>0</v>
      </c>
      <c r="F2631" s="21"/>
      <c r="G2631" s="147" t="s">
        <v>3261</v>
      </c>
      <c r="H2631" s="23" t="s">
        <v>1293</v>
      </c>
      <c r="I2631" s="23" t="s">
        <v>7839</v>
      </c>
      <c r="J2631" s="21" t="s">
        <v>1383</v>
      </c>
      <c r="K2631" s="21"/>
      <c r="L2631" s="21" t="s">
        <v>2350</v>
      </c>
      <c r="M2631" s="26">
        <v>43532</v>
      </c>
      <c r="N2631" s="44">
        <v>6200</v>
      </c>
      <c r="O2631" s="22" t="s">
        <v>15</v>
      </c>
      <c r="P2631" s="22" t="s">
        <v>19</v>
      </c>
      <c r="Q2631" s="24">
        <f t="shared" si="166"/>
        <v>0</v>
      </c>
      <c r="R2631" s="24">
        <f t="shared" si="167"/>
        <v>6200</v>
      </c>
      <c r="S2631" s="5"/>
      <c r="T2631" s="5"/>
    </row>
    <row r="2632" spans="2:20" ht="15.75" hidden="1" x14ac:dyDescent="0.25">
      <c r="B2632" s="21" t="s">
        <v>395</v>
      </c>
      <c r="C2632" s="22" t="s">
        <v>2450</v>
      </c>
      <c r="D2632" s="22"/>
      <c r="E2632" s="21" t="s">
        <v>0</v>
      </c>
      <c r="F2632" s="21"/>
      <c r="G2632" s="147" t="s">
        <v>3261</v>
      </c>
      <c r="H2632" s="23" t="s">
        <v>1388</v>
      </c>
      <c r="I2632" s="23" t="s">
        <v>7842</v>
      </c>
      <c r="J2632" s="21" t="s">
        <v>1390</v>
      </c>
      <c r="K2632" s="21"/>
      <c r="L2632" s="21" t="s">
        <v>2351</v>
      </c>
      <c r="M2632" s="26">
        <v>43549</v>
      </c>
      <c r="N2632" s="44">
        <f>0.5*77000</f>
        <v>38500</v>
      </c>
      <c r="O2632" s="22" t="s">
        <v>15</v>
      </c>
      <c r="P2632" s="22" t="s">
        <v>19</v>
      </c>
      <c r="Q2632" s="24">
        <f t="shared" si="166"/>
        <v>0</v>
      </c>
      <c r="R2632" s="24">
        <f t="shared" si="167"/>
        <v>38500</v>
      </c>
      <c r="S2632" s="5"/>
      <c r="T2632" s="5"/>
    </row>
    <row r="2633" spans="2:20" ht="15.75" hidden="1" x14ac:dyDescent="0.25">
      <c r="B2633" s="21" t="s">
        <v>395</v>
      </c>
      <c r="C2633" s="22" t="s">
        <v>2450</v>
      </c>
      <c r="D2633" s="22"/>
      <c r="E2633" s="21" t="s">
        <v>0</v>
      </c>
      <c r="F2633" s="21"/>
      <c r="G2633" s="147" t="s">
        <v>3261</v>
      </c>
      <c r="H2633" s="23" t="s">
        <v>1388</v>
      </c>
      <c r="I2633" s="23" t="s">
        <v>7842</v>
      </c>
      <c r="J2633" s="21" t="s">
        <v>1391</v>
      </c>
      <c r="K2633" s="21"/>
      <c r="L2633" s="21" t="s">
        <v>2354</v>
      </c>
      <c r="M2633" s="26">
        <v>43637</v>
      </c>
      <c r="N2633" s="44">
        <f>0.5*77000</f>
        <v>38500</v>
      </c>
      <c r="O2633" s="22" t="s">
        <v>15</v>
      </c>
      <c r="P2633" s="22" t="s">
        <v>19</v>
      </c>
      <c r="Q2633" s="24">
        <f t="shared" si="166"/>
        <v>0</v>
      </c>
      <c r="R2633" s="24">
        <f t="shared" si="167"/>
        <v>38500</v>
      </c>
      <c r="S2633" s="5"/>
      <c r="T2633" s="5"/>
    </row>
    <row r="2634" spans="2:20" ht="15.75" hidden="1" x14ac:dyDescent="0.25">
      <c r="B2634" s="21" t="s">
        <v>395</v>
      </c>
      <c r="C2634" s="22" t="s">
        <v>2450</v>
      </c>
      <c r="D2634" s="22"/>
      <c r="E2634" s="21" t="s">
        <v>0</v>
      </c>
      <c r="F2634" s="21"/>
      <c r="G2634" s="147" t="s">
        <v>3261</v>
      </c>
      <c r="H2634" s="23" t="s">
        <v>1389</v>
      </c>
      <c r="I2634" s="23" t="s">
        <v>7843</v>
      </c>
      <c r="J2634" s="21" t="s">
        <v>1392</v>
      </c>
      <c r="K2634" s="21"/>
      <c r="L2634" s="21" t="s">
        <v>2355</v>
      </c>
      <c r="M2634" s="26">
        <v>43551</v>
      </c>
      <c r="N2634" s="44">
        <v>165000</v>
      </c>
      <c r="O2634" s="22" t="s">
        <v>15</v>
      </c>
      <c r="P2634" s="22" t="s">
        <v>19</v>
      </c>
      <c r="Q2634" s="24">
        <f t="shared" si="166"/>
        <v>0</v>
      </c>
      <c r="R2634" s="24">
        <f t="shared" si="167"/>
        <v>165000</v>
      </c>
      <c r="S2634" s="5"/>
      <c r="T2634" s="5"/>
    </row>
    <row r="2635" spans="2:20" ht="15.75" hidden="1" x14ac:dyDescent="0.25">
      <c r="B2635" s="21" t="s">
        <v>395</v>
      </c>
      <c r="C2635" s="22" t="s">
        <v>2450</v>
      </c>
      <c r="D2635" s="22"/>
      <c r="E2635" s="21" t="s">
        <v>0</v>
      </c>
      <c r="F2635" s="21"/>
      <c r="G2635" s="147" t="s">
        <v>3261</v>
      </c>
      <c r="H2635" s="23" t="s">
        <v>2143</v>
      </c>
      <c r="I2635" s="23" t="s">
        <v>7850</v>
      </c>
      <c r="J2635" s="21" t="s">
        <v>1461</v>
      </c>
      <c r="K2635" s="21"/>
      <c r="L2635" s="21" t="s">
        <v>2356</v>
      </c>
      <c r="M2635" s="26">
        <v>43566</v>
      </c>
      <c r="N2635" s="44">
        <v>67000</v>
      </c>
      <c r="O2635" s="22" t="s">
        <v>15</v>
      </c>
      <c r="P2635" s="22" t="s">
        <v>19</v>
      </c>
      <c r="Q2635" s="24">
        <f t="shared" si="166"/>
        <v>0</v>
      </c>
      <c r="R2635" s="24">
        <f t="shared" si="167"/>
        <v>67000</v>
      </c>
      <c r="S2635" s="5"/>
      <c r="T2635" s="5"/>
    </row>
    <row r="2636" spans="2:20" ht="15.75" hidden="1" x14ac:dyDescent="0.25">
      <c r="B2636" s="21" t="s">
        <v>395</v>
      </c>
      <c r="C2636" s="22" t="s">
        <v>2450</v>
      </c>
      <c r="D2636" s="22"/>
      <c r="E2636" s="21" t="s">
        <v>0</v>
      </c>
      <c r="F2636" s="21"/>
      <c r="G2636" s="147" t="s">
        <v>3261</v>
      </c>
      <c r="H2636" s="23" t="s">
        <v>2143</v>
      </c>
      <c r="I2636" s="23" t="s">
        <v>7850</v>
      </c>
      <c r="J2636" s="21" t="s">
        <v>1462</v>
      </c>
      <c r="K2636" s="21"/>
      <c r="L2636" s="21" t="s">
        <v>2357</v>
      </c>
      <c r="M2636" s="26">
        <v>43738</v>
      </c>
      <c r="N2636" s="44">
        <v>200000</v>
      </c>
      <c r="O2636" s="22" t="s">
        <v>15</v>
      </c>
      <c r="P2636" s="22" t="s">
        <v>19</v>
      </c>
      <c r="Q2636" s="24">
        <f t="shared" si="166"/>
        <v>0</v>
      </c>
      <c r="R2636" s="24">
        <f t="shared" si="167"/>
        <v>200000</v>
      </c>
      <c r="S2636" s="5"/>
      <c r="T2636" s="5"/>
    </row>
    <row r="2637" spans="2:20" ht="15.75" hidden="1" x14ac:dyDescent="0.25">
      <c r="B2637" s="21" t="s">
        <v>395</v>
      </c>
      <c r="C2637" s="22" t="s">
        <v>2450</v>
      </c>
      <c r="D2637" s="22"/>
      <c r="E2637" s="21" t="s">
        <v>0</v>
      </c>
      <c r="F2637" s="21"/>
      <c r="G2637" s="147" t="s">
        <v>3261</v>
      </c>
      <c r="H2637" s="23" t="s">
        <v>2144</v>
      </c>
      <c r="I2637" s="23" t="s">
        <v>7893</v>
      </c>
      <c r="J2637" s="21" t="s">
        <v>2423</v>
      </c>
      <c r="K2637" s="120"/>
      <c r="L2637" s="21" t="s">
        <v>2425</v>
      </c>
      <c r="M2637" s="26">
        <v>43783</v>
      </c>
      <c r="N2637" s="44">
        <f>0.5*66000</f>
        <v>33000</v>
      </c>
      <c r="O2637" s="22" t="s">
        <v>15</v>
      </c>
      <c r="P2637" s="22" t="s">
        <v>19</v>
      </c>
      <c r="Q2637" s="24">
        <f t="shared" si="166"/>
        <v>0</v>
      </c>
      <c r="R2637" s="24">
        <f t="shared" si="167"/>
        <v>33000</v>
      </c>
      <c r="S2637" s="5"/>
      <c r="T2637" s="5"/>
    </row>
    <row r="2638" spans="2:20" ht="15.75" hidden="1" x14ac:dyDescent="0.25">
      <c r="B2638" s="21" t="s">
        <v>395</v>
      </c>
      <c r="C2638" s="22" t="s">
        <v>2450</v>
      </c>
      <c r="D2638" s="22"/>
      <c r="E2638" s="21" t="s">
        <v>0</v>
      </c>
      <c r="F2638" s="21"/>
      <c r="G2638" s="147" t="s">
        <v>3261</v>
      </c>
      <c r="H2638" s="23" t="s">
        <v>2144</v>
      </c>
      <c r="I2638" s="23" t="s">
        <v>7893</v>
      </c>
      <c r="J2638" s="21" t="s">
        <v>2424</v>
      </c>
      <c r="K2638" s="120"/>
      <c r="L2638" s="21" t="s">
        <v>2591</v>
      </c>
      <c r="M2638" s="26">
        <v>43802</v>
      </c>
      <c r="N2638" s="44">
        <f>0.5*66000</f>
        <v>33000</v>
      </c>
      <c r="O2638" s="22" t="s">
        <v>15</v>
      </c>
      <c r="P2638" s="22" t="s">
        <v>19</v>
      </c>
      <c r="Q2638" s="24">
        <f t="shared" si="166"/>
        <v>0</v>
      </c>
      <c r="R2638" s="24">
        <f t="shared" si="167"/>
        <v>33000</v>
      </c>
      <c r="S2638" s="5"/>
      <c r="T2638" s="5"/>
    </row>
    <row r="2639" spans="2:20" ht="15.75" hidden="1" x14ac:dyDescent="0.25">
      <c r="B2639" s="21" t="s">
        <v>395</v>
      </c>
      <c r="C2639" s="22" t="s">
        <v>2450</v>
      </c>
      <c r="D2639" s="22"/>
      <c r="E2639" s="21" t="s">
        <v>0</v>
      </c>
      <c r="F2639" s="21"/>
      <c r="G2639" s="147" t="s">
        <v>3261</v>
      </c>
      <c r="H2639" s="23" t="s">
        <v>2146</v>
      </c>
      <c r="I2639" s="23"/>
      <c r="J2639" s="21" t="s">
        <v>2145</v>
      </c>
      <c r="K2639" s="120"/>
      <c r="L2639" s="21"/>
      <c r="M2639" s="26"/>
      <c r="N2639" s="44">
        <v>0</v>
      </c>
      <c r="O2639" s="22" t="s">
        <v>15</v>
      </c>
      <c r="P2639" s="44" t="s">
        <v>19</v>
      </c>
      <c r="Q2639" s="24">
        <f t="shared" si="166"/>
        <v>0</v>
      </c>
      <c r="R2639" s="116">
        <f t="shared" si="167"/>
        <v>0</v>
      </c>
      <c r="S2639" s="5" t="s">
        <v>2760</v>
      </c>
      <c r="T2639" s="5"/>
    </row>
    <row r="2640" spans="2:20" ht="15.75" hidden="1" x14ac:dyDescent="0.25">
      <c r="B2640" s="21" t="s">
        <v>395</v>
      </c>
      <c r="C2640" s="22" t="s">
        <v>2450</v>
      </c>
      <c r="D2640" s="22"/>
      <c r="E2640" s="21" t="s">
        <v>0</v>
      </c>
      <c r="F2640" s="21"/>
      <c r="G2640" s="147" t="s">
        <v>3261</v>
      </c>
      <c r="H2640" s="23" t="s">
        <v>3335</v>
      </c>
      <c r="I2640" s="23" t="s">
        <v>7901</v>
      </c>
      <c r="J2640" s="21" t="s">
        <v>2526</v>
      </c>
      <c r="K2640" s="120"/>
      <c r="L2640" s="21" t="s">
        <v>2592</v>
      </c>
      <c r="M2640" s="26">
        <v>43802</v>
      </c>
      <c r="N2640" s="44">
        <v>3800</v>
      </c>
      <c r="O2640" s="22" t="s">
        <v>15</v>
      </c>
      <c r="P2640" s="22" t="s">
        <v>19</v>
      </c>
      <c r="Q2640" s="24">
        <f t="shared" si="166"/>
        <v>0</v>
      </c>
      <c r="R2640" s="24">
        <f t="shared" si="167"/>
        <v>3800</v>
      </c>
      <c r="S2640" s="5"/>
      <c r="T2640" s="5"/>
    </row>
    <row r="2641" spans="1:20" ht="15.75" hidden="1" x14ac:dyDescent="0.25">
      <c r="B2641" s="21" t="s">
        <v>395</v>
      </c>
      <c r="C2641" s="22" t="s">
        <v>2450</v>
      </c>
      <c r="D2641" s="22"/>
      <c r="E2641" s="21" t="s">
        <v>0</v>
      </c>
      <c r="F2641" s="21"/>
      <c r="G2641" s="147" t="s">
        <v>3261</v>
      </c>
      <c r="H2641" s="23" t="s">
        <v>3336</v>
      </c>
      <c r="I2641" s="23" t="s">
        <v>7913</v>
      </c>
      <c r="J2641" s="21" t="s">
        <v>2902</v>
      </c>
      <c r="K2641" s="120"/>
      <c r="L2641" s="21" t="s">
        <v>2903</v>
      </c>
      <c r="M2641" s="26">
        <v>43878</v>
      </c>
      <c r="N2641" s="44">
        <v>4850</v>
      </c>
      <c r="O2641" s="22" t="s">
        <v>15</v>
      </c>
      <c r="P2641" s="22" t="s">
        <v>19</v>
      </c>
      <c r="Q2641" s="24">
        <f t="shared" si="166"/>
        <v>0</v>
      </c>
      <c r="R2641" s="24">
        <f t="shared" si="167"/>
        <v>4850</v>
      </c>
      <c r="S2641" s="5"/>
      <c r="T2641" s="5"/>
    </row>
    <row r="2642" spans="1:20" ht="15.75" hidden="1" x14ac:dyDescent="0.25">
      <c r="B2642" s="21" t="s">
        <v>395</v>
      </c>
      <c r="C2642" s="22" t="s">
        <v>2450</v>
      </c>
      <c r="D2642" s="22"/>
      <c r="E2642" s="21" t="s">
        <v>0</v>
      </c>
      <c r="F2642" s="21"/>
      <c r="G2642" s="147" t="s">
        <v>3261</v>
      </c>
      <c r="H2642" s="23" t="s">
        <v>4084</v>
      </c>
      <c r="I2642" s="23" t="s">
        <v>7925</v>
      </c>
      <c r="J2642" s="21" t="s">
        <v>3262</v>
      </c>
      <c r="K2642" s="120"/>
      <c r="L2642" s="21" t="s">
        <v>3787</v>
      </c>
      <c r="M2642" s="26">
        <v>44043</v>
      </c>
      <c r="N2642" s="44">
        <v>52000</v>
      </c>
      <c r="O2642" s="22" t="s">
        <v>15</v>
      </c>
      <c r="P2642" s="22" t="s">
        <v>19</v>
      </c>
      <c r="Q2642" s="24">
        <f t="shared" si="166"/>
        <v>0</v>
      </c>
      <c r="R2642" s="24">
        <f t="shared" si="167"/>
        <v>52000</v>
      </c>
      <c r="S2642" s="5"/>
      <c r="T2642" s="5"/>
    </row>
    <row r="2643" spans="1:20" ht="15.75" hidden="1" x14ac:dyDescent="0.25">
      <c r="B2643" s="21" t="s">
        <v>395</v>
      </c>
      <c r="C2643" s="22" t="s">
        <v>2450</v>
      </c>
      <c r="D2643" s="22"/>
      <c r="E2643" s="21" t="s">
        <v>0</v>
      </c>
      <c r="F2643" s="21"/>
      <c r="G2643" s="147" t="s">
        <v>3261</v>
      </c>
      <c r="H2643" s="23" t="s">
        <v>4085</v>
      </c>
      <c r="I2643" s="23" t="s">
        <v>7925</v>
      </c>
      <c r="J2643" s="21" t="s">
        <v>3263</v>
      </c>
      <c r="K2643" s="120"/>
      <c r="L2643" s="21" t="s">
        <v>3756</v>
      </c>
      <c r="M2643" s="26">
        <v>44103</v>
      </c>
      <c r="N2643" s="44">
        <v>12000</v>
      </c>
      <c r="O2643" s="22" t="s">
        <v>15</v>
      </c>
      <c r="P2643" s="22" t="s">
        <v>19</v>
      </c>
      <c r="Q2643" s="24">
        <f t="shared" si="166"/>
        <v>0</v>
      </c>
      <c r="R2643" s="24">
        <f t="shared" si="167"/>
        <v>12000</v>
      </c>
      <c r="S2643" s="5" t="s">
        <v>3485</v>
      </c>
      <c r="T2643" s="5"/>
    </row>
    <row r="2644" spans="1:20" ht="15.75" hidden="1" x14ac:dyDescent="0.25">
      <c r="B2644" s="21" t="s">
        <v>395</v>
      </c>
      <c r="C2644" s="22" t="s">
        <v>2450</v>
      </c>
      <c r="D2644" s="22"/>
      <c r="E2644" s="21" t="s">
        <v>0</v>
      </c>
      <c r="F2644" s="21"/>
      <c r="G2644" s="147" t="s">
        <v>3261</v>
      </c>
      <c r="H2644" s="23" t="s">
        <v>4085</v>
      </c>
      <c r="I2644" s="23" t="s">
        <v>7925</v>
      </c>
      <c r="J2644" s="21" t="s">
        <v>3263</v>
      </c>
      <c r="K2644" s="120"/>
      <c r="L2644" s="21" t="s">
        <v>3786</v>
      </c>
      <c r="M2644" s="26">
        <v>44043</v>
      </c>
      <c r="N2644" s="44">
        <v>6000</v>
      </c>
      <c r="O2644" s="22" t="s">
        <v>15</v>
      </c>
      <c r="P2644" s="22" t="s">
        <v>19</v>
      </c>
      <c r="Q2644" s="24">
        <f t="shared" si="166"/>
        <v>0</v>
      </c>
      <c r="R2644" s="24">
        <f t="shared" si="167"/>
        <v>6000</v>
      </c>
      <c r="S2644" s="5" t="s">
        <v>3485</v>
      </c>
      <c r="T2644" s="5"/>
    </row>
    <row r="2645" spans="1:20" s="252" customFormat="1" ht="15.75" hidden="1" x14ac:dyDescent="0.25">
      <c r="A2645"/>
      <c r="B2645" s="21" t="s">
        <v>395</v>
      </c>
      <c r="C2645" s="22" t="s">
        <v>2450</v>
      </c>
      <c r="D2645" s="22"/>
      <c r="E2645" s="21" t="s">
        <v>0</v>
      </c>
      <c r="F2645" s="21"/>
      <c r="G2645" s="147" t="s">
        <v>3261</v>
      </c>
      <c r="H2645" s="23" t="s">
        <v>4085</v>
      </c>
      <c r="I2645" s="23" t="s">
        <v>7925</v>
      </c>
      <c r="J2645" s="21" t="s">
        <v>3263</v>
      </c>
      <c r="K2645" s="120"/>
      <c r="L2645" s="21" t="s">
        <v>4059</v>
      </c>
      <c r="M2645" s="26">
        <v>44161</v>
      </c>
      <c r="N2645" s="44">
        <v>6000</v>
      </c>
      <c r="O2645" s="22" t="s">
        <v>15</v>
      </c>
      <c r="P2645" s="22" t="s">
        <v>19</v>
      </c>
      <c r="Q2645" s="24">
        <f t="shared" si="166"/>
        <v>0</v>
      </c>
      <c r="R2645" s="24">
        <f t="shared" si="167"/>
        <v>6000</v>
      </c>
      <c r="S2645" s="5" t="s">
        <v>3485</v>
      </c>
      <c r="T2645" s="5"/>
    </row>
    <row r="2646" spans="1:20" ht="15.75" hidden="1" x14ac:dyDescent="0.25">
      <c r="B2646" s="21" t="s">
        <v>395</v>
      </c>
      <c r="C2646" s="22" t="s">
        <v>2450</v>
      </c>
      <c r="D2646" s="22"/>
      <c r="E2646" s="21" t="s">
        <v>0</v>
      </c>
      <c r="F2646" s="21"/>
      <c r="G2646" s="147" t="s">
        <v>3261</v>
      </c>
      <c r="H2646" s="23" t="s">
        <v>4085</v>
      </c>
      <c r="I2646" s="23" t="s">
        <v>7925</v>
      </c>
      <c r="J2646" s="21" t="s">
        <v>3263</v>
      </c>
      <c r="K2646" s="120"/>
      <c r="L2646" s="21" t="s">
        <v>4059</v>
      </c>
      <c r="M2646" s="26">
        <v>44161</v>
      </c>
      <c r="N2646" s="44">
        <v>6000</v>
      </c>
      <c r="O2646" s="22" t="s">
        <v>15</v>
      </c>
      <c r="P2646" s="22" t="s">
        <v>19</v>
      </c>
      <c r="Q2646" s="24">
        <f t="shared" si="166"/>
        <v>0</v>
      </c>
      <c r="R2646" s="24">
        <f t="shared" si="167"/>
        <v>6000</v>
      </c>
      <c r="S2646" s="5" t="s">
        <v>3485</v>
      </c>
      <c r="T2646" s="5"/>
    </row>
    <row r="2647" spans="1:20" ht="15.75" hidden="1" x14ac:dyDescent="0.25">
      <c r="B2647" s="21" t="s">
        <v>395</v>
      </c>
      <c r="C2647" s="22" t="s">
        <v>2450</v>
      </c>
      <c r="D2647" s="22"/>
      <c r="E2647" s="21" t="s">
        <v>0</v>
      </c>
      <c r="F2647" s="21"/>
      <c r="G2647" s="147" t="s">
        <v>3261</v>
      </c>
      <c r="H2647" s="23" t="s">
        <v>4085</v>
      </c>
      <c r="I2647" s="23" t="s">
        <v>7925</v>
      </c>
      <c r="J2647" s="21" t="s">
        <v>3954</v>
      </c>
      <c r="K2647" s="120"/>
      <c r="L2647" s="21"/>
      <c r="M2647" s="26"/>
      <c r="N2647" s="44">
        <v>0</v>
      </c>
      <c r="O2647" s="22" t="s">
        <v>15</v>
      </c>
      <c r="P2647" s="22" t="s">
        <v>19</v>
      </c>
      <c r="Q2647" s="24">
        <f t="shared" si="166"/>
        <v>0</v>
      </c>
      <c r="R2647" s="24">
        <f t="shared" si="167"/>
        <v>0</v>
      </c>
      <c r="S2647" s="5" t="s">
        <v>3485</v>
      </c>
      <c r="T2647" s="5"/>
    </row>
    <row r="2648" spans="1:20" ht="15.75" hidden="1" x14ac:dyDescent="0.25">
      <c r="B2648" s="21" t="s">
        <v>395</v>
      </c>
      <c r="C2648" s="22" t="s">
        <v>2450</v>
      </c>
      <c r="D2648" s="22"/>
      <c r="E2648" s="21" t="s">
        <v>0</v>
      </c>
      <c r="F2648" s="21"/>
      <c r="G2648" s="147" t="s">
        <v>3261</v>
      </c>
      <c r="H2648" s="23" t="s">
        <v>4085</v>
      </c>
      <c r="I2648" s="23" t="s">
        <v>7925</v>
      </c>
      <c r="J2648" s="21" t="s">
        <v>3264</v>
      </c>
      <c r="K2648" s="120"/>
      <c r="L2648" s="21" t="s">
        <v>3906</v>
      </c>
      <c r="M2648" s="23" t="s">
        <v>3907</v>
      </c>
      <c r="N2648" s="44">
        <v>12000</v>
      </c>
      <c r="O2648" s="22" t="s">
        <v>15</v>
      </c>
      <c r="P2648" s="22" t="s">
        <v>19</v>
      </c>
      <c r="Q2648" s="24">
        <f t="shared" si="166"/>
        <v>0</v>
      </c>
      <c r="R2648" s="24">
        <f t="shared" si="167"/>
        <v>12000</v>
      </c>
      <c r="S2648" s="5" t="s">
        <v>3485</v>
      </c>
      <c r="T2648" s="5"/>
    </row>
    <row r="2649" spans="1:20" ht="15.75" hidden="1" x14ac:dyDescent="0.25">
      <c r="B2649" s="21" t="s">
        <v>395</v>
      </c>
      <c r="C2649" s="22" t="s">
        <v>2450</v>
      </c>
      <c r="D2649" s="22"/>
      <c r="E2649" s="21" t="s">
        <v>0</v>
      </c>
      <c r="F2649" s="21"/>
      <c r="G2649" s="147" t="s">
        <v>3261</v>
      </c>
      <c r="H2649" s="23" t="s">
        <v>4085</v>
      </c>
      <c r="I2649" s="23" t="s">
        <v>7925</v>
      </c>
      <c r="J2649" s="21" t="s">
        <v>3264</v>
      </c>
      <c r="K2649" s="120"/>
      <c r="L2649" s="21" t="s">
        <v>3756</v>
      </c>
      <c r="M2649" s="26">
        <v>44103</v>
      </c>
      <c r="N2649" s="44">
        <v>6000</v>
      </c>
      <c r="O2649" s="22" t="s">
        <v>15</v>
      </c>
      <c r="P2649" s="22" t="s">
        <v>19</v>
      </c>
      <c r="Q2649" s="24">
        <f t="shared" si="166"/>
        <v>0</v>
      </c>
      <c r="R2649" s="24">
        <f t="shared" si="167"/>
        <v>6000</v>
      </c>
      <c r="S2649" s="5" t="s">
        <v>3485</v>
      </c>
      <c r="T2649" s="5"/>
    </row>
    <row r="2650" spans="1:20" ht="15.75" hidden="1" x14ac:dyDescent="0.25">
      <c r="B2650" s="21" t="s">
        <v>395</v>
      </c>
      <c r="C2650" s="22" t="s">
        <v>2450</v>
      </c>
      <c r="D2650" s="22"/>
      <c r="E2650" s="21" t="s">
        <v>0</v>
      </c>
      <c r="F2650" s="21"/>
      <c r="G2650" s="147" t="s">
        <v>3261</v>
      </c>
      <c r="H2650" s="23" t="s">
        <v>4085</v>
      </c>
      <c r="I2650" s="23" t="s">
        <v>7925</v>
      </c>
      <c r="J2650" s="21" t="s">
        <v>3264</v>
      </c>
      <c r="K2650" s="120"/>
      <c r="L2650" s="21" t="s">
        <v>4059</v>
      </c>
      <c r="M2650" s="26">
        <v>44161</v>
      </c>
      <c r="N2650" s="44">
        <v>6000</v>
      </c>
      <c r="O2650" s="22" t="s">
        <v>15</v>
      </c>
      <c r="P2650" s="22" t="s">
        <v>19</v>
      </c>
      <c r="Q2650" s="24">
        <f t="shared" si="166"/>
        <v>0</v>
      </c>
      <c r="R2650" s="24">
        <f t="shared" si="167"/>
        <v>6000</v>
      </c>
      <c r="S2650" s="5" t="s">
        <v>3485</v>
      </c>
      <c r="T2650" s="5"/>
    </row>
    <row r="2651" spans="1:20" ht="15.75" hidden="1" x14ac:dyDescent="0.25">
      <c r="B2651" s="21" t="s">
        <v>395</v>
      </c>
      <c r="C2651" s="22" t="s">
        <v>2450</v>
      </c>
      <c r="D2651" s="22"/>
      <c r="E2651" s="21" t="s">
        <v>0</v>
      </c>
      <c r="F2651" s="21"/>
      <c r="G2651" s="147" t="s">
        <v>3261</v>
      </c>
      <c r="H2651" s="23" t="s">
        <v>4085</v>
      </c>
      <c r="I2651" s="23" t="s">
        <v>7925</v>
      </c>
      <c r="J2651" s="21" t="s">
        <v>3264</v>
      </c>
      <c r="K2651" s="120"/>
      <c r="L2651" s="21" t="s">
        <v>4059</v>
      </c>
      <c r="M2651" s="26">
        <v>44161</v>
      </c>
      <c r="N2651" s="44">
        <v>6000</v>
      </c>
      <c r="O2651" s="22" t="s">
        <v>15</v>
      </c>
      <c r="P2651" s="22" t="s">
        <v>19</v>
      </c>
      <c r="Q2651" s="24">
        <f t="shared" si="166"/>
        <v>0</v>
      </c>
      <c r="R2651" s="24">
        <f t="shared" si="167"/>
        <v>6000</v>
      </c>
      <c r="S2651" s="5" t="s">
        <v>3485</v>
      </c>
      <c r="T2651" s="5"/>
    </row>
    <row r="2652" spans="1:20" ht="15.75" hidden="1" x14ac:dyDescent="0.25">
      <c r="B2652" s="21" t="s">
        <v>395</v>
      </c>
      <c r="C2652" s="22" t="s">
        <v>2450</v>
      </c>
      <c r="D2652" s="22"/>
      <c r="E2652" s="21" t="s">
        <v>0</v>
      </c>
      <c r="F2652" s="21"/>
      <c r="G2652" s="147" t="s">
        <v>3261</v>
      </c>
      <c r="H2652" s="23" t="s">
        <v>4085</v>
      </c>
      <c r="I2652" s="23" t="s">
        <v>7925</v>
      </c>
      <c r="J2652" s="21" t="s">
        <v>3264</v>
      </c>
      <c r="K2652" s="120"/>
      <c r="L2652" s="21" t="s">
        <v>3786</v>
      </c>
      <c r="M2652" s="26">
        <v>44043</v>
      </c>
      <c r="N2652" s="44">
        <v>6000</v>
      </c>
      <c r="O2652" s="22" t="s">
        <v>15</v>
      </c>
      <c r="P2652" s="22" t="s">
        <v>19</v>
      </c>
      <c r="Q2652" s="24">
        <f t="shared" si="166"/>
        <v>0</v>
      </c>
      <c r="R2652" s="24">
        <f t="shared" si="167"/>
        <v>6000</v>
      </c>
      <c r="S2652" s="5" t="s">
        <v>3485</v>
      </c>
      <c r="T2652" s="5"/>
    </row>
    <row r="2653" spans="1:20" ht="15.75" hidden="1" x14ac:dyDescent="0.25">
      <c r="B2653" s="21" t="s">
        <v>395</v>
      </c>
      <c r="C2653" s="22" t="s">
        <v>2450</v>
      </c>
      <c r="D2653" s="22"/>
      <c r="E2653" s="21" t="s">
        <v>0</v>
      </c>
      <c r="F2653" s="21"/>
      <c r="G2653" s="147" t="s">
        <v>3261</v>
      </c>
      <c r="H2653" s="23" t="s">
        <v>4085</v>
      </c>
      <c r="I2653" s="23" t="s">
        <v>7925</v>
      </c>
      <c r="J2653" s="21" t="s">
        <v>3954</v>
      </c>
      <c r="K2653" s="120"/>
      <c r="L2653" s="21"/>
      <c r="M2653" s="26"/>
      <c r="N2653" s="44">
        <v>0</v>
      </c>
      <c r="O2653" s="22" t="s">
        <v>15</v>
      </c>
      <c r="P2653" s="22" t="s">
        <v>19</v>
      </c>
      <c r="Q2653" s="24">
        <f t="shared" si="166"/>
        <v>0</v>
      </c>
      <c r="R2653" s="24">
        <f t="shared" si="167"/>
        <v>0</v>
      </c>
      <c r="S2653" s="5" t="s">
        <v>3485</v>
      </c>
      <c r="T2653" s="5"/>
    </row>
    <row r="2654" spans="1:20" ht="15.75" hidden="1" x14ac:dyDescent="0.25">
      <c r="B2654" s="21" t="s">
        <v>395</v>
      </c>
      <c r="C2654" s="22" t="s">
        <v>2450</v>
      </c>
      <c r="D2654" s="22"/>
      <c r="E2654" s="21" t="s">
        <v>0</v>
      </c>
      <c r="F2654" s="21"/>
      <c r="G2654" s="147" t="s">
        <v>3261</v>
      </c>
      <c r="H2654" s="23" t="s">
        <v>4085</v>
      </c>
      <c r="I2654" s="23" t="s">
        <v>7925</v>
      </c>
      <c r="J2654" s="21" t="s">
        <v>3265</v>
      </c>
      <c r="K2654" s="120"/>
      <c r="L2654" s="21" t="s">
        <v>3756</v>
      </c>
      <c r="M2654" s="26">
        <v>44103</v>
      </c>
      <c r="N2654" s="44">
        <v>6000</v>
      </c>
      <c r="O2654" s="22" t="s">
        <v>15</v>
      </c>
      <c r="P2654" s="22" t="s">
        <v>19</v>
      </c>
      <c r="Q2654" s="24">
        <f t="shared" si="166"/>
        <v>0</v>
      </c>
      <c r="R2654" s="24">
        <f t="shared" si="167"/>
        <v>6000</v>
      </c>
      <c r="S2654" s="5" t="s">
        <v>3485</v>
      </c>
      <c r="T2654" s="5"/>
    </row>
    <row r="2655" spans="1:20" ht="15.75" hidden="1" x14ac:dyDescent="0.25">
      <c r="B2655" s="21" t="s">
        <v>395</v>
      </c>
      <c r="C2655" s="22" t="s">
        <v>2450</v>
      </c>
      <c r="D2655" s="22"/>
      <c r="E2655" s="21" t="s">
        <v>0</v>
      </c>
      <c r="F2655" s="21"/>
      <c r="G2655" s="147" t="s">
        <v>3261</v>
      </c>
      <c r="H2655" s="23" t="s">
        <v>4085</v>
      </c>
      <c r="I2655" s="23" t="s">
        <v>7925</v>
      </c>
      <c r="J2655" s="21" t="s">
        <v>3265</v>
      </c>
      <c r="K2655" s="120"/>
      <c r="L2655" s="21" t="s">
        <v>3908</v>
      </c>
      <c r="M2655" s="26">
        <v>44134</v>
      </c>
      <c r="N2655" s="44">
        <v>12000</v>
      </c>
      <c r="O2655" s="22" t="s">
        <v>15</v>
      </c>
      <c r="P2655" s="22" t="s">
        <v>19</v>
      </c>
      <c r="Q2655" s="24">
        <f t="shared" si="166"/>
        <v>0</v>
      </c>
      <c r="R2655" s="24">
        <f t="shared" si="167"/>
        <v>12000</v>
      </c>
      <c r="S2655" s="5" t="s">
        <v>3485</v>
      </c>
      <c r="T2655" s="5"/>
    </row>
    <row r="2656" spans="1:20" ht="15.75" hidden="1" x14ac:dyDescent="0.25">
      <c r="B2656" s="21" t="s">
        <v>395</v>
      </c>
      <c r="C2656" s="22" t="s">
        <v>2450</v>
      </c>
      <c r="D2656" s="22"/>
      <c r="E2656" s="21" t="s">
        <v>0</v>
      </c>
      <c r="F2656" s="21"/>
      <c r="G2656" s="147" t="s">
        <v>3261</v>
      </c>
      <c r="H2656" s="23" t="s">
        <v>4085</v>
      </c>
      <c r="I2656" s="23" t="s">
        <v>7925</v>
      </c>
      <c r="J2656" s="21" t="s">
        <v>3265</v>
      </c>
      <c r="K2656" s="120"/>
      <c r="L2656" s="21" t="s">
        <v>3786</v>
      </c>
      <c r="M2656" s="26">
        <v>44043</v>
      </c>
      <c r="N2656" s="44">
        <v>6000</v>
      </c>
      <c r="O2656" s="22" t="s">
        <v>15</v>
      </c>
      <c r="P2656" s="22" t="s">
        <v>19</v>
      </c>
      <c r="Q2656" s="24">
        <f t="shared" si="166"/>
        <v>0</v>
      </c>
      <c r="R2656" s="24">
        <f t="shared" si="167"/>
        <v>6000</v>
      </c>
      <c r="S2656" s="5" t="s">
        <v>3485</v>
      </c>
      <c r="T2656" s="5"/>
    </row>
    <row r="2657" spans="2:20" ht="15.75" hidden="1" x14ac:dyDescent="0.25">
      <c r="B2657" s="21" t="s">
        <v>395</v>
      </c>
      <c r="C2657" s="22" t="s">
        <v>2450</v>
      </c>
      <c r="D2657" s="22"/>
      <c r="E2657" s="21" t="s">
        <v>0</v>
      </c>
      <c r="F2657" s="21"/>
      <c r="G2657" s="147" t="s">
        <v>3261</v>
      </c>
      <c r="H2657" s="23" t="s">
        <v>4085</v>
      </c>
      <c r="I2657" s="23" t="s">
        <v>7925</v>
      </c>
      <c r="J2657" s="21" t="s">
        <v>3265</v>
      </c>
      <c r="K2657" s="120"/>
      <c r="L2657" s="21" t="s">
        <v>3908</v>
      </c>
      <c r="M2657" s="26">
        <v>44134</v>
      </c>
      <c r="N2657" s="44">
        <v>6000</v>
      </c>
      <c r="O2657" s="22" t="s">
        <v>15</v>
      </c>
      <c r="P2657" s="22" t="s">
        <v>19</v>
      </c>
      <c r="Q2657" s="24">
        <f t="shared" si="166"/>
        <v>0</v>
      </c>
      <c r="R2657" s="24">
        <f t="shared" si="167"/>
        <v>6000</v>
      </c>
      <c r="S2657" s="5" t="s">
        <v>3485</v>
      </c>
      <c r="T2657" s="5"/>
    </row>
    <row r="2658" spans="2:20" ht="15.75" hidden="1" x14ac:dyDescent="0.25">
      <c r="B2658" s="21" t="s">
        <v>395</v>
      </c>
      <c r="C2658" s="22" t="s">
        <v>2450</v>
      </c>
      <c r="D2658" s="22"/>
      <c r="E2658" s="21" t="s">
        <v>0</v>
      </c>
      <c r="F2658" s="21"/>
      <c r="G2658" s="147" t="s">
        <v>3261</v>
      </c>
      <c r="H2658" s="23" t="s">
        <v>4085</v>
      </c>
      <c r="I2658" s="23" t="s">
        <v>7925</v>
      </c>
      <c r="J2658" s="21" t="s">
        <v>3265</v>
      </c>
      <c r="K2658" s="120"/>
      <c r="L2658" s="21" t="s">
        <v>3908</v>
      </c>
      <c r="M2658" s="26">
        <v>44134</v>
      </c>
      <c r="N2658" s="44">
        <v>6000</v>
      </c>
      <c r="O2658" s="22" t="s">
        <v>15</v>
      </c>
      <c r="P2658" s="22" t="s">
        <v>19</v>
      </c>
      <c r="Q2658" s="24">
        <f t="shared" si="166"/>
        <v>0</v>
      </c>
      <c r="R2658" s="24">
        <f t="shared" si="167"/>
        <v>6000</v>
      </c>
      <c r="S2658" s="5" t="s">
        <v>3485</v>
      </c>
      <c r="T2658" s="5"/>
    </row>
    <row r="2659" spans="2:20" ht="15.75" hidden="1" x14ac:dyDescent="0.25">
      <c r="B2659" s="21" t="s">
        <v>395</v>
      </c>
      <c r="C2659" s="22" t="s">
        <v>2450</v>
      </c>
      <c r="D2659" s="22"/>
      <c r="E2659" s="21" t="s">
        <v>0</v>
      </c>
      <c r="F2659" s="21"/>
      <c r="G2659" s="147" t="s">
        <v>3261</v>
      </c>
      <c r="H2659" s="23" t="s">
        <v>4085</v>
      </c>
      <c r="I2659" s="23" t="s">
        <v>7925</v>
      </c>
      <c r="J2659" s="21" t="s">
        <v>3954</v>
      </c>
      <c r="K2659" s="120"/>
      <c r="L2659" s="21"/>
      <c r="M2659" s="26"/>
      <c r="N2659" s="44">
        <v>0</v>
      </c>
      <c r="O2659" s="22" t="s">
        <v>15</v>
      </c>
      <c r="P2659" s="22" t="s">
        <v>19</v>
      </c>
      <c r="Q2659" s="24">
        <f t="shared" si="166"/>
        <v>0</v>
      </c>
      <c r="R2659" s="24">
        <f t="shared" si="167"/>
        <v>0</v>
      </c>
      <c r="S2659" s="5" t="s">
        <v>3485</v>
      </c>
      <c r="T2659" s="5"/>
    </row>
    <row r="2660" spans="2:20" ht="15.75" hidden="1" x14ac:dyDescent="0.25">
      <c r="B2660" s="21" t="s">
        <v>395</v>
      </c>
      <c r="C2660" s="22" t="s">
        <v>2450</v>
      </c>
      <c r="D2660" s="22"/>
      <c r="E2660" s="21" t="s">
        <v>0</v>
      </c>
      <c r="F2660" s="21"/>
      <c r="G2660" s="147" t="s">
        <v>3261</v>
      </c>
      <c r="H2660" s="23" t="s">
        <v>4085</v>
      </c>
      <c r="I2660" s="23" t="s">
        <v>7925</v>
      </c>
      <c r="J2660" s="21" t="s">
        <v>3266</v>
      </c>
      <c r="K2660" s="120"/>
      <c r="L2660" s="21" t="s">
        <v>4059</v>
      </c>
      <c r="M2660" s="26">
        <v>44161</v>
      </c>
      <c r="N2660" s="44">
        <v>3000</v>
      </c>
      <c r="O2660" s="22" t="s">
        <v>15</v>
      </c>
      <c r="P2660" s="22" t="s">
        <v>19</v>
      </c>
      <c r="Q2660" s="24">
        <f t="shared" si="166"/>
        <v>0</v>
      </c>
      <c r="R2660" s="24">
        <f t="shared" si="167"/>
        <v>3000</v>
      </c>
      <c r="S2660" s="5" t="s">
        <v>3485</v>
      </c>
      <c r="T2660" s="5"/>
    </row>
    <row r="2661" spans="2:20" ht="15.75" hidden="1" x14ac:dyDescent="0.25">
      <c r="B2661" s="21" t="s">
        <v>395</v>
      </c>
      <c r="C2661" s="22" t="s">
        <v>2450</v>
      </c>
      <c r="D2661" s="22"/>
      <c r="E2661" s="21" t="s">
        <v>0</v>
      </c>
      <c r="F2661" s="21"/>
      <c r="G2661" s="147" t="s">
        <v>3261</v>
      </c>
      <c r="H2661" s="23" t="s">
        <v>4085</v>
      </c>
      <c r="I2661" s="23" t="s">
        <v>7925</v>
      </c>
      <c r="J2661" s="21" t="s">
        <v>3267</v>
      </c>
      <c r="K2661" s="120"/>
      <c r="L2661" s="21" t="s">
        <v>4059</v>
      </c>
      <c r="M2661" s="26">
        <v>44161</v>
      </c>
      <c r="N2661" s="44">
        <v>12000</v>
      </c>
      <c r="O2661" s="22" t="s">
        <v>15</v>
      </c>
      <c r="P2661" s="22" t="s">
        <v>19</v>
      </c>
      <c r="Q2661" s="24">
        <f t="shared" si="166"/>
        <v>0</v>
      </c>
      <c r="R2661" s="24">
        <f t="shared" si="167"/>
        <v>12000</v>
      </c>
      <c r="S2661" s="5" t="s">
        <v>3485</v>
      </c>
      <c r="T2661" s="5"/>
    </row>
    <row r="2662" spans="2:20" ht="15.75" hidden="1" x14ac:dyDescent="0.25">
      <c r="B2662" s="21" t="s">
        <v>395</v>
      </c>
      <c r="C2662" s="22" t="s">
        <v>2450</v>
      </c>
      <c r="D2662" s="22"/>
      <c r="E2662" s="21" t="s">
        <v>0</v>
      </c>
      <c r="F2662" s="21"/>
      <c r="G2662" s="147" t="s">
        <v>3261</v>
      </c>
      <c r="H2662" s="23" t="s">
        <v>4086</v>
      </c>
      <c r="I2662" s="23" t="s">
        <v>7925</v>
      </c>
      <c r="J2662" s="21" t="s">
        <v>3271</v>
      </c>
      <c r="K2662" s="120"/>
      <c r="L2662" s="21" t="s">
        <v>4221</v>
      </c>
      <c r="M2662" s="26" t="s">
        <v>4081</v>
      </c>
      <c r="N2662" s="44">
        <f>48000+12000+6000</f>
        <v>66000</v>
      </c>
      <c r="O2662" s="22" t="s">
        <v>15</v>
      </c>
      <c r="P2662" s="22">
        <f>6000+48000+12000</f>
        <v>66000</v>
      </c>
      <c r="Q2662" s="24">
        <f t="shared" si="166"/>
        <v>0</v>
      </c>
      <c r="R2662" s="24">
        <f t="shared" si="167"/>
        <v>66000</v>
      </c>
      <c r="S2662" s="5"/>
      <c r="T2662" s="5"/>
    </row>
    <row r="2663" spans="2:20" ht="15.75" hidden="1" x14ac:dyDescent="0.25">
      <c r="B2663" s="21" t="s">
        <v>395</v>
      </c>
      <c r="C2663" s="22" t="s">
        <v>2450</v>
      </c>
      <c r="D2663" s="22"/>
      <c r="E2663" s="21" t="s">
        <v>0</v>
      </c>
      <c r="F2663" s="21"/>
      <c r="G2663" s="147" t="s">
        <v>3261</v>
      </c>
      <c r="H2663" s="23" t="s">
        <v>4086</v>
      </c>
      <c r="I2663" s="23" t="s">
        <v>7925</v>
      </c>
      <c r="J2663" s="21" t="s">
        <v>3268</v>
      </c>
      <c r="K2663" s="120"/>
      <c r="L2663" s="21" t="s">
        <v>4082</v>
      </c>
      <c r="M2663" s="26">
        <v>44167</v>
      </c>
      <c r="N2663" s="44">
        <v>7000</v>
      </c>
      <c r="O2663" s="22" t="s">
        <v>15</v>
      </c>
      <c r="P2663" s="22">
        <v>7000</v>
      </c>
      <c r="Q2663" s="24">
        <f t="shared" si="166"/>
        <v>0</v>
      </c>
      <c r="R2663" s="24">
        <f t="shared" si="167"/>
        <v>7000</v>
      </c>
      <c r="S2663" s="5"/>
      <c r="T2663" s="5"/>
    </row>
    <row r="2664" spans="2:20" ht="15.75" hidden="1" x14ac:dyDescent="0.25">
      <c r="B2664" s="21" t="s">
        <v>395</v>
      </c>
      <c r="C2664" s="22" t="s">
        <v>2450</v>
      </c>
      <c r="D2664" s="22"/>
      <c r="E2664" s="21" t="s">
        <v>0</v>
      </c>
      <c r="F2664" s="21"/>
      <c r="G2664" s="147" t="s">
        <v>3261</v>
      </c>
      <c r="H2664" s="23" t="s">
        <v>4086</v>
      </c>
      <c r="I2664" s="23" t="s">
        <v>7925</v>
      </c>
      <c r="J2664" s="21" t="s">
        <v>3272</v>
      </c>
      <c r="K2664" s="120"/>
      <c r="L2664" s="21" t="s">
        <v>4222</v>
      </c>
      <c r="M2664" s="26">
        <v>44186</v>
      </c>
      <c r="N2664" s="44">
        <f>48000+12000+6000</f>
        <v>66000</v>
      </c>
      <c r="O2664" s="22" t="s">
        <v>15</v>
      </c>
      <c r="P2664" s="22">
        <f>66000</f>
        <v>66000</v>
      </c>
      <c r="Q2664" s="24">
        <f t="shared" si="166"/>
        <v>0</v>
      </c>
      <c r="R2664" s="24">
        <f t="shared" si="167"/>
        <v>66000</v>
      </c>
      <c r="S2664" s="5"/>
      <c r="T2664" s="5"/>
    </row>
    <row r="2665" spans="2:20" ht="15.75" hidden="1" x14ac:dyDescent="0.25">
      <c r="B2665" s="21" t="s">
        <v>395</v>
      </c>
      <c r="C2665" s="22" t="s">
        <v>2450</v>
      </c>
      <c r="D2665" s="22"/>
      <c r="E2665" s="21" t="s">
        <v>0</v>
      </c>
      <c r="F2665" s="21"/>
      <c r="G2665" s="147" t="s">
        <v>3261</v>
      </c>
      <c r="H2665" s="23" t="s">
        <v>4086</v>
      </c>
      <c r="I2665" s="23" t="s">
        <v>7925</v>
      </c>
      <c r="J2665" s="21" t="s">
        <v>3269</v>
      </c>
      <c r="K2665" s="120"/>
      <c r="L2665" s="21" t="s">
        <v>4082</v>
      </c>
      <c r="M2665" s="26">
        <v>44167</v>
      </c>
      <c r="N2665" s="44">
        <v>7000</v>
      </c>
      <c r="O2665" s="22" t="s">
        <v>15</v>
      </c>
      <c r="P2665" s="22">
        <v>7000</v>
      </c>
      <c r="Q2665" s="24">
        <f t="shared" si="166"/>
        <v>0</v>
      </c>
      <c r="R2665" s="24">
        <f t="shared" si="167"/>
        <v>7000</v>
      </c>
      <c r="S2665" s="5"/>
      <c r="T2665" s="5"/>
    </row>
    <row r="2666" spans="2:20" ht="15.75" hidden="1" x14ac:dyDescent="0.25">
      <c r="B2666" s="21" t="s">
        <v>395</v>
      </c>
      <c r="C2666" s="22" t="s">
        <v>2450</v>
      </c>
      <c r="D2666" s="22"/>
      <c r="E2666" s="21" t="s">
        <v>0</v>
      </c>
      <c r="F2666" s="21"/>
      <c r="G2666" s="147" t="s">
        <v>3261</v>
      </c>
      <c r="H2666" s="23" t="s">
        <v>4086</v>
      </c>
      <c r="I2666" s="23" t="s">
        <v>7925</v>
      </c>
      <c r="J2666" s="21" t="s">
        <v>3273</v>
      </c>
      <c r="K2666" s="120"/>
      <c r="L2666" s="21" t="s">
        <v>4283</v>
      </c>
      <c r="M2666" s="26">
        <v>44211</v>
      </c>
      <c r="N2666" s="44">
        <f>48000+12000+6000</f>
        <v>66000</v>
      </c>
      <c r="O2666" s="22" t="s">
        <v>15</v>
      </c>
      <c r="P2666" s="22">
        <v>66000</v>
      </c>
      <c r="Q2666" s="24">
        <f t="shared" si="166"/>
        <v>0</v>
      </c>
      <c r="R2666" s="24">
        <f>IF(P2666="OK",N2666-Q2666,IF(P2668="en cours",N2666-Q2666,P2668))</f>
        <v>66000</v>
      </c>
      <c r="S2666" s="5"/>
      <c r="T2666" s="5"/>
    </row>
    <row r="2667" spans="2:20" ht="15.75" hidden="1" x14ac:dyDescent="0.25">
      <c r="B2667" s="21" t="s">
        <v>395</v>
      </c>
      <c r="C2667" s="22" t="s">
        <v>2450</v>
      </c>
      <c r="D2667" s="22"/>
      <c r="E2667" s="21" t="s">
        <v>0</v>
      </c>
      <c r="F2667" s="21"/>
      <c r="G2667" s="147" t="s">
        <v>3261</v>
      </c>
      <c r="H2667" s="23" t="s">
        <v>4086</v>
      </c>
      <c r="I2667" s="23" t="s">
        <v>7925</v>
      </c>
      <c r="J2667" s="21" t="s">
        <v>3270</v>
      </c>
      <c r="K2667" s="120"/>
      <c r="L2667" s="21" t="s">
        <v>4082</v>
      </c>
      <c r="M2667" s="26">
        <v>44167</v>
      </c>
      <c r="N2667" s="44">
        <v>7000</v>
      </c>
      <c r="O2667" s="22" t="s">
        <v>15</v>
      </c>
      <c r="P2667" s="22">
        <v>7000</v>
      </c>
      <c r="Q2667" s="24">
        <f t="shared" si="166"/>
        <v>0</v>
      </c>
      <c r="R2667" s="24">
        <f t="shared" ref="R2667:R2726" si="168">IF(P2667="OK",N2667-Q2667,IF(P2667="en cours",N2667-Q2667,P2667))</f>
        <v>7000</v>
      </c>
      <c r="S2667" s="5"/>
      <c r="T2667" s="5"/>
    </row>
    <row r="2668" spans="2:20" ht="15.75" hidden="1" x14ac:dyDescent="0.25">
      <c r="B2668" s="21" t="s">
        <v>395</v>
      </c>
      <c r="C2668" s="22" t="s">
        <v>2450</v>
      </c>
      <c r="D2668" s="22"/>
      <c r="E2668" s="21" t="s">
        <v>0</v>
      </c>
      <c r="F2668" s="21"/>
      <c r="G2668" s="147" t="s">
        <v>3261</v>
      </c>
      <c r="H2668" s="23" t="s">
        <v>4086</v>
      </c>
      <c r="I2668" s="23" t="s">
        <v>7925</v>
      </c>
      <c r="J2668" s="21" t="s">
        <v>3274</v>
      </c>
      <c r="K2668" s="120"/>
      <c r="L2668" s="21" t="s">
        <v>4506</v>
      </c>
      <c r="M2668" s="26">
        <v>44252</v>
      </c>
      <c r="N2668" s="44">
        <f>48000+12000+6000</f>
        <v>66000</v>
      </c>
      <c r="O2668" s="22" t="s">
        <v>15</v>
      </c>
      <c r="P2668" s="22">
        <v>66000</v>
      </c>
      <c r="Q2668" s="24">
        <f t="shared" si="166"/>
        <v>0</v>
      </c>
      <c r="R2668" s="24">
        <f t="shared" si="168"/>
        <v>66000</v>
      </c>
      <c r="S2668" s="5"/>
      <c r="T2668" s="5"/>
    </row>
    <row r="2669" spans="2:20" ht="15.75" hidden="1" x14ac:dyDescent="0.25">
      <c r="B2669" s="21" t="s">
        <v>395</v>
      </c>
      <c r="C2669" s="22" t="s">
        <v>2450</v>
      </c>
      <c r="D2669" s="22"/>
      <c r="E2669" s="21" t="s">
        <v>0</v>
      </c>
      <c r="F2669" s="21"/>
      <c r="G2669" s="147" t="s">
        <v>3261</v>
      </c>
      <c r="H2669" s="23" t="s">
        <v>4086</v>
      </c>
      <c r="I2669" s="23" t="s">
        <v>7925</v>
      </c>
      <c r="J2669" s="21" t="s">
        <v>3266</v>
      </c>
      <c r="K2669" s="120"/>
      <c r="L2669" s="21" t="s">
        <v>4506</v>
      </c>
      <c r="M2669" s="26">
        <v>44252</v>
      </c>
      <c r="N2669" s="44">
        <v>3000</v>
      </c>
      <c r="O2669" s="22" t="s">
        <v>15</v>
      </c>
      <c r="P2669" s="22">
        <v>3000</v>
      </c>
      <c r="Q2669" s="24">
        <f t="shared" si="166"/>
        <v>0</v>
      </c>
      <c r="R2669" s="24">
        <f t="shared" si="168"/>
        <v>3000</v>
      </c>
      <c r="S2669" s="5"/>
      <c r="T2669" s="5"/>
    </row>
    <row r="2670" spans="2:20" ht="15.75" hidden="1" x14ac:dyDescent="0.25">
      <c r="B2670" s="21" t="s">
        <v>395</v>
      </c>
      <c r="C2670" s="22" t="s">
        <v>2450</v>
      </c>
      <c r="D2670" s="22"/>
      <c r="E2670" s="21" t="s">
        <v>0</v>
      </c>
      <c r="F2670" s="21"/>
      <c r="G2670" s="147" t="s">
        <v>3261</v>
      </c>
      <c r="H2670" s="23" t="s">
        <v>4086</v>
      </c>
      <c r="I2670" s="23" t="s">
        <v>7925</v>
      </c>
      <c r="J2670" s="21" t="s">
        <v>3267</v>
      </c>
      <c r="K2670" s="120"/>
      <c r="L2670" s="21" t="s">
        <v>4506</v>
      </c>
      <c r="M2670" s="26">
        <v>44252</v>
      </c>
      <c r="N2670" s="44">
        <v>14000</v>
      </c>
      <c r="O2670" s="22" t="s">
        <v>15</v>
      </c>
      <c r="P2670" s="22">
        <v>14000</v>
      </c>
      <c r="Q2670" s="24">
        <f t="shared" si="166"/>
        <v>0</v>
      </c>
      <c r="R2670" s="24">
        <f t="shared" si="168"/>
        <v>14000</v>
      </c>
      <c r="S2670" s="5"/>
      <c r="T2670" s="5"/>
    </row>
    <row r="2671" spans="2:20" ht="15.75" hidden="1" x14ac:dyDescent="0.25">
      <c r="B2671" s="21" t="s">
        <v>395</v>
      </c>
      <c r="C2671" s="22" t="s">
        <v>2450</v>
      </c>
      <c r="D2671" s="22"/>
      <c r="E2671" s="21" t="s">
        <v>0</v>
      </c>
      <c r="F2671" s="21"/>
      <c r="G2671" s="147" t="s">
        <v>3261</v>
      </c>
      <c r="H2671" s="23" t="s">
        <v>4087</v>
      </c>
      <c r="I2671" s="23" t="s">
        <v>7925</v>
      </c>
      <c r="J2671" s="21" t="s">
        <v>3275</v>
      </c>
      <c r="K2671" s="120"/>
      <c r="L2671" s="21" t="s">
        <v>4836</v>
      </c>
      <c r="M2671" s="26" t="s">
        <v>4833</v>
      </c>
      <c r="N2671" s="44">
        <f>12000+12000+36000</f>
        <v>60000</v>
      </c>
      <c r="O2671" s="22" t="s">
        <v>15</v>
      </c>
      <c r="P2671" s="22">
        <f>12000+36000+12000</f>
        <v>60000</v>
      </c>
      <c r="Q2671" s="24">
        <f t="shared" si="166"/>
        <v>0</v>
      </c>
      <c r="R2671" s="24">
        <f t="shared" si="168"/>
        <v>60000</v>
      </c>
      <c r="S2671" s="5"/>
      <c r="T2671" s="5"/>
    </row>
    <row r="2672" spans="2:20" ht="15.75" hidden="1" x14ac:dyDescent="0.25">
      <c r="B2672" s="21" t="s">
        <v>395</v>
      </c>
      <c r="C2672" s="22" t="s">
        <v>2450</v>
      </c>
      <c r="D2672" s="22"/>
      <c r="E2672" s="21" t="s">
        <v>0</v>
      </c>
      <c r="F2672" s="21"/>
      <c r="G2672" s="147" t="s">
        <v>3261</v>
      </c>
      <c r="H2672" s="23" t="s">
        <v>4087</v>
      </c>
      <c r="I2672" s="23" t="s">
        <v>7925</v>
      </c>
      <c r="J2672" s="21" t="s">
        <v>3276</v>
      </c>
      <c r="K2672" s="120"/>
      <c r="L2672" s="21" t="s">
        <v>4835</v>
      </c>
      <c r="M2672" s="26">
        <v>44133</v>
      </c>
      <c r="N2672" s="44">
        <v>9000</v>
      </c>
      <c r="O2672" s="22" t="s">
        <v>15</v>
      </c>
      <c r="P2672" s="22" t="s">
        <v>19</v>
      </c>
      <c r="Q2672" s="24">
        <f t="shared" si="166"/>
        <v>0</v>
      </c>
      <c r="R2672" s="24">
        <f t="shared" si="168"/>
        <v>9000</v>
      </c>
      <c r="S2672" s="5"/>
      <c r="T2672" s="5"/>
    </row>
    <row r="2673" spans="2:20" ht="15.75" hidden="1" x14ac:dyDescent="0.25">
      <c r="B2673" s="21" t="s">
        <v>395</v>
      </c>
      <c r="C2673" s="22" t="s">
        <v>2450</v>
      </c>
      <c r="D2673" s="22"/>
      <c r="E2673" s="21" t="s">
        <v>0</v>
      </c>
      <c r="F2673" s="21"/>
      <c r="G2673" s="147" t="s">
        <v>3261</v>
      </c>
      <c r="H2673" s="23" t="s">
        <v>4087</v>
      </c>
      <c r="I2673" s="23" t="s">
        <v>7925</v>
      </c>
      <c r="J2673" s="21" t="s">
        <v>3266</v>
      </c>
      <c r="K2673" s="120"/>
      <c r="L2673" s="21" t="s">
        <v>4834</v>
      </c>
      <c r="M2673" s="26">
        <v>44313</v>
      </c>
      <c r="N2673" s="44">
        <v>1000</v>
      </c>
      <c r="O2673" s="22" t="s">
        <v>15</v>
      </c>
      <c r="P2673" s="22" t="s">
        <v>19</v>
      </c>
      <c r="Q2673" s="24">
        <f t="shared" ref="Q2673:Q2677" si="169">IF(P2673="en cours",N2673,IF(P2673="OK",0,IF(N2673-P2673&lt;0,0,N2673-P2673)))</f>
        <v>0</v>
      </c>
      <c r="R2673" s="24">
        <f t="shared" si="168"/>
        <v>1000</v>
      </c>
      <c r="S2673" s="5"/>
      <c r="T2673" s="5"/>
    </row>
    <row r="2674" spans="2:20" ht="15.75" hidden="1" x14ac:dyDescent="0.25">
      <c r="B2674" s="21" t="s">
        <v>395</v>
      </c>
      <c r="C2674" s="22" t="s">
        <v>2450</v>
      </c>
      <c r="D2674" s="22"/>
      <c r="E2674" s="21" t="s">
        <v>0</v>
      </c>
      <c r="F2674" s="21"/>
      <c r="G2674" s="147" t="s">
        <v>3261</v>
      </c>
      <c r="H2674" s="23" t="s">
        <v>4087</v>
      </c>
      <c r="I2674" s="23" t="s">
        <v>7925</v>
      </c>
      <c r="J2674" s="21" t="s">
        <v>3267</v>
      </c>
      <c r="K2674" s="120"/>
      <c r="L2674" s="21" t="s">
        <v>4834</v>
      </c>
      <c r="M2674" s="26">
        <v>44313</v>
      </c>
      <c r="N2674" s="44">
        <v>7000</v>
      </c>
      <c r="O2674" s="22" t="s">
        <v>15</v>
      </c>
      <c r="P2674" s="22" t="s">
        <v>19</v>
      </c>
      <c r="Q2674" s="24">
        <f t="shared" si="169"/>
        <v>0</v>
      </c>
      <c r="R2674" s="24">
        <f t="shared" si="168"/>
        <v>7000</v>
      </c>
      <c r="S2674" s="5"/>
      <c r="T2674" s="5"/>
    </row>
    <row r="2675" spans="2:20" ht="15.75" hidden="1" x14ac:dyDescent="0.25">
      <c r="B2675" s="21" t="s">
        <v>395</v>
      </c>
      <c r="C2675" s="22" t="s">
        <v>2450</v>
      </c>
      <c r="D2675" s="22"/>
      <c r="E2675" s="21" t="s">
        <v>0</v>
      </c>
      <c r="F2675" s="21"/>
      <c r="G2675" s="147" t="s">
        <v>3261</v>
      </c>
      <c r="H2675" s="23" t="s">
        <v>4088</v>
      </c>
      <c r="I2675" s="23" t="s">
        <v>7925</v>
      </c>
      <c r="J2675" s="21" t="s">
        <v>3277</v>
      </c>
      <c r="K2675" s="120"/>
      <c r="L2675" s="21" t="s">
        <v>3788</v>
      </c>
      <c r="M2675" s="26">
        <v>44064</v>
      </c>
      <c r="N2675" s="44">
        <v>45000</v>
      </c>
      <c r="O2675" s="22" t="s">
        <v>15</v>
      </c>
      <c r="P2675" s="22" t="s">
        <v>19</v>
      </c>
      <c r="Q2675" s="24">
        <f t="shared" si="169"/>
        <v>0</v>
      </c>
      <c r="R2675" s="24">
        <f t="shared" si="168"/>
        <v>45000</v>
      </c>
      <c r="S2675" s="5"/>
      <c r="T2675" s="5"/>
    </row>
    <row r="2676" spans="2:20" ht="15.75" hidden="1" x14ac:dyDescent="0.25">
      <c r="B2676" s="21" t="s">
        <v>395</v>
      </c>
      <c r="C2676" s="22" t="s">
        <v>2450</v>
      </c>
      <c r="D2676" s="22"/>
      <c r="E2676" s="21" t="s">
        <v>0</v>
      </c>
      <c r="F2676" s="21"/>
      <c r="G2676" s="147" t="s">
        <v>3261</v>
      </c>
      <c r="H2676" s="23" t="s">
        <v>3996</v>
      </c>
      <c r="I2676" s="23" t="s">
        <v>7926</v>
      </c>
      <c r="J2676" s="21" t="s">
        <v>3334</v>
      </c>
      <c r="K2676" s="120"/>
      <c r="L2676" s="21" t="s">
        <v>3563</v>
      </c>
      <c r="M2676" s="26">
        <v>44041</v>
      </c>
      <c r="N2676" s="44">
        <v>810000</v>
      </c>
      <c r="O2676" s="22" t="s">
        <v>15</v>
      </c>
      <c r="P2676" s="22" t="s">
        <v>19</v>
      </c>
      <c r="Q2676" s="44">
        <f t="shared" si="169"/>
        <v>0</v>
      </c>
      <c r="R2676" s="24">
        <f t="shared" si="168"/>
        <v>810000</v>
      </c>
      <c r="S2676" s="5" t="s">
        <v>3364</v>
      </c>
      <c r="T2676" s="5"/>
    </row>
    <row r="2677" spans="2:20" ht="15.75" hidden="1" x14ac:dyDescent="0.25">
      <c r="B2677" s="21" t="s">
        <v>395</v>
      </c>
      <c r="C2677" s="22" t="s">
        <v>2450</v>
      </c>
      <c r="D2677" s="22"/>
      <c r="E2677" s="21" t="s">
        <v>0</v>
      </c>
      <c r="F2677" s="21"/>
      <c r="G2677" s="147" t="s">
        <v>3261</v>
      </c>
      <c r="H2677" s="23" t="s">
        <v>3527</v>
      </c>
      <c r="I2677" s="23" t="s">
        <v>7925</v>
      </c>
      <c r="J2677" s="21" t="s">
        <v>4696</v>
      </c>
      <c r="K2677" s="120"/>
      <c r="L2677" s="21" t="s">
        <v>5132</v>
      </c>
      <c r="M2677" s="26">
        <v>44281</v>
      </c>
      <c r="N2677" s="44">
        <f>(2450*150)-110000</f>
        <v>257500</v>
      </c>
      <c r="O2677" s="22" t="s">
        <v>15</v>
      </c>
      <c r="P2677" s="44">
        <f>(245000+158515)-110000</f>
        <v>293515</v>
      </c>
      <c r="Q2677" s="44">
        <f t="shared" si="169"/>
        <v>0</v>
      </c>
      <c r="R2677" s="24">
        <f t="shared" si="168"/>
        <v>293515</v>
      </c>
      <c r="S2677" s="5" t="s">
        <v>3525</v>
      </c>
      <c r="T2677" s="5"/>
    </row>
    <row r="2678" spans="2:20" ht="15.75" hidden="1" x14ac:dyDescent="0.25">
      <c r="B2678" s="21" t="s">
        <v>395</v>
      </c>
      <c r="C2678" s="22" t="s">
        <v>2450</v>
      </c>
      <c r="D2678" s="22"/>
      <c r="E2678" s="21" t="s">
        <v>0</v>
      </c>
      <c r="F2678" s="21"/>
      <c r="G2678" s="147" t="s">
        <v>3261</v>
      </c>
      <c r="H2678" s="23" t="s">
        <v>3527</v>
      </c>
      <c r="I2678" s="23" t="s">
        <v>7925</v>
      </c>
      <c r="J2678" s="21" t="s">
        <v>4695</v>
      </c>
      <c r="K2678" s="120"/>
      <c r="L2678" s="21" t="s">
        <v>5131</v>
      </c>
      <c r="M2678" s="26" t="s">
        <v>4694</v>
      </c>
      <c r="N2678" s="44">
        <f>(2450*150)-110000</f>
        <v>257500</v>
      </c>
      <c r="O2678" s="22" t="s">
        <v>15</v>
      </c>
      <c r="P2678" s="44">
        <f>(183750+168315)-110000</f>
        <v>242065</v>
      </c>
      <c r="Q2678" s="44">
        <v>0</v>
      </c>
      <c r="R2678" s="24">
        <f t="shared" si="168"/>
        <v>242065</v>
      </c>
      <c r="S2678" s="5" t="s">
        <v>3525</v>
      </c>
      <c r="T2678" s="5"/>
    </row>
    <row r="2679" spans="2:20" ht="15.75" hidden="1" x14ac:dyDescent="0.25">
      <c r="B2679" s="21" t="s">
        <v>395</v>
      </c>
      <c r="C2679" s="22" t="s">
        <v>2450</v>
      </c>
      <c r="D2679" s="22"/>
      <c r="E2679" s="21" t="s">
        <v>0</v>
      </c>
      <c r="F2679" s="21"/>
      <c r="G2679" s="147" t="s">
        <v>3261</v>
      </c>
      <c r="H2679" s="23" t="s">
        <v>3532</v>
      </c>
      <c r="I2679" s="23" t="s">
        <v>7925</v>
      </c>
      <c r="J2679" s="21" t="s">
        <v>3531</v>
      </c>
      <c r="K2679" s="120"/>
      <c r="L2679" s="21" t="s">
        <v>5072</v>
      </c>
      <c r="M2679" s="26" t="s">
        <v>5073</v>
      </c>
      <c r="N2679" s="44">
        <v>144000</v>
      </c>
      <c r="O2679" s="22" t="s">
        <v>15</v>
      </c>
      <c r="P2679" s="22">
        <f>36000+72000+36000</f>
        <v>144000</v>
      </c>
      <c r="Q2679" s="44">
        <f t="shared" ref="Q2679:Q2698" si="170">IF(P2679="en cours",N2679,IF(P2679="OK",0,IF(N2679-P2679&lt;0,0,N2679-P2679)))</f>
        <v>0</v>
      </c>
      <c r="R2679" s="24">
        <f t="shared" si="168"/>
        <v>144000</v>
      </c>
      <c r="S2679" s="5"/>
      <c r="T2679" s="5"/>
    </row>
    <row r="2680" spans="2:20" ht="15.75" hidden="1" x14ac:dyDescent="0.25">
      <c r="B2680" s="21" t="s">
        <v>395</v>
      </c>
      <c r="C2680" s="22" t="s">
        <v>2450</v>
      </c>
      <c r="D2680" s="22"/>
      <c r="E2680" s="21" t="s">
        <v>0</v>
      </c>
      <c r="F2680" s="21"/>
      <c r="G2680" s="147" t="s">
        <v>3261</v>
      </c>
      <c r="H2680" s="23" t="s">
        <v>3533</v>
      </c>
      <c r="I2680" s="23" t="s">
        <v>7925</v>
      </c>
      <c r="J2680" s="21" t="s">
        <v>4006</v>
      </c>
      <c r="K2680" s="120"/>
      <c r="L2680" s="21" t="s">
        <v>4005</v>
      </c>
      <c r="M2680" s="26">
        <v>44147</v>
      </c>
      <c r="N2680" s="44">
        <v>23000</v>
      </c>
      <c r="O2680" s="22" t="s">
        <v>15</v>
      </c>
      <c r="P2680" s="22">
        <v>23000</v>
      </c>
      <c r="Q2680" s="44">
        <f t="shared" si="170"/>
        <v>0</v>
      </c>
      <c r="R2680" s="24">
        <f t="shared" si="168"/>
        <v>23000</v>
      </c>
      <c r="S2680" s="5"/>
      <c r="T2680" s="5"/>
    </row>
    <row r="2681" spans="2:20" ht="15.75" hidden="1" x14ac:dyDescent="0.25">
      <c r="B2681" s="21" t="s">
        <v>395</v>
      </c>
      <c r="C2681" s="22" t="s">
        <v>2450</v>
      </c>
      <c r="D2681" s="22"/>
      <c r="E2681" s="21" t="s">
        <v>0</v>
      </c>
      <c r="F2681" s="21"/>
      <c r="G2681" s="147" t="s">
        <v>3261</v>
      </c>
      <c r="H2681" s="23" t="s">
        <v>3533</v>
      </c>
      <c r="I2681" s="23" t="s">
        <v>7925</v>
      </c>
      <c r="J2681" s="21" t="s">
        <v>4007</v>
      </c>
      <c r="K2681" s="120"/>
      <c r="L2681" s="21" t="s">
        <v>4332</v>
      </c>
      <c r="M2681" s="26">
        <v>44225</v>
      </c>
      <c r="N2681" s="44">
        <v>30000</v>
      </c>
      <c r="O2681" s="22" t="s">
        <v>15</v>
      </c>
      <c r="P2681" s="22" t="s">
        <v>19</v>
      </c>
      <c r="Q2681" s="44">
        <f t="shared" si="170"/>
        <v>0</v>
      </c>
      <c r="R2681" s="24">
        <f t="shared" si="168"/>
        <v>30000</v>
      </c>
      <c r="S2681" s="5"/>
      <c r="T2681" s="5"/>
    </row>
    <row r="2682" spans="2:20" ht="15.75" hidden="1" x14ac:dyDescent="0.25">
      <c r="B2682" s="21" t="s">
        <v>395</v>
      </c>
      <c r="C2682" s="22" t="s">
        <v>2450</v>
      </c>
      <c r="D2682" s="22"/>
      <c r="E2682" s="21" t="s">
        <v>0</v>
      </c>
      <c r="F2682" s="21"/>
      <c r="G2682" s="147" t="s">
        <v>3261</v>
      </c>
      <c r="H2682" s="23" t="s">
        <v>3533</v>
      </c>
      <c r="I2682" s="23" t="s">
        <v>7925</v>
      </c>
      <c r="J2682" s="21" t="s">
        <v>4008</v>
      </c>
      <c r="K2682" s="120"/>
      <c r="L2682" s="21" t="s">
        <v>4213</v>
      </c>
      <c r="M2682" s="26">
        <v>44194</v>
      </c>
      <c r="N2682" s="44">
        <v>24000</v>
      </c>
      <c r="O2682" s="22" t="s">
        <v>15</v>
      </c>
      <c r="P2682" s="22" t="s">
        <v>19</v>
      </c>
      <c r="Q2682" s="44">
        <f t="shared" si="170"/>
        <v>0</v>
      </c>
      <c r="R2682" s="24">
        <f t="shared" si="168"/>
        <v>24000</v>
      </c>
      <c r="S2682" s="5"/>
      <c r="T2682" s="5"/>
    </row>
    <row r="2683" spans="2:20" ht="15.75" hidden="1" x14ac:dyDescent="0.25">
      <c r="B2683" s="21" t="s">
        <v>395</v>
      </c>
      <c r="C2683" s="22" t="s">
        <v>2450</v>
      </c>
      <c r="D2683" s="22"/>
      <c r="E2683" s="21" t="s">
        <v>0</v>
      </c>
      <c r="F2683" s="21"/>
      <c r="G2683" s="147" t="s">
        <v>3261</v>
      </c>
      <c r="H2683" s="23" t="s">
        <v>3533</v>
      </c>
      <c r="I2683" s="23" t="s">
        <v>7925</v>
      </c>
      <c r="J2683" s="21" t="s">
        <v>4009</v>
      </c>
      <c r="K2683" s="120"/>
      <c r="L2683" s="21" t="s">
        <v>4597</v>
      </c>
      <c r="M2683" s="26">
        <v>44225</v>
      </c>
      <c r="N2683" s="44">
        <v>24000</v>
      </c>
      <c r="O2683" s="22" t="s">
        <v>15</v>
      </c>
      <c r="P2683" s="22" t="s">
        <v>19</v>
      </c>
      <c r="Q2683" s="44">
        <f t="shared" si="170"/>
        <v>0</v>
      </c>
      <c r="R2683" s="24">
        <f t="shared" si="168"/>
        <v>24000</v>
      </c>
      <c r="S2683" s="5"/>
      <c r="T2683" s="5"/>
    </row>
    <row r="2684" spans="2:20" ht="15.75" hidden="1" x14ac:dyDescent="0.25">
      <c r="B2684" s="21" t="s">
        <v>395</v>
      </c>
      <c r="C2684" s="22" t="s">
        <v>2450</v>
      </c>
      <c r="D2684" s="22"/>
      <c r="E2684" s="21" t="s">
        <v>0</v>
      </c>
      <c r="F2684" s="21"/>
      <c r="G2684" s="147" t="s">
        <v>3261</v>
      </c>
      <c r="H2684" s="23" t="s">
        <v>3892</v>
      </c>
      <c r="I2684" s="23" t="s">
        <v>8328</v>
      </c>
      <c r="J2684" s="21" t="s">
        <v>3891</v>
      </c>
      <c r="K2684" s="120"/>
      <c r="L2684" s="21" t="s">
        <v>4149</v>
      </c>
      <c r="M2684" s="26" t="s">
        <v>4150</v>
      </c>
      <c r="N2684" s="44">
        <v>71940</v>
      </c>
      <c r="O2684" s="22" t="s">
        <v>15</v>
      </c>
      <c r="P2684" s="22">
        <f>15510+11880+15950+28600</f>
        <v>71940</v>
      </c>
      <c r="Q2684" s="44">
        <f t="shared" si="170"/>
        <v>0</v>
      </c>
      <c r="R2684" s="24">
        <f t="shared" si="168"/>
        <v>71940</v>
      </c>
      <c r="S2684" s="5"/>
      <c r="T2684" s="5"/>
    </row>
    <row r="2685" spans="2:20" ht="15.75" hidden="1" x14ac:dyDescent="0.25">
      <c r="B2685" s="21" t="s">
        <v>395</v>
      </c>
      <c r="C2685" s="22" t="s">
        <v>2450</v>
      </c>
      <c r="D2685" s="22"/>
      <c r="E2685" s="21" t="s">
        <v>0</v>
      </c>
      <c r="F2685" s="21"/>
      <c r="G2685" s="147" t="s">
        <v>3261</v>
      </c>
      <c r="H2685" s="23" t="s">
        <v>3586</v>
      </c>
      <c r="I2685" s="23" t="s">
        <v>8326</v>
      </c>
      <c r="J2685" s="21" t="s">
        <v>3587</v>
      </c>
      <c r="K2685" s="120"/>
      <c r="L2685" s="21" t="s">
        <v>3911</v>
      </c>
      <c r="M2685" s="26">
        <v>44103</v>
      </c>
      <c r="N2685" s="44">
        <v>26000</v>
      </c>
      <c r="O2685" s="22" t="s">
        <v>15</v>
      </c>
      <c r="P2685" s="22" t="s">
        <v>19</v>
      </c>
      <c r="Q2685" s="44">
        <f t="shared" si="170"/>
        <v>0</v>
      </c>
      <c r="R2685" s="24">
        <f t="shared" si="168"/>
        <v>26000</v>
      </c>
      <c r="S2685" s="5"/>
      <c r="T2685" s="5"/>
    </row>
    <row r="2686" spans="2:20" ht="15.75" hidden="1" x14ac:dyDescent="0.25">
      <c r="B2686" s="21" t="s">
        <v>395</v>
      </c>
      <c r="C2686" s="22" t="s">
        <v>2450</v>
      </c>
      <c r="D2686" s="22"/>
      <c r="E2686" s="21" t="s">
        <v>0</v>
      </c>
      <c r="F2686" s="21"/>
      <c r="G2686" s="147" t="s">
        <v>3261</v>
      </c>
      <c r="H2686" s="23" t="s">
        <v>3586</v>
      </c>
      <c r="I2686" s="23" t="s">
        <v>8326</v>
      </c>
      <c r="J2686" s="21" t="s">
        <v>3588</v>
      </c>
      <c r="K2686" s="120"/>
      <c r="L2686" s="21" t="s">
        <v>3909</v>
      </c>
      <c r="M2686" s="23" t="s">
        <v>3910</v>
      </c>
      <c r="N2686" s="44">
        <v>1200</v>
      </c>
      <c r="O2686" s="22" t="s">
        <v>15</v>
      </c>
      <c r="P2686" s="22" t="s">
        <v>19</v>
      </c>
      <c r="Q2686" s="44">
        <f t="shared" si="170"/>
        <v>0</v>
      </c>
      <c r="R2686" s="24">
        <f t="shared" si="168"/>
        <v>1200</v>
      </c>
      <c r="S2686" s="5"/>
      <c r="T2686" s="5"/>
    </row>
    <row r="2687" spans="2:20" ht="15.75" hidden="1" x14ac:dyDescent="0.25">
      <c r="B2687" s="21" t="s">
        <v>395</v>
      </c>
      <c r="C2687" s="22" t="s">
        <v>2450</v>
      </c>
      <c r="D2687" s="22"/>
      <c r="E2687" s="21" t="s">
        <v>0</v>
      </c>
      <c r="F2687" s="21"/>
      <c r="G2687" s="147" t="s">
        <v>3261</v>
      </c>
      <c r="H2687" s="23" t="s">
        <v>3586</v>
      </c>
      <c r="I2687" s="23" t="s">
        <v>8326</v>
      </c>
      <c r="J2687" s="21" t="s">
        <v>3589</v>
      </c>
      <c r="K2687" s="120"/>
      <c r="L2687" s="21" t="s">
        <v>3909</v>
      </c>
      <c r="M2687" s="23" t="s">
        <v>3910</v>
      </c>
      <c r="N2687" s="44">
        <v>12000</v>
      </c>
      <c r="O2687" s="22" t="s">
        <v>15</v>
      </c>
      <c r="P2687" s="22" t="s">
        <v>19</v>
      </c>
      <c r="Q2687" s="44">
        <f t="shared" si="170"/>
        <v>0</v>
      </c>
      <c r="R2687" s="24">
        <f t="shared" si="168"/>
        <v>12000</v>
      </c>
      <c r="S2687" s="5"/>
      <c r="T2687" s="5"/>
    </row>
    <row r="2688" spans="2:20" ht="15.75" hidden="1" x14ac:dyDescent="0.25">
      <c r="B2688" s="21" t="s">
        <v>395</v>
      </c>
      <c r="C2688" s="22" t="s">
        <v>2450</v>
      </c>
      <c r="D2688" s="22"/>
      <c r="E2688" s="21" t="s">
        <v>0</v>
      </c>
      <c r="F2688" s="21"/>
      <c r="G2688" s="147" t="s">
        <v>3261</v>
      </c>
      <c r="H2688" s="23" t="s">
        <v>3590</v>
      </c>
      <c r="I2688" s="23" t="s">
        <v>8326</v>
      </c>
      <c r="J2688" s="21" t="s">
        <v>3591</v>
      </c>
      <c r="K2688" s="120"/>
      <c r="L2688" s="21" t="s">
        <v>5069</v>
      </c>
      <c r="M2688" s="26" t="s">
        <v>5070</v>
      </c>
      <c r="N2688" s="44">
        <v>231600</v>
      </c>
      <c r="O2688" s="22" t="s">
        <v>15</v>
      </c>
      <c r="P2688" s="22">
        <f>18000+33600+14400+29200+50400+(6000+6000+4800+3600+6000+12000+3600+18000+2400+4800+6000+2400)+10400</f>
        <v>231600</v>
      </c>
      <c r="Q2688" s="44">
        <f t="shared" si="170"/>
        <v>0</v>
      </c>
      <c r="R2688" s="24">
        <f t="shared" si="168"/>
        <v>231600</v>
      </c>
      <c r="S2688" s="5"/>
      <c r="T2688" s="5"/>
    </row>
    <row r="2689" spans="2:20" ht="15.75" hidden="1" x14ac:dyDescent="0.25">
      <c r="B2689" s="21" t="s">
        <v>395</v>
      </c>
      <c r="C2689" s="22" t="s">
        <v>2450</v>
      </c>
      <c r="D2689" s="22"/>
      <c r="E2689" s="21" t="s">
        <v>0</v>
      </c>
      <c r="F2689" s="21"/>
      <c r="G2689" s="147" t="s">
        <v>3261</v>
      </c>
      <c r="H2689" s="23" t="s">
        <v>3590</v>
      </c>
      <c r="I2689" s="23" t="s">
        <v>8326</v>
      </c>
      <c r="J2689" s="21" t="s">
        <v>3592</v>
      </c>
      <c r="K2689" s="120"/>
      <c r="L2689" s="21" t="s">
        <v>4697</v>
      </c>
      <c r="M2689" s="26">
        <v>44284</v>
      </c>
      <c r="N2689" s="44">
        <v>102000</v>
      </c>
      <c r="O2689" s="22" t="s">
        <v>15</v>
      </c>
      <c r="P2689" s="22">
        <f>(18000+18000+18000+12000+12000+12000+12000)</f>
        <v>102000</v>
      </c>
      <c r="Q2689" s="44">
        <f t="shared" si="170"/>
        <v>0</v>
      </c>
      <c r="R2689" s="24">
        <f t="shared" si="168"/>
        <v>102000</v>
      </c>
      <c r="S2689" s="5"/>
      <c r="T2689" s="5"/>
    </row>
    <row r="2690" spans="2:20" ht="15.75" hidden="1" x14ac:dyDescent="0.25">
      <c r="B2690" s="21" t="s">
        <v>395</v>
      </c>
      <c r="C2690" s="22" t="s">
        <v>2450</v>
      </c>
      <c r="D2690" s="22"/>
      <c r="E2690" s="21" t="s">
        <v>0</v>
      </c>
      <c r="F2690" s="21"/>
      <c r="G2690" s="147" t="s">
        <v>3261</v>
      </c>
      <c r="H2690" s="23" t="s">
        <v>3590</v>
      </c>
      <c r="I2690" s="23" t="s">
        <v>8326</v>
      </c>
      <c r="J2690" s="21" t="s">
        <v>3593</v>
      </c>
      <c r="K2690" s="120" t="s">
        <v>1541</v>
      </c>
      <c r="L2690" s="21" t="s">
        <v>5071</v>
      </c>
      <c r="M2690" s="26">
        <v>44341</v>
      </c>
      <c r="N2690" s="44">
        <v>12000</v>
      </c>
      <c r="O2690" s="22" t="s">
        <v>15</v>
      </c>
      <c r="P2690" s="22">
        <v>12000</v>
      </c>
      <c r="Q2690" s="44">
        <f t="shared" si="170"/>
        <v>0</v>
      </c>
      <c r="R2690" s="24">
        <f t="shared" si="168"/>
        <v>12000</v>
      </c>
      <c r="S2690" s="5"/>
      <c r="T2690" s="5"/>
    </row>
    <row r="2691" spans="2:20" ht="15.75" hidden="1" x14ac:dyDescent="0.25">
      <c r="B2691" s="21" t="s">
        <v>395</v>
      </c>
      <c r="C2691" s="22" t="s">
        <v>2450</v>
      </c>
      <c r="D2691" s="22"/>
      <c r="E2691" s="21" t="s">
        <v>0</v>
      </c>
      <c r="F2691" s="21"/>
      <c r="G2691" s="147" t="s">
        <v>3261</v>
      </c>
      <c r="H2691" s="23" t="s">
        <v>4048</v>
      </c>
      <c r="I2691" s="23"/>
      <c r="J2691" s="21" t="s">
        <v>4049</v>
      </c>
      <c r="K2691" s="120"/>
      <c r="L2691" s="21" t="s">
        <v>5071</v>
      </c>
      <c r="M2691" s="26">
        <v>44341</v>
      </c>
      <c r="N2691" s="44">
        <v>25600</v>
      </c>
      <c r="O2691" s="22" t="s">
        <v>15</v>
      </c>
      <c r="P2691" s="22">
        <v>26600</v>
      </c>
      <c r="Q2691" s="44">
        <f t="shared" si="170"/>
        <v>0</v>
      </c>
      <c r="R2691" s="24">
        <f t="shared" si="168"/>
        <v>26600</v>
      </c>
      <c r="S2691" s="5"/>
      <c r="T2691" s="5"/>
    </row>
    <row r="2692" spans="2:20" ht="15.75" hidden="1" x14ac:dyDescent="0.25">
      <c r="B2692" s="21" t="s">
        <v>395</v>
      </c>
      <c r="C2692" s="22" t="s">
        <v>2450</v>
      </c>
      <c r="D2692" s="22"/>
      <c r="E2692" s="21" t="s">
        <v>0</v>
      </c>
      <c r="F2692" s="21"/>
      <c r="G2692" s="147" t="s">
        <v>3261</v>
      </c>
      <c r="H2692" s="23" t="s">
        <v>3759</v>
      </c>
      <c r="I2692" s="23" t="s">
        <v>8325</v>
      </c>
      <c r="J2692" s="21" t="s">
        <v>3663</v>
      </c>
      <c r="K2692" s="120"/>
      <c r="L2692" s="21" t="s">
        <v>3841</v>
      </c>
      <c r="M2692" s="26">
        <v>44123</v>
      </c>
      <c r="N2692" s="44">
        <v>8600</v>
      </c>
      <c r="O2692" s="22" t="s">
        <v>15</v>
      </c>
      <c r="P2692" s="22" t="s">
        <v>19</v>
      </c>
      <c r="Q2692" s="44">
        <f t="shared" si="170"/>
        <v>0</v>
      </c>
      <c r="R2692" s="24">
        <f t="shared" si="168"/>
        <v>8600</v>
      </c>
      <c r="S2692" s="5"/>
      <c r="T2692" s="5"/>
    </row>
    <row r="2693" spans="2:20" ht="15.75" hidden="1" x14ac:dyDescent="0.25">
      <c r="B2693" s="21" t="s">
        <v>395</v>
      </c>
      <c r="C2693" s="22" t="s">
        <v>2450</v>
      </c>
      <c r="D2693" s="22"/>
      <c r="E2693" s="21" t="s">
        <v>0</v>
      </c>
      <c r="F2693" s="21"/>
      <c r="G2693" s="147" t="s">
        <v>3261</v>
      </c>
      <c r="H2693" s="23" t="s">
        <v>4028</v>
      </c>
      <c r="I2693" s="23" t="s">
        <v>8323</v>
      </c>
      <c r="J2693" s="21" t="s">
        <v>3760</v>
      </c>
      <c r="K2693" s="120"/>
      <c r="L2693" s="21" t="s">
        <v>4029</v>
      </c>
      <c r="M2693" s="26" t="s">
        <v>4030</v>
      </c>
      <c r="N2693" s="44">
        <v>38200</v>
      </c>
      <c r="O2693" s="22" t="s">
        <v>15</v>
      </c>
      <c r="P2693" s="22">
        <f>32200+6000</f>
        <v>38200</v>
      </c>
      <c r="Q2693" s="24">
        <f t="shared" si="170"/>
        <v>0</v>
      </c>
      <c r="R2693" s="24">
        <f t="shared" si="168"/>
        <v>38200</v>
      </c>
      <c r="S2693" s="5"/>
      <c r="T2693" s="5"/>
    </row>
    <row r="2694" spans="2:20" ht="15.75" hidden="1" x14ac:dyDescent="0.25">
      <c r="B2694" s="21" t="s">
        <v>395</v>
      </c>
      <c r="C2694" s="22" t="s">
        <v>2450</v>
      </c>
      <c r="D2694" s="22"/>
      <c r="E2694" s="21" t="s">
        <v>0</v>
      </c>
      <c r="F2694" s="21"/>
      <c r="G2694" s="147" t="s">
        <v>3261</v>
      </c>
      <c r="H2694" s="23" t="s">
        <v>4053</v>
      </c>
      <c r="I2694" s="23" t="s">
        <v>8321</v>
      </c>
      <c r="J2694" s="21" t="s">
        <v>3894</v>
      </c>
      <c r="K2694" s="120"/>
      <c r="L2694" s="21" t="s">
        <v>4308</v>
      </c>
      <c r="M2694" s="26">
        <v>44203</v>
      </c>
      <c r="N2694" s="44">
        <v>7200</v>
      </c>
      <c r="O2694" s="22" t="s">
        <v>15</v>
      </c>
      <c r="P2694" s="22" t="s">
        <v>19</v>
      </c>
      <c r="Q2694" s="24">
        <f t="shared" si="170"/>
        <v>0</v>
      </c>
      <c r="R2694" s="24">
        <f t="shared" si="168"/>
        <v>7200</v>
      </c>
      <c r="S2694" s="5"/>
      <c r="T2694" s="5"/>
    </row>
    <row r="2695" spans="2:20" ht="15.75" hidden="1" x14ac:dyDescent="0.25">
      <c r="B2695" s="21" t="s">
        <v>395</v>
      </c>
      <c r="C2695" s="22" t="s">
        <v>2450</v>
      </c>
      <c r="D2695" s="22"/>
      <c r="E2695" s="21" t="s">
        <v>0</v>
      </c>
      <c r="F2695" s="21"/>
      <c r="G2695" s="147" t="s">
        <v>3261</v>
      </c>
      <c r="H2695" s="23" t="s">
        <v>4054</v>
      </c>
      <c r="I2695" s="23" t="s">
        <v>8321</v>
      </c>
      <c r="J2695" s="21" t="s">
        <v>3893</v>
      </c>
      <c r="K2695" s="120"/>
      <c r="L2695" s="21" t="s">
        <v>4241</v>
      </c>
      <c r="M2695" s="26">
        <v>44147</v>
      </c>
      <c r="N2695" s="44">
        <v>1220</v>
      </c>
      <c r="O2695" s="22" t="s">
        <v>15</v>
      </c>
      <c r="P2695" s="22" t="s">
        <v>19</v>
      </c>
      <c r="Q2695" s="24">
        <f t="shared" si="170"/>
        <v>0</v>
      </c>
      <c r="R2695" s="24">
        <f t="shared" si="168"/>
        <v>1220</v>
      </c>
      <c r="S2695" s="5"/>
      <c r="T2695" s="5"/>
    </row>
    <row r="2696" spans="2:20" ht="15.75" hidden="1" x14ac:dyDescent="0.25">
      <c r="B2696" s="21" t="s">
        <v>395</v>
      </c>
      <c r="C2696" s="22" t="s">
        <v>2450</v>
      </c>
      <c r="D2696" s="22"/>
      <c r="E2696" s="21" t="s">
        <v>0</v>
      </c>
      <c r="F2696" s="21"/>
      <c r="G2696" s="147" t="s">
        <v>3261</v>
      </c>
      <c r="H2696" s="23" t="s">
        <v>4055</v>
      </c>
      <c r="I2696" s="23" t="s">
        <v>8321</v>
      </c>
      <c r="J2696" s="21" t="s">
        <v>3962</v>
      </c>
      <c r="K2696" s="120"/>
      <c r="L2696" s="21" t="s">
        <v>4516</v>
      </c>
      <c r="M2696" s="26" t="s">
        <v>4517</v>
      </c>
      <c r="N2696" s="44">
        <v>7200</v>
      </c>
      <c r="O2696" s="22" t="s">
        <v>15</v>
      </c>
      <c r="P2696" s="22">
        <f>3200+4000</f>
        <v>7200</v>
      </c>
      <c r="Q2696" s="24">
        <f t="shared" si="170"/>
        <v>0</v>
      </c>
      <c r="R2696" s="24">
        <f t="shared" si="168"/>
        <v>7200</v>
      </c>
      <c r="S2696" s="5"/>
      <c r="T2696" s="5"/>
    </row>
    <row r="2697" spans="2:20" ht="15.75" hidden="1" x14ac:dyDescent="0.25">
      <c r="B2697" s="21" t="s">
        <v>395</v>
      </c>
      <c r="C2697" s="22" t="s">
        <v>2450</v>
      </c>
      <c r="D2697" s="22"/>
      <c r="E2697" s="21" t="s">
        <v>0</v>
      </c>
      <c r="F2697" s="21"/>
      <c r="G2697" s="147" t="s">
        <v>3261</v>
      </c>
      <c r="H2697" s="23" t="s">
        <v>4056</v>
      </c>
      <c r="I2697" s="23" t="s">
        <v>8319</v>
      </c>
      <c r="J2697" s="21" t="s">
        <v>4050</v>
      </c>
      <c r="K2697" s="47"/>
      <c r="L2697" s="21" t="s">
        <v>4278</v>
      </c>
      <c r="M2697" s="26">
        <v>43849</v>
      </c>
      <c r="N2697" s="44">
        <v>40000</v>
      </c>
      <c r="O2697" s="22" t="s">
        <v>15</v>
      </c>
      <c r="P2697" s="22" t="s">
        <v>19</v>
      </c>
      <c r="Q2697" s="44">
        <f t="shared" si="170"/>
        <v>0</v>
      </c>
      <c r="R2697" s="24">
        <f t="shared" si="168"/>
        <v>40000</v>
      </c>
      <c r="S2697" s="5"/>
      <c r="T2697" s="5"/>
    </row>
    <row r="2698" spans="2:20" ht="15.75" hidden="1" x14ac:dyDescent="0.25">
      <c r="B2698" s="21" t="s">
        <v>395</v>
      </c>
      <c r="C2698" s="22" t="s">
        <v>2450</v>
      </c>
      <c r="D2698" s="22"/>
      <c r="E2698" s="21" t="s">
        <v>0</v>
      </c>
      <c r="F2698" s="21"/>
      <c r="G2698" s="147" t="s">
        <v>3261</v>
      </c>
      <c r="H2698" s="23" t="s">
        <v>4056</v>
      </c>
      <c r="I2698" s="23" t="s">
        <v>8319</v>
      </c>
      <c r="J2698" s="21" t="s">
        <v>4051</v>
      </c>
      <c r="K2698" s="120"/>
      <c r="L2698" s="21" t="s">
        <v>5125</v>
      </c>
      <c r="M2698" s="26">
        <v>44351</v>
      </c>
      <c r="N2698" s="44">
        <v>40000</v>
      </c>
      <c r="O2698" s="22" t="s">
        <v>15</v>
      </c>
      <c r="P2698" s="22" t="s">
        <v>19</v>
      </c>
      <c r="Q2698" s="44">
        <f t="shared" si="170"/>
        <v>0</v>
      </c>
      <c r="R2698" s="24">
        <f t="shared" si="168"/>
        <v>40000</v>
      </c>
      <c r="S2698" s="5"/>
      <c r="T2698" s="5"/>
    </row>
    <row r="2699" spans="2:20" ht="15.75" hidden="1" x14ac:dyDescent="0.25">
      <c r="B2699" s="21" t="s">
        <v>395</v>
      </c>
      <c r="C2699" s="22" t="s">
        <v>2450</v>
      </c>
      <c r="D2699" s="22"/>
      <c r="E2699" s="21" t="s">
        <v>0</v>
      </c>
      <c r="F2699" s="21"/>
      <c r="G2699" s="147" t="s">
        <v>3261</v>
      </c>
      <c r="H2699" s="23" t="s">
        <v>4056</v>
      </c>
      <c r="I2699" s="23" t="s">
        <v>8319</v>
      </c>
      <c r="J2699" s="21" t="s">
        <v>4052</v>
      </c>
      <c r="K2699" s="47"/>
      <c r="L2699" s="21" t="s">
        <v>7295</v>
      </c>
      <c r="M2699" s="26">
        <v>44886</v>
      </c>
      <c r="N2699" s="44">
        <v>52960</v>
      </c>
      <c r="O2699" s="22" t="s">
        <v>15</v>
      </c>
      <c r="P2699" s="22">
        <v>42528</v>
      </c>
      <c r="Q2699" s="44">
        <v>0</v>
      </c>
      <c r="R2699" s="24">
        <f t="shared" si="168"/>
        <v>42528</v>
      </c>
      <c r="S2699" s="5" t="s">
        <v>7297</v>
      </c>
      <c r="T2699" s="5"/>
    </row>
    <row r="2700" spans="2:20" ht="15.75" hidden="1" x14ac:dyDescent="0.25">
      <c r="B2700" s="21" t="s">
        <v>395</v>
      </c>
      <c r="C2700" s="22" t="s">
        <v>2450</v>
      </c>
      <c r="D2700" s="22"/>
      <c r="E2700" s="21" t="s">
        <v>0</v>
      </c>
      <c r="F2700" s="21"/>
      <c r="G2700" s="147" t="s">
        <v>3261</v>
      </c>
      <c r="H2700" s="23" t="s">
        <v>7478</v>
      </c>
      <c r="I2700" s="23" t="s">
        <v>7988</v>
      </c>
      <c r="J2700" s="21" t="s">
        <v>4058</v>
      </c>
      <c r="K2700" s="21"/>
      <c r="L2700" s="21" t="s">
        <v>7494</v>
      </c>
      <c r="M2700" s="26">
        <v>44946</v>
      </c>
      <c r="N2700" s="44">
        <v>5040</v>
      </c>
      <c r="O2700" s="22" t="s">
        <v>15</v>
      </c>
      <c r="P2700" s="22">
        <v>5040</v>
      </c>
      <c r="Q2700" s="44">
        <f t="shared" ref="Q2700:Q2730" si="171">IF(P2700="en cours",N2700,IF(P2700="OK",0,IF(N2700-P2700&lt;0,0,N2700-P2700)))</f>
        <v>0</v>
      </c>
      <c r="R2700" s="24">
        <f t="shared" si="168"/>
        <v>5040</v>
      </c>
      <c r="S2700" s="5"/>
      <c r="T2700" s="5"/>
    </row>
    <row r="2701" spans="2:20" ht="15.75" hidden="1" x14ac:dyDescent="0.25">
      <c r="B2701" s="21" t="s">
        <v>395</v>
      </c>
      <c r="C2701" s="22" t="s">
        <v>2450</v>
      </c>
      <c r="D2701" s="22"/>
      <c r="E2701" s="21" t="s">
        <v>0</v>
      </c>
      <c r="F2701" s="21"/>
      <c r="G2701" s="147" t="s">
        <v>3261</v>
      </c>
      <c r="H2701" s="23" t="s">
        <v>6137</v>
      </c>
      <c r="I2701" s="23" t="s">
        <v>7987</v>
      </c>
      <c r="J2701" s="21" t="s">
        <v>4058</v>
      </c>
      <c r="K2701" s="21"/>
      <c r="L2701" s="21" t="s">
        <v>6148</v>
      </c>
      <c r="M2701" s="23" t="s">
        <v>6149</v>
      </c>
      <c r="N2701" s="44">
        <v>14400</v>
      </c>
      <c r="O2701" s="22" t="s">
        <v>15</v>
      </c>
      <c r="P2701" s="22">
        <f>12960+1440</f>
        <v>14400</v>
      </c>
      <c r="Q2701" s="44">
        <f t="shared" si="171"/>
        <v>0</v>
      </c>
      <c r="R2701" s="24">
        <f t="shared" si="168"/>
        <v>14400</v>
      </c>
      <c r="S2701" s="5"/>
      <c r="T2701" s="5"/>
    </row>
    <row r="2702" spans="2:20" ht="15.75" hidden="1" x14ac:dyDescent="0.25">
      <c r="B2702" s="21" t="s">
        <v>395</v>
      </c>
      <c r="C2702" s="22" t="s">
        <v>2450</v>
      </c>
      <c r="D2702" s="22"/>
      <c r="E2702" s="21" t="s">
        <v>0</v>
      </c>
      <c r="F2702" s="21"/>
      <c r="G2702" s="147" t="s">
        <v>3261</v>
      </c>
      <c r="H2702" s="23" t="s">
        <v>5118</v>
      </c>
      <c r="I2702" s="23" t="s">
        <v>7986</v>
      </c>
      <c r="J2702" s="21" t="s">
        <v>4058</v>
      </c>
      <c r="K2702" s="21"/>
      <c r="L2702" s="21" t="s">
        <v>5616</v>
      </c>
      <c r="M2702" s="23" t="s">
        <v>5617</v>
      </c>
      <c r="N2702" s="44">
        <v>9360</v>
      </c>
      <c r="O2702" s="22" t="s">
        <v>15</v>
      </c>
      <c r="P2702" s="22" t="s">
        <v>19</v>
      </c>
      <c r="Q2702" s="44">
        <f t="shared" si="171"/>
        <v>0</v>
      </c>
      <c r="R2702" s="24">
        <f t="shared" si="168"/>
        <v>9360</v>
      </c>
      <c r="S2702" s="5"/>
      <c r="T2702" s="5"/>
    </row>
    <row r="2703" spans="2:20" ht="15.75" hidden="1" x14ac:dyDescent="0.25">
      <c r="B2703" s="21" t="s">
        <v>395</v>
      </c>
      <c r="C2703" s="22" t="s">
        <v>2450</v>
      </c>
      <c r="D2703" s="22"/>
      <c r="E2703" s="21" t="s">
        <v>0</v>
      </c>
      <c r="F2703" s="21"/>
      <c r="G2703" s="147" t="s">
        <v>3261</v>
      </c>
      <c r="H2703" s="23" t="s">
        <v>4057</v>
      </c>
      <c r="I2703" s="23"/>
      <c r="J2703" s="21" t="s">
        <v>4058</v>
      </c>
      <c r="K2703" s="21"/>
      <c r="L2703" s="21"/>
      <c r="M2703" s="23"/>
      <c r="N2703" s="44">
        <v>0</v>
      </c>
      <c r="O2703" s="22" t="s">
        <v>15</v>
      </c>
      <c r="P2703" s="22" t="s">
        <v>19</v>
      </c>
      <c r="Q2703" s="44">
        <f t="shared" si="171"/>
        <v>0</v>
      </c>
      <c r="R2703" s="24">
        <f t="shared" si="168"/>
        <v>0</v>
      </c>
      <c r="S2703" s="5"/>
      <c r="T2703" s="5"/>
    </row>
    <row r="2704" spans="2:20" ht="15.75" hidden="1" x14ac:dyDescent="0.25">
      <c r="B2704" s="21" t="s">
        <v>395</v>
      </c>
      <c r="C2704" s="22" t="s">
        <v>2450</v>
      </c>
      <c r="D2704" s="22"/>
      <c r="E2704" s="21" t="s">
        <v>0</v>
      </c>
      <c r="F2704" s="21"/>
      <c r="G2704" s="147" t="s">
        <v>3261</v>
      </c>
      <c r="H2704" s="23" t="s">
        <v>4672</v>
      </c>
      <c r="I2704" s="23" t="s">
        <v>8316</v>
      </c>
      <c r="J2704" s="21" t="s">
        <v>4228</v>
      </c>
      <c r="K2704" s="21"/>
      <c r="L2704" s="21" t="s">
        <v>5084</v>
      </c>
      <c r="M2704" s="26" t="s">
        <v>5085</v>
      </c>
      <c r="N2704" s="44">
        <v>48080</v>
      </c>
      <c r="O2704" s="22" t="s">
        <v>15</v>
      </c>
      <c r="P2704" s="22">
        <f>13440+(13440+2560)+(16640+2000)</f>
        <v>48080</v>
      </c>
      <c r="Q2704" s="44">
        <f t="shared" si="171"/>
        <v>0</v>
      </c>
      <c r="R2704" s="24">
        <f t="shared" si="168"/>
        <v>48080</v>
      </c>
      <c r="S2704" s="5"/>
      <c r="T2704" s="5"/>
    </row>
    <row r="2705" spans="2:20" ht="15.75" hidden="1" x14ac:dyDescent="0.25">
      <c r="B2705" s="21" t="s">
        <v>395</v>
      </c>
      <c r="C2705" s="22" t="s">
        <v>2450</v>
      </c>
      <c r="D2705" s="22"/>
      <c r="E2705" s="21" t="s">
        <v>0</v>
      </c>
      <c r="F2705" s="21"/>
      <c r="G2705" s="147" t="s">
        <v>3261</v>
      </c>
      <c r="H2705" s="23" t="s">
        <v>4864</v>
      </c>
      <c r="I2705" s="23" t="s">
        <v>8317</v>
      </c>
      <c r="J2705" s="21" t="s">
        <v>4329</v>
      </c>
      <c r="K2705" s="21"/>
      <c r="L2705" s="21" t="s">
        <v>4331</v>
      </c>
      <c r="M2705" s="26">
        <v>44225</v>
      </c>
      <c r="N2705" s="44">
        <f>0.35*39840</f>
        <v>13944</v>
      </c>
      <c r="O2705" s="22" t="s">
        <v>15</v>
      </c>
      <c r="P2705" s="22" t="s">
        <v>19</v>
      </c>
      <c r="Q2705" s="44">
        <f t="shared" si="171"/>
        <v>0</v>
      </c>
      <c r="R2705" s="24">
        <f t="shared" si="168"/>
        <v>13944</v>
      </c>
      <c r="S2705" s="5"/>
      <c r="T2705" s="5"/>
    </row>
    <row r="2706" spans="2:20" ht="15.75" hidden="1" x14ac:dyDescent="0.25">
      <c r="B2706" s="21" t="s">
        <v>395</v>
      </c>
      <c r="C2706" s="22" t="s">
        <v>2450</v>
      </c>
      <c r="D2706" s="22"/>
      <c r="E2706" s="21" t="s">
        <v>0</v>
      </c>
      <c r="F2706" s="21"/>
      <c r="G2706" s="147" t="s">
        <v>3261</v>
      </c>
      <c r="H2706" s="23" t="s">
        <v>4865</v>
      </c>
      <c r="I2706" s="23" t="s">
        <v>8317</v>
      </c>
      <c r="J2706" s="21" t="s">
        <v>4330</v>
      </c>
      <c r="K2706" s="120"/>
      <c r="L2706" s="21" t="s">
        <v>4886</v>
      </c>
      <c r="M2706" s="26">
        <v>44316</v>
      </c>
      <c r="N2706" s="44">
        <f>0.65*39840</f>
        <v>25896</v>
      </c>
      <c r="O2706" s="22" t="s">
        <v>15</v>
      </c>
      <c r="P2706" s="22" t="s">
        <v>19</v>
      </c>
      <c r="Q2706" s="44">
        <f t="shared" si="171"/>
        <v>0</v>
      </c>
      <c r="R2706" s="24">
        <f t="shared" si="168"/>
        <v>25896</v>
      </c>
      <c r="S2706" s="5"/>
      <c r="T2706" s="5"/>
    </row>
    <row r="2707" spans="2:20" ht="15.75" hidden="1" x14ac:dyDescent="0.25">
      <c r="B2707" s="21" t="s">
        <v>395</v>
      </c>
      <c r="C2707" s="22" t="s">
        <v>2450</v>
      </c>
      <c r="D2707" s="22"/>
      <c r="E2707" s="21" t="s">
        <v>0</v>
      </c>
      <c r="F2707" s="21"/>
      <c r="G2707" s="147" t="s">
        <v>3261</v>
      </c>
      <c r="H2707" s="23" t="s">
        <v>6820</v>
      </c>
      <c r="I2707" s="23" t="s">
        <v>8171</v>
      </c>
      <c r="J2707" s="21" t="s">
        <v>6821</v>
      </c>
      <c r="K2707" s="21"/>
      <c r="L2707" s="21" t="s">
        <v>7224</v>
      </c>
      <c r="M2707" s="23" t="s">
        <v>7225</v>
      </c>
      <c r="N2707" s="44">
        <v>55900</v>
      </c>
      <c r="O2707" s="22" t="s">
        <v>15</v>
      </c>
      <c r="P2707" s="44">
        <f>16770+39130</f>
        <v>55900</v>
      </c>
      <c r="Q2707" s="24">
        <f t="shared" si="171"/>
        <v>0</v>
      </c>
      <c r="R2707" s="24">
        <f t="shared" si="168"/>
        <v>55900</v>
      </c>
      <c r="S2707" s="5"/>
      <c r="T2707" s="5"/>
    </row>
    <row r="2708" spans="2:20" ht="15.75" hidden="1" x14ac:dyDescent="0.25">
      <c r="B2708" s="21" t="s">
        <v>395</v>
      </c>
      <c r="C2708" s="22" t="s">
        <v>2450</v>
      </c>
      <c r="D2708" s="22"/>
      <c r="E2708" s="21" t="s">
        <v>0</v>
      </c>
      <c r="F2708" s="21"/>
      <c r="G2708" s="147" t="s">
        <v>7266</v>
      </c>
      <c r="H2708" s="23" t="s">
        <v>8992</v>
      </c>
      <c r="I2708" s="23" t="s">
        <v>8993</v>
      </c>
      <c r="J2708" s="21" t="s">
        <v>8861</v>
      </c>
      <c r="K2708" s="21"/>
      <c r="L2708" s="21" t="s">
        <v>8991</v>
      </c>
      <c r="M2708" s="26">
        <v>45215</v>
      </c>
      <c r="N2708" s="44">
        <v>4200</v>
      </c>
      <c r="O2708" s="22" t="s">
        <v>15</v>
      </c>
      <c r="P2708" s="44">
        <v>4200</v>
      </c>
      <c r="Q2708" s="44">
        <f t="shared" si="171"/>
        <v>0</v>
      </c>
      <c r="R2708" s="24">
        <f t="shared" si="168"/>
        <v>4200</v>
      </c>
      <c r="S2708" s="5"/>
      <c r="T2708" s="5"/>
    </row>
    <row r="2709" spans="2:20" ht="15.75" hidden="1" x14ac:dyDescent="0.25">
      <c r="B2709" s="21" t="s">
        <v>395</v>
      </c>
      <c r="C2709" s="22" t="s">
        <v>2450</v>
      </c>
      <c r="D2709" s="22"/>
      <c r="E2709" s="21" t="s">
        <v>0</v>
      </c>
      <c r="F2709" s="21"/>
      <c r="G2709" s="147" t="s">
        <v>7266</v>
      </c>
      <c r="H2709" s="23" t="s">
        <v>9545</v>
      </c>
      <c r="I2709" s="23" t="s">
        <v>8862</v>
      </c>
      <c r="J2709" s="21" t="s">
        <v>8863</v>
      </c>
      <c r="K2709" s="21"/>
      <c r="L2709" s="21" t="s">
        <v>9546</v>
      </c>
      <c r="M2709" s="26">
        <v>45328</v>
      </c>
      <c r="N2709" s="44">
        <v>10400</v>
      </c>
      <c r="O2709" s="22" t="s">
        <v>15</v>
      </c>
      <c r="P2709" s="44">
        <v>10400</v>
      </c>
      <c r="Q2709" s="44">
        <f t="shared" si="171"/>
        <v>0</v>
      </c>
      <c r="R2709" s="24">
        <f t="shared" si="168"/>
        <v>10400</v>
      </c>
      <c r="S2709" s="5"/>
      <c r="T2709" s="5"/>
    </row>
    <row r="2710" spans="2:20" ht="15.75" hidden="1" x14ac:dyDescent="0.25">
      <c r="B2710" s="21" t="s">
        <v>395</v>
      </c>
      <c r="C2710" s="22" t="s">
        <v>2450</v>
      </c>
      <c r="D2710" s="22"/>
      <c r="E2710" s="21" t="s">
        <v>0</v>
      </c>
      <c r="F2710" s="21"/>
      <c r="G2710" s="147" t="s">
        <v>7266</v>
      </c>
      <c r="H2710" s="23" t="s">
        <v>7430</v>
      </c>
      <c r="I2710" s="23" t="s">
        <v>8211</v>
      </c>
      <c r="J2710" s="21" t="s">
        <v>7267</v>
      </c>
      <c r="K2710" s="47"/>
      <c r="L2710" s="21" t="s">
        <v>7786</v>
      </c>
      <c r="M2710" s="26">
        <v>45029</v>
      </c>
      <c r="N2710" s="44">
        <v>6600</v>
      </c>
      <c r="O2710" s="44" t="s">
        <v>15</v>
      </c>
      <c r="P2710" s="22" t="s">
        <v>19</v>
      </c>
      <c r="Q2710" s="44">
        <f t="shared" si="171"/>
        <v>0</v>
      </c>
      <c r="R2710" s="236">
        <f t="shared" si="168"/>
        <v>6600</v>
      </c>
      <c r="S2710" s="5" t="s">
        <v>7410</v>
      </c>
      <c r="T2710" s="5"/>
    </row>
    <row r="2711" spans="2:20" ht="15.75" hidden="1" x14ac:dyDescent="0.25">
      <c r="B2711" s="21" t="s">
        <v>395</v>
      </c>
      <c r="C2711" s="22" t="s">
        <v>2450</v>
      </c>
      <c r="D2711" s="22"/>
      <c r="E2711" s="21" t="s">
        <v>0</v>
      </c>
      <c r="F2711" s="21"/>
      <c r="G2711" s="147" t="s">
        <v>7266</v>
      </c>
      <c r="H2711" s="23" t="s">
        <v>7377</v>
      </c>
      <c r="I2711" s="23" t="s">
        <v>8231</v>
      </c>
      <c r="J2711" s="21" t="s">
        <v>7376</v>
      </c>
      <c r="K2711" s="21"/>
      <c r="L2711" s="21" t="s">
        <v>8506</v>
      </c>
      <c r="M2711" s="26">
        <v>45085</v>
      </c>
      <c r="N2711" s="44">
        <v>25713</v>
      </c>
      <c r="O2711" s="22" t="s">
        <v>15</v>
      </c>
      <c r="P2711" s="44">
        <f>25713</f>
        <v>25713</v>
      </c>
      <c r="Q2711" s="44">
        <f t="shared" si="171"/>
        <v>0</v>
      </c>
      <c r="R2711" s="24">
        <f t="shared" si="168"/>
        <v>25713</v>
      </c>
      <c r="S2711" s="5"/>
      <c r="T2711" s="5"/>
    </row>
    <row r="2712" spans="2:20" ht="15.75" hidden="1" x14ac:dyDescent="0.25">
      <c r="B2712" s="21" t="s">
        <v>395</v>
      </c>
      <c r="C2712" s="22" t="s">
        <v>2450</v>
      </c>
      <c r="D2712" s="22"/>
      <c r="E2712" s="21" t="s">
        <v>0</v>
      </c>
      <c r="F2712" s="21"/>
      <c r="G2712" s="147" t="s">
        <v>7266</v>
      </c>
      <c r="H2712" s="23" t="s">
        <v>7409</v>
      </c>
      <c r="I2712" s="23" t="s">
        <v>8230</v>
      </c>
      <c r="J2712" s="21" t="s">
        <v>7375</v>
      </c>
      <c r="K2712" s="21"/>
      <c r="L2712" s="21" t="s">
        <v>8505</v>
      </c>
      <c r="M2712" s="26">
        <v>45096</v>
      </c>
      <c r="N2712" s="44">
        <v>25713</v>
      </c>
      <c r="O2712" s="22" t="s">
        <v>15</v>
      </c>
      <c r="P2712" s="44">
        <v>25713</v>
      </c>
      <c r="Q2712" s="44">
        <f t="shared" si="171"/>
        <v>0</v>
      </c>
      <c r="R2712" s="24">
        <f t="shared" si="168"/>
        <v>25713</v>
      </c>
      <c r="S2712" s="5"/>
      <c r="T2712" s="5"/>
    </row>
    <row r="2713" spans="2:20" ht="15.75" hidden="1" x14ac:dyDescent="0.25">
      <c r="B2713" s="21" t="s">
        <v>395</v>
      </c>
      <c r="C2713" s="22" t="s">
        <v>2450</v>
      </c>
      <c r="D2713" s="22"/>
      <c r="E2713" s="21" t="s">
        <v>0</v>
      </c>
      <c r="F2713" s="21"/>
      <c r="G2713" s="147" t="s">
        <v>7266</v>
      </c>
      <c r="H2713" s="23" t="s">
        <v>7577</v>
      </c>
      <c r="I2713" s="23" t="s">
        <v>8233</v>
      </c>
      <c r="J2713" s="21" t="s">
        <v>6821</v>
      </c>
      <c r="K2713" s="120"/>
      <c r="L2713" s="21" t="s">
        <v>7657</v>
      </c>
      <c r="M2713" s="26" t="s">
        <v>7658</v>
      </c>
      <c r="N2713" s="44">
        <v>27150</v>
      </c>
      <c r="O2713" s="22" t="s">
        <v>15</v>
      </c>
      <c r="P2713" s="114">
        <f>8253+19257</f>
        <v>27510</v>
      </c>
      <c r="Q2713" s="24">
        <f t="shared" si="171"/>
        <v>0</v>
      </c>
      <c r="R2713" s="24">
        <f t="shared" si="168"/>
        <v>27510</v>
      </c>
      <c r="S2713" s="5"/>
      <c r="T2713" s="5"/>
    </row>
    <row r="2714" spans="2:20" ht="15.75" hidden="1" x14ac:dyDescent="0.25">
      <c r="B2714" s="21" t="s">
        <v>395</v>
      </c>
      <c r="C2714" s="22" t="s">
        <v>2450</v>
      </c>
      <c r="D2714" s="22"/>
      <c r="E2714" s="21" t="s">
        <v>0</v>
      </c>
      <c r="F2714" s="21"/>
      <c r="G2714" s="147" t="s">
        <v>7266</v>
      </c>
      <c r="H2714" s="23" t="s">
        <v>7411</v>
      </c>
      <c r="I2714" s="23" t="s">
        <v>8234</v>
      </c>
      <c r="J2714" s="21" t="s">
        <v>7412</v>
      </c>
      <c r="K2714" s="21"/>
      <c r="L2714" s="21" t="s">
        <v>7771</v>
      </c>
      <c r="M2714" s="26">
        <v>45019</v>
      </c>
      <c r="N2714" s="44">
        <v>4950</v>
      </c>
      <c r="O2714" s="22" t="s">
        <v>15</v>
      </c>
      <c r="P2714" s="44">
        <f>4950</f>
        <v>4950</v>
      </c>
      <c r="Q2714" s="44">
        <f t="shared" si="171"/>
        <v>0</v>
      </c>
      <c r="R2714" s="24">
        <f t="shared" si="168"/>
        <v>4950</v>
      </c>
      <c r="S2714" s="5"/>
      <c r="T2714" s="5"/>
    </row>
    <row r="2715" spans="2:20" ht="15.75" hidden="1" x14ac:dyDescent="0.25">
      <c r="B2715" s="21" t="s">
        <v>395</v>
      </c>
      <c r="C2715" s="22" t="s">
        <v>2450</v>
      </c>
      <c r="D2715" s="22"/>
      <c r="E2715" s="21" t="s">
        <v>0</v>
      </c>
      <c r="F2715" s="21"/>
      <c r="G2715" s="147" t="s">
        <v>7266</v>
      </c>
      <c r="H2715" s="23" t="s">
        <v>8623</v>
      </c>
      <c r="I2715" s="23" t="s">
        <v>8624</v>
      </c>
      <c r="J2715" s="21" t="s">
        <v>8625</v>
      </c>
      <c r="K2715" s="21"/>
      <c r="L2715" s="21" t="s">
        <v>8661</v>
      </c>
      <c r="M2715" s="26">
        <v>45134</v>
      </c>
      <c r="N2715" s="44">
        <v>22200</v>
      </c>
      <c r="O2715" s="22" t="s">
        <v>15</v>
      </c>
      <c r="P2715" s="44">
        <f>22200</f>
        <v>22200</v>
      </c>
      <c r="Q2715" s="44">
        <f t="shared" si="171"/>
        <v>0</v>
      </c>
      <c r="R2715" s="24">
        <f t="shared" si="168"/>
        <v>22200</v>
      </c>
      <c r="S2715" s="5"/>
      <c r="T2715" s="5"/>
    </row>
    <row r="2716" spans="2:20" ht="15.75" hidden="1" x14ac:dyDescent="0.25">
      <c r="B2716" s="21" t="s">
        <v>395</v>
      </c>
      <c r="C2716" s="22" t="s">
        <v>2450</v>
      </c>
      <c r="D2716" s="22"/>
      <c r="E2716" s="21" t="s">
        <v>0</v>
      </c>
      <c r="F2716" s="21"/>
      <c r="G2716" s="147" t="s">
        <v>7266</v>
      </c>
      <c r="H2716" s="23" t="s">
        <v>9074</v>
      </c>
      <c r="I2716" s="23" t="s">
        <v>9075</v>
      </c>
      <c r="J2716" s="21" t="s">
        <v>9076</v>
      </c>
      <c r="K2716" s="21"/>
      <c r="L2716" s="21" t="s">
        <v>9273</v>
      </c>
      <c r="M2716" s="26">
        <v>45273</v>
      </c>
      <c r="N2716" s="44">
        <v>14850</v>
      </c>
      <c r="O2716" s="22" t="s">
        <v>15</v>
      </c>
      <c r="P2716" s="44">
        <v>14850</v>
      </c>
      <c r="Q2716" s="44">
        <f t="shared" si="171"/>
        <v>0</v>
      </c>
      <c r="R2716" s="24">
        <f t="shared" si="168"/>
        <v>14850</v>
      </c>
      <c r="S2716" s="5"/>
      <c r="T2716" s="5"/>
    </row>
    <row r="2717" spans="2:20" ht="15.75" hidden="1" x14ac:dyDescent="0.25">
      <c r="B2717" s="21" t="s">
        <v>395</v>
      </c>
      <c r="C2717" s="22" t="s">
        <v>2450</v>
      </c>
      <c r="D2717" s="22"/>
      <c r="E2717" s="21" t="s">
        <v>0</v>
      </c>
      <c r="F2717" s="21"/>
      <c r="G2717" s="147" t="s">
        <v>7266</v>
      </c>
      <c r="H2717" s="23" t="s">
        <v>9243</v>
      </c>
      <c r="I2717" s="23" t="s">
        <v>9237</v>
      </c>
      <c r="J2717" s="21" t="s">
        <v>9238</v>
      </c>
      <c r="K2717" s="21"/>
      <c r="L2717" s="21" t="s">
        <v>10280</v>
      </c>
      <c r="M2717" s="26" t="s">
        <v>10281</v>
      </c>
      <c r="N2717" s="44">
        <v>10800</v>
      </c>
      <c r="O2717" s="22" t="s">
        <v>15</v>
      </c>
      <c r="P2717" s="44">
        <f>5400+5400</f>
        <v>10800</v>
      </c>
      <c r="Q2717" s="44">
        <f t="shared" si="171"/>
        <v>0</v>
      </c>
      <c r="R2717" s="24">
        <f t="shared" si="168"/>
        <v>10800</v>
      </c>
      <c r="S2717" s="5"/>
      <c r="T2717" s="5"/>
    </row>
    <row r="2718" spans="2:20" ht="15.75" hidden="1" x14ac:dyDescent="0.25">
      <c r="B2718" s="21" t="s">
        <v>395</v>
      </c>
      <c r="C2718" s="22" t="s">
        <v>2450</v>
      </c>
      <c r="D2718" s="22"/>
      <c r="E2718" s="21" t="s">
        <v>0</v>
      </c>
      <c r="F2718" s="21"/>
      <c r="G2718" s="147" t="s">
        <v>7266</v>
      </c>
      <c r="H2718" s="23" t="s">
        <v>9244</v>
      </c>
      <c r="I2718" s="23" t="s">
        <v>9239</v>
      </c>
      <c r="J2718" s="21" t="s">
        <v>9240</v>
      </c>
      <c r="K2718" s="21"/>
      <c r="L2718" s="21" t="s">
        <v>9374</v>
      </c>
      <c r="M2718" s="26">
        <v>45292</v>
      </c>
      <c r="N2718" s="44">
        <v>1080</v>
      </c>
      <c r="O2718" s="22" t="s">
        <v>15</v>
      </c>
      <c r="P2718" s="44">
        <v>10080</v>
      </c>
      <c r="Q2718" s="44">
        <f t="shared" si="171"/>
        <v>0</v>
      </c>
      <c r="R2718" s="24">
        <f t="shared" si="168"/>
        <v>10080</v>
      </c>
      <c r="S2718" s="5"/>
      <c r="T2718" s="5"/>
    </row>
    <row r="2719" spans="2:20" ht="21.6" hidden="1" customHeight="1" x14ac:dyDescent="0.25">
      <c r="B2719" s="21" t="s">
        <v>395</v>
      </c>
      <c r="C2719" s="22" t="s">
        <v>2450</v>
      </c>
      <c r="D2719" s="22"/>
      <c r="E2719" s="21" t="s">
        <v>0</v>
      </c>
      <c r="F2719" s="21"/>
      <c r="G2719" s="147" t="s">
        <v>7266</v>
      </c>
      <c r="H2719" s="23" t="s">
        <v>9241</v>
      </c>
      <c r="I2719" s="23" t="s">
        <v>9242</v>
      </c>
      <c r="J2719" s="21" t="s">
        <v>9245</v>
      </c>
      <c r="K2719" s="21"/>
      <c r="L2719" s="21" t="s">
        <v>9373</v>
      </c>
      <c r="M2719" s="26">
        <v>45292</v>
      </c>
      <c r="N2719" s="44">
        <v>15500</v>
      </c>
      <c r="O2719" s="22" t="s">
        <v>15</v>
      </c>
      <c r="P2719" s="44">
        <v>15500</v>
      </c>
      <c r="Q2719" s="44">
        <f t="shared" si="171"/>
        <v>0</v>
      </c>
      <c r="R2719" s="24">
        <f t="shared" si="168"/>
        <v>15500</v>
      </c>
      <c r="S2719" s="5"/>
      <c r="T2719" s="5"/>
    </row>
    <row r="2720" spans="2:20" ht="15.75" hidden="1" x14ac:dyDescent="0.25">
      <c r="B2720" s="21" t="s">
        <v>395</v>
      </c>
      <c r="C2720" s="22" t="s">
        <v>2450</v>
      </c>
      <c r="D2720" s="22"/>
      <c r="E2720" s="21" t="s">
        <v>0</v>
      </c>
      <c r="F2720" s="21"/>
      <c r="G2720" s="147" t="s">
        <v>7266</v>
      </c>
      <c r="H2720" s="23" t="s">
        <v>9733</v>
      </c>
      <c r="I2720" s="23" t="s">
        <v>9734</v>
      </c>
      <c r="J2720" s="21" t="s">
        <v>9665</v>
      </c>
      <c r="K2720" s="21"/>
      <c r="L2720" s="21" t="s">
        <v>11570</v>
      </c>
      <c r="M2720" s="26">
        <v>45743</v>
      </c>
      <c r="N2720" s="44">
        <v>21400</v>
      </c>
      <c r="O2720" s="22" t="s">
        <v>15</v>
      </c>
      <c r="P2720" s="44">
        <v>21400</v>
      </c>
      <c r="Q2720" s="24">
        <f t="shared" si="171"/>
        <v>0</v>
      </c>
      <c r="R2720" s="24">
        <f t="shared" si="168"/>
        <v>21400</v>
      </c>
      <c r="S2720" s="5"/>
      <c r="T2720" s="5"/>
    </row>
    <row r="2721" spans="1:20" ht="15.75" hidden="1" x14ac:dyDescent="0.25">
      <c r="B2721" s="21" t="s">
        <v>395</v>
      </c>
      <c r="C2721" s="22" t="s">
        <v>2450</v>
      </c>
      <c r="D2721" s="22"/>
      <c r="E2721" s="21" t="s">
        <v>0</v>
      </c>
      <c r="F2721" s="21"/>
      <c r="G2721" s="147" t="s">
        <v>7266</v>
      </c>
      <c r="H2721" s="23" t="s">
        <v>9667</v>
      </c>
      <c r="I2721" s="23" t="s">
        <v>9668</v>
      </c>
      <c r="J2721" s="21" t="s">
        <v>9669</v>
      </c>
      <c r="K2721" s="21"/>
      <c r="L2721" s="21" t="s">
        <v>9915</v>
      </c>
      <c r="M2721" s="26">
        <v>45456</v>
      </c>
      <c r="N2721" s="44">
        <v>17700</v>
      </c>
      <c r="O2721" s="22" t="s">
        <v>15</v>
      </c>
      <c r="P2721" s="44">
        <f>17700</f>
        <v>17700</v>
      </c>
      <c r="Q2721" s="24">
        <f t="shared" si="171"/>
        <v>0</v>
      </c>
      <c r="R2721" s="24">
        <f t="shared" si="168"/>
        <v>17700</v>
      </c>
      <c r="S2721" s="5"/>
      <c r="T2721" s="5"/>
    </row>
    <row r="2722" spans="1:20" ht="15.75" hidden="1" x14ac:dyDescent="0.25">
      <c r="B2722" s="21" t="s">
        <v>395</v>
      </c>
      <c r="C2722" s="22" t="s">
        <v>2450</v>
      </c>
      <c r="D2722" s="22"/>
      <c r="E2722" s="21" t="s">
        <v>0</v>
      </c>
      <c r="F2722" s="21" t="s">
        <v>9766</v>
      </c>
      <c r="G2722" s="147" t="s">
        <v>7266</v>
      </c>
      <c r="H2722" s="23" t="s">
        <v>9735</v>
      </c>
      <c r="I2722" s="23" t="s">
        <v>9736</v>
      </c>
      <c r="J2722" s="21" t="s">
        <v>9737</v>
      </c>
      <c r="K2722" s="21"/>
      <c r="L2722" s="21" t="s">
        <v>9888</v>
      </c>
      <c r="M2722" s="26">
        <v>45439</v>
      </c>
      <c r="N2722" s="44">
        <v>6200</v>
      </c>
      <c r="O2722" s="22" t="s">
        <v>15</v>
      </c>
      <c r="P2722" s="44">
        <f>6200</f>
        <v>6200</v>
      </c>
      <c r="Q2722" s="24">
        <f t="shared" si="171"/>
        <v>0</v>
      </c>
      <c r="R2722" s="24">
        <f t="shared" si="168"/>
        <v>6200</v>
      </c>
      <c r="S2722" s="5"/>
      <c r="T2722" s="5"/>
    </row>
    <row r="2723" spans="1:20" ht="15.75" hidden="1" x14ac:dyDescent="0.25">
      <c r="B2723" s="21" t="s">
        <v>395</v>
      </c>
      <c r="C2723" s="22" t="s">
        <v>2450</v>
      </c>
      <c r="D2723" s="22"/>
      <c r="E2723" s="21" t="s">
        <v>0</v>
      </c>
      <c r="F2723" s="21" t="s">
        <v>9766</v>
      </c>
      <c r="G2723" s="147" t="s">
        <v>7266</v>
      </c>
      <c r="H2723" s="23" t="s">
        <v>10023</v>
      </c>
      <c r="I2723" s="23" t="s">
        <v>10024</v>
      </c>
      <c r="J2723" s="21" t="s">
        <v>10025</v>
      </c>
      <c r="K2723" s="21"/>
      <c r="L2723" s="21" t="s">
        <v>10299</v>
      </c>
      <c r="M2723" s="26">
        <v>45505</v>
      </c>
      <c r="N2723" s="44">
        <v>29000</v>
      </c>
      <c r="O2723" s="22" t="s">
        <v>15</v>
      </c>
      <c r="P2723" s="44">
        <v>29000</v>
      </c>
      <c r="Q2723" s="44">
        <f t="shared" si="171"/>
        <v>0</v>
      </c>
      <c r="R2723" s="24">
        <f t="shared" si="168"/>
        <v>29000</v>
      </c>
      <c r="S2723" s="5"/>
      <c r="T2723" s="5"/>
    </row>
    <row r="2724" spans="1:20" ht="15.75" hidden="1" x14ac:dyDescent="0.25">
      <c r="B2724" s="21" t="s">
        <v>395</v>
      </c>
      <c r="C2724" s="22" t="s">
        <v>2450</v>
      </c>
      <c r="D2724" s="22"/>
      <c r="E2724" s="21" t="s">
        <v>0</v>
      </c>
      <c r="F2724" s="21" t="s">
        <v>9766</v>
      </c>
      <c r="G2724" s="147" t="s">
        <v>7266</v>
      </c>
      <c r="H2724" s="23" t="s">
        <v>10055</v>
      </c>
      <c r="I2724" s="23" t="s">
        <v>10056</v>
      </c>
      <c r="J2724" s="21" t="s">
        <v>10057</v>
      </c>
      <c r="K2724" s="21"/>
      <c r="L2724" s="21" t="s">
        <v>10914</v>
      </c>
      <c r="M2724" s="26">
        <v>45645</v>
      </c>
      <c r="N2724" s="44">
        <v>29300</v>
      </c>
      <c r="O2724" s="22" t="s">
        <v>15</v>
      </c>
      <c r="P2724" s="44">
        <v>29300</v>
      </c>
      <c r="Q2724" s="44">
        <f t="shared" si="171"/>
        <v>0</v>
      </c>
      <c r="R2724" s="24">
        <f t="shared" si="168"/>
        <v>29300</v>
      </c>
      <c r="S2724" s="5"/>
      <c r="T2724" s="5"/>
    </row>
    <row r="2725" spans="1:20" ht="15.75" hidden="1" x14ac:dyDescent="0.25">
      <c r="B2725" s="21" t="s">
        <v>395</v>
      </c>
      <c r="C2725" s="22" t="s">
        <v>2450</v>
      </c>
      <c r="D2725" s="22"/>
      <c r="E2725" s="21" t="s">
        <v>0</v>
      </c>
      <c r="F2725" s="21" t="s">
        <v>9766</v>
      </c>
      <c r="G2725" s="147" t="s">
        <v>7266</v>
      </c>
      <c r="H2725" s="23" t="s">
        <v>10840</v>
      </c>
      <c r="I2725" s="23" t="s">
        <v>10841</v>
      </c>
      <c r="J2725" s="21" t="s">
        <v>10843</v>
      </c>
      <c r="K2725" s="21"/>
      <c r="L2725" s="21" t="s">
        <v>10913</v>
      </c>
      <c r="M2725" s="26">
        <v>45645</v>
      </c>
      <c r="N2725" s="44">
        <v>9800</v>
      </c>
      <c r="O2725" s="22" t="s">
        <v>15</v>
      </c>
      <c r="P2725" s="44">
        <v>9800</v>
      </c>
      <c r="Q2725" s="24">
        <f t="shared" si="171"/>
        <v>0</v>
      </c>
      <c r="R2725" s="24">
        <f t="shared" si="168"/>
        <v>9800</v>
      </c>
      <c r="S2725" s="5"/>
      <c r="T2725" s="5"/>
    </row>
    <row r="2726" spans="1:20" ht="15.75" hidden="1" x14ac:dyDescent="0.25">
      <c r="B2726" s="21" t="s">
        <v>395</v>
      </c>
      <c r="C2726" s="22" t="s">
        <v>2450</v>
      </c>
      <c r="D2726" s="22"/>
      <c r="E2726" s="21" t="s">
        <v>0</v>
      </c>
      <c r="F2726" s="21" t="s">
        <v>9766</v>
      </c>
      <c r="G2726" s="147" t="s">
        <v>7266</v>
      </c>
      <c r="H2726" s="23" t="s">
        <v>10226</v>
      </c>
      <c r="I2726" s="23" t="s">
        <v>10227</v>
      </c>
      <c r="J2726" s="21" t="s">
        <v>10228</v>
      </c>
      <c r="K2726" s="21"/>
      <c r="L2726" s="21" t="s">
        <v>10279</v>
      </c>
      <c r="M2726" s="26">
        <v>45503</v>
      </c>
      <c r="N2726" s="44">
        <v>9470</v>
      </c>
      <c r="O2726" s="22" t="s">
        <v>15</v>
      </c>
      <c r="P2726" s="44">
        <v>9470</v>
      </c>
      <c r="Q2726" s="24">
        <f t="shared" si="171"/>
        <v>0</v>
      </c>
      <c r="R2726" s="24">
        <f t="shared" si="168"/>
        <v>9470</v>
      </c>
      <c r="S2726" s="5"/>
      <c r="T2726" s="5"/>
    </row>
    <row r="2727" spans="1:20" ht="15.75" hidden="1" x14ac:dyDescent="0.25">
      <c r="B2727" s="21" t="s">
        <v>395</v>
      </c>
      <c r="C2727" s="22" t="s">
        <v>2450</v>
      </c>
      <c r="D2727" s="22"/>
      <c r="E2727" s="21" t="s">
        <v>0</v>
      </c>
      <c r="F2727" s="21" t="s">
        <v>9766</v>
      </c>
      <c r="G2727" s="147" t="s">
        <v>7266</v>
      </c>
      <c r="H2727" s="23" t="s">
        <v>10681</v>
      </c>
      <c r="I2727" s="23" t="s">
        <v>10682</v>
      </c>
      <c r="J2727" s="21" t="s">
        <v>10683</v>
      </c>
      <c r="K2727" s="21"/>
      <c r="L2727" s="21" t="s">
        <v>11209</v>
      </c>
      <c r="M2727" s="26">
        <v>45708</v>
      </c>
      <c r="N2727" s="44">
        <v>4300</v>
      </c>
      <c r="O2727" s="22" t="s">
        <v>15</v>
      </c>
      <c r="P2727" s="44">
        <v>4300</v>
      </c>
      <c r="Q2727" s="24">
        <f t="shared" si="171"/>
        <v>0</v>
      </c>
      <c r="R2727" s="24">
        <f>IF(P2727="OK",N2727-Q2727,IF(P2727="en cours",M2727-Q2727,P2727))</f>
        <v>4300</v>
      </c>
      <c r="S2727" s="5"/>
      <c r="T2727" s="5"/>
    </row>
    <row r="2728" spans="1:20" ht="15.75" hidden="1" x14ac:dyDescent="0.25">
      <c r="A2728" t="s">
        <v>6753</v>
      </c>
      <c r="B2728" s="21" t="s">
        <v>395</v>
      </c>
      <c r="C2728" s="22" t="s">
        <v>158</v>
      </c>
      <c r="D2728" s="22"/>
      <c r="E2728" s="21" t="s">
        <v>9808</v>
      </c>
      <c r="F2728" s="21" t="s">
        <v>9809</v>
      </c>
      <c r="G2728" s="147" t="s">
        <v>9810</v>
      </c>
      <c r="H2728" s="23" t="s">
        <v>9811</v>
      </c>
      <c r="I2728" s="23" t="s">
        <v>9812</v>
      </c>
      <c r="J2728" s="21" t="s">
        <v>9813</v>
      </c>
      <c r="K2728" s="377"/>
      <c r="L2728" s="21" t="s">
        <v>9976</v>
      </c>
      <c r="M2728" s="26">
        <v>45464</v>
      </c>
      <c r="N2728" s="44">
        <f>0.5*111514</f>
        <v>55757</v>
      </c>
      <c r="O2728" s="22" t="s">
        <v>276</v>
      </c>
      <c r="P2728" s="44">
        <v>55757</v>
      </c>
      <c r="Q2728" s="24">
        <f t="shared" si="171"/>
        <v>0</v>
      </c>
      <c r="R2728" s="24">
        <f t="shared" ref="R2728:R2729" si="172">IF(P2728="OK",N2728-Q2728,IF(P2728="en cours",N2728-Q2728,P2728))</f>
        <v>55757</v>
      </c>
      <c r="S2728" s="5"/>
      <c r="T2728" s="5"/>
    </row>
    <row r="2729" spans="1:20" ht="15.75" hidden="1" x14ac:dyDescent="0.25">
      <c r="A2729" t="s">
        <v>6753</v>
      </c>
      <c r="B2729" s="21" t="s">
        <v>395</v>
      </c>
      <c r="C2729" s="22" t="s">
        <v>158</v>
      </c>
      <c r="D2729" s="22"/>
      <c r="E2729" s="21" t="s">
        <v>9808</v>
      </c>
      <c r="F2729" s="21" t="s">
        <v>9809</v>
      </c>
      <c r="G2729" s="147" t="s">
        <v>9810</v>
      </c>
      <c r="H2729" s="23" t="s">
        <v>9811</v>
      </c>
      <c r="I2729" s="23" t="s">
        <v>9812</v>
      </c>
      <c r="J2729" s="21" t="s">
        <v>9814</v>
      </c>
      <c r="K2729" s="377"/>
      <c r="L2729" s="21" t="s">
        <v>10856</v>
      </c>
      <c r="M2729" s="26">
        <v>45636</v>
      </c>
      <c r="N2729" s="44">
        <f>0.5*111514</f>
        <v>55757</v>
      </c>
      <c r="O2729" s="22" t="s">
        <v>276</v>
      </c>
      <c r="P2729" s="44">
        <v>52968.67</v>
      </c>
      <c r="Q2729" s="24">
        <v>0</v>
      </c>
      <c r="R2729" s="24">
        <f t="shared" si="172"/>
        <v>52968.67</v>
      </c>
      <c r="S2729" s="5"/>
      <c r="T2729" s="5"/>
    </row>
    <row r="2730" spans="1:20" ht="15.75" hidden="1" x14ac:dyDescent="0.25">
      <c r="A2730" t="s">
        <v>6753</v>
      </c>
      <c r="B2730" s="21" t="s">
        <v>395</v>
      </c>
      <c r="C2730" s="22" t="s">
        <v>158</v>
      </c>
      <c r="D2730" s="22"/>
      <c r="E2730" s="21" t="s">
        <v>3234</v>
      </c>
      <c r="F2730" s="21" t="s">
        <v>9809</v>
      </c>
      <c r="G2730" s="147" t="s">
        <v>9810</v>
      </c>
      <c r="H2730" s="23" t="s">
        <v>10124</v>
      </c>
      <c r="I2730" s="23" t="s">
        <v>10125</v>
      </c>
      <c r="J2730" s="21" t="s">
        <v>10126</v>
      </c>
      <c r="K2730" s="47"/>
      <c r="L2730" s="21" t="s">
        <v>10210</v>
      </c>
      <c r="M2730" s="26">
        <v>45491</v>
      </c>
      <c r="N2730" s="44">
        <f>0.5*100076</f>
        <v>50038</v>
      </c>
      <c r="O2730" s="22" t="s">
        <v>276</v>
      </c>
      <c r="P2730" s="44">
        <v>50038</v>
      </c>
      <c r="Q2730" s="24">
        <f t="shared" si="171"/>
        <v>0</v>
      </c>
      <c r="R2730" s="24">
        <f>IF(P2730="OK",N2730-Q2730,IF(P2730="en cours",M2730-Q2730,P2730))</f>
        <v>50038</v>
      </c>
      <c r="S2730" s="5"/>
      <c r="T2730" s="5"/>
    </row>
    <row r="2731" spans="1:20" ht="15.75" hidden="1" x14ac:dyDescent="0.25">
      <c r="A2731" t="s">
        <v>6753</v>
      </c>
      <c r="B2731" s="21" t="s">
        <v>395</v>
      </c>
      <c r="C2731" s="22" t="s">
        <v>158</v>
      </c>
      <c r="D2731" s="22"/>
      <c r="E2731" s="21" t="s">
        <v>3234</v>
      </c>
      <c r="F2731" s="21" t="s">
        <v>9809</v>
      </c>
      <c r="G2731" s="147" t="s">
        <v>9810</v>
      </c>
      <c r="H2731" s="23" t="s">
        <v>10124</v>
      </c>
      <c r="I2731" s="23" t="s">
        <v>10125</v>
      </c>
      <c r="J2731" s="21" t="s">
        <v>10127</v>
      </c>
      <c r="K2731" s="21"/>
      <c r="L2731" s="21" t="s">
        <v>10853</v>
      </c>
      <c r="M2731" s="26">
        <v>45636</v>
      </c>
      <c r="N2731" s="44">
        <f>0.5*100076</f>
        <v>50038</v>
      </c>
      <c r="O2731" s="22" t="s">
        <v>276</v>
      </c>
      <c r="P2731" s="44">
        <v>38956.800000000003</v>
      </c>
      <c r="Q2731" s="24">
        <v>0</v>
      </c>
      <c r="R2731" s="24">
        <f>IF(P2731="OK",N2731-Q2731,IF(P2731="en cours",M2731-Q2731,P2731))</f>
        <v>38956.800000000003</v>
      </c>
      <c r="S2731" s="5"/>
      <c r="T2731" s="5"/>
    </row>
    <row r="2732" spans="1:20" ht="15.75" hidden="1" x14ac:dyDescent="0.25">
      <c r="A2732" t="s">
        <v>6753</v>
      </c>
      <c r="B2732" s="21" t="s">
        <v>395</v>
      </c>
      <c r="C2732" s="22" t="s">
        <v>158</v>
      </c>
      <c r="D2732" s="22"/>
      <c r="E2732" s="21" t="s">
        <v>3234</v>
      </c>
      <c r="F2732" s="21" t="s">
        <v>9809</v>
      </c>
      <c r="G2732" s="147" t="s">
        <v>9810</v>
      </c>
      <c r="H2732" s="23" t="s">
        <v>10207</v>
      </c>
      <c r="I2732" s="23" t="s">
        <v>10208</v>
      </c>
      <c r="J2732" s="21" t="s">
        <v>10209</v>
      </c>
      <c r="K2732" s="21"/>
      <c r="L2732" s="21" t="s">
        <v>10854</v>
      </c>
      <c r="M2732" s="26" t="s">
        <v>10855</v>
      </c>
      <c r="N2732" s="44">
        <v>15808</v>
      </c>
      <c r="O2732" s="22" t="s">
        <v>276</v>
      </c>
      <c r="P2732" s="44">
        <f>7904+7154</f>
        <v>15058</v>
      </c>
      <c r="Q2732" s="24">
        <v>0</v>
      </c>
      <c r="R2732" s="24">
        <f t="shared" ref="R2732:R2795" si="173">IF(P2732="OK",N2732-Q2732,IF(P2732="en cours",N2732-Q2732,P2732))</f>
        <v>15058</v>
      </c>
      <c r="S2732" s="5"/>
      <c r="T2732" s="5"/>
    </row>
    <row r="2733" spans="1:20" ht="15.75" hidden="1" x14ac:dyDescent="0.25">
      <c r="B2733" s="21" t="s">
        <v>395</v>
      </c>
      <c r="C2733" s="22" t="s">
        <v>1940</v>
      </c>
      <c r="D2733" s="22"/>
      <c r="E2733" s="21" t="s">
        <v>75</v>
      </c>
      <c r="F2733" s="21"/>
      <c r="G2733" s="147" t="s">
        <v>155</v>
      </c>
      <c r="H2733" s="23" t="s">
        <v>5357</v>
      </c>
      <c r="I2733" s="23" t="s">
        <v>8010</v>
      </c>
      <c r="J2733" s="21" t="s">
        <v>4314</v>
      </c>
      <c r="K2733" s="21"/>
      <c r="L2733" s="21" t="s">
        <v>5358</v>
      </c>
      <c r="M2733" s="26" t="s">
        <v>5359</v>
      </c>
      <c r="N2733" s="44">
        <v>24400</v>
      </c>
      <c r="O2733" s="22" t="s">
        <v>15</v>
      </c>
      <c r="P2733" s="22">
        <f>4880+19520</f>
        <v>24400</v>
      </c>
      <c r="Q2733" s="24">
        <f t="shared" ref="Q2733:Q2796" si="174">IF(P2733="en cours",N2733,IF(P2733="OK",0,IF(N2733-P2733&lt;0,0,N2733-P2733)))</f>
        <v>0</v>
      </c>
      <c r="R2733" s="24">
        <f t="shared" si="173"/>
        <v>24400</v>
      </c>
      <c r="S2733" s="5"/>
      <c r="T2733" s="5"/>
    </row>
    <row r="2734" spans="1:20" ht="15.75" hidden="1" x14ac:dyDescent="0.25">
      <c r="B2734" s="21" t="s">
        <v>395</v>
      </c>
      <c r="C2734" s="22" t="s">
        <v>4628</v>
      </c>
      <c r="D2734" s="22"/>
      <c r="E2734" s="21" t="s">
        <v>75</v>
      </c>
      <c r="F2734" s="21"/>
      <c r="G2734" s="147" t="s">
        <v>155</v>
      </c>
      <c r="H2734" s="23" t="s">
        <v>6731</v>
      </c>
      <c r="I2734" s="23" t="s">
        <v>6731</v>
      </c>
      <c r="J2734" s="21" t="s">
        <v>6732</v>
      </c>
      <c r="K2734" s="21"/>
      <c r="L2734" s="21" t="s">
        <v>7521</v>
      </c>
      <c r="M2734" s="26">
        <v>44949</v>
      </c>
      <c r="N2734" s="44">
        <v>4800</v>
      </c>
      <c r="O2734" s="22" t="s">
        <v>15</v>
      </c>
      <c r="P2734" s="44">
        <f>4800</f>
        <v>4800</v>
      </c>
      <c r="Q2734" s="44">
        <f t="shared" si="174"/>
        <v>0</v>
      </c>
      <c r="R2734" s="24">
        <f t="shared" si="173"/>
        <v>4800</v>
      </c>
      <c r="S2734" s="5"/>
      <c r="T2734" s="5"/>
    </row>
    <row r="2735" spans="1:20" ht="15.75" hidden="1" x14ac:dyDescent="0.25">
      <c r="B2735" s="21" t="s">
        <v>395</v>
      </c>
      <c r="C2735" s="22" t="s">
        <v>2450</v>
      </c>
      <c r="D2735" s="22"/>
      <c r="E2735" s="21" t="s">
        <v>75</v>
      </c>
      <c r="F2735" s="21"/>
      <c r="G2735" s="147" t="s">
        <v>155</v>
      </c>
      <c r="H2735" s="23" t="s">
        <v>7213</v>
      </c>
      <c r="I2735" s="23" t="s">
        <v>8197</v>
      </c>
      <c r="J2735" s="21" t="s">
        <v>7285</v>
      </c>
      <c r="K2735" s="21"/>
      <c r="L2735" s="21" t="s">
        <v>7778</v>
      </c>
      <c r="M2735" s="26">
        <v>45016</v>
      </c>
      <c r="N2735" s="44">
        <v>8800</v>
      </c>
      <c r="O2735" s="22" t="s">
        <v>15</v>
      </c>
      <c r="P2735" s="44">
        <f>8800</f>
        <v>8800</v>
      </c>
      <c r="Q2735" s="44">
        <f t="shared" si="174"/>
        <v>0</v>
      </c>
      <c r="R2735" s="24">
        <f t="shared" si="173"/>
        <v>8800</v>
      </c>
      <c r="S2735" s="5"/>
      <c r="T2735" s="5"/>
    </row>
    <row r="2736" spans="1:20" ht="15.75" hidden="1" x14ac:dyDescent="0.25">
      <c r="B2736" s="21" t="s">
        <v>395</v>
      </c>
      <c r="C2736" s="22" t="s">
        <v>2450</v>
      </c>
      <c r="D2736" s="22"/>
      <c r="E2736" s="21" t="s">
        <v>75</v>
      </c>
      <c r="F2736" s="21"/>
      <c r="G2736" s="147" t="s">
        <v>155</v>
      </c>
      <c r="H2736" s="23" t="s">
        <v>7264</v>
      </c>
      <c r="I2736" s="23" t="s">
        <v>8210</v>
      </c>
      <c r="J2736" s="21" t="s">
        <v>7265</v>
      </c>
      <c r="K2736" s="21"/>
      <c r="L2736" s="21" t="s">
        <v>7286</v>
      </c>
      <c r="M2736" s="23" t="s">
        <v>7287</v>
      </c>
      <c r="N2736" s="44">
        <v>6980</v>
      </c>
      <c r="O2736" s="22" t="s">
        <v>15</v>
      </c>
      <c r="P2736" s="44">
        <f>3490+3490</f>
        <v>6980</v>
      </c>
      <c r="Q2736" s="44">
        <f t="shared" si="174"/>
        <v>0</v>
      </c>
      <c r="R2736" s="24">
        <f t="shared" si="173"/>
        <v>6980</v>
      </c>
      <c r="S2736" s="5"/>
      <c r="T2736" s="5"/>
    </row>
    <row r="2737" spans="2:20" ht="15.75" hidden="1" x14ac:dyDescent="0.25">
      <c r="B2737" s="21" t="s">
        <v>395</v>
      </c>
      <c r="C2737" s="22" t="s">
        <v>7408</v>
      </c>
      <c r="D2737" s="22"/>
      <c r="E2737" s="21" t="s">
        <v>75</v>
      </c>
      <c r="F2737" s="21"/>
      <c r="G2737" s="147" t="s">
        <v>155</v>
      </c>
      <c r="H2737" s="23" t="s">
        <v>7373</v>
      </c>
      <c r="I2737" s="23" t="s">
        <v>8232</v>
      </c>
      <c r="J2737" s="21" t="s">
        <v>7374</v>
      </c>
      <c r="K2737" s="21"/>
      <c r="L2737" s="21" t="s">
        <v>7753</v>
      </c>
      <c r="M2737" s="26" t="s">
        <v>7754</v>
      </c>
      <c r="N2737" s="44">
        <v>8776</v>
      </c>
      <c r="O2737" s="22" t="s">
        <v>15</v>
      </c>
      <c r="P2737" s="44">
        <f>4388+4388</f>
        <v>8776</v>
      </c>
      <c r="Q2737" s="44">
        <f t="shared" si="174"/>
        <v>0</v>
      </c>
      <c r="R2737" s="24">
        <f t="shared" si="173"/>
        <v>8776</v>
      </c>
      <c r="S2737" s="5"/>
      <c r="T2737" s="5"/>
    </row>
    <row r="2738" spans="2:20" ht="15.75" hidden="1" x14ac:dyDescent="0.25">
      <c r="B2738" s="21" t="s">
        <v>395</v>
      </c>
      <c r="C2738" s="22" t="s">
        <v>7408</v>
      </c>
      <c r="D2738" s="22"/>
      <c r="E2738" s="21" t="s">
        <v>75</v>
      </c>
      <c r="F2738" s="21"/>
      <c r="G2738" s="147" t="s">
        <v>155</v>
      </c>
      <c r="H2738" s="23" t="s">
        <v>8346</v>
      </c>
      <c r="I2738" s="23" t="s">
        <v>8348</v>
      </c>
      <c r="J2738" s="21" t="s">
        <v>7793</v>
      </c>
      <c r="K2738" s="47"/>
      <c r="L2738" s="21" t="s">
        <v>8347</v>
      </c>
      <c r="M2738" s="26">
        <v>45061</v>
      </c>
      <c r="N2738" s="44">
        <v>34144</v>
      </c>
      <c r="O2738" s="22" t="s">
        <v>15</v>
      </c>
      <c r="P2738" s="44">
        <f>34144</f>
        <v>34144</v>
      </c>
      <c r="Q2738" s="44">
        <f t="shared" si="174"/>
        <v>0</v>
      </c>
      <c r="R2738" s="24">
        <f t="shared" si="173"/>
        <v>34144</v>
      </c>
      <c r="S2738" s="5"/>
      <c r="T2738" s="5"/>
    </row>
    <row r="2739" spans="2:20" ht="15.75" hidden="1" x14ac:dyDescent="0.25">
      <c r="B2739" s="21" t="s">
        <v>395</v>
      </c>
      <c r="C2739" s="22" t="s">
        <v>7408</v>
      </c>
      <c r="D2739" s="22"/>
      <c r="E2739" s="21" t="s">
        <v>75</v>
      </c>
      <c r="F2739" s="21"/>
      <c r="G2739" s="147" t="s">
        <v>155</v>
      </c>
      <c r="H2739" s="23" t="s">
        <v>8346</v>
      </c>
      <c r="I2739" s="23" t="s">
        <v>8348</v>
      </c>
      <c r="J2739" s="21" t="s">
        <v>7794</v>
      </c>
      <c r="K2739" s="21"/>
      <c r="L2739" s="21" t="s">
        <v>9700</v>
      </c>
      <c r="M2739" s="26" t="s">
        <v>9701</v>
      </c>
      <c r="N2739" s="44">
        <v>25608</v>
      </c>
      <c r="O2739" s="22" t="s">
        <v>15</v>
      </c>
      <c r="P2739" s="44">
        <v>25608</v>
      </c>
      <c r="Q2739" s="44">
        <f t="shared" si="174"/>
        <v>0</v>
      </c>
      <c r="R2739" s="24">
        <f t="shared" si="173"/>
        <v>25608</v>
      </c>
      <c r="S2739" s="5"/>
      <c r="T2739" s="5"/>
    </row>
    <row r="2740" spans="2:20" ht="15.75" hidden="1" x14ac:dyDescent="0.25">
      <c r="B2740" s="21" t="s">
        <v>395</v>
      </c>
      <c r="C2740" s="22" t="s">
        <v>7408</v>
      </c>
      <c r="D2740" s="22"/>
      <c r="E2740" s="21" t="s">
        <v>75</v>
      </c>
      <c r="F2740" s="21"/>
      <c r="G2740" s="147" t="s">
        <v>155</v>
      </c>
      <c r="H2740" s="23" t="s">
        <v>8346</v>
      </c>
      <c r="I2740" s="23" t="s">
        <v>8348</v>
      </c>
      <c r="J2740" s="21" t="s">
        <v>7795</v>
      </c>
      <c r="K2740" s="21"/>
      <c r="L2740" s="21" t="s">
        <v>9904</v>
      </c>
      <c r="M2740" s="26">
        <v>45429</v>
      </c>
      <c r="N2740" s="44">
        <v>25608</v>
      </c>
      <c r="O2740" s="22" t="s">
        <v>15</v>
      </c>
      <c r="P2740" s="44">
        <v>25608</v>
      </c>
      <c r="Q2740" s="44">
        <f t="shared" si="174"/>
        <v>0</v>
      </c>
      <c r="R2740" s="24">
        <f t="shared" si="173"/>
        <v>25608</v>
      </c>
      <c r="S2740" s="5"/>
      <c r="T2740" s="5"/>
    </row>
    <row r="2741" spans="2:20" ht="12.75" hidden="1" customHeight="1" x14ac:dyDescent="0.25">
      <c r="B2741" s="21" t="s">
        <v>395</v>
      </c>
      <c r="C2741" s="22" t="s">
        <v>7408</v>
      </c>
      <c r="D2741" s="22"/>
      <c r="E2741" s="21" t="s">
        <v>75</v>
      </c>
      <c r="F2741" s="21"/>
      <c r="G2741" s="147" t="s">
        <v>155</v>
      </c>
      <c r="H2741" s="23" t="s">
        <v>8346</v>
      </c>
      <c r="I2741" s="23" t="s">
        <v>8348</v>
      </c>
      <c r="J2741" s="21" t="s">
        <v>7796</v>
      </c>
      <c r="K2741" s="21"/>
      <c r="L2741" s="21" t="s">
        <v>10867</v>
      </c>
      <c r="M2741" s="26">
        <v>45638</v>
      </c>
      <c r="N2741" s="44">
        <v>34144</v>
      </c>
      <c r="O2741" s="22" t="s">
        <v>15</v>
      </c>
      <c r="P2741" s="44">
        <v>34144</v>
      </c>
      <c r="Q2741" s="44">
        <f t="shared" si="174"/>
        <v>0</v>
      </c>
      <c r="R2741" s="24">
        <f t="shared" si="173"/>
        <v>34144</v>
      </c>
      <c r="S2741" s="5"/>
      <c r="T2741" s="5"/>
    </row>
    <row r="2742" spans="2:20" ht="15.75" hidden="1" x14ac:dyDescent="0.25">
      <c r="B2742" s="21" t="s">
        <v>395</v>
      </c>
      <c r="C2742" s="22" t="s">
        <v>7408</v>
      </c>
      <c r="D2742" s="22"/>
      <c r="E2742" s="21" t="s">
        <v>75</v>
      </c>
      <c r="F2742" s="21"/>
      <c r="G2742" s="147" t="s">
        <v>155</v>
      </c>
      <c r="H2742" s="23" t="s">
        <v>8346</v>
      </c>
      <c r="I2742" s="23" t="s">
        <v>8348</v>
      </c>
      <c r="J2742" s="21" t="s">
        <v>7797</v>
      </c>
      <c r="K2742" s="21"/>
      <c r="L2742" s="21" t="s">
        <v>10912</v>
      </c>
      <c r="M2742" s="26">
        <v>45639</v>
      </c>
      <c r="N2742" s="44">
        <v>25608</v>
      </c>
      <c r="O2742" s="22" t="s">
        <v>15</v>
      </c>
      <c r="P2742" s="44">
        <v>25608</v>
      </c>
      <c r="Q2742" s="44">
        <f t="shared" si="174"/>
        <v>0</v>
      </c>
      <c r="R2742" s="24">
        <f t="shared" si="173"/>
        <v>25608</v>
      </c>
      <c r="S2742" s="5"/>
      <c r="T2742" s="5"/>
    </row>
    <row r="2743" spans="2:20" ht="15.75" hidden="1" x14ac:dyDescent="0.25">
      <c r="B2743" s="21" t="s">
        <v>395</v>
      </c>
      <c r="C2743" s="22" t="s">
        <v>7408</v>
      </c>
      <c r="D2743" s="22"/>
      <c r="E2743" s="21" t="s">
        <v>75</v>
      </c>
      <c r="F2743" s="21"/>
      <c r="G2743" s="147" t="s">
        <v>155</v>
      </c>
      <c r="H2743" s="23" t="s">
        <v>8346</v>
      </c>
      <c r="I2743" s="23" t="s">
        <v>8348</v>
      </c>
      <c r="J2743" s="21" t="s">
        <v>7798</v>
      </c>
      <c r="K2743" s="21"/>
      <c r="L2743" s="21" t="s">
        <v>11487</v>
      </c>
      <c r="M2743" s="26" t="s">
        <v>11488</v>
      </c>
      <c r="N2743" s="44">
        <v>25608</v>
      </c>
      <c r="O2743" s="22" t="s">
        <v>15</v>
      </c>
      <c r="P2743" s="44">
        <f>4080+25608</f>
        <v>29688</v>
      </c>
      <c r="Q2743" s="44">
        <f t="shared" si="174"/>
        <v>0</v>
      </c>
      <c r="R2743" s="24">
        <f t="shared" si="173"/>
        <v>29688</v>
      </c>
      <c r="S2743" s="5"/>
      <c r="T2743" s="5"/>
    </row>
    <row r="2744" spans="2:20" ht="15.75" hidden="1" x14ac:dyDescent="0.25">
      <c r="B2744" s="21" t="s">
        <v>395</v>
      </c>
      <c r="C2744" s="22" t="s">
        <v>2450</v>
      </c>
      <c r="D2744" s="22"/>
      <c r="E2744" s="21" t="s">
        <v>75</v>
      </c>
      <c r="F2744" s="21"/>
      <c r="G2744" s="147" t="s">
        <v>155</v>
      </c>
      <c r="H2744" s="23" t="s">
        <v>8484</v>
      </c>
      <c r="I2744" s="23" t="s">
        <v>8485</v>
      </c>
      <c r="J2744" s="21" t="s">
        <v>8455</v>
      </c>
      <c r="K2744" s="47"/>
      <c r="L2744" s="21" t="s">
        <v>8509</v>
      </c>
      <c r="M2744" s="26">
        <v>45096</v>
      </c>
      <c r="N2744" s="44">
        <v>4684</v>
      </c>
      <c r="O2744" s="22" t="s">
        <v>15</v>
      </c>
      <c r="P2744" s="44">
        <f>4684</f>
        <v>4684</v>
      </c>
      <c r="Q2744" s="44">
        <f t="shared" si="174"/>
        <v>0</v>
      </c>
      <c r="R2744" s="24">
        <f t="shared" si="173"/>
        <v>4684</v>
      </c>
      <c r="S2744" s="5"/>
      <c r="T2744" s="5"/>
    </row>
    <row r="2745" spans="2:20" ht="15.75" hidden="1" x14ac:dyDescent="0.25">
      <c r="B2745" s="21" t="s">
        <v>395</v>
      </c>
      <c r="C2745" s="22" t="s">
        <v>2450</v>
      </c>
      <c r="D2745" s="22"/>
      <c r="E2745" s="21" t="s">
        <v>75</v>
      </c>
      <c r="F2745" s="21"/>
      <c r="G2745" s="147" t="s">
        <v>155</v>
      </c>
      <c r="H2745" s="23" t="s">
        <v>8484</v>
      </c>
      <c r="I2745" s="23" t="s">
        <v>8485</v>
      </c>
      <c r="J2745" s="21" t="s">
        <v>8456</v>
      </c>
      <c r="K2745" s="21"/>
      <c r="L2745" s="21" t="s">
        <v>9066</v>
      </c>
      <c r="M2745" s="26">
        <v>45230</v>
      </c>
      <c r="N2745" s="44">
        <v>4684</v>
      </c>
      <c r="O2745" s="22" t="s">
        <v>15</v>
      </c>
      <c r="P2745" s="44">
        <v>4684</v>
      </c>
      <c r="Q2745" s="44">
        <f t="shared" si="174"/>
        <v>0</v>
      </c>
      <c r="R2745" s="24">
        <f t="shared" si="173"/>
        <v>4684</v>
      </c>
      <c r="S2745" s="5"/>
      <c r="T2745" s="5"/>
    </row>
    <row r="2746" spans="2:20" ht="15.75" hidden="1" x14ac:dyDescent="0.25">
      <c r="B2746" s="21" t="s">
        <v>395</v>
      </c>
      <c r="C2746" s="22" t="s">
        <v>2450</v>
      </c>
      <c r="D2746" s="22"/>
      <c r="E2746" s="21" t="s">
        <v>75</v>
      </c>
      <c r="F2746" s="21"/>
      <c r="G2746" s="147" t="s">
        <v>155</v>
      </c>
      <c r="H2746" s="23" t="s">
        <v>8484</v>
      </c>
      <c r="I2746" s="23" t="s">
        <v>8485</v>
      </c>
      <c r="J2746" s="21" t="s">
        <v>8457</v>
      </c>
      <c r="K2746" s="21"/>
      <c r="L2746" s="21" t="s">
        <v>9557</v>
      </c>
      <c r="M2746" s="26">
        <v>45364</v>
      </c>
      <c r="N2746" s="44">
        <v>9368</v>
      </c>
      <c r="O2746" s="22" t="s">
        <v>15</v>
      </c>
      <c r="P2746" s="44">
        <v>9368</v>
      </c>
      <c r="Q2746" s="44">
        <f t="shared" si="174"/>
        <v>0</v>
      </c>
      <c r="R2746" s="24">
        <f t="shared" si="173"/>
        <v>9368</v>
      </c>
      <c r="S2746" s="5"/>
      <c r="T2746" s="5"/>
    </row>
    <row r="2747" spans="2:20" ht="15.75" hidden="1" x14ac:dyDescent="0.25">
      <c r="B2747" s="21" t="s">
        <v>395</v>
      </c>
      <c r="C2747" s="22" t="s">
        <v>2450</v>
      </c>
      <c r="D2747" s="22"/>
      <c r="E2747" s="21" t="s">
        <v>75</v>
      </c>
      <c r="F2747" s="21"/>
      <c r="G2747" s="147" t="s">
        <v>155</v>
      </c>
      <c r="H2747" s="23" t="s">
        <v>8484</v>
      </c>
      <c r="I2747" s="23" t="s">
        <v>8485</v>
      </c>
      <c r="J2747" s="21" t="s">
        <v>8458</v>
      </c>
      <c r="K2747" s="21"/>
      <c r="L2747" s="21" t="s">
        <v>9556</v>
      </c>
      <c r="M2747" s="26">
        <v>45343</v>
      </c>
      <c r="N2747" s="44">
        <v>4684</v>
      </c>
      <c r="O2747" s="22" t="s">
        <v>15</v>
      </c>
      <c r="P2747" s="44">
        <v>4684</v>
      </c>
      <c r="Q2747" s="44">
        <f t="shared" si="174"/>
        <v>0</v>
      </c>
      <c r="R2747" s="24">
        <f t="shared" si="173"/>
        <v>4684</v>
      </c>
      <c r="S2747" s="5"/>
      <c r="T2747" s="5"/>
    </row>
    <row r="2748" spans="2:20" ht="15.75" hidden="1" x14ac:dyDescent="0.25">
      <c r="B2748" s="21" t="s">
        <v>395</v>
      </c>
      <c r="C2748" s="22" t="s">
        <v>7372</v>
      </c>
      <c r="D2748" s="22"/>
      <c r="E2748" s="21" t="s">
        <v>75</v>
      </c>
      <c r="F2748" s="21"/>
      <c r="G2748" s="147" t="s">
        <v>155</v>
      </c>
      <c r="H2748" s="23" t="s">
        <v>8370</v>
      </c>
      <c r="I2748" s="23" t="s">
        <v>8369</v>
      </c>
      <c r="J2748" s="21" t="s">
        <v>8371</v>
      </c>
      <c r="K2748" s="47"/>
      <c r="L2748" s="21" t="s">
        <v>9114</v>
      </c>
      <c r="M2748" s="26">
        <v>45253</v>
      </c>
      <c r="N2748" s="44">
        <v>19935</v>
      </c>
      <c r="O2748" s="22" t="s">
        <v>15</v>
      </c>
      <c r="P2748" s="44">
        <v>19935</v>
      </c>
      <c r="Q2748" s="44">
        <f t="shared" si="174"/>
        <v>0</v>
      </c>
      <c r="R2748" s="24">
        <f t="shared" si="173"/>
        <v>19935</v>
      </c>
      <c r="S2748" s="5"/>
      <c r="T2748" s="5"/>
    </row>
    <row r="2749" spans="2:20" ht="15.75" hidden="1" x14ac:dyDescent="0.25">
      <c r="B2749" s="21" t="s">
        <v>395</v>
      </c>
      <c r="C2749" s="22" t="s">
        <v>7372</v>
      </c>
      <c r="D2749" s="22"/>
      <c r="E2749" s="21" t="s">
        <v>75</v>
      </c>
      <c r="F2749" s="21"/>
      <c r="G2749" s="147" t="s">
        <v>155</v>
      </c>
      <c r="H2749" s="23" t="s">
        <v>8370</v>
      </c>
      <c r="I2749" s="23" t="s">
        <v>8369</v>
      </c>
      <c r="J2749" s="21" t="s">
        <v>8372</v>
      </c>
      <c r="K2749" s="21"/>
      <c r="L2749" s="21" t="s">
        <v>9961</v>
      </c>
      <c r="M2749" s="26">
        <v>45470</v>
      </c>
      <c r="N2749" s="44">
        <v>19935</v>
      </c>
      <c r="O2749" s="22" t="s">
        <v>15</v>
      </c>
      <c r="P2749" s="44">
        <f>19935</f>
        <v>19935</v>
      </c>
      <c r="Q2749" s="44">
        <f t="shared" si="174"/>
        <v>0</v>
      </c>
      <c r="R2749" s="24">
        <f t="shared" si="173"/>
        <v>19935</v>
      </c>
      <c r="S2749" s="5"/>
      <c r="T2749" s="5"/>
    </row>
    <row r="2750" spans="2:20" ht="15.75" hidden="1" x14ac:dyDescent="0.25">
      <c r="B2750" s="21" t="s">
        <v>395</v>
      </c>
      <c r="C2750" s="22" t="s">
        <v>7372</v>
      </c>
      <c r="D2750" s="22"/>
      <c r="E2750" s="21" t="s">
        <v>75</v>
      </c>
      <c r="F2750" s="21"/>
      <c r="G2750" s="147" t="s">
        <v>155</v>
      </c>
      <c r="H2750" s="23" t="s">
        <v>8370</v>
      </c>
      <c r="I2750" s="23" t="s">
        <v>8369</v>
      </c>
      <c r="J2750" s="21" t="s">
        <v>8373</v>
      </c>
      <c r="K2750" s="21"/>
      <c r="L2750" s="21" t="s">
        <v>11489</v>
      </c>
      <c r="M2750" s="26">
        <v>45736</v>
      </c>
      <c r="N2750" s="44">
        <v>19935</v>
      </c>
      <c r="O2750" s="22" t="s">
        <v>15</v>
      </c>
      <c r="P2750" s="44">
        <v>19935</v>
      </c>
      <c r="Q2750" s="44">
        <f t="shared" si="174"/>
        <v>0</v>
      </c>
      <c r="R2750" s="24">
        <f t="shared" si="173"/>
        <v>19935</v>
      </c>
      <c r="S2750" s="5"/>
      <c r="T2750" s="5"/>
    </row>
    <row r="2751" spans="2:20" ht="15.75" hidden="1" x14ac:dyDescent="0.25">
      <c r="B2751" s="21" t="s">
        <v>395</v>
      </c>
      <c r="C2751" s="22" t="s">
        <v>7372</v>
      </c>
      <c r="D2751" s="22"/>
      <c r="E2751" s="21" t="s">
        <v>75</v>
      </c>
      <c r="F2751" s="21"/>
      <c r="G2751" s="147" t="s">
        <v>155</v>
      </c>
      <c r="H2751" s="23" t="s">
        <v>8370</v>
      </c>
      <c r="I2751" s="23" t="s">
        <v>8369</v>
      </c>
      <c r="J2751" s="21" t="s">
        <v>8374</v>
      </c>
      <c r="K2751" s="21"/>
      <c r="L2751" s="21" t="s">
        <v>11571</v>
      </c>
      <c r="M2751" s="26">
        <v>45743</v>
      </c>
      <c r="N2751" s="44">
        <v>19935</v>
      </c>
      <c r="O2751" s="22" t="s">
        <v>15</v>
      </c>
      <c r="P2751" s="44">
        <v>19935</v>
      </c>
      <c r="Q2751" s="44">
        <f t="shared" si="174"/>
        <v>0</v>
      </c>
      <c r="R2751" s="24">
        <f t="shared" si="173"/>
        <v>19935</v>
      </c>
      <c r="S2751" s="5"/>
      <c r="T2751" s="5"/>
    </row>
    <row r="2752" spans="2:20" ht="15.75" hidden="1" x14ac:dyDescent="0.25">
      <c r="B2752" s="21" t="s">
        <v>395</v>
      </c>
      <c r="C2752" s="22" t="s">
        <v>8584</v>
      </c>
      <c r="D2752" s="22"/>
      <c r="E2752" s="21" t="s">
        <v>75</v>
      </c>
      <c r="F2752" s="21"/>
      <c r="G2752" s="147" t="s">
        <v>155</v>
      </c>
      <c r="H2752" s="23" t="s">
        <v>8583</v>
      </c>
      <c r="I2752" s="23" t="s">
        <v>8582</v>
      </c>
      <c r="J2752" s="21" t="s">
        <v>8622</v>
      </c>
      <c r="K2752" s="21"/>
      <c r="L2752" s="21" t="s">
        <v>9063</v>
      </c>
      <c r="M2752" s="26" t="s">
        <v>9064</v>
      </c>
      <c r="N2752" s="44">
        <v>19800</v>
      </c>
      <c r="O2752" s="22" t="s">
        <v>15</v>
      </c>
      <c r="P2752" s="44">
        <f>9900+9900</f>
        <v>19800</v>
      </c>
      <c r="Q2752" s="44">
        <f t="shared" si="174"/>
        <v>0</v>
      </c>
      <c r="R2752" s="24">
        <f t="shared" si="173"/>
        <v>19800</v>
      </c>
      <c r="S2752" s="5"/>
      <c r="T2752" s="5"/>
    </row>
    <row r="2753" spans="2:20" ht="15.75" hidden="1" x14ac:dyDescent="0.25">
      <c r="B2753" s="21" t="s">
        <v>395</v>
      </c>
      <c r="C2753" s="22" t="s">
        <v>2450</v>
      </c>
      <c r="D2753" s="22"/>
      <c r="E2753" s="21" t="s">
        <v>75</v>
      </c>
      <c r="F2753" s="21" t="s">
        <v>9790</v>
      </c>
      <c r="G2753" s="147" t="s">
        <v>155</v>
      </c>
      <c r="H2753" s="23" t="s">
        <v>9310</v>
      </c>
      <c r="I2753" s="23" t="s">
        <v>9262</v>
      </c>
      <c r="J2753" s="21" t="s">
        <v>9963</v>
      </c>
      <c r="K2753" s="21"/>
      <c r="L2753" s="21" t="s">
        <v>9415</v>
      </c>
      <c r="M2753" s="26">
        <v>45313</v>
      </c>
      <c r="N2753" s="44">
        <v>20736</v>
      </c>
      <c r="O2753" s="22" t="s">
        <v>15</v>
      </c>
      <c r="P2753" s="44">
        <v>20736</v>
      </c>
      <c r="Q2753" s="44">
        <f t="shared" si="174"/>
        <v>0</v>
      </c>
      <c r="R2753" s="24">
        <f t="shared" si="173"/>
        <v>20736</v>
      </c>
      <c r="S2753" s="5"/>
      <c r="T2753" s="5"/>
    </row>
    <row r="2754" spans="2:20" ht="15.75" hidden="1" x14ac:dyDescent="0.25">
      <c r="B2754" s="21" t="s">
        <v>395</v>
      </c>
      <c r="C2754" s="22" t="s">
        <v>2450</v>
      </c>
      <c r="D2754" s="22"/>
      <c r="E2754" s="21" t="s">
        <v>75</v>
      </c>
      <c r="F2754" s="21" t="s">
        <v>9790</v>
      </c>
      <c r="G2754" s="147" t="s">
        <v>155</v>
      </c>
      <c r="H2754" s="23" t="s">
        <v>9310</v>
      </c>
      <c r="I2754" s="23" t="s">
        <v>9262</v>
      </c>
      <c r="J2754" s="21" t="s">
        <v>9964</v>
      </c>
      <c r="K2754" s="21"/>
      <c r="L2754" s="21" t="s">
        <v>9968</v>
      </c>
      <c r="M2754" s="23" t="s">
        <v>9969</v>
      </c>
      <c r="N2754" s="44">
        <v>20736</v>
      </c>
      <c r="O2754" s="22" t="s">
        <v>15</v>
      </c>
      <c r="P2754" s="44">
        <f>20736</f>
        <v>20736</v>
      </c>
      <c r="Q2754" s="44">
        <f t="shared" si="174"/>
        <v>0</v>
      </c>
      <c r="R2754" s="24">
        <f t="shared" si="173"/>
        <v>20736</v>
      </c>
      <c r="S2754" s="5"/>
      <c r="T2754" s="5"/>
    </row>
    <row r="2755" spans="2:20" ht="15.75" hidden="1" x14ac:dyDescent="0.25">
      <c r="B2755" s="21" t="s">
        <v>395</v>
      </c>
      <c r="C2755" s="22" t="s">
        <v>2450</v>
      </c>
      <c r="D2755" s="22"/>
      <c r="E2755" s="21" t="s">
        <v>75</v>
      </c>
      <c r="F2755" s="21" t="s">
        <v>9790</v>
      </c>
      <c r="G2755" s="147" t="s">
        <v>155</v>
      </c>
      <c r="H2755" s="23" t="s">
        <v>9310</v>
      </c>
      <c r="I2755" s="23" t="s">
        <v>9262</v>
      </c>
      <c r="J2755" s="21" t="s">
        <v>9965</v>
      </c>
      <c r="K2755" s="21"/>
      <c r="L2755" s="21" t="s">
        <v>10563</v>
      </c>
      <c r="M2755" s="26">
        <v>45554</v>
      </c>
      <c r="N2755" s="44">
        <v>41472</v>
      </c>
      <c r="O2755" s="22" t="s">
        <v>15</v>
      </c>
      <c r="P2755" s="44">
        <v>41472</v>
      </c>
      <c r="Q2755" s="44">
        <f t="shared" si="174"/>
        <v>0</v>
      </c>
      <c r="R2755" s="24">
        <f t="shared" si="173"/>
        <v>41472</v>
      </c>
      <c r="S2755" s="5"/>
      <c r="T2755" s="5"/>
    </row>
    <row r="2756" spans="2:20" ht="15.75" hidden="1" x14ac:dyDescent="0.25">
      <c r="B2756" s="21" t="s">
        <v>395</v>
      </c>
      <c r="C2756" s="22" t="s">
        <v>2450</v>
      </c>
      <c r="D2756" s="22"/>
      <c r="E2756" s="21" t="s">
        <v>75</v>
      </c>
      <c r="F2756" s="21" t="s">
        <v>9790</v>
      </c>
      <c r="G2756" s="147" t="s">
        <v>155</v>
      </c>
      <c r="H2756" s="23" t="s">
        <v>9310</v>
      </c>
      <c r="I2756" s="23" t="s">
        <v>9262</v>
      </c>
      <c r="J2756" s="21" t="s">
        <v>9966</v>
      </c>
      <c r="K2756" s="21"/>
      <c r="L2756" s="21" t="s">
        <v>10911</v>
      </c>
      <c r="M2756" s="26">
        <v>45639</v>
      </c>
      <c r="N2756" s="44">
        <v>27648</v>
      </c>
      <c r="O2756" s="22" t="s">
        <v>15</v>
      </c>
      <c r="P2756" s="44">
        <v>27648</v>
      </c>
      <c r="Q2756" s="44">
        <f t="shared" si="174"/>
        <v>0</v>
      </c>
      <c r="R2756" s="24">
        <f t="shared" si="173"/>
        <v>27648</v>
      </c>
      <c r="S2756" s="5"/>
      <c r="T2756" s="5"/>
    </row>
    <row r="2757" spans="2:20" ht="15.75" hidden="1" x14ac:dyDescent="0.25">
      <c r="B2757" s="21" t="s">
        <v>395</v>
      </c>
      <c r="C2757" s="22" t="s">
        <v>2450</v>
      </c>
      <c r="D2757" s="22"/>
      <c r="E2757" s="21" t="s">
        <v>75</v>
      </c>
      <c r="F2757" s="21" t="s">
        <v>9790</v>
      </c>
      <c r="G2757" s="147" t="s">
        <v>155</v>
      </c>
      <c r="H2757" s="23" t="s">
        <v>9310</v>
      </c>
      <c r="I2757" s="23" t="s">
        <v>9262</v>
      </c>
      <c r="J2757" s="21" t="s">
        <v>9967</v>
      </c>
      <c r="K2757" s="21"/>
      <c r="L2757" s="21" t="s">
        <v>10910</v>
      </c>
      <c r="M2757" s="26">
        <v>45639</v>
      </c>
      <c r="N2757" s="44">
        <v>27648</v>
      </c>
      <c r="O2757" s="22" t="s">
        <v>15</v>
      </c>
      <c r="P2757" s="44">
        <v>27648</v>
      </c>
      <c r="Q2757" s="44">
        <f t="shared" si="174"/>
        <v>0</v>
      </c>
      <c r="R2757" s="24">
        <f t="shared" si="173"/>
        <v>27648</v>
      </c>
      <c r="S2757" s="5"/>
      <c r="T2757" s="5"/>
    </row>
    <row r="2758" spans="2:20" ht="15.75" hidden="1" x14ac:dyDescent="0.25">
      <c r="B2758" s="21" t="s">
        <v>395</v>
      </c>
      <c r="C2758" s="22" t="s">
        <v>2450</v>
      </c>
      <c r="D2758" s="22"/>
      <c r="E2758" s="21" t="s">
        <v>75</v>
      </c>
      <c r="F2758" s="22" t="s">
        <v>9558</v>
      </c>
      <c r="G2758" s="147" t="s">
        <v>155</v>
      </c>
      <c r="H2758" s="23" t="s">
        <v>9561</v>
      </c>
      <c r="I2758" s="23" t="s">
        <v>9562</v>
      </c>
      <c r="J2758" s="21" t="s">
        <v>9559</v>
      </c>
      <c r="K2758" s="377"/>
      <c r="L2758" s="21" t="s">
        <v>9563</v>
      </c>
      <c r="M2758" s="26">
        <v>45341</v>
      </c>
      <c r="N2758" s="44">
        <v>12900</v>
      </c>
      <c r="O2758" s="22" t="s">
        <v>15</v>
      </c>
      <c r="P2758" s="44">
        <v>12900</v>
      </c>
      <c r="Q2758" s="24">
        <f t="shared" si="174"/>
        <v>0</v>
      </c>
      <c r="R2758" s="24">
        <f t="shared" si="173"/>
        <v>12900</v>
      </c>
      <c r="S2758" s="5"/>
      <c r="T2758" s="5"/>
    </row>
    <row r="2759" spans="2:20" ht="15.75" hidden="1" x14ac:dyDescent="0.25">
      <c r="B2759" s="21" t="s">
        <v>395</v>
      </c>
      <c r="C2759" s="22" t="s">
        <v>2450</v>
      </c>
      <c r="D2759" s="22"/>
      <c r="E2759" s="21" t="s">
        <v>75</v>
      </c>
      <c r="F2759" s="22" t="s">
        <v>9558</v>
      </c>
      <c r="G2759" s="147" t="s">
        <v>155</v>
      </c>
      <c r="H2759" s="23" t="s">
        <v>9561</v>
      </c>
      <c r="I2759" s="23" t="s">
        <v>9562</v>
      </c>
      <c r="J2759" s="21" t="s">
        <v>9560</v>
      </c>
      <c r="K2759" s="377"/>
      <c r="L2759" s="21" t="s">
        <v>9564</v>
      </c>
      <c r="M2759" s="26">
        <v>45364</v>
      </c>
      <c r="N2759" s="44">
        <v>12900</v>
      </c>
      <c r="O2759" s="22" t="s">
        <v>15</v>
      </c>
      <c r="P2759" s="44">
        <v>12900</v>
      </c>
      <c r="Q2759" s="24">
        <f t="shared" si="174"/>
        <v>0</v>
      </c>
      <c r="R2759" s="24">
        <f t="shared" si="173"/>
        <v>12900</v>
      </c>
      <c r="S2759" s="5"/>
      <c r="T2759" s="5"/>
    </row>
    <row r="2760" spans="2:20" ht="15.75" hidden="1" x14ac:dyDescent="0.25">
      <c r="B2760" s="21" t="s">
        <v>395</v>
      </c>
      <c r="C2760" s="22" t="s">
        <v>2450</v>
      </c>
      <c r="D2760" s="22"/>
      <c r="E2760" s="21" t="s">
        <v>75</v>
      </c>
      <c r="F2760" s="22" t="s">
        <v>9558</v>
      </c>
      <c r="G2760" s="147" t="s">
        <v>155</v>
      </c>
      <c r="H2760" s="23" t="s">
        <v>9561</v>
      </c>
      <c r="I2760" s="23" t="s">
        <v>9562</v>
      </c>
      <c r="J2760" s="21" t="s">
        <v>9560</v>
      </c>
      <c r="K2760" s="377"/>
      <c r="L2760" s="21" t="s">
        <v>9705</v>
      </c>
      <c r="M2760" s="26">
        <v>45380</v>
      </c>
      <c r="N2760" s="44">
        <v>12900</v>
      </c>
      <c r="O2760" s="22" t="s">
        <v>15</v>
      </c>
      <c r="P2760" s="44">
        <v>12900</v>
      </c>
      <c r="Q2760" s="24">
        <f t="shared" si="174"/>
        <v>0</v>
      </c>
      <c r="R2760" s="24">
        <f t="shared" si="173"/>
        <v>12900</v>
      </c>
      <c r="S2760" s="5"/>
      <c r="T2760" s="5"/>
    </row>
    <row r="2761" spans="2:20" ht="15.75" hidden="1" x14ac:dyDescent="0.25">
      <c r="B2761" s="21" t="s">
        <v>395</v>
      </c>
      <c r="C2761" s="22" t="s">
        <v>2450</v>
      </c>
      <c r="D2761" s="22"/>
      <c r="E2761" s="21" t="s">
        <v>75</v>
      </c>
      <c r="F2761" s="22" t="s">
        <v>9558</v>
      </c>
      <c r="G2761" s="147" t="s">
        <v>155</v>
      </c>
      <c r="H2761" s="23" t="s">
        <v>9561</v>
      </c>
      <c r="I2761" s="23" t="s">
        <v>9562</v>
      </c>
      <c r="J2761" s="21" t="s">
        <v>9560</v>
      </c>
      <c r="K2761" s="377"/>
      <c r="L2761" s="21" t="s">
        <v>9912</v>
      </c>
      <c r="M2761" s="26">
        <v>45414</v>
      </c>
      <c r="N2761" s="44">
        <v>12900</v>
      </c>
      <c r="O2761" s="22" t="s">
        <v>15</v>
      </c>
      <c r="P2761" s="44">
        <v>12900</v>
      </c>
      <c r="Q2761" s="24">
        <f t="shared" si="174"/>
        <v>0</v>
      </c>
      <c r="R2761" s="24">
        <f t="shared" si="173"/>
        <v>12900</v>
      </c>
      <c r="S2761" s="5"/>
      <c r="T2761" s="5"/>
    </row>
    <row r="2762" spans="2:20" ht="15.75" hidden="1" x14ac:dyDescent="0.25">
      <c r="B2762" s="21" t="s">
        <v>395</v>
      </c>
      <c r="C2762" s="22" t="s">
        <v>2450</v>
      </c>
      <c r="D2762" s="22"/>
      <c r="E2762" s="21" t="s">
        <v>75</v>
      </c>
      <c r="F2762" s="22" t="s">
        <v>9558</v>
      </c>
      <c r="G2762" s="147" t="s">
        <v>155</v>
      </c>
      <c r="H2762" s="23" t="s">
        <v>9561</v>
      </c>
      <c r="I2762" s="23" t="s">
        <v>9562</v>
      </c>
      <c r="J2762" s="21" t="s">
        <v>9560</v>
      </c>
      <c r="K2762" s="377"/>
      <c r="L2762" s="21" t="s">
        <v>9913</v>
      </c>
      <c r="M2762" s="26">
        <v>45448</v>
      </c>
      <c r="N2762" s="44">
        <v>12900</v>
      </c>
      <c r="O2762" s="22" t="s">
        <v>15</v>
      </c>
      <c r="P2762" s="44">
        <v>12900</v>
      </c>
      <c r="Q2762" s="24">
        <f t="shared" si="174"/>
        <v>0</v>
      </c>
      <c r="R2762" s="24">
        <f t="shared" si="173"/>
        <v>12900</v>
      </c>
      <c r="S2762" s="5"/>
      <c r="T2762" s="5"/>
    </row>
    <row r="2763" spans="2:20" ht="15.75" hidden="1" x14ac:dyDescent="0.25">
      <c r="B2763" s="21" t="s">
        <v>395</v>
      </c>
      <c r="C2763" s="22" t="s">
        <v>2450</v>
      </c>
      <c r="D2763" s="22"/>
      <c r="E2763" s="21" t="s">
        <v>75</v>
      </c>
      <c r="F2763" s="22" t="s">
        <v>9558</v>
      </c>
      <c r="G2763" s="147" t="s">
        <v>155</v>
      </c>
      <c r="H2763" s="23" t="s">
        <v>9561</v>
      </c>
      <c r="I2763" s="23" t="s">
        <v>9562</v>
      </c>
      <c r="J2763" s="21" t="s">
        <v>9560</v>
      </c>
      <c r="K2763" s="377"/>
      <c r="L2763" s="21" t="s">
        <v>9960</v>
      </c>
      <c r="M2763" s="26">
        <v>45470</v>
      </c>
      <c r="N2763" s="44">
        <v>12900</v>
      </c>
      <c r="O2763" s="22" t="s">
        <v>15</v>
      </c>
      <c r="P2763" s="44">
        <v>12900</v>
      </c>
      <c r="Q2763" s="24">
        <f t="shared" si="174"/>
        <v>0</v>
      </c>
      <c r="R2763" s="24">
        <f t="shared" si="173"/>
        <v>12900</v>
      </c>
      <c r="S2763" s="5"/>
      <c r="T2763" s="5"/>
    </row>
    <row r="2764" spans="2:20" ht="15.75" hidden="1" x14ac:dyDescent="0.25">
      <c r="B2764" s="21" t="s">
        <v>395</v>
      </c>
      <c r="C2764" s="22" t="s">
        <v>2450</v>
      </c>
      <c r="D2764" s="22"/>
      <c r="E2764" s="21" t="s">
        <v>75</v>
      </c>
      <c r="F2764" s="22" t="s">
        <v>9558</v>
      </c>
      <c r="G2764" s="147" t="s">
        <v>155</v>
      </c>
      <c r="H2764" s="23" t="s">
        <v>9561</v>
      </c>
      <c r="I2764" s="23" t="s">
        <v>9562</v>
      </c>
      <c r="J2764" s="21" t="s">
        <v>9560</v>
      </c>
      <c r="K2764" s="377"/>
      <c r="L2764" s="21" t="s">
        <v>10374</v>
      </c>
      <c r="M2764" s="26">
        <v>45506</v>
      </c>
      <c r="N2764" s="44">
        <v>12900</v>
      </c>
      <c r="O2764" s="22" t="s">
        <v>15</v>
      </c>
      <c r="P2764" s="44">
        <v>12900</v>
      </c>
      <c r="Q2764" s="24">
        <f t="shared" si="174"/>
        <v>0</v>
      </c>
      <c r="R2764" s="24">
        <f t="shared" si="173"/>
        <v>12900</v>
      </c>
      <c r="S2764" s="5"/>
      <c r="T2764" s="5"/>
    </row>
    <row r="2765" spans="2:20" ht="15.75" hidden="1" x14ac:dyDescent="0.25">
      <c r="B2765" s="21" t="s">
        <v>395</v>
      </c>
      <c r="C2765" s="22" t="s">
        <v>2450</v>
      </c>
      <c r="D2765" s="22"/>
      <c r="E2765" s="21" t="s">
        <v>75</v>
      </c>
      <c r="F2765" s="22" t="s">
        <v>9558</v>
      </c>
      <c r="G2765" s="147" t="s">
        <v>155</v>
      </c>
      <c r="H2765" s="23" t="s">
        <v>9561</v>
      </c>
      <c r="I2765" s="23" t="s">
        <v>9562</v>
      </c>
      <c r="J2765" s="21" t="s">
        <v>9560</v>
      </c>
      <c r="K2765" s="377"/>
      <c r="L2765" s="21" t="s">
        <v>10481</v>
      </c>
      <c r="M2765" s="26">
        <v>45538</v>
      </c>
      <c r="N2765" s="44">
        <v>12900</v>
      </c>
      <c r="O2765" s="22" t="s">
        <v>15</v>
      </c>
      <c r="P2765" s="44">
        <v>12900</v>
      </c>
      <c r="Q2765" s="24">
        <f t="shared" si="174"/>
        <v>0</v>
      </c>
      <c r="R2765" s="24">
        <f t="shared" si="173"/>
        <v>12900</v>
      </c>
      <c r="S2765" s="5"/>
      <c r="T2765" s="5"/>
    </row>
    <row r="2766" spans="2:20" ht="15.75" hidden="1" x14ac:dyDescent="0.25">
      <c r="B2766" s="21" t="s">
        <v>395</v>
      </c>
      <c r="C2766" s="22" t="s">
        <v>2450</v>
      </c>
      <c r="D2766" s="22"/>
      <c r="E2766" s="21" t="s">
        <v>75</v>
      </c>
      <c r="F2766" s="22" t="s">
        <v>9558</v>
      </c>
      <c r="G2766" s="147" t="s">
        <v>155</v>
      </c>
      <c r="H2766" s="23" t="s">
        <v>9561</v>
      </c>
      <c r="I2766" s="23" t="s">
        <v>9562</v>
      </c>
      <c r="J2766" s="21" t="s">
        <v>9560</v>
      </c>
      <c r="K2766" s="377"/>
      <c r="L2766" s="21" t="s">
        <v>11739</v>
      </c>
      <c r="M2766" s="26">
        <v>45565</v>
      </c>
      <c r="N2766" s="44">
        <v>12900</v>
      </c>
      <c r="O2766" s="22" t="s">
        <v>15</v>
      </c>
      <c r="P2766" s="44">
        <v>12900</v>
      </c>
      <c r="Q2766" s="24">
        <f t="shared" si="174"/>
        <v>0</v>
      </c>
      <c r="R2766" s="24">
        <f t="shared" si="173"/>
        <v>12900</v>
      </c>
      <c r="S2766" s="5"/>
      <c r="T2766" s="5"/>
    </row>
    <row r="2767" spans="2:20" ht="15.75" hidden="1" x14ac:dyDescent="0.25">
      <c r="B2767" s="21" t="s">
        <v>395</v>
      </c>
      <c r="C2767" s="22" t="s">
        <v>2450</v>
      </c>
      <c r="D2767" s="22"/>
      <c r="E2767" s="21" t="s">
        <v>75</v>
      </c>
      <c r="F2767" s="22" t="s">
        <v>9558</v>
      </c>
      <c r="G2767" s="147" t="s">
        <v>155</v>
      </c>
      <c r="H2767" s="23" t="s">
        <v>9561</v>
      </c>
      <c r="I2767" s="23" t="s">
        <v>9562</v>
      </c>
      <c r="J2767" s="21" t="s">
        <v>9560</v>
      </c>
      <c r="K2767" s="377"/>
      <c r="L2767" s="21" t="s">
        <v>11021</v>
      </c>
      <c r="M2767" s="26">
        <v>45657</v>
      </c>
      <c r="N2767" s="44">
        <v>12900</v>
      </c>
      <c r="O2767" s="22" t="s">
        <v>15</v>
      </c>
      <c r="P2767" s="44">
        <v>12900</v>
      </c>
      <c r="Q2767" s="24">
        <f t="shared" si="174"/>
        <v>0</v>
      </c>
      <c r="R2767" s="24">
        <f t="shared" si="173"/>
        <v>12900</v>
      </c>
      <c r="S2767" s="5"/>
      <c r="T2767" s="5"/>
    </row>
    <row r="2768" spans="2:20" ht="15.75" hidden="1" x14ac:dyDescent="0.25">
      <c r="B2768" s="21" t="s">
        <v>395</v>
      </c>
      <c r="C2768" s="22" t="s">
        <v>2450</v>
      </c>
      <c r="D2768" s="22"/>
      <c r="E2768" s="21" t="s">
        <v>75</v>
      </c>
      <c r="F2768" s="22" t="s">
        <v>9558</v>
      </c>
      <c r="G2768" s="147" t="s">
        <v>155</v>
      </c>
      <c r="H2768" s="23" t="s">
        <v>9561</v>
      </c>
      <c r="I2768" s="23" t="s">
        <v>9562</v>
      </c>
      <c r="J2768" s="21" t="s">
        <v>9560</v>
      </c>
      <c r="K2768" s="377"/>
      <c r="L2768" s="21" t="s">
        <v>11565</v>
      </c>
      <c r="M2768" s="26">
        <v>45744</v>
      </c>
      <c r="N2768" s="44">
        <v>12900</v>
      </c>
      <c r="O2768" s="22" t="s">
        <v>15</v>
      </c>
      <c r="P2768" s="44">
        <v>12900</v>
      </c>
      <c r="Q2768" s="24">
        <f t="shared" si="174"/>
        <v>0</v>
      </c>
      <c r="R2768" s="24">
        <f t="shared" si="173"/>
        <v>12900</v>
      </c>
      <c r="S2768" s="5"/>
      <c r="T2768" s="5"/>
    </row>
    <row r="2769" spans="1:20" ht="15.75" hidden="1" x14ac:dyDescent="0.25">
      <c r="B2769" s="21" t="s">
        <v>395</v>
      </c>
      <c r="C2769" s="22" t="s">
        <v>2450</v>
      </c>
      <c r="D2769" s="22"/>
      <c r="E2769" s="21" t="s">
        <v>75</v>
      </c>
      <c r="F2769" s="22" t="s">
        <v>9558</v>
      </c>
      <c r="G2769" s="147" t="s">
        <v>155</v>
      </c>
      <c r="H2769" s="23" t="s">
        <v>9561</v>
      </c>
      <c r="I2769" s="23" t="s">
        <v>9562</v>
      </c>
      <c r="J2769" s="21" t="s">
        <v>9560</v>
      </c>
      <c r="K2769" s="377"/>
      <c r="L2769" s="21" t="s">
        <v>11745</v>
      </c>
      <c r="M2769" s="26">
        <v>45777</v>
      </c>
      <c r="N2769" s="44">
        <v>12900</v>
      </c>
      <c r="O2769" s="22" t="s">
        <v>15</v>
      </c>
      <c r="P2769" s="44">
        <v>12900</v>
      </c>
      <c r="Q2769" s="24">
        <f t="shared" si="174"/>
        <v>0</v>
      </c>
      <c r="R2769" s="24">
        <f t="shared" si="173"/>
        <v>12900</v>
      </c>
      <c r="S2769" s="5"/>
      <c r="T2769" s="5"/>
    </row>
    <row r="2770" spans="1:20" ht="15.75" hidden="1" x14ac:dyDescent="0.25">
      <c r="B2770" s="21" t="s">
        <v>395</v>
      </c>
      <c r="C2770" s="22" t="s">
        <v>4628</v>
      </c>
      <c r="D2770" s="22"/>
      <c r="E2770" s="21" t="s">
        <v>75</v>
      </c>
      <c r="F2770" s="22" t="s">
        <v>9558</v>
      </c>
      <c r="G2770" s="147" t="s">
        <v>155</v>
      </c>
      <c r="H2770" s="23" t="s">
        <v>9579</v>
      </c>
      <c r="I2770" s="23" t="s">
        <v>9580</v>
      </c>
      <c r="J2770" s="21" t="s">
        <v>9581</v>
      </c>
      <c r="K2770" s="21"/>
      <c r="L2770" s="21" t="s">
        <v>10820</v>
      </c>
      <c r="M2770" s="26">
        <v>45401</v>
      </c>
      <c r="N2770" s="44">
        <v>3078.4</v>
      </c>
      <c r="O2770" s="22" t="s">
        <v>15</v>
      </c>
      <c r="P2770" s="44">
        <f>3078.4</f>
        <v>3078.4</v>
      </c>
      <c r="Q2770" s="24">
        <f t="shared" si="174"/>
        <v>0</v>
      </c>
      <c r="R2770" s="24">
        <f t="shared" si="173"/>
        <v>3078.4</v>
      </c>
      <c r="S2770" s="5"/>
      <c r="T2770" s="5"/>
    </row>
    <row r="2771" spans="1:20" ht="15.75" hidden="1" x14ac:dyDescent="0.25">
      <c r="B2771" s="21" t="s">
        <v>395</v>
      </c>
      <c r="C2771" s="22" t="s">
        <v>4628</v>
      </c>
      <c r="D2771" s="22"/>
      <c r="E2771" s="21" t="s">
        <v>75</v>
      </c>
      <c r="F2771" s="22" t="s">
        <v>9558</v>
      </c>
      <c r="G2771" s="147" t="s">
        <v>155</v>
      </c>
      <c r="H2771" s="23" t="s">
        <v>9579</v>
      </c>
      <c r="I2771" s="23" t="s">
        <v>9580</v>
      </c>
      <c r="J2771" s="21" t="s">
        <v>9582</v>
      </c>
      <c r="K2771" s="21"/>
      <c r="L2771" s="21" t="s">
        <v>10822</v>
      </c>
      <c r="M2771" s="26">
        <v>45565</v>
      </c>
      <c r="N2771" s="44">
        <v>4617.6000000000004</v>
      </c>
      <c r="O2771" s="22" t="s">
        <v>15</v>
      </c>
      <c r="P2771" s="44">
        <v>4617.6000000000004</v>
      </c>
      <c r="Q2771" s="24">
        <f t="shared" si="174"/>
        <v>0</v>
      </c>
      <c r="R2771" s="24">
        <f t="shared" si="173"/>
        <v>4617.6000000000004</v>
      </c>
      <c r="S2771" s="5"/>
      <c r="T2771" s="5"/>
    </row>
    <row r="2772" spans="1:20" ht="15.75" hidden="1" x14ac:dyDescent="0.25">
      <c r="B2772" s="21" t="s">
        <v>395</v>
      </c>
      <c r="C2772" s="22" t="s">
        <v>4628</v>
      </c>
      <c r="D2772" s="22"/>
      <c r="E2772" s="21" t="s">
        <v>75</v>
      </c>
      <c r="F2772" s="22" t="s">
        <v>9558</v>
      </c>
      <c r="G2772" s="147" t="s">
        <v>155</v>
      </c>
      <c r="H2772" s="23" t="s">
        <v>9579</v>
      </c>
      <c r="I2772" s="23" t="s">
        <v>9580</v>
      </c>
      <c r="J2772" s="21" t="s">
        <v>9583</v>
      </c>
      <c r="K2772" s="21"/>
      <c r="L2772" s="21" t="s">
        <v>10821</v>
      </c>
      <c r="M2772" s="26">
        <v>45565</v>
      </c>
      <c r="N2772" s="44">
        <v>4617.6000000000004</v>
      </c>
      <c r="O2772" s="22" t="s">
        <v>15</v>
      </c>
      <c r="P2772" s="44">
        <v>4617.6000000000004</v>
      </c>
      <c r="Q2772" s="24">
        <f t="shared" si="174"/>
        <v>0</v>
      </c>
      <c r="R2772" s="24">
        <f t="shared" si="173"/>
        <v>4617.6000000000004</v>
      </c>
      <c r="S2772" s="5"/>
      <c r="T2772" s="5"/>
    </row>
    <row r="2773" spans="1:20" ht="15.75" hidden="1" x14ac:dyDescent="0.25">
      <c r="B2773" s="21" t="s">
        <v>395</v>
      </c>
      <c r="C2773" s="22" t="s">
        <v>4628</v>
      </c>
      <c r="D2773" s="22"/>
      <c r="E2773" s="21" t="s">
        <v>75</v>
      </c>
      <c r="F2773" s="22" t="s">
        <v>9558</v>
      </c>
      <c r="G2773" s="147" t="s">
        <v>155</v>
      </c>
      <c r="H2773" s="23" t="s">
        <v>9579</v>
      </c>
      <c r="I2773" s="23" t="s">
        <v>9580</v>
      </c>
      <c r="J2773" s="21" t="s">
        <v>9584</v>
      </c>
      <c r="K2773" s="21"/>
      <c r="L2773" s="21" t="s">
        <v>10857</v>
      </c>
      <c r="M2773" s="26">
        <v>45638</v>
      </c>
      <c r="N2773" s="44">
        <v>3078.4</v>
      </c>
      <c r="O2773" s="22" t="s">
        <v>15</v>
      </c>
      <c r="P2773" s="44">
        <v>3078.4</v>
      </c>
      <c r="Q2773" s="24">
        <f t="shared" si="174"/>
        <v>0</v>
      </c>
      <c r="R2773" s="24">
        <f t="shared" si="173"/>
        <v>3078.4</v>
      </c>
      <c r="S2773" s="5"/>
      <c r="T2773" s="5"/>
    </row>
    <row r="2774" spans="1:20" ht="15.75" hidden="1" x14ac:dyDescent="0.25">
      <c r="B2774" s="21" t="s">
        <v>395</v>
      </c>
      <c r="C2774" s="22" t="s">
        <v>2450</v>
      </c>
      <c r="D2774" s="22"/>
      <c r="E2774" s="21" t="s">
        <v>75</v>
      </c>
      <c r="F2774" s="21" t="s">
        <v>9767</v>
      </c>
      <c r="G2774" s="147" t="s">
        <v>155</v>
      </c>
      <c r="H2774" s="23" t="s">
        <v>10905</v>
      </c>
      <c r="I2774" s="23"/>
      <c r="J2774" s="21" t="s">
        <v>10906</v>
      </c>
      <c r="K2774" s="21"/>
      <c r="L2774" s="21" t="s">
        <v>11014</v>
      </c>
      <c r="M2774" s="26">
        <v>45646</v>
      </c>
      <c r="N2774" s="44">
        <v>10940</v>
      </c>
      <c r="O2774" s="22" t="s">
        <v>15</v>
      </c>
      <c r="P2774" s="44">
        <v>10940</v>
      </c>
      <c r="Q2774" s="24">
        <f t="shared" si="174"/>
        <v>0</v>
      </c>
      <c r="R2774" s="24">
        <f t="shared" si="173"/>
        <v>10940</v>
      </c>
      <c r="S2774" s="5"/>
      <c r="T2774" s="5"/>
    </row>
    <row r="2775" spans="1:20" ht="15.75" hidden="1" x14ac:dyDescent="0.25">
      <c r="B2775" s="21" t="s">
        <v>395</v>
      </c>
      <c r="C2775" s="22" t="s">
        <v>2450</v>
      </c>
      <c r="D2775" s="22"/>
      <c r="E2775" s="21" t="s">
        <v>75</v>
      </c>
      <c r="F2775" s="21" t="s">
        <v>9767</v>
      </c>
      <c r="G2775" s="147" t="s">
        <v>155</v>
      </c>
      <c r="H2775" s="23" t="s">
        <v>10905</v>
      </c>
      <c r="I2775" s="23"/>
      <c r="J2775" s="21" t="s">
        <v>10907</v>
      </c>
      <c r="K2775" s="21"/>
      <c r="L2775" s="21" t="s">
        <v>11756</v>
      </c>
      <c r="M2775" s="26">
        <v>45786</v>
      </c>
      <c r="N2775" s="44">
        <v>10940</v>
      </c>
      <c r="O2775" s="22" t="s">
        <v>15</v>
      </c>
      <c r="P2775" s="44">
        <v>10940</v>
      </c>
      <c r="Q2775" s="24">
        <f t="shared" si="174"/>
        <v>0</v>
      </c>
      <c r="R2775" s="24">
        <f t="shared" si="173"/>
        <v>10940</v>
      </c>
      <c r="S2775" s="5"/>
      <c r="T2775" s="5"/>
    </row>
    <row r="2776" spans="1:20" ht="15.75" hidden="1" x14ac:dyDescent="0.25">
      <c r="B2776" s="21" t="s">
        <v>395</v>
      </c>
      <c r="C2776" s="22" t="s">
        <v>2450</v>
      </c>
      <c r="D2776" s="22"/>
      <c r="E2776" s="21" t="s">
        <v>75</v>
      </c>
      <c r="F2776" s="21" t="s">
        <v>9767</v>
      </c>
      <c r="G2776" s="147" t="s">
        <v>155</v>
      </c>
      <c r="H2776" s="23" t="s">
        <v>10905</v>
      </c>
      <c r="I2776" s="23"/>
      <c r="J2776" s="21" t="s">
        <v>10908</v>
      </c>
      <c r="K2776" s="21"/>
      <c r="L2776" s="21" t="s">
        <v>11977</v>
      </c>
      <c r="M2776" s="26">
        <v>45814</v>
      </c>
      <c r="N2776" s="44">
        <v>10940</v>
      </c>
      <c r="O2776" s="22" t="s">
        <v>15</v>
      </c>
      <c r="P2776" s="44">
        <v>10940</v>
      </c>
      <c r="Q2776" s="24">
        <f t="shared" si="174"/>
        <v>0</v>
      </c>
      <c r="R2776" s="24">
        <f t="shared" si="173"/>
        <v>10940</v>
      </c>
      <c r="S2776" s="5"/>
      <c r="T2776" s="5"/>
    </row>
    <row r="2777" spans="1:20" ht="15.75" hidden="1" x14ac:dyDescent="0.25">
      <c r="B2777" s="21" t="s">
        <v>395</v>
      </c>
      <c r="C2777" s="22" t="s">
        <v>2450</v>
      </c>
      <c r="D2777" s="22"/>
      <c r="E2777" s="21" t="s">
        <v>75</v>
      </c>
      <c r="F2777" s="21" t="s">
        <v>9767</v>
      </c>
      <c r="G2777" s="147" t="s">
        <v>155</v>
      </c>
      <c r="H2777" s="23" t="s">
        <v>10905</v>
      </c>
      <c r="I2777" s="23"/>
      <c r="J2777" s="21" t="s">
        <v>10909</v>
      </c>
      <c r="K2777" s="21"/>
      <c r="L2777" s="21" t="s">
        <v>12049</v>
      </c>
      <c r="M2777" s="26">
        <v>45831</v>
      </c>
      <c r="N2777" s="44">
        <v>10940</v>
      </c>
      <c r="O2777" s="22" t="s">
        <v>15</v>
      </c>
      <c r="P2777" s="44">
        <v>10940</v>
      </c>
      <c r="Q2777" s="24">
        <f t="shared" si="174"/>
        <v>0</v>
      </c>
      <c r="R2777" s="24">
        <f t="shared" si="173"/>
        <v>10940</v>
      </c>
      <c r="S2777" s="5"/>
      <c r="T2777" s="5"/>
    </row>
    <row r="2778" spans="1:20" ht="15.75" hidden="1" x14ac:dyDescent="0.25">
      <c r="A2778" t="s">
        <v>6753</v>
      </c>
      <c r="B2778" s="21" t="s">
        <v>395</v>
      </c>
      <c r="C2778" s="22" t="s">
        <v>2450</v>
      </c>
      <c r="D2778" s="22"/>
      <c r="E2778" s="21" t="s">
        <v>3234</v>
      </c>
      <c r="F2778" s="21"/>
      <c r="G2778" s="147" t="s">
        <v>6946</v>
      </c>
      <c r="H2778" s="23" t="s">
        <v>6947</v>
      </c>
      <c r="I2778" s="23"/>
      <c r="J2778" s="21" t="s">
        <v>7522</v>
      </c>
      <c r="K2778" s="21"/>
      <c r="L2778" s="21" t="s">
        <v>7527</v>
      </c>
      <c r="M2778" s="26">
        <v>44756</v>
      </c>
      <c r="N2778" s="44">
        <v>8000</v>
      </c>
      <c r="O2778" s="22" t="s">
        <v>15</v>
      </c>
      <c r="P2778" s="44">
        <f>8000</f>
        <v>8000</v>
      </c>
      <c r="Q2778" s="44">
        <f t="shared" si="174"/>
        <v>0</v>
      </c>
      <c r="R2778" s="24">
        <f t="shared" si="173"/>
        <v>8000</v>
      </c>
      <c r="S2778" s="5"/>
      <c r="T2778" s="5"/>
    </row>
    <row r="2779" spans="1:20" ht="15.75" hidden="1" x14ac:dyDescent="0.25">
      <c r="A2779" t="s">
        <v>6753</v>
      </c>
      <c r="B2779" s="21" t="s">
        <v>395</v>
      </c>
      <c r="C2779" s="22" t="s">
        <v>2450</v>
      </c>
      <c r="D2779" s="22"/>
      <c r="E2779" s="21" t="s">
        <v>3234</v>
      </c>
      <c r="F2779" s="21"/>
      <c r="G2779" s="147" t="s">
        <v>6946</v>
      </c>
      <c r="H2779" s="23" t="s">
        <v>6947</v>
      </c>
      <c r="I2779" s="23"/>
      <c r="J2779" s="21" t="s">
        <v>7523</v>
      </c>
      <c r="K2779" s="21"/>
      <c r="L2779" s="21" t="s">
        <v>7526</v>
      </c>
      <c r="M2779" s="26">
        <v>44840</v>
      </c>
      <c r="N2779" s="44">
        <v>6000</v>
      </c>
      <c r="O2779" s="22" t="s">
        <v>15</v>
      </c>
      <c r="P2779" s="44">
        <f>6000</f>
        <v>6000</v>
      </c>
      <c r="Q2779" s="44">
        <f t="shared" si="174"/>
        <v>0</v>
      </c>
      <c r="R2779" s="24">
        <f t="shared" si="173"/>
        <v>6000</v>
      </c>
      <c r="S2779" s="5"/>
      <c r="T2779" s="5"/>
    </row>
    <row r="2780" spans="1:20" ht="15.75" hidden="1" x14ac:dyDescent="0.25">
      <c r="A2780" t="s">
        <v>6753</v>
      </c>
      <c r="B2780" s="21" t="s">
        <v>395</v>
      </c>
      <c r="C2780" s="22" t="s">
        <v>2450</v>
      </c>
      <c r="D2780" s="22"/>
      <c r="E2780" s="21" t="s">
        <v>3234</v>
      </c>
      <c r="F2780" s="21"/>
      <c r="G2780" s="147" t="s">
        <v>6946</v>
      </c>
      <c r="H2780" s="23" t="s">
        <v>6947</v>
      </c>
      <c r="I2780" s="23"/>
      <c r="J2780" s="21" t="s">
        <v>7524</v>
      </c>
      <c r="K2780" s="21"/>
      <c r="L2780" s="21" t="s">
        <v>7528</v>
      </c>
      <c r="M2780" s="26">
        <v>44952</v>
      </c>
      <c r="N2780" s="44">
        <v>6000</v>
      </c>
      <c r="O2780" s="22" t="s">
        <v>15</v>
      </c>
      <c r="P2780" s="44">
        <f>6000</f>
        <v>6000</v>
      </c>
      <c r="Q2780" s="44">
        <f t="shared" si="174"/>
        <v>0</v>
      </c>
      <c r="R2780" s="24">
        <f t="shared" si="173"/>
        <v>6000</v>
      </c>
      <c r="S2780" s="5"/>
      <c r="T2780" s="5"/>
    </row>
    <row r="2781" spans="1:20" ht="15.75" hidden="1" x14ac:dyDescent="0.25">
      <c r="A2781" t="s">
        <v>6753</v>
      </c>
      <c r="B2781" s="21" t="s">
        <v>395</v>
      </c>
      <c r="C2781" s="22" t="s">
        <v>2450</v>
      </c>
      <c r="D2781" s="22"/>
      <c r="E2781" s="21" t="s">
        <v>3234</v>
      </c>
      <c r="F2781" s="21"/>
      <c r="G2781" s="147" t="s">
        <v>6946</v>
      </c>
      <c r="H2781" s="23" t="s">
        <v>6947</v>
      </c>
      <c r="I2781" s="23"/>
      <c r="J2781" s="21" t="s">
        <v>7525</v>
      </c>
      <c r="K2781" s="21"/>
      <c r="L2781" s="21" t="s">
        <v>7716</v>
      </c>
      <c r="M2781" s="26">
        <v>45013</v>
      </c>
      <c r="N2781" s="44">
        <v>8500</v>
      </c>
      <c r="O2781" s="22" t="s">
        <v>15</v>
      </c>
      <c r="P2781" s="44">
        <v>8500</v>
      </c>
      <c r="Q2781" s="44">
        <f t="shared" si="174"/>
        <v>0</v>
      </c>
      <c r="R2781" s="24">
        <f t="shared" si="173"/>
        <v>8500</v>
      </c>
      <c r="S2781" s="5"/>
      <c r="T2781" s="5"/>
    </row>
    <row r="2782" spans="1:20" ht="15.75" hidden="1" x14ac:dyDescent="0.25">
      <c r="B2782" s="21" t="s">
        <v>395</v>
      </c>
      <c r="C2782" s="22" t="s">
        <v>158</v>
      </c>
      <c r="D2782" s="22"/>
      <c r="E2782" s="21" t="s">
        <v>10040</v>
      </c>
      <c r="F2782" s="21" t="s">
        <v>9830</v>
      </c>
      <c r="G2782" s="147" t="s">
        <v>10041</v>
      </c>
      <c r="H2782" s="23" t="s">
        <v>10042</v>
      </c>
      <c r="I2782" s="23" t="s">
        <v>10043</v>
      </c>
      <c r="J2782" s="21" t="s">
        <v>10044</v>
      </c>
      <c r="K2782" s="21"/>
      <c r="L2782" s="21" t="s">
        <v>12546</v>
      </c>
      <c r="M2782" s="26" t="s">
        <v>12547</v>
      </c>
      <c r="N2782" s="44">
        <v>22900</v>
      </c>
      <c r="O2782" s="22" t="s">
        <v>15</v>
      </c>
      <c r="P2782" s="44">
        <f>12100+10800</f>
        <v>22900</v>
      </c>
      <c r="Q2782" s="44">
        <f t="shared" si="174"/>
        <v>0</v>
      </c>
      <c r="R2782" s="24">
        <f t="shared" si="173"/>
        <v>22900</v>
      </c>
      <c r="S2782" s="5"/>
      <c r="T2782" s="5"/>
    </row>
    <row r="2783" spans="1:20" ht="15.75" hidden="1" x14ac:dyDescent="0.25">
      <c r="B2783" s="21" t="s">
        <v>395</v>
      </c>
      <c r="C2783" s="22" t="s">
        <v>4542</v>
      </c>
      <c r="D2783" s="22"/>
      <c r="E2783" s="21" t="s">
        <v>75</v>
      </c>
      <c r="F2783" s="21"/>
      <c r="G2783" s="147" t="s">
        <v>5355</v>
      </c>
      <c r="H2783" s="23" t="s">
        <v>4543</v>
      </c>
      <c r="I2783" s="23"/>
      <c r="J2783" s="21" t="s">
        <v>4544</v>
      </c>
      <c r="K2783" s="21"/>
      <c r="L2783" s="21" t="s">
        <v>4555</v>
      </c>
      <c r="M2783" s="26">
        <v>44264</v>
      </c>
      <c r="N2783" s="44">
        <f>0.15*934556.03</f>
        <v>140183.4045</v>
      </c>
      <c r="O2783" s="22" t="s">
        <v>15</v>
      </c>
      <c r="P2783" s="44">
        <v>140183.4</v>
      </c>
      <c r="Q2783" s="24">
        <f t="shared" si="174"/>
        <v>4.5000000100117177E-3</v>
      </c>
      <c r="R2783" s="24">
        <f t="shared" si="173"/>
        <v>140183.4</v>
      </c>
      <c r="S2783" s="5"/>
      <c r="T2783" s="5"/>
    </row>
    <row r="2784" spans="1:20" ht="15.75" hidden="1" x14ac:dyDescent="0.25">
      <c r="B2784" s="21" t="s">
        <v>395</v>
      </c>
      <c r="C2784" s="22" t="s">
        <v>4542</v>
      </c>
      <c r="D2784" s="22"/>
      <c r="E2784" s="21" t="s">
        <v>5135</v>
      </c>
      <c r="F2784" s="21"/>
      <c r="G2784" s="147" t="s">
        <v>5355</v>
      </c>
      <c r="H2784" s="23" t="s">
        <v>4543</v>
      </c>
      <c r="I2784" s="23"/>
      <c r="J2784" s="21" t="s">
        <v>4553</v>
      </c>
      <c r="K2784" s="21"/>
      <c r="L2784" s="21" t="s">
        <v>4556</v>
      </c>
      <c r="M2784" s="26">
        <v>44265</v>
      </c>
      <c r="N2784" s="44">
        <f>0.15*451535</f>
        <v>67730.25</v>
      </c>
      <c r="O2784" s="22" t="s">
        <v>15</v>
      </c>
      <c r="P2784" s="44">
        <v>67730.25</v>
      </c>
      <c r="Q2784" s="24">
        <f t="shared" si="174"/>
        <v>0</v>
      </c>
      <c r="R2784" s="24">
        <f t="shared" si="173"/>
        <v>67730.25</v>
      </c>
      <c r="S2784" s="5"/>
      <c r="T2784" s="5"/>
    </row>
    <row r="2785" spans="2:20" ht="15.75" hidden="1" x14ac:dyDescent="0.25">
      <c r="B2785" s="21" t="s">
        <v>395</v>
      </c>
      <c r="C2785" s="22" t="s">
        <v>4542</v>
      </c>
      <c r="D2785" s="22"/>
      <c r="E2785" s="21" t="s">
        <v>5135</v>
      </c>
      <c r="F2785" s="21"/>
      <c r="G2785" s="147" t="s">
        <v>5355</v>
      </c>
      <c r="H2785" s="23" t="s">
        <v>4543</v>
      </c>
      <c r="I2785" s="23"/>
      <c r="J2785" s="21" t="s">
        <v>12376</v>
      </c>
      <c r="K2785" s="21"/>
      <c r="L2785" s="21" t="s">
        <v>12377</v>
      </c>
      <c r="M2785" s="26">
        <v>45880</v>
      </c>
      <c r="N2785" s="44">
        <f>-(0.15*451535)</f>
        <v>-67730.25</v>
      </c>
      <c r="O2785" s="22" t="s">
        <v>15</v>
      </c>
      <c r="P2785" s="44">
        <v>-67730.25</v>
      </c>
      <c r="Q2785" s="24">
        <f t="shared" si="174"/>
        <v>0</v>
      </c>
      <c r="R2785" s="24">
        <f t="shared" si="173"/>
        <v>-67730.25</v>
      </c>
      <c r="S2785" s="5"/>
      <c r="T2785" s="5"/>
    </row>
    <row r="2786" spans="2:20" ht="15.75" hidden="1" x14ac:dyDescent="0.25">
      <c r="B2786" s="21" t="s">
        <v>395</v>
      </c>
      <c r="C2786" s="22" t="s">
        <v>4542</v>
      </c>
      <c r="D2786" s="22"/>
      <c r="E2786" s="21" t="s">
        <v>0</v>
      </c>
      <c r="F2786" s="21"/>
      <c r="G2786" s="147" t="s">
        <v>5355</v>
      </c>
      <c r="H2786" s="23" t="s">
        <v>5133</v>
      </c>
      <c r="I2786" s="23"/>
      <c r="J2786" s="21" t="s">
        <v>5696</v>
      </c>
      <c r="K2786" s="47"/>
      <c r="L2786" s="21" t="s">
        <v>5697</v>
      </c>
      <c r="M2786" s="26">
        <v>44447</v>
      </c>
      <c r="N2786" s="44">
        <v>100845</v>
      </c>
      <c r="O2786" s="22" t="s">
        <v>15</v>
      </c>
      <c r="P2786" s="44">
        <v>100845</v>
      </c>
      <c r="Q2786" s="24">
        <f t="shared" si="174"/>
        <v>0</v>
      </c>
      <c r="R2786" s="24">
        <f t="shared" si="173"/>
        <v>100845</v>
      </c>
      <c r="S2786" s="5"/>
      <c r="T2786" s="5"/>
    </row>
    <row r="2787" spans="2:20" ht="15.75" hidden="1" x14ac:dyDescent="0.25">
      <c r="B2787" s="21" t="s">
        <v>395</v>
      </c>
      <c r="C2787" s="22" t="s">
        <v>4542</v>
      </c>
      <c r="D2787" s="22"/>
      <c r="E2787" s="21" t="s">
        <v>0</v>
      </c>
      <c r="F2787" s="21"/>
      <c r="G2787" s="147" t="s">
        <v>5355</v>
      </c>
      <c r="H2787" s="23" t="s">
        <v>5133</v>
      </c>
      <c r="I2787" s="23"/>
      <c r="J2787" s="21" t="s">
        <v>5134</v>
      </c>
      <c r="K2787" s="47"/>
      <c r="L2787" s="21" t="s">
        <v>5982</v>
      </c>
      <c r="M2787" s="26">
        <v>44491</v>
      </c>
      <c r="N2787" s="44">
        <v>100845</v>
      </c>
      <c r="O2787" s="22" t="s">
        <v>15</v>
      </c>
      <c r="P2787" s="44">
        <v>100845</v>
      </c>
      <c r="Q2787" s="24">
        <f t="shared" si="174"/>
        <v>0</v>
      </c>
      <c r="R2787" s="24">
        <f t="shared" si="173"/>
        <v>100845</v>
      </c>
      <c r="S2787" s="5"/>
      <c r="T2787" s="5"/>
    </row>
    <row r="2788" spans="2:20" ht="15.75" hidden="1" x14ac:dyDescent="0.25">
      <c r="B2788" s="21" t="s">
        <v>395</v>
      </c>
      <c r="C2788" s="22" t="s">
        <v>4542</v>
      </c>
      <c r="D2788" s="22"/>
      <c r="E2788" s="21" t="s">
        <v>75</v>
      </c>
      <c r="F2788" s="21"/>
      <c r="G2788" s="147" t="s">
        <v>5355</v>
      </c>
      <c r="H2788" s="23" t="s">
        <v>5811</v>
      </c>
      <c r="I2788" s="23"/>
      <c r="J2788" s="21" t="s">
        <v>4545</v>
      </c>
      <c r="K2788" s="21"/>
      <c r="L2788" s="21" t="s">
        <v>5646</v>
      </c>
      <c r="M2788" s="26" t="s">
        <v>5647</v>
      </c>
      <c r="N2788" s="44">
        <v>62392.87</v>
      </c>
      <c r="O2788" s="22" t="s">
        <v>15</v>
      </c>
      <c r="P2788" s="44">
        <v>62392.87</v>
      </c>
      <c r="Q2788" s="24">
        <f t="shared" si="174"/>
        <v>0</v>
      </c>
      <c r="R2788" s="24">
        <f t="shared" si="173"/>
        <v>62392.87</v>
      </c>
      <c r="S2788" s="5"/>
      <c r="T2788" s="5"/>
    </row>
    <row r="2789" spans="2:20" ht="15.75" hidden="1" x14ac:dyDescent="0.25">
      <c r="B2789" s="21" t="s">
        <v>395</v>
      </c>
      <c r="C2789" s="22" t="s">
        <v>4542</v>
      </c>
      <c r="D2789" s="22"/>
      <c r="E2789" s="21" t="s">
        <v>75</v>
      </c>
      <c r="F2789" s="21"/>
      <c r="G2789" s="147" t="s">
        <v>5355</v>
      </c>
      <c r="H2789" s="23" t="s">
        <v>5811</v>
      </c>
      <c r="I2789" s="23"/>
      <c r="J2789" s="323" t="s">
        <v>4546</v>
      </c>
      <c r="K2789" s="47"/>
      <c r="L2789" s="21" t="s">
        <v>5599</v>
      </c>
      <c r="M2789" s="26">
        <v>44418</v>
      </c>
      <c r="N2789" s="44">
        <v>72348.67</v>
      </c>
      <c r="O2789" s="22" t="s">
        <v>15</v>
      </c>
      <c r="P2789" s="44">
        <v>72348.67</v>
      </c>
      <c r="Q2789" s="24">
        <f t="shared" si="174"/>
        <v>0</v>
      </c>
      <c r="R2789" s="24">
        <f t="shared" si="173"/>
        <v>72348.67</v>
      </c>
      <c r="S2789" s="5"/>
      <c r="T2789" s="5"/>
    </row>
    <row r="2790" spans="2:20" ht="15.75" hidden="1" x14ac:dyDescent="0.25">
      <c r="B2790" s="21" t="s">
        <v>395</v>
      </c>
      <c r="C2790" s="22" t="s">
        <v>4542</v>
      </c>
      <c r="D2790" s="22"/>
      <c r="E2790" s="21" t="s">
        <v>75</v>
      </c>
      <c r="F2790" s="21"/>
      <c r="G2790" s="147" t="s">
        <v>5355</v>
      </c>
      <c r="H2790" s="23" t="s">
        <v>5812</v>
      </c>
      <c r="I2790" s="23"/>
      <c r="J2790" s="325" t="s">
        <v>5813</v>
      </c>
      <c r="K2790" s="47"/>
      <c r="L2790" s="21" t="s">
        <v>5819</v>
      </c>
      <c r="M2790" s="26">
        <v>44459</v>
      </c>
      <c r="N2790" s="44">
        <v>87329.31</v>
      </c>
      <c r="O2790" s="22" t="s">
        <v>15</v>
      </c>
      <c r="P2790" s="44">
        <v>87329.31</v>
      </c>
      <c r="Q2790" s="24">
        <f t="shared" si="174"/>
        <v>0</v>
      </c>
      <c r="R2790" s="24">
        <f t="shared" si="173"/>
        <v>87329.31</v>
      </c>
      <c r="S2790" s="5"/>
      <c r="T2790" s="5"/>
    </row>
    <row r="2791" spans="2:20" ht="15.75" hidden="1" x14ac:dyDescent="0.25">
      <c r="B2791" s="21" t="s">
        <v>395</v>
      </c>
      <c r="C2791" s="22" t="s">
        <v>4542</v>
      </c>
      <c r="D2791" s="22"/>
      <c r="E2791" s="21" t="s">
        <v>75</v>
      </c>
      <c r="F2791" s="21"/>
      <c r="G2791" s="147" t="s">
        <v>5355</v>
      </c>
      <c r="H2791" s="23" t="s">
        <v>5812</v>
      </c>
      <c r="I2791" s="23"/>
      <c r="J2791" s="325" t="s">
        <v>4547</v>
      </c>
      <c r="K2791" s="47"/>
      <c r="L2791" s="21" t="s">
        <v>5818</v>
      </c>
      <c r="M2791" s="26">
        <v>44459</v>
      </c>
      <c r="N2791" s="44">
        <v>92348.67</v>
      </c>
      <c r="O2791" s="22" t="s">
        <v>15</v>
      </c>
      <c r="P2791" s="44">
        <v>92348.67</v>
      </c>
      <c r="Q2791" s="24">
        <f t="shared" si="174"/>
        <v>0</v>
      </c>
      <c r="R2791" s="24">
        <f t="shared" si="173"/>
        <v>92348.67</v>
      </c>
      <c r="S2791" s="5"/>
      <c r="T2791" s="5"/>
    </row>
    <row r="2792" spans="2:20" ht="15.75" hidden="1" x14ac:dyDescent="0.25">
      <c r="B2792" s="21" t="s">
        <v>395</v>
      </c>
      <c r="C2792" s="22" t="s">
        <v>4542</v>
      </c>
      <c r="D2792" s="22"/>
      <c r="E2792" s="21" t="s">
        <v>75</v>
      </c>
      <c r="F2792" s="21"/>
      <c r="G2792" s="147" t="s">
        <v>5355</v>
      </c>
      <c r="H2792" s="23" t="s">
        <v>5898</v>
      </c>
      <c r="I2792" s="23"/>
      <c r="J2792" s="176" t="s">
        <v>4548</v>
      </c>
      <c r="K2792" s="47"/>
      <c r="L2792" s="21" t="s">
        <v>5971</v>
      </c>
      <c r="M2792" s="26">
        <v>44488</v>
      </c>
      <c r="N2792" s="44">
        <v>52348.67</v>
      </c>
      <c r="O2792" s="22" t="s">
        <v>15</v>
      </c>
      <c r="P2792" s="44">
        <v>52348.67</v>
      </c>
      <c r="Q2792" s="24">
        <f t="shared" si="174"/>
        <v>0</v>
      </c>
      <c r="R2792" s="24">
        <f t="shared" si="173"/>
        <v>52348.67</v>
      </c>
      <c r="S2792" s="5"/>
      <c r="T2792" s="5"/>
    </row>
    <row r="2793" spans="2:20" ht="15.75" hidden="1" x14ac:dyDescent="0.25">
      <c r="B2793" s="21" t="s">
        <v>395</v>
      </c>
      <c r="C2793" s="22" t="s">
        <v>4542</v>
      </c>
      <c r="D2793" s="22"/>
      <c r="E2793" s="21" t="s">
        <v>75</v>
      </c>
      <c r="F2793" s="21"/>
      <c r="G2793" s="147" t="s">
        <v>5355</v>
      </c>
      <c r="H2793" s="23" t="s">
        <v>5898</v>
      </c>
      <c r="I2793" s="23"/>
      <c r="J2793" s="176" t="s">
        <v>4549</v>
      </c>
      <c r="K2793" s="47"/>
      <c r="L2793" s="21" t="s">
        <v>6069</v>
      </c>
      <c r="M2793" s="26">
        <v>44509</v>
      </c>
      <c r="N2793" s="44">
        <v>72348.67</v>
      </c>
      <c r="O2793" s="22" t="s">
        <v>15</v>
      </c>
      <c r="P2793" s="44">
        <v>72348.67</v>
      </c>
      <c r="Q2793" s="24">
        <f t="shared" si="174"/>
        <v>0</v>
      </c>
      <c r="R2793" s="24">
        <f t="shared" si="173"/>
        <v>72348.67</v>
      </c>
      <c r="S2793" s="5"/>
      <c r="T2793" s="5"/>
    </row>
    <row r="2794" spans="2:20" ht="15.75" hidden="1" x14ac:dyDescent="0.25">
      <c r="B2794" s="21" t="s">
        <v>395</v>
      </c>
      <c r="C2794" s="22" t="s">
        <v>4542</v>
      </c>
      <c r="D2794" s="22"/>
      <c r="E2794" s="21" t="s">
        <v>75</v>
      </c>
      <c r="F2794" s="21"/>
      <c r="G2794" s="147" t="s">
        <v>5355</v>
      </c>
      <c r="H2794" s="23" t="s">
        <v>5898</v>
      </c>
      <c r="I2794" s="23"/>
      <c r="J2794" s="176" t="s">
        <v>4550</v>
      </c>
      <c r="K2794" s="47"/>
      <c r="L2794" s="21" t="s">
        <v>6255</v>
      </c>
      <c r="M2794" s="26">
        <v>44544</v>
      </c>
      <c r="N2794" s="44">
        <v>57878.93</v>
      </c>
      <c r="O2794" s="22" t="s">
        <v>15</v>
      </c>
      <c r="P2794" s="44">
        <v>57878.93</v>
      </c>
      <c r="Q2794" s="24">
        <f t="shared" si="174"/>
        <v>0</v>
      </c>
      <c r="R2794" s="24">
        <f t="shared" si="173"/>
        <v>57878.93</v>
      </c>
      <c r="S2794" s="5"/>
      <c r="T2794" s="5"/>
    </row>
    <row r="2795" spans="2:20" ht="15.75" hidden="1" x14ac:dyDescent="0.25">
      <c r="B2795" s="21" t="s">
        <v>395</v>
      </c>
      <c r="C2795" s="22" t="s">
        <v>4542</v>
      </c>
      <c r="D2795" s="22"/>
      <c r="E2795" s="21" t="s">
        <v>75</v>
      </c>
      <c r="F2795" s="21"/>
      <c r="G2795" s="147" t="s">
        <v>5355</v>
      </c>
      <c r="H2795" s="23" t="s">
        <v>5898</v>
      </c>
      <c r="I2795" s="23"/>
      <c r="J2795" s="176" t="s">
        <v>4551</v>
      </c>
      <c r="K2795" s="47"/>
      <c r="L2795" s="21" t="s">
        <v>6460</v>
      </c>
      <c r="M2795" s="26">
        <v>44607</v>
      </c>
      <c r="N2795" s="44">
        <v>14469.73</v>
      </c>
      <c r="O2795" s="22" t="s">
        <v>15</v>
      </c>
      <c r="P2795" s="44">
        <v>14469.73</v>
      </c>
      <c r="Q2795" s="24">
        <f t="shared" si="174"/>
        <v>0</v>
      </c>
      <c r="R2795" s="24">
        <f t="shared" si="173"/>
        <v>14469.73</v>
      </c>
      <c r="S2795" s="5"/>
      <c r="T2795" s="5"/>
    </row>
    <row r="2796" spans="2:20" ht="15.75" hidden="1" x14ac:dyDescent="0.25">
      <c r="B2796" s="21" t="s">
        <v>395</v>
      </c>
      <c r="C2796" s="22" t="s">
        <v>4542</v>
      </c>
      <c r="D2796" s="22"/>
      <c r="E2796" s="21" t="s">
        <v>75</v>
      </c>
      <c r="F2796" s="21"/>
      <c r="G2796" s="147" t="s">
        <v>5355</v>
      </c>
      <c r="H2796" s="23" t="s">
        <v>5898</v>
      </c>
      <c r="I2796" s="23"/>
      <c r="J2796" s="176" t="s">
        <v>4552</v>
      </c>
      <c r="K2796" s="47"/>
      <c r="L2796" s="21" t="s">
        <v>6777</v>
      </c>
      <c r="M2796" s="26">
        <v>44715</v>
      </c>
      <c r="N2796" s="44">
        <v>14469.73</v>
      </c>
      <c r="O2796" s="22" t="s">
        <v>15</v>
      </c>
      <c r="P2796" s="44">
        <v>14469.73</v>
      </c>
      <c r="Q2796" s="24">
        <f t="shared" si="174"/>
        <v>0</v>
      </c>
      <c r="R2796" s="24">
        <f t="shared" ref="R2796:R2824" si="175">IF(P2796="OK",N2796-Q2796,IF(P2796="en cours",N2796-Q2796,P2796))</f>
        <v>14469.73</v>
      </c>
      <c r="S2796" s="5"/>
      <c r="T2796" s="5"/>
    </row>
    <row r="2797" spans="2:20" ht="15.75" hidden="1" x14ac:dyDescent="0.25">
      <c r="B2797" s="21" t="s">
        <v>395</v>
      </c>
      <c r="C2797" s="22" t="s">
        <v>4542</v>
      </c>
      <c r="D2797" s="22"/>
      <c r="E2797" s="21" t="s">
        <v>5135</v>
      </c>
      <c r="F2797" s="21"/>
      <c r="G2797" s="147" t="s">
        <v>5355</v>
      </c>
      <c r="H2797" s="23" t="s">
        <v>7555</v>
      </c>
      <c r="I2797" s="23"/>
      <c r="J2797" s="191" t="s">
        <v>4554</v>
      </c>
      <c r="K2797" s="21"/>
      <c r="L2797" s="21" t="s">
        <v>8462</v>
      </c>
      <c r="M2797" s="26" t="s">
        <v>8463</v>
      </c>
      <c r="N2797" s="44">
        <f>448776.39-68100</f>
        <v>380676.39</v>
      </c>
      <c r="O2797" s="22" t="s">
        <v>15</v>
      </c>
      <c r="P2797" s="44">
        <f>5517.59+40106.58+6128.36+7380.07+36533.2+87419.33+4882.6+771.07+583.32+121.88+2826.42+18004.38+208679.19+33884.61</f>
        <v>452838.60000000003</v>
      </c>
      <c r="Q2797" s="24">
        <f t="shared" ref="Q2797:Q2815" si="176">IF(P2797="en cours",N2797,IF(P2797="OK",0,IF(N2797-P2797&lt;0,0,N2797-P2797)))</f>
        <v>0</v>
      </c>
      <c r="R2797" s="24">
        <f t="shared" si="175"/>
        <v>452838.60000000003</v>
      </c>
      <c r="S2797" s="5"/>
      <c r="T2797" s="5"/>
    </row>
    <row r="2798" spans="2:20" ht="15.75" hidden="1" x14ac:dyDescent="0.25">
      <c r="B2798" s="21" t="s">
        <v>395</v>
      </c>
      <c r="C2798" s="22" t="s">
        <v>4542</v>
      </c>
      <c r="D2798" s="22"/>
      <c r="E2798" s="21" t="s">
        <v>75</v>
      </c>
      <c r="F2798" s="21"/>
      <c r="G2798" s="147" t="s">
        <v>5355</v>
      </c>
      <c r="H2798" s="23" t="s">
        <v>7553</v>
      </c>
      <c r="I2798" s="23"/>
      <c r="J2798" s="191" t="s">
        <v>7554</v>
      </c>
      <c r="K2798" s="47"/>
      <c r="L2798" s="21" t="s">
        <v>10272</v>
      </c>
      <c r="M2798" s="26">
        <v>45499</v>
      </c>
      <c r="N2798" s="44">
        <v>14216</v>
      </c>
      <c r="O2798" s="22" t="s">
        <v>15</v>
      </c>
      <c r="P2798" s="44">
        <v>14216</v>
      </c>
      <c r="Q2798" s="24">
        <f t="shared" si="176"/>
        <v>0</v>
      </c>
      <c r="R2798" s="24">
        <f t="shared" si="175"/>
        <v>14216</v>
      </c>
      <c r="S2798" s="5"/>
      <c r="T2798" s="5"/>
    </row>
    <row r="2799" spans="2:20" ht="15.75" hidden="1" x14ac:dyDescent="0.25">
      <c r="B2799" s="21" t="s">
        <v>395</v>
      </c>
      <c r="C2799" s="22" t="s">
        <v>4542</v>
      </c>
      <c r="D2799" s="22"/>
      <c r="E2799" s="21" t="s">
        <v>75</v>
      </c>
      <c r="F2799" s="21" t="s">
        <v>9783</v>
      </c>
      <c r="G2799" s="147" t="s">
        <v>5355</v>
      </c>
      <c r="H2799" s="23" t="s">
        <v>10303</v>
      </c>
      <c r="I2799" s="23"/>
      <c r="J2799" s="280" t="s">
        <v>10304</v>
      </c>
      <c r="K2799" s="47"/>
      <c r="L2799" s="21" t="s">
        <v>10387</v>
      </c>
      <c r="M2799" s="26">
        <v>45533</v>
      </c>
      <c r="N2799" s="44">
        <v>6621.18</v>
      </c>
      <c r="O2799" s="22" t="s">
        <v>15</v>
      </c>
      <c r="P2799" s="44">
        <v>6621.18</v>
      </c>
      <c r="Q2799" s="24">
        <f t="shared" si="176"/>
        <v>0</v>
      </c>
      <c r="R2799" s="24">
        <f t="shared" si="175"/>
        <v>6621.18</v>
      </c>
      <c r="S2799" s="5"/>
      <c r="T2799" s="5"/>
    </row>
    <row r="2800" spans="2:20" ht="15.75" hidden="1" x14ac:dyDescent="0.25">
      <c r="B2800" s="21" t="s">
        <v>395</v>
      </c>
      <c r="C2800" s="22" t="s">
        <v>5387</v>
      </c>
      <c r="D2800" s="22"/>
      <c r="E2800" s="21" t="s">
        <v>75</v>
      </c>
      <c r="F2800" s="21"/>
      <c r="G2800" s="147" t="s">
        <v>5355</v>
      </c>
      <c r="H2800" s="23" t="s">
        <v>5217</v>
      </c>
      <c r="I2800" s="23" t="s">
        <v>8057</v>
      </c>
      <c r="J2800" s="21" t="s">
        <v>5136</v>
      </c>
      <c r="K2800" s="21"/>
      <c r="L2800" s="21" t="s">
        <v>5356</v>
      </c>
      <c r="M2800" s="26">
        <v>44384</v>
      </c>
      <c r="N2800" s="44">
        <f>0.5*123986.53</f>
        <v>61993.264999999999</v>
      </c>
      <c r="O2800" s="22" t="s">
        <v>15</v>
      </c>
      <c r="P2800" s="44">
        <v>61993.27</v>
      </c>
      <c r="Q2800" s="24">
        <f t="shared" si="176"/>
        <v>0</v>
      </c>
      <c r="R2800" s="24">
        <f t="shared" si="175"/>
        <v>61993.27</v>
      </c>
      <c r="S2800" s="5"/>
      <c r="T2800" s="5"/>
    </row>
    <row r="2801" spans="2:20" ht="15.75" hidden="1" x14ac:dyDescent="0.25">
      <c r="B2801" s="21" t="s">
        <v>395</v>
      </c>
      <c r="C2801" s="22" t="s">
        <v>5387</v>
      </c>
      <c r="D2801" s="22"/>
      <c r="E2801" s="21" t="s">
        <v>75</v>
      </c>
      <c r="F2801" s="21"/>
      <c r="G2801" s="147" t="s">
        <v>5355</v>
      </c>
      <c r="H2801" s="23" t="s">
        <v>5217</v>
      </c>
      <c r="I2801" s="23" t="s">
        <v>8057</v>
      </c>
      <c r="J2801" s="21" t="s">
        <v>5137</v>
      </c>
      <c r="K2801" s="21"/>
      <c r="L2801" s="21" t="s">
        <v>5645</v>
      </c>
      <c r="M2801" s="26">
        <v>44440</v>
      </c>
      <c r="N2801" s="44">
        <f>0.5*123986.53</f>
        <v>61993.264999999999</v>
      </c>
      <c r="O2801" s="22" t="s">
        <v>15</v>
      </c>
      <c r="P2801" s="44">
        <v>61993.27</v>
      </c>
      <c r="Q2801" s="24">
        <f t="shared" si="176"/>
        <v>0</v>
      </c>
      <c r="R2801" s="24">
        <f t="shared" si="175"/>
        <v>61993.27</v>
      </c>
      <c r="S2801" s="5"/>
      <c r="T2801" s="5"/>
    </row>
    <row r="2802" spans="2:20" ht="15.75" hidden="1" x14ac:dyDescent="0.25">
      <c r="B2802" s="21" t="s">
        <v>395</v>
      </c>
      <c r="C2802" s="22" t="s">
        <v>5387</v>
      </c>
      <c r="D2802" s="22"/>
      <c r="E2802" s="21" t="s">
        <v>75</v>
      </c>
      <c r="F2802" s="21"/>
      <c r="G2802" s="147" t="s">
        <v>5355</v>
      </c>
      <c r="H2802" s="23" t="s">
        <v>5217</v>
      </c>
      <c r="I2802" s="23" t="s">
        <v>8057</v>
      </c>
      <c r="J2802" s="21" t="s">
        <v>5720</v>
      </c>
      <c r="K2802" s="21"/>
      <c r="L2802" s="21" t="s">
        <v>5699</v>
      </c>
      <c r="M2802" s="26" t="s">
        <v>5700</v>
      </c>
      <c r="N2802" s="44">
        <v>0</v>
      </c>
      <c r="O2802" s="22" t="s">
        <v>15</v>
      </c>
      <c r="P2802" s="44">
        <v>0</v>
      </c>
      <c r="Q2802" s="24">
        <f t="shared" si="176"/>
        <v>0</v>
      </c>
      <c r="R2802" s="24">
        <f t="shared" si="175"/>
        <v>0</v>
      </c>
      <c r="S2802" s="5"/>
      <c r="T2802" s="5"/>
    </row>
    <row r="2803" spans="2:20" ht="15.75" hidden="1" x14ac:dyDescent="0.25">
      <c r="B2803" s="21" t="s">
        <v>395</v>
      </c>
      <c r="C2803" s="22" t="s">
        <v>5387</v>
      </c>
      <c r="D2803" s="22"/>
      <c r="E2803" s="21" t="s">
        <v>75</v>
      </c>
      <c r="F2803" s="21"/>
      <c r="G2803" s="147" t="s">
        <v>5355</v>
      </c>
      <c r="H2803" s="23" t="s">
        <v>5707</v>
      </c>
      <c r="I2803" s="23" t="s">
        <v>8093</v>
      </c>
      <c r="J2803" s="21" t="s">
        <v>5708</v>
      </c>
      <c r="K2803" s="21"/>
      <c r="L2803" s="21" t="s">
        <v>5969</v>
      </c>
      <c r="M2803" s="26">
        <v>44459</v>
      </c>
      <c r="N2803" s="44">
        <v>123333.71</v>
      </c>
      <c r="O2803" s="22" t="s">
        <v>15</v>
      </c>
      <c r="P2803" s="44">
        <v>123333.71</v>
      </c>
      <c r="Q2803" s="24">
        <f t="shared" si="176"/>
        <v>0</v>
      </c>
      <c r="R2803" s="24">
        <f t="shared" si="175"/>
        <v>123333.71</v>
      </c>
      <c r="S2803" s="5"/>
      <c r="T2803" s="5"/>
    </row>
    <row r="2804" spans="2:20" ht="15.75" hidden="1" x14ac:dyDescent="0.25">
      <c r="B2804" s="21" t="s">
        <v>395</v>
      </c>
      <c r="C2804" s="22" t="s">
        <v>5387</v>
      </c>
      <c r="D2804" s="22"/>
      <c r="E2804" s="21" t="s">
        <v>75</v>
      </c>
      <c r="F2804" s="21"/>
      <c r="G2804" s="147" t="s">
        <v>5355</v>
      </c>
      <c r="H2804" s="23" t="s">
        <v>5707</v>
      </c>
      <c r="I2804" s="23" t="s">
        <v>8093</v>
      </c>
      <c r="J2804" s="21" t="s">
        <v>5709</v>
      </c>
      <c r="K2804" s="21"/>
      <c r="L2804" s="21" t="s">
        <v>5970</v>
      </c>
      <c r="M2804" s="26">
        <v>44461</v>
      </c>
      <c r="N2804" s="44">
        <v>82222.48</v>
      </c>
      <c r="O2804" s="22" t="s">
        <v>15</v>
      </c>
      <c r="P2804" s="44">
        <v>82222.48</v>
      </c>
      <c r="Q2804" s="24">
        <f t="shared" si="176"/>
        <v>0</v>
      </c>
      <c r="R2804" s="24">
        <f t="shared" si="175"/>
        <v>82222.48</v>
      </c>
      <c r="S2804" s="5"/>
      <c r="T2804" s="5"/>
    </row>
    <row r="2805" spans="2:20" ht="15.75" hidden="1" x14ac:dyDescent="0.25">
      <c r="B2805" s="21" t="s">
        <v>395</v>
      </c>
      <c r="C2805" s="22" t="s">
        <v>5387</v>
      </c>
      <c r="D2805" s="22"/>
      <c r="E2805" s="21" t="s">
        <v>75</v>
      </c>
      <c r="F2805" s="21"/>
      <c r="G2805" s="147" t="s">
        <v>5355</v>
      </c>
      <c r="H2805" s="23" t="s">
        <v>5707</v>
      </c>
      <c r="I2805" s="23" t="s">
        <v>8093</v>
      </c>
      <c r="J2805" s="21" t="s">
        <v>5710</v>
      </c>
      <c r="K2805" s="21"/>
      <c r="L2805" s="21" t="s">
        <v>5944</v>
      </c>
      <c r="M2805" s="26">
        <v>44481</v>
      </c>
      <c r="N2805" s="44">
        <v>82222.48</v>
      </c>
      <c r="O2805" s="22" t="s">
        <v>15</v>
      </c>
      <c r="P2805" s="44">
        <v>82222.48</v>
      </c>
      <c r="Q2805" s="24">
        <f t="shared" si="176"/>
        <v>0</v>
      </c>
      <c r="R2805" s="24">
        <f t="shared" si="175"/>
        <v>82222.48</v>
      </c>
      <c r="S2805" s="5"/>
      <c r="T2805" s="5"/>
    </row>
    <row r="2806" spans="2:20" ht="15.75" hidden="1" x14ac:dyDescent="0.25">
      <c r="B2806" s="21" t="s">
        <v>395</v>
      </c>
      <c r="C2806" s="22" t="s">
        <v>5387</v>
      </c>
      <c r="D2806" s="22"/>
      <c r="E2806" s="21" t="s">
        <v>75</v>
      </c>
      <c r="F2806" s="21"/>
      <c r="G2806" s="147" t="s">
        <v>5355</v>
      </c>
      <c r="H2806" s="23" t="s">
        <v>5707</v>
      </c>
      <c r="I2806" s="23" t="s">
        <v>8093</v>
      </c>
      <c r="J2806" s="21" t="s">
        <v>5711</v>
      </c>
      <c r="K2806" s="21"/>
      <c r="L2806" s="21" t="s">
        <v>5945</v>
      </c>
      <c r="M2806" s="26">
        <v>44481</v>
      </c>
      <c r="N2806" s="44">
        <v>61666.86</v>
      </c>
      <c r="O2806" s="22" t="s">
        <v>15</v>
      </c>
      <c r="P2806" s="44">
        <v>61666.86</v>
      </c>
      <c r="Q2806" s="24">
        <f t="shared" si="176"/>
        <v>0</v>
      </c>
      <c r="R2806" s="24">
        <f t="shared" si="175"/>
        <v>61666.86</v>
      </c>
      <c r="S2806" s="5"/>
      <c r="T2806" s="5"/>
    </row>
    <row r="2807" spans="2:20" ht="15.75" hidden="1" x14ac:dyDescent="0.25">
      <c r="B2807" s="21" t="s">
        <v>395</v>
      </c>
      <c r="C2807" s="22" t="s">
        <v>5387</v>
      </c>
      <c r="D2807" s="22"/>
      <c r="E2807" s="21" t="s">
        <v>75</v>
      </c>
      <c r="F2807" s="21"/>
      <c r="G2807" s="147" t="s">
        <v>5355</v>
      </c>
      <c r="H2807" s="23" t="s">
        <v>5707</v>
      </c>
      <c r="I2807" s="23" t="s">
        <v>8093</v>
      </c>
      <c r="J2807" s="21" t="s">
        <v>5712</v>
      </c>
      <c r="K2807" s="21"/>
      <c r="L2807" s="21" t="s">
        <v>6070</v>
      </c>
      <c r="M2807" s="26">
        <v>44509</v>
      </c>
      <c r="N2807" s="44">
        <v>61666.86</v>
      </c>
      <c r="O2807" s="22" t="s">
        <v>15</v>
      </c>
      <c r="P2807" s="44">
        <v>61666.86</v>
      </c>
      <c r="Q2807" s="24">
        <f t="shared" si="176"/>
        <v>0</v>
      </c>
      <c r="R2807" s="24">
        <f t="shared" si="175"/>
        <v>61666.86</v>
      </c>
      <c r="S2807" s="5"/>
      <c r="T2807" s="5"/>
    </row>
    <row r="2808" spans="2:20" ht="21.75" hidden="1" customHeight="1" x14ac:dyDescent="0.25">
      <c r="B2808" s="21" t="s">
        <v>395</v>
      </c>
      <c r="C2808" s="22" t="s">
        <v>5387</v>
      </c>
      <c r="D2808" s="22"/>
      <c r="E2808" s="21" t="s">
        <v>75</v>
      </c>
      <c r="F2808" s="21"/>
      <c r="G2808" s="147" t="s">
        <v>5355</v>
      </c>
      <c r="H2808" s="23" t="s">
        <v>5707</v>
      </c>
      <c r="I2808" s="23" t="s">
        <v>8093</v>
      </c>
      <c r="J2808" s="21" t="s">
        <v>5713</v>
      </c>
      <c r="K2808" s="21"/>
      <c r="L2808" s="21" t="s">
        <v>6098</v>
      </c>
      <c r="M2808" s="26">
        <v>44518</v>
      </c>
      <c r="N2808" s="44">
        <v>61666.86</v>
      </c>
      <c r="O2808" s="22" t="s">
        <v>15</v>
      </c>
      <c r="P2808" s="44">
        <v>61666.86</v>
      </c>
      <c r="Q2808" s="24">
        <f t="shared" si="176"/>
        <v>0</v>
      </c>
      <c r="R2808" s="24">
        <f t="shared" si="175"/>
        <v>61666.86</v>
      </c>
      <c r="S2808" s="5"/>
      <c r="T2808" s="5"/>
    </row>
    <row r="2809" spans="2:20" ht="15.75" hidden="1" customHeight="1" x14ac:dyDescent="0.25">
      <c r="B2809" s="21" t="s">
        <v>395</v>
      </c>
      <c r="C2809" s="22" t="s">
        <v>5387</v>
      </c>
      <c r="D2809" s="22"/>
      <c r="E2809" s="21" t="s">
        <v>75</v>
      </c>
      <c r="F2809" s="21"/>
      <c r="G2809" s="147" t="s">
        <v>5355</v>
      </c>
      <c r="H2809" s="23" t="s">
        <v>5707</v>
      </c>
      <c r="I2809" s="23" t="s">
        <v>8093</v>
      </c>
      <c r="J2809" s="21" t="s">
        <v>5714</v>
      </c>
      <c r="K2809" s="21"/>
      <c r="L2809" s="21" t="s">
        <v>6256</v>
      </c>
      <c r="M2809" s="26">
        <v>44544</v>
      </c>
      <c r="N2809" s="44">
        <v>61666.86</v>
      </c>
      <c r="O2809" s="22" t="s">
        <v>15</v>
      </c>
      <c r="P2809" s="44">
        <v>61666.86</v>
      </c>
      <c r="Q2809" s="24">
        <f t="shared" si="176"/>
        <v>0</v>
      </c>
      <c r="R2809" s="24">
        <f t="shared" si="175"/>
        <v>61666.86</v>
      </c>
      <c r="S2809" s="5"/>
      <c r="T2809" s="5"/>
    </row>
    <row r="2810" spans="2:20" ht="21.75" hidden="1" customHeight="1" x14ac:dyDescent="0.25">
      <c r="B2810" s="21" t="s">
        <v>395</v>
      </c>
      <c r="C2810" s="22" t="s">
        <v>5387</v>
      </c>
      <c r="D2810" s="22"/>
      <c r="E2810" s="21" t="s">
        <v>75</v>
      </c>
      <c r="F2810" s="21"/>
      <c r="G2810" s="147" t="s">
        <v>5355</v>
      </c>
      <c r="H2810" s="23" t="s">
        <v>5707</v>
      </c>
      <c r="I2810" s="23" t="s">
        <v>8093</v>
      </c>
      <c r="J2810" s="21" t="s">
        <v>5715</v>
      </c>
      <c r="K2810" s="21"/>
      <c r="L2810" s="21" t="s">
        <v>6257</v>
      </c>
      <c r="M2810" s="26">
        <v>44544</v>
      </c>
      <c r="N2810" s="44">
        <v>61666.86</v>
      </c>
      <c r="O2810" s="22" t="s">
        <v>15</v>
      </c>
      <c r="P2810" s="44">
        <v>61666.86</v>
      </c>
      <c r="Q2810" s="24">
        <f t="shared" si="176"/>
        <v>0</v>
      </c>
      <c r="R2810" s="24">
        <f t="shared" si="175"/>
        <v>61666.86</v>
      </c>
      <c r="S2810" s="5"/>
      <c r="T2810" s="5"/>
    </row>
    <row r="2811" spans="2:20" ht="15.75" hidden="1" x14ac:dyDescent="0.25">
      <c r="B2811" s="21" t="s">
        <v>395</v>
      </c>
      <c r="C2811" s="22" t="s">
        <v>5387</v>
      </c>
      <c r="D2811" s="22"/>
      <c r="E2811" s="21" t="s">
        <v>75</v>
      </c>
      <c r="F2811" s="21"/>
      <c r="G2811" s="147" t="s">
        <v>5355</v>
      </c>
      <c r="H2811" s="23" t="s">
        <v>5707</v>
      </c>
      <c r="I2811" s="23" t="s">
        <v>8093</v>
      </c>
      <c r="J2811" s="21" t="s">
        <v>5716</v>
      </c>
      <c r="K2811" s="21"/>
      <c r="L2811" s="21" t="s">
        <v>6461</v>
      </c>
      <c r="M2811" s="26">
        <v>44607</v>
      </c>
      <c r="N2811" s="44">
        <v>61666.86</v>
      </c>
      <c r="O2811" s="22" t="s">
        <v>15</v>
      </c>
      <c r="P2811" s="44">
        <v>61666.86</v>
      </c>
      <c r="Q2811" s="24">
        <f t="shared" si="176"/>
        <v>0</v>
      </c>
      <c r="R2811" s="24">
        <f t="shared" si="175"/>
        <v>61666.86</v>
      </c>
      <c r="S2811" s="5"/>
      <c r="T2811" s="5"/>
    </row>
    <row r="2812" spans="2:20" ht="15.75" hidden="1" x14ac:dyDescent="0.25">
      <c r="B2812" s="21" t="s">
        <v>395</v>
      </c>
      <c r="C2812" s="22" t="s">
        <v>5387</v>
      </c>
      <c r="D2812" s="22"/>
      <c r="E2812" s="21" t="s">
        <v>75</v>
      </c>
      <c r="F2812" s="21"/>
      <c r="G2812" s="147" t="s">
        <v>5355</v>
      </c>
      <c r="H2812" s="23" t="s">
        <v>5707</v>
      </c>
      <c r="I2812" s="23" t="s">
        <v>8093</v>
      </c>
      <c r="J2812" s="21" t="s">
        <v>5717</v>
      </c>
      <c r="K2812" s="21"/>
      <c r="L2812" s="21" t="s">
        <v>6608</v>
      </c>
      <c r="M2812" s="26">
        <v>44614</v>
      </c>
      <c r="N2812" s="44">
        <v>82222.48</v>
      </c>
      <c r="O2812" s="22" t="s">
        <v>15</v>
      </c>
      <c r="P2812" s="44">
        <v>82222.48</v>
      </c>
      <c r="Q2812" s="24">
        <f t="shared" si="176"/>
        <v>0</v>
      </c>
      <c r="R2812" s="24">
        <f t="shared" si="175"/>
        <v>82222.48</v>
      </c>
      <c r="S2812" s="5"/>
      <c r="T2812" s="5"/>
    </row>
    <row r="2813" spans="2:20" ht="15.75" hidden="1" x14ac:dyDescent="0.25">
      <c r="B2813" s="21" t="s">
        <v>395</v>
      </c>
      <c r="C2813" s="22" t="s">
        <v>5387</v>
      </c>
      <c r="D2813" s="22"/>
      <c r="E2813" s="21" t="s">
        <v>75</v>
      </c>
      <c r="F2813" s="21"/>
      <c r="G2813" s="147" t="s">
        <v>5355</v>
      </c>
      <c r="H2813" s="23" t="s">
        <v>5707</v>
      </c>
      <c r="I2813" s="23" t="s">
        <v>8093</v>
      </c>
      <c r="J2813" s="21" t="s">
        <v>5718</v>
      </c>
      <c r="K2813" s="21"/>
      <c r="L2813" s="21" t="s">
        <v>6609</v>
      </c>
      <c r="M2813" s="26">
        <v>44642</v>
      </c>
      <c r="N2813" s="44">
        <v>41111.24</v>
      </c>
      <c r="O2813" s="22" t="s">
        <v>15</v>
      </c>
      <c r="P2813" s="44">
        <v>41111.24</v>
      </c>
      <c r="Q2813" s="24">
        <f t="shared" si="176"/>
        <v>0</v>
      </c>
      <c r="R2813" s="24">
        <f t="shared" si="175"/>
        <v>41111.24</v>
      </c>
      <c r="S2813" s="5"/>
      <c r="T2813" s="5"/>
    </row>
    <row r="2814" spans="2:20" ht="15.75" hidden="1" x14ac:dyDescent="0.25">
      <c r="B2814" s="21" t="s">
        <v>395</v>
      </c>
      <c r="C2814" s="22" t="s">
        <v>5387</v>
      </c>
      <c r="D2814" s="22"/>
      <c r="E2814" s="21" t="s">
        <v>75</v>
      </c>
      <c r="F2814" s="21"/>
      <c r="G2814" s="147" t="s">
        <v>5355</v>
      </c>
      <c r="H2814" s="23" t="s">
        <v>5707</v>
      </c>
      <c r="I2814" s="23" t="s">
        <v>8093</v>
      </c>
      <c r="J2814" s="21" t="s">
        <v>5719</v>
      </c>
      <c r="K2814" s="21"/>
      <c r="L2814" s="21" t="s">
        <v>7054</v>
      </c>
      <c r="M2814" s="26">
        <v>44797</v>
      </c>
      <c r="N2814" s="44">
        <v>41111.24</v>
      </c>
      <c r="O2814" s="22" t="s">
        <v>15</v>
      </c>
      <c r="P2814" s="44">
        <v>41111.22</v>
      </c>
      <c r="Q2814" s="24">
        <f t="shared" si="176"/>
        <v>1.9999999996798579E-2</v>
      </c>
      <c r="R2814" s="24">
        <f t="shared" si="175"/>
        <v>41111.22</v>
      </c>
      <c r="S2814" s="5"/>
      <c r="T2814" s="5"/>
    </row>
    <row r="2815" spans="2:20" ht="15.75" hidden="1" x14ac:dyDescent="0.25">
      <c r="B2815" s="21" t="s">
        <v>395</v>
      </c>
      <c r="C2815" s="22" t="s">
        <v>5387</v>
      </c>
      <c r="D2815" s="22"/>
      <c r="E2815" s="21" t="s">
        <v>75</v>
      </c>
      <c r="F2815" s="21"/>
      <c r="G2815" s="147" t="s">
        <v>5355</v>
      </c>
      <c r="H2815" s="23" t="s">
        <v>5707</v>
      </c>
      <c r="I2815" s="23" t="s">
        <v>8093</v>
      </c>
      <c r="J2815" s="21" t="s">
        <v>5721</v>
      </c>
      <c r="K2815" s="21"/>
      <c r="L2815" s="21" t="s">
        <v>6017</v>
      </c>
      <c r="M2815" s="26">
        <v>44460</v>
      </c>
      <c r="N2815" s="44">
        <v>41124.76</v>
      </c>
      <c r="O2815" s="22" t="s">
        <v>15</v>
      </c>
      <c r="P2815" s="44">
        <v>41124.76</v>
      </c>
      <c r="Q2815" s="24">
        <f t="shared" si="176"/>
        <v>0</v>
      </c>
      <c r="R2815" s="24">
        <f t="shared" si="175"/>
        <v>41124.76</v>
      </c>
      <c r="S2815" s="5"/>
      <c r="T2815" s="5"/>
    </row>
    <row r="2816" spans="2:20" ht="15.75" hidden="1" x14ac:dyDescent="0.25">
      <c r="B2816" s="21" t="s">
        <v>395</v>
      </c>
      <c r="C2816" s="22" t="s">
        <v>5387</v>
      </c>
      <c r="D2816" s="22"/>
      <c r="E2816" s="21" t="s">
        <v>75</v>
      </c>
      <c r="F2816" s="21"/>
      <c r="G2816" s="147" t="s">
        <v>5355</v>
      </c>
      <c r="H2816" s="23" t="s">
        <v>5707</v>
      </c>
      <c r="I2816" s="23" t="s">
        <v>8093</v>
      </c>
      <c r="J2816" s="21" t="s">
        <v>5722</v>
      </c>
      <c r="K2816" s="21"/>
      <c r="L2816" s="21" t="s">
        <v>11102</v>
      </c>
      <c r="M2816" s="26" t="s">
        <v>11103</v>
      </c>
      <c r="N2816" s="44">
        <v>164499.06</v>
      </c>
      <c r="O2816" s="22" t="s">
        <v>15</v>
      </c>
      <c r="P2816" s="44">
        <f>1674.22+701.08+1385.47+247.4+3553.57+1609.81+67324.07+2294.82+3432.57+1895.13+925.92+248.09-41124.76</f>
        <v>44167.390000000021</v>
      </c>
      <c r="Q2816" s="24">
        <v>0</v>
      </c>
      <c r="R2816" s="24">
        <f t="shared" si="175"/>
        <v>44167.390000000021</v>
      </c>
      <c r="S2816" s="5"/>
      <c r="T2816" s="5"/>
    </row>
    <row r="2817" spans="2:20" ht="15.75" hidden="1" x14ac:dyDescent="0.25">
      <c r="B2817" s="21" t="s">
        <v>395</v>
      </c>
      <c r="C2817" s="22" t="s">
        <v>2450</v>
      </c>
      <c r="D2817" s="22"/>
      <c r="E2817" s="21" t="s">
        <v>10</v>
      </c>
      <c r="F2817" s="21"/>
      <c r="G2817" s="147" t="s">
        <v>6638</v>
      </c>
      <c r="H2817" s="23" t="s">
        <v>8404</v>
      </c>
      <c r="I2817" s="23" t="s">
        <v>8403</v>
      </c>
      <c r="J2817" s="21" t="s">
        <v>7369</v>
      </c>
      <c r="K2817" s="21"/>
      <c r="L2817" s="21" t="s">
        <v>8461</v>
      </c>
      <c r="M2817" s="26">
        <v>45085</v>
      </c>
      <c r="N2817" s="44">
        <v>3048</v>
      </c>
      <c r="O2817" s="22" t="s">
        <v>15</v>
      </c>
      <c r="P2817" s="44">
        <f>3026</f>
        <v>3026</v>
      </c>
      <c r="Q2817" s="44">
        <f t="shared" ref="Q2817" si="177">IF(P2817="en cours",N2817,IF(P2817="OK",0,IF(N2817-P2817&lt;0,0,N2817-P2817)))</f>
        <v>22</v>
      </c>
      <c r="R2817" s="116">
        <f t="shared" si="175"/>
        <v>3026</v>
      </c>
      <c r="S2817" s="5"/>
      <c r="T2817" s="5"/>
    </row>
    <row r="2818" spans="2:20" ht="15.75" hidden="1" x14ac:dyDescent="0.25">
      <c r="B2818" s="21" t="s">
        <v>395</v>
      </c>
      <c r="C2818" s="22" t="s">
        <v>2450</v>
      </c>
      <c r="D2818" s="22"/>
      <c r="E2818" s="21" t="s">
        <v>10</v>
      </c>
      <c r="F2818" s="21"/>
      <c r="G2818" s="147" t="s">
        <v>6638</v>
      </c>
      <c r="H2818" s="23" t="s">
        <v>8482</v>
      </c>
      <c r="I2818" s="23" t="s">
        <v>8483</v>
      </c>
      <c r="J2818" s="21" t="s">
        <v>7718</v>
      </c>
      <c r="K2818" s="21"/>
      <c r="L2818" s="21" t="s">
        <v>8664</v>
      </c>
      <c r="M2818" s="26" t="s">
        <v>8665</v>
      </c>
      <c r="N2818" s="44">
        <v>5351.5</v>
      </c>
      <c r="O2818" s="22" t="s">
        <v>15</v>
      </c>
      <c r="P2818" s="44">
        <f>5803.8+5329.5-5803.8</f>
        <v>5329.4999999999991</v>
      </c>
      <c r="Q2818" s="44">
        <v>0</v>
      </c>
      <c r="R2818" s="24">
        <f t="shared" si="175"/>
        <v>5329.4999999999991</v>
      </c>
      <c r="S2818" s="5"/>
      <c r="T2818" s="5"/>
    </row>
    <row r="2819" spans="2:20" ht="15.75" hidden="1" x14ac:dyDescent="0.25">
      <c r="B2819" s="21" t="s">
        <v>395</v>
      </c>
      <c r="C2819" s="22" t="s">
        <v>2450</v>
      </c>
      <c r="D2819" s="22"/>
      <c r="E2819" s="21" t="s">
        <v>10</v>
      </c>
      <c r="F2819" s="21"/>
      <c r="G2819" s="147" t="s">
        <v>6638</v>
      </c>
      <c r="H2819" s="23" t="s">
        <v>8688</v>
      </c>
      <c r="I2819" s="23" t="s">
        <v>8689</v>
      </c>
      <c r="J2819" s="21" t="s">
        <v>7718</v>
      </c>
      <c r="K2819" s="21"/>
      <c r="L2819" s="21" t="s">
        <v>8793</v>
      </c>
      <c r="M2819" s="26" t="s">
        <v>8794</v>
      </c>
      <c r="N2819" s="44">
        <v>10711.6</v>
      </c>
      <c r="O2819" s="22" t="s">
        <v>15</v>
      </c>
      <c r="P2819" s="44">
        <f>3478.2+4522+2689.4+471.28</f>
        <v>11160.880000000001</v>
      </c>
      <c r="Q2819" s="44">
        <f t="shared" ref="Q2819:Q2824" si="178">IF(P2819="en cours",N2819,IF(P2819="OK",0,IF(N2819-P2819&lt;0,0,N2819-P2819)))</f>
        <v>0</v>
      </c>
      <c r="R2819" s="24">
        <f t="shared" si="175"/>
        <v>11160.880000000001</v>
      </c>
      <c r="S2819" s="5"/>
      <c r="T2819" s="5"/>
    </row>
    <row r="2820" spans="2:20" ht="15.75" hidden="1" x14ac:dyDescent="0.25">
      <c r="B2820" s="21" t="s">
        <v>395</v>
      </c>
      <c r="C2820" s="22" t="s">
        <v>2450</v>
      </c>
      <c r="D2820" s="22"/>
      <c r="E2820" s="21" t="s">
        <v>10</v>
      </c>
      <c r="F2820" s="21"/>
      <c r="G2820" s="147" t="s">
        <v>6638</v>
      </c>
      <c r="H2820" s="107" t="s">
        <v>7563</v>
      </c>
      <c r="I2820" s="107" t="s">
        <v>7563</v>
      </c>
      <c r="J2820" s="21" t="s">
        <v>6557</v>
      </c>
      <c r="K2820" s="21"/>
      <c r="L2820" s="21" t="s">
        <v>7622</v>
      </c>
      <c r="M2820" s="26">
        <v>44972</v>
      </c>
      <c r="N2820" s="44">
        <v>5265</v>
      </c>
      <c r="O2820" s="22" t="s">
        <v>15</v>
      </c>
      <c r="P2820" s="22">
        <f>5265</f>
        <v>5265</v>
      </c>
      <c r="Q2820" s="44">
        <f t="shared" si="178"/>
        <v>0</v>
      </c>
      <c r="R2820" s="24">
        <f t="shared" si="175"/>
        <v>5265</v>
      </c>
      <c r="S2820" s="5"/>
      <c r="T2820" s="5"/>
    </row>
    <row r="2821" spans="2:20" ht="15.75" hidden="1" x14ac:dyDescent="0.25">
      <c r="B2821" s="21" t="s">
        <v>395</v>
      </c>
      <c r="C2821" s="22" t="s">
        <v>2450</v>
      </c>
      <c r="D2821" s="22"/>
      <c r="E2821" s="21" t="s">
        <v>10</v>
      </c>
      <c r="F2821" s="21"/>
      <c r="G2821" s="147" t="s">
        <v>6638</v>
      </c>
      <c r="H2821" s="107" t="s">
        <v>7804</v>
      </c>
      <c r="I2821" s="107" t="s">
        <v>7804</v>
      </c>
      <c r="J2821" s="21" t="s">
        <v>7369</v>
      </c>
      <c r="K2821" s="21"/>
      <c r="L2821" s="21" t="s">
        <v>8338</v>
      </c>
      <c r="M2821" s="26" t="s">
        <v>8339</v>
      </c>
      <c r="N2821" s="44">
        <v>6754</v>
      </c>
      <c r="O2821" s="22" t="s">
        <v>15</v>
      </c>
      <c r="P2821" s="44">
        <f>3164+3590</f>
        <v>6754</v>
      </c>
      <c r="Q2821" s="44">
        <f t="shared" si="178"/>
        <v>0</v>
      </c>
      <c r="R2821" s="24">
        <f t="shared" si="175"/>
        <v>6754</v>
      </c>
      <c r="S2821" s="5"/>
      <c r="T2821" s="5"/>
    </row>
    <row r="2822" spans="2:20" ht="15.75" hidden="1" x14ac:dyDescent="0.25">
      <c r="B2822" s="21" t="s">
        <v>395</v>
      </c>
      <c r="C2822" s="22" t="s">
        <v>2450</v>
      </c>
      <c r="D2822" s="22"/>
      <c r="E2822" s="21" t="s">
        <v>10</v>
      </c>
      <c r="F2822" s="21"/>
      <c r="G2822" s="147" t="s">
        <v>6638</v>
      </c>
      <c r="H2822" s="107" t="s">
        <v>9088</v>
      </c>
      <c r="I2822" s="107" t="s">
        <v>9089</v>
      </c>
      <c r="J2822" s="21" t="s">
        <v>9090</v>
      </c>
      <c r="K2822" s="21"/>
      <c r="L2822" s="21" t="s">
        <v>9227</v>
      </c>
      <c r="M2822" s="26">
        <v>45245</v>
      </c>
      <c r="N2822" s="44">
        <v>2415.6</v>
      </c>
      <c r="O2822" s="22" t="s">
        <v>15</v>
      </c>
      <c r="P2822" s="44">
        <v>2393.6</v>
      </c>
      <c r="Q2822" s="44">
        <f t="shared" si="178"/>
        <v>22</v>
      </c>
      <c r="R2822" s="24">
        <f t="shared" si="175"/>
        <v>2393.6</v>
      </c>
      <c r="S2822" s="5"/>
      <c r="T2822" s="5"/>
    </row>
    <row r="2823" spans="2:20" ht="15.75" hidden="1" x14ac:dyDescent="0.25">
      <c r="B2823" s="21" t="s">
        <v>395</v>
      </c>
      <c r="C2823" s="22" t="s">
        <v>2450</v>
      </c>
      <c r="D2823" s="22"/>
      <c r="E2823" s="21" t="s">
        <v>10</v>
      </c>
      <c r="F2823" s="21"/>
      <c r="G2823" s="147" t="s">
        <v>6638</v>
      </c>
      <c r="H2823" s="23" t="s">
        <v>9322</v>
      </c>
      <c r="I2823" s="23" t="s">
        <v>9323</v>
      </c>
      <c r="J2823" s="21" t="s">
        <v>6557</v>
      </c>
      <c r="K2823" s="21"/>
      <c r="L2823" s="21" t="s">
        <v>9623</v>
      </c>
      <c r="M2823" s="26">
        <v>45308</v>
      </c>
      <c r="N2823" s="44">
        <v>6798.35</v>
      </c>
      <c r="O2823" s="22" t="s">
        <v>15</v>
      </c>
      <c r="P2823" s="44">
        <f>6775.35</f>
        <v>6775.35</v>
      </c>
      <c r="Q2823" s="44">
        <f t="shared" si="178"/>
        <v>23</v>
      </c>
      <c r="R2823" s="24">
        <f t="shared" si="175"/>
        <v>6775.35</v>
      </c>
      <c r="S2823" s="5"/>
      <c r="T2823" s="5"/>
    </row>
    <row r="2824" spans="2:20" ht="15.75" hidden="1" x14ac:dyDescent="0.25">
      <c r="B2824" s="21" t="s">
        <v>395</v>
      </c>
      <c r="C2824" s="22" t="s">
        <v>2450</v>
      </c>
      <c r="D2824" s="22"/>
      <c r="E2824" s="21" t="s">
        <v>10</v>
      </c>
      <c r="F2824" s="21" t="s">
        <v>9721</v>
      </c>
      <c r="G2824" s="147" t="s">
        <v>6638</v>
      </c>
      <c r="H2824" s="23" t="s">
        <v>10030</v>
      </c>
      <c r="I2824" s="23" t="s">
        <v>10031</v>
      </c>
      <c r="J2824" s="21" t="s">
        <v>6557</v>
      </c>
      <c r="K2824" s="21"/>
      <c r="L2824" s="21" t="s">
        <v>10072</v>
      </c>
      <c r="M2824" s="26">
        <v>45469</v>
      </c>
      <c r="N2824" s="44">
        <v>2198.9499999999998</v>
      </c>
      <c r="O2824" s="22" t="s">
        <v>15</v>
      </c>
      <c r="P2824" s="44">
        <v>2198.9499999999998</v>
      </c>
      <c r="Q2824" s="44">
        <f t="shared" si="178"/>
        <v>0</v>
      </c>
      <c r="R2824" s="24">
        <f t="shared" si="175"/>
        <v>2198.9499999999998</v>
      </c>
      <c r="S2824" s="5"/>
      <c r="T2824" s="5"/>
    </row>
    <row r="2825" spans="2:20" ht="15.75" hidden="1" x14ac:dyDescent="0.25">
      <c r="B2825" s="21" t="s">
        <v>395</v>
      </c>
      <c r="C2825" s="22" t="s">
        <v>2450</v>
      </c>
      <c r="D2825" s="22"/>
      <c r="E2825" s="21" t="s">
        <v>10</v>
      </c>
      <c r="F2825" s="21" t="s">
        <v>9721</v>
      </c>
      <c r="G2825" s="147" t="s">
        <v>6638</v>
      </c>
      <c r="H2825" s="23" t="s">
        <v>10108</v>
      </c>
      <c r="I2825" s="23" t="s">
        <v>10109</v>
      </c>
      <c r="J2825" s="21" t="s">
        <v>6557</v>
      </c>
      <c r="K2825" s="21"/>
      <c r="L2825" s="21" t="s">
        <v>10282</v>
      </c>
      <c r="M2825" s="26">
        <v>45484</v>
      </c>
      <c r="N2825" s="44">
        <v>6266.25</v>
      </c>
      <c r="O2825" s="22" t="s">
        <v>15</v>
      </c>
      <c r="P2825" s="44">
        <v>6243.25</v>
      </c>
      <c r="Q2825" s="24">
        <v>0</v>
      </c>
      <c r="R2825" s="24">
        <f>IF(P2825="OK",N2825-Q2825,IF(P2825="en cours",M2825-Q2825,P2825))</f>
        <v>6243.25</v>
      </c>
      <c r="S2825" s="5"/>
      <c r="T2825" s="5"/>
    </row>
    <row r="2826" spans="2:20" ht="15.75" hidden="1" x14ac:dyDescent="0.25">
      <c r="B2826" s="21" t="s">
        <v>395</v>
      </c>
      <c r="C2826" s="22" t="s">
        <v>2450</v>
      </c>
      <c r="D2826" s="22"/>
      <c r="E2826" s="21" t="s">
        <v>10</v>
      </c>
      <c r="F2826" s="21" t="s">
        <v>9721</v>
      </c>
      <c r="G2826" s="147" t="s">
        <v>6638</v>
      </c>
      <c r="H2826" s="23" t="s">
        <v>10465</v>
      </c>
      <c r="I2826" s="23" t="s">
        <v>10466</v>
      </c>
      <c r="J2826" s="21" t="s">
        <v>6557</v>
      </c>
      <c r="K2826" s="21"/>
      <c r="L2826" s="21" t="s">
        <v>10567</v>
      </c>
      <c r="M2826" s="26">
        <v>45559</v>
      </c>
      <c r="N2826" s="44">
        <v>4833.1499999999996</v>
      </c>
      <c r="O2826" s="22" t="s">
        <v>15</v>
      </c>
      <c r="P2826" s="44">
        <f>4810.15</f>
        <v>4810.1499999999996</v>
      </c>
      <c r="Q2826" s="44">
        <f>IF(P2826="en cours",N2826,IF(P2826="OK",0,IF(N2826-P2826&lt;0,0,N2826-P2826)))</f>
        <v>23</v>
      </c>
      <c r="R2826" s="24">
        <f t="shared" ref="R2826:R2828" si="179">IF(P2826="OK",N2826-Q2826,IF(P2826="en cours",N2826-Q2826,P2826))</f>
        <v>4810.1499999999996</v>
      </c>
      <c r="S2826" s="5"/>
      <c r="T2826" s="5"/>
    </row>
    <row r="2827" spans="2:20" ht="15.75" hidden="1" x14ac:dyDescent="0.25">
      <c r="B2827" s="21" t="s">
        <v>395</v>
      </c>
      <c r="C2827" s="22" t="s">
        <v>2450</v>
      </c>
      <c r="D2827" s="22"/>
      <c r="E2827" s="21" t="s">
        <v>10</v>
      </c>
      <c r="F2827" s="21" t="s">
        <v>9721</v>
      </c>
      <c r="G2827" s="147" t="s">
        <v>6638</v>
      </c>
      <c r="H2827" s="23" t="s">
        <v>10527</v>
      </c>
      <c r="I2827" s="23" t="s">
        <v>10528</v>
      </c>
      <c r="J2827" s="21" t="s">
        <v>6557</v>
      </c>
      <c r="K2827" s="21"/>
      <c r="L2827" s="21" t="s">
        <v>10697</v>
      </c>
      <c r="M2827" s="26" t="s">
        <v>10698</v>
      </c>
      <c r="N2827" s="44">
        <v>4228.75</v>
      </c>
      <c r="O2827" s="22" t="s">
        <v>15</v>
      </c>
      <c r="P2827" s="44">
        <f>338.3+169.15+3721.3</f>
        <v>4228.75</v>
      </c>
      <c r="Q2827" s="44">
        <f>IF(P2827="en cours",N2827,IF(P2827="OK",0,IF(N2827-P2827&lt;0,0,N2827-P2827)))</f>
        <v>0</v>
      </c>
      <c r="R2827" s="24">
        <f t="shared" si="179"/>
        <v>4228.75</v>
      </c>
      <c r="S2827" s="5"/>
      <c r="T2827" s="5"/>
    </row>
    <row r="2828" spans="2:20" ht="15.75" hidden="1" x14ac:dyDescent="0.25">
      <c r="B2828" s="21" t="s">
        <v>395</v>
      </c>
      <c r="C2828" s="22" t="s">
        <v>2450</v>
      </c>
      <c r="D2828" s="22"/>
      <c r="E2828" s="21" t="s">
        <v>10</v>
      </c>
      <c r="F2828" s="21" t="s">
        <v>9721</v>
      </c>
      <c r="G2828" s="147" t="s">
        <v>6638</v>
      </c>
      <c r="H2828" s="23" t="s">
        <v>10589</v>
      </c>
      <c r="I2828" s="23" t="s">
        <v>10590</v>
      </c>
      <c r="J2828" s="21" t="s">
        <v>6557</v>
      </c>
      <c r="K2828" s="21"/>
      <c r="L2828" s="21" t="s">
        <v>10649</v>
      </c>
      <c r="M2828" s="26">
        <v>45584</v>
      </c>
      <c r="N2828" s="44">
        <v>436</v>
      </c>
      <c r="O2828" s="22" t="s">
        <v>15</v>
      </c>
      <c r="P2828" s="44">
        <f>398+38</f>
        <v>436</v>
      </c>
      <c r="Q2828" s="44">
        <f>IF(P2828="en cours",N2828,IF(P2828="OK",0,IF(N2828-P2828&lt;0,0,N2828-P2828)))</f>
        <v>0</v>
      </c>
      <c r="R2828" s="24">
        <f t="shared" si="179"/>
        <v>436</v>
      </c>
      <c r="S2828" s="5"/>
      <c r="T2828" s="5"/>
    </row>
    <row r="2829" spans="2:20" ht="15.75" hidden="1" x14ac:dyDescent="0.25">
      <c r="B2829" s="21" t="s">
        <v>395</v>
      </c>
      <c r="C2829" s="22" t="s">
        <v>2450</v>
      </c>
      <c r="D2829" s="22"/>
      <c r="E2829" s="21" t="s">
        <v>0</v>
      </c>
      <c r="F2829" s="21"/>
      <c r="G2829" s="147" t="s">
        <v>8957</v>
      </c>
      <c r="H2829" s="23" t="s">
        <v>8958</v>
      </c>
      <c r="I2829" s="23" t="s">
        <v>8959</v>
      </c>
      <c r="J2829" s="21" t="s">
        <v>8960</v>
      </c>
      <c r="K2829" s="120"/>
      <c r="L2829" s="21" t="s">
        <v>11200</v>
      </c>
      <c r="M2829" s="26" t="s">
        <v>11201</v>
      </c>
      <c r="N2829" s="44">
        <v>20240</v>
      </c>
      <c r="O2829" s="22" t="s">
        <v>341</v>
      </c>
      <c r="P2829" s="114">
        <f>10120+101202172.5+2311.55</f>
        <v>101214604.05</v>
      </c>
      <c r="Q2829" s="24">
        <f t="shared" ref="Q2829:Q2846" si="180">IF(P2829="en cours",N2829,IF(P2829="OK",0,IF(N2829-P2829&lt;0,0,N2829-P2829)))</f>
        <v>0</v>
      </c>
      <c r="R2829" s="24">
        <f>IF(P2829="OK",N2829-Q2829,IF(P2829="en cours",N2829-Q2829,P2829))</f>
        <v>101214604.05</v>
      </c>
      <c r="S2829" s="5"/>
      <c r="T2829" s="5"/>
    </row>
    <row r="2830" spans="2:20" ht="15.75" hidden="1" x14ac:dyDescent="0.25">
      <c r="B2830" s="21" t="s">
        <v>395</v>
      </c>
      <c r="C2830" s="22" t="s">
        <v>2450</v>
      </c>
      <c r="D2830" s="22"/>
      <c r="E2830" s="21" t="s">
        <v>0</v>
      </c>
      <c r="F2830" s="21"/>
      <c r="G2830" s="147" t="s">
        <v>8957</v>
      </c>
      <c r="H2830" s="23" t="s">
        <v>9353</v>
      </c>
      <c r="I2830" s="23" t="s">
        <v>9354</v>
      </c>
      <c r="J2830" s="21" t="s">
        <v>6822</v>
      </c>
      <c r="K2830" s="21"/>
      <c r="L2830" s="21" t="s">
        <v>10491</v>
      </c>
      <c r="M2830" s="26" t="s">
        <v>10492</v>
      </c>
      <c r="N2830" s="44">
        <v>86652</v>
      </c>
      <c r="O2830" s="22" t="s">
        <v>341</v>
      </c>
      <c r="P2830" s="44">
        <f>12997+25996+25995.6+21663</f>
        <v>86651.6</v>
      </c>
      <c r="Q2830" s="44">
        <f t="shared" si="180"/>
        <v>0.39999999999417923</v>
      </c>
      <c r="R2830" s="116">
        <f>IF(P2830="OK",N2830-Q2830,IF(P2830="en cours",N2830-Q2830,P2830))</f>
        <v>86651.6</v>
      </c>
      <c r="S2830" s="5"/>
      <c r="T2830" s="5"/>
    </row>
    <row r="2831" spans="2:20" ht="15.75" hidden="1" x14ac:dyDescent="0.25">
      <c r="B2831" s="21" t="s">
        <v>395</v>
      </c>
      <c r="C2831" s="22" t="s">
        <v>2450</v>
      </c>
      <c r="D2831" s="22"/>
      <c r="E2831" s="21" t="s">
        <v>10</v>
      </c>
      <c r="F2831" s="21" t="s">
        <v>9721</v>
      </c>
      <c r="G2831" s="147" t="s">
        <v>9258</v>
      </c>
      <c r="H2831" s="23" t="s">
        <v>10032</v>
      </c>
      <c r="I2831" s="23" t="s">
        <v>10033</v>
      </c>
      <c r="J2831" s="21" t="s">
        <v>6557</v>
      </c>
      <c r="K2831" s="21"/>
      <c r="L2831" s="21" t="s">
        <v>10075</v>
      </c>
      <c r="M2831" s="26">
        <v>45468</v>
      </c>
      <c r="N2831" s="44">
        <v>1015.2</v>
      </c>
      <c r="O2831" s="22" t="s">
        <v>15</v>
      </c>
      <c r="P2831" s="44">
        <v>1015.2</v>
      </c>
      <c r="Q2831" s="44">
        <f t="shared" si="180"/>
        <v>0</v>
      </c>
      <c r="R2831" s="24">
        <f t="shared" ref="R2831:R2846" si="181">IF(P2831="OK",N2831-Q2831,IF(P2831="en cours",N2831-Q2831,P2831))</f>
        <v>1015.2</v>
      </c>
      <c r="S2831" s="5"/>
      <c r="T2831" s="5"/>
    </row>
    <row r="2832" spans="2:20" ht="15.75" hidden="1" x14ac:dyDescent="0.25">
      <c r="B2832" s="21" t="s">
        <v>395</v>
      </c>
      <c r="C2832" s="22" t="s">
        <v>2450</v>
      </c>
      <c r="D2832" s="22"/>
      <c r="E2832" s="21" t="s">
        <v>10</v>
      </c>
      <c r="F2832" s="21" t="s">
        <v>9721</v>
      </c>
      <c r="G2832" s="147" t="s">
        <v>9258</v>
      </c>
      <c r="H2832" s="23" t="s">
        <v>10522</v>
      </c>
      <c r="I2832" s="23" t="s">
        <v>10521</v>
      </c>
      <c r="J2832" s="21" t="s">
        <v>8656</v>
      </c>
      <c r="K2832" s="21"/>
      <c r="L2832" s="21" t="s">
        <v>10574</v>
      </c>
      <c r="M2832" s="26">
        <v>45567</v>
      </c>
      <c r="N2832" s="44">
        <v>7692.11</v>
      </c>
      <c r="O2832" s="22" t="s">
        <v>15</v>
      </c>
      <c r="P2832" s="44">
        <v>7692.11</v>
      </c>
      <c r="Q2832" s="44">
        <f t="shared" si="180"/>
        <v>0</v>
      </c>
      <c r="R2832" s="24">
        <f t="shared" si="181"/>
        <v>7692.11</v>
      </c>
      <c r="S2832" s="5"/>
      <c r="T2832" s="5"/>
    </row>
    <row r="2833" spans="1:20" ht="15.75" hidden="1" x14ac:dyDescent="0.25">
      <c r="B2833" s="21" t="s">
        <v>395</v>
      </c>
      <c r="C2833" s="22" t="s">
        <v>158</v>
      </c>
      <c r="D2833" s="22"/>
      <c r="E2833" s="21" t="s">
        <v>10</v>
      </c>
      <c r="F2833" s="21"/>
      <c r="G2833" s="147" t="s">
        <v>7675</v>
      </c>
      <c r="H2833" s="23" t="s">
        <v>7676</v>
      </c>
      <c r="I2833" s="23" t="s">
        <v>8278</v>
      </c>
      <c r="J2833" s="21" t="s">
        <v>7702</v>
      </c>
      <c r="K2833" s="21"/>
      <c r="L2833" s="21" t="s">
        <v>7783</v>
      </c>
      <c r="M2833" s="26" t="s">
        <v>7784</v>
      </c>
      <c r="N2833" s="44">
        <v>2158.5</v>
      </c>
      <c r="O2833" s="22" t="s">
        <v>15</v>
      </c>
      <c r="P2833" s="44">
        <f>1775.5+383</f>
        <v>2158.5</v>
      </c>
      <c r="Q2833" s="44">
        <f t="shared" si="180"/>
        <v>0</v>
      </c>
      <c r="R2833" s="24">
        <f t="shared" si="181"/>
        <v>2158.5</v>
      </c>
      <c r="S2833" s="5"/>
      <c r="T2833" s="5"/>
    </row>
    <row r="2834" spans="1:20" ht="15.75" hidden="1" x14ac:dyDescent="0.25">
      <c r="B2834" s="21" t="s">
        <v>395</v>
      </c>
      <c r="C2834" s="22" t="s">
        <v>2450</v>
      </c>
      <c r="D2834" s="22"/>
      <c r="E2834" s="21" t="s">
        <v>10</v>
      </c>
      <c r="F2834" s="21"/>
      <c r="G2834" s="147" t="s">
        <v>7675</v>
      </c>
      <c r="H2834" s="23" t="s">
        <v>8412</v>
      </c>
      <c r="I2834" s="23" t="s">
        <v>8411</v>
      </c>
      <c r="J2834" s="21" t="s">
        <v>7369</v>
      </c>
      <c r="K2834" s="21"/>
      <c r="L2834" s="21" t="s">
        <v>8436</v>
      </c>
      <c r="M2834" s="23" t="s">
        <v>8437</v>
      </c>
      <c r="N2834" s="44">
        <v>2019.2</v>
      </c>
      <c r="O2834" s="22" t="s">
        <v>15</v>
      </c>
      <c r="P2834" s="44">
        <f>561.38+1457.82</f>
        <v>2019.1999999999998</v>
      </c>
      <c r="Q2834" s="44">
        <f t="shared" si="180"/>
        <v>2.2737367544323206E-13</v>
      </c>
      <c r="R2834" s="116">
        <f t="shared" si="181"/>
        <v>2019.1999999999998</v>
      </c>
      <c r="S2834" s="5"/>
      <c r="T2834" s="5"/>
    </row>
    <row r="2835" spans="1:20" ht="15.75" hidden="1" x14ac:dyDescent="0.25">
      <c r="B2835" s="21" t="s">
        <v>395</v>
      </c>
      <c r="C2835" s="22" t="s">
        <v>158</v>
      </c>
      <c r="D2835" s="22"/>
      <c r="E2835" s="21" t="s">
        <v>10</v>
      </c>
      <c r="F2835" s="21"/>
      <c r="G2835" s="147" t="s">
        <v>7675</v>
      </c>
      <c r="H2835" s="23" t="s">
        <v>8740</v>
      </c>
      <c r="I2835" s="23" t="s">
        <v>8741</v>
      </c>
      <c r="J2835" s="21" t="s">
        <v>8742</v>
      </c>
      <c r="K2835" s="21"/>
      <c r="L2835" s="21" t="s">
        <v>8827</v>
      </c>
      <c r="M2835" s="26">
        <v>45177</v>
      </c>
      <c r="N2835" s="44">
        <v>1916.8</v>
      </c>
      <c r="O2835" s="22" t="s">
        <v>15</v>
      </c>
      <c r="P2835" s="44">
        <f>1916.8</f>
        <v>1916.8</v>
      </c>
      <c r="Q2835" s="44">
        <f t="shared" si="180"/>
        <v>0</v>
      </c>
      <c r="R2835" s="24">
        <f t="shared" si="181"/>
        <v>1916.8</v>
      </c>
      <c r="S2835" s="5"/>
      <c r="T2835" s="5"/>
    </row>
    <row r="2836" spans="1:20" ht="15.75" hidden="1" x14ac:dyDescent="0.25">
      <c r="B2836" s="21" t="s">
        <v>395</v>
      </c>
      <c r="C2836" s="22" t="s">
        <v>2450</v>
      </c>
      <c r="D2836" s="22" t="s">
        <v>1451</v>
      </c>
      <c r="E2836" s="21" t="s">
        <v>10</v>
      </c>
      <c r="F2836" s="21"/>
      <c r="G2836" s="147" t="s">
        <v>9009</v>
      </c>
      <c r="H2836" s="23" t="s">
        <v>9010</v>
      </c>
      <c r="I2836" s="23" t="s">
        <v>9011</v>
      </c>
      <c r="J2836" s="21" t="s">
        <v>9012</v>
      </c>
      <c r="K2836" s="21"/>
      <c r="L2836" s="21" t="s">
        <v>9118</v>
      </c>
      <c r="M2836" s="26">
        <v>45239</v>
      </c>
      <c r="N2836" s="44">
        <v>20320</v>
      </c>
      <c r="O2836" s="22" t="s">
        <v>15</v>
      </c>
      <c r="P2836" s="44">
        <f>20320</f>
        <v>20320</v>
      </c>
      <c r="Q2836" s="44">
        <f t="shared" si="180"/>
        <v>0</v>
      </c>
      <c r="R2836" s="24">
        <f t="shared" si="181"/>
        <v>20320</v>
      </c>
      <c r="S2836" s="5"/>
      <c r="T2836" s="5"/>
    </row>
    <row r="2837" spans="1:20" ht="15.75" hidden="1" x14ac:dyDescent="0.25">
      <c r="B2837" s="21" t="s">
        <v>395</v>
      </c>
      <c r="C2837" s="22" t="s">
        <v>158</v>
      </c>
      <c r="D2837" s="22"/>
      <c r="E2837" s="21" t="s">
        <v>0</v>
      </c>
      <c r="F2837" s="21" t="s">
        <v>9749</v>
      </c>
      <c r="G2837" s="147" t="s">
        <v>9750</v>
      </c>
      <c r="H2837" s="23" t="s">
        <v>9751</v>
      </c>
      <c r="I2837" s="23" t="s">
        <v>9752</v>
      </c>
      <c r="J2837" s="21" t="s">
        <v>9754</v>
      </c>
      <c r="K2837" s="21"/>
      <c r="L2837" s="21" t="s">
        <v>10476</v>
      </c>
      <c r="M2837" s="26" t="s">
        <v>10477</v>
      </c>
      <c r="N2837" s="44">
        <v>30000</v>
      </c>
      <c r="O2837" s="22" t="s">
        <v>276</v>
      </c>
      <c r="P2837" s="44">
        <f>15000+7500+7500</f>
        <v>30000</v>
      </c>
      <c r="Q2837" s="24">
        <f t="shared" si="180"/>
        <v>0</v>
      </c>
      <c r="R2837" s="24">
        <f t="shared" si="181"/>
        <v>30000</v>
      </c>
      <c r="S2837" s="5"/>
      <c r="T2837" s="5"/>
    </row>
    <row r="2838" spans="1:20" ht="15.75" hidden="1" x14ac:dyDescent="0.25">
      <c r="B2838" s="21" t="s">
        <v>395</v>
      </c>
      <c r="C2838" s="22" t="s">
        <v>158</v>
      </c>
      <c r="D2838" s="22"/>
      <c r="E2838" s="21" t="s">
        <v>0</v>
      </c>
      <c r="F2838" s="21" t="s">
        <v>9749</v>
      </c>
      <c r="G2838" s="147" t="s">
        <v>9750</v>
      </c>
      <c r="H2838" s="23" t="s">
        <v>9751</v>
      </c>
      <c r="I2838" s="23" t="s">
        <v>9752</v>
      </c>
      <c r="J2838" s="21" t="s">
        <v>9753</v>
      </c>
      <c r="K2838" s="21"/>
      <c r="L2838" s="21" t="s">
        <v>9909</v>
      </c>
      <c r="M2838" s="26">
        <v>45440</v>
      </c>
      <c r="N2838" s="44">
        <v>90000</v>
      </c>
      <c r="O2838" s="22" t="s">
        <v>276</v>
      </c>
      <c r="P2838" s="44">
        <v>90000</v>
      </c>
      <c r="Q2838" s="24">
        <f t="shared" si="180"/>
        <v>0</v>
      </c>
      <c r="R2838" s="24">
        <f t="shared" si="181"/>
        <v>90000</v>
      </c>
      <c r="S2838" s="5"/>
      <c r="T2838" s="5"/>
    </row>
    <row r="2839" spans="1:20" ht="15.75" hidden="1" x14ac:dyDescent="0.25">
      <c r="B2839" s="21" t="s">
        <v>395</v>
      </c>
      <c r="C2839" s="22" t="s">
        <v>2450</v>
      </c>
      <c r="D2839" s="22"/>
      <c r="E2839" s="21" t="s">
        <v>10</v>
      </c>
      <c r="F2839" s="21"/>
      <c r="G2839" s="147" t="s">
        <v>1363</v>
      </c>
      <c r="H2839" s="23" t="s">
        <v>1853</v>
      </c>
      <c r="I2839" s="23" t="s">
        <v>7886</v>
      </c>
      <c r="J2839" s="21" t="s">
        <v>1364</v>
      </c>
      <c r="K2839" s="13"/>
      <c r="L2839" s="47" t="s">
        <v>1965</v>
      </c>
      <c r="M2839" s="26">
        <v>43700</v>
      </c>
      <c r="N2839" s="44">
        <f>0.5*34900</f>
        <v>17450</v>
      </c>
      <c r="O2839" s="22" t="s">
        <v>15</v>
      </c>
      <c r="P2839" s="22" t="s">
        <v>19</v>
      </c>
      <c r="Q2839" s="24">
        <f t="shared" si="180"/>
        <v>0</v>
      </c>
      <c r="R2839" s="24">
        <f t="shared" si="181"/>
        <v>17450</v>
      </c>
      <c r="S2839" s="5"/>
      <c r="T2839" s="5"/>
    </row>
    <row r="2840" spans="1:20" ht="15.75" hidden="1" x14ac:dyDescent="0.25">
      <c r="B2840" s="21" t="s">
        <v>395</v>
      </c>
      <c r="C2840" s="22" t="s">
        <v>2450</v>
      </c>
      <c r="D2840" s="22"/>
      <c r="E2840" s="21" t="s">
        <v>10</v>
      </c>
      <c r="F2840" s="21"/>
      <c r="G2840" s="147" t="s">
        <v>1363</v>
      </c>
      <c r="H2840" s="23" t="s">
        <v>1853</v>
      </c>
      <c r="I2840" s="23" t="s">
        <v>7886</v>
      </c>
      <c r="J2840" s="21" t="s">
        <v>1365</v>
      </c>
      <c r="K2840" s="13"/>
      <c r="L2840" s="47" t="s">
        <v>2538</v>
      </c>
      <c r="M2840" s="26">
        <v>43791</v>
      </c>
      <c r="N2840" s="44">
        <f>0.5*34900</f>
        <v>17450</v>
      </c>
      <c r="O2840" s="22" t="s">
        <v>15</v>
      </c>
      <c r="P2840" s="22" t="s">
        <v>19</v>
      </c>
      <c r="Q2840" s="24">
        <f t="shared" si="180"/>
        <v>0</v>
      </c>
      <c r="R2840" s="24">
        <f t="shared" si="181"/>
        <v>17450</v>
      </c>
      <c r="S2840" s="5"/>
      <c r="T2840" s="5"/>
    </row>
    <row r="2841" spans="1:20" ht="15.75" hidden="1" x14ac:dyDescent="0.25">
      <c r="A2841" t="s">
        <v>6753</v>
      </c>
      <c r="B2841" s="21" t="s">
        <v>395</v>
      </c>
      <c r="C2841" s="22" t="s">
        <v>1940</v>
      </c>
      <c r="D2841" s="22"/>
      <c r="E2841" s="21" t="s">
        <v>0</v>
      </c>
      <c r="F2841" s="21"/>
      <c r="G2841" s="147" t="s">
        <v>2192</v>
      </c>
      <c r="H2841" s="23" t="s">
        <v>3135</v>
      </c>
      <c r="I2841" s="23" t="s">
        <v>7920</v>
      </c>
      <c r="J2841" s="21" t="s">
        <v>3136</v>
      </c>
      <c r="K2841" s="120"/>
      <c r="L2841" s="21" t="s">
        <v>3195</v>
      </c>
      <c r="M2841" s="26">
        <v>43951</v>
      </c>
      <c r="N2841" s="44">
        <v>556</v>
      </c>
      <c r="O2841" s="22" t="s">
        <v>15</v>
      </c>
      <c r="P2841" s="44" t="s">
        <v>19</v>
      </c>
      <c r="Q2841" s="24">
        <f t="shared" si="180"/>
        <v>0</v>
      </c>
      <c r="R2841" s="24">
        <f t="shared" si="181"/>
        <v>556</v>
      </c>
      <c r="S2841" s="5"/>
      <c r="T2841" s="5"/>
    </row>
    <row r="2842" spans="1:20" ht="12" hidden="1" customHeight="1" x14ac:dyDescent="0.25">
      <c r="A2842" t="s">
        <v>6753</v>
      </c>
      <c r="B2842" s="21" t="s">
        <v>395</v>
      </c>
      <c r="C2842" s="22" t="s">
        <v>1940</v>
      </c>
      <c r="D2842" s="22"/>
      <c r="E2842" s="21" t="s">
        <v>0</v>
      </c>
      <c r="F2842" s="21"/>
      <c r="G2842" s="147" t="s">
        <v>2192</v>
      </c>
      <c r="H2842" s="23" t="s">
        <v>3135</v>
      </c>
      <c r="I2842" s="23" t="s">
        <v>7920</v>
      </c>
      <c r="J2842" s="21" t="s">
        <v>2071</v>
      </c>
      <c r="K2842" s="120"/>
      <c r="L2842" s="21" t="s">
        <v>3195</v>
      </c>
      <c r="M2842" s="26">
        <v>43951</v>
      </c>
      <c r="N2842" s="44">
        <v>1900</v>
      </c>
      <c r="O2842" s="22" t="s">
        <v>15</v>
      </c>
      <c r="P2842" s="44" t="s">
        <v>19</v>
      </c>
      <c r="Q2842" s="24">
        <f t="shared" si="180"/>
        <v>0</v>
      </c>
      <c r="R2842" s="24">
        <f t="shared" si="181"/>
        <v>1900</v>
      </c>
      <c r="S2842" s="5"/>
      <c r="T2842" s="5"/>
    </row>
    <row r="2843" spans="1:20" ht="15.75" hidden="1" x14ac:dyDescent="0.25">
      <c r="A2843" t="s">
        <v>6753</v>
      </c>
      <c r="B2843" s="21" t="s">
        <v>395</v>
      </c>
      <c r="C2843" s="22" t="s">
        <v>1940</v>
      </c>
      <c r="D2843" s="22"/>
      <c r="E2843" s="21" t="s">
        <v>0</v>
      </c>
      <c r="F2843" s="21"/>
      <c r="G2843" s="147" t="s">
        <v>2192</v>
      </c>
      <c r="H2843" s="23" t="s">
        <v>3135</v>
      </c>
      <c r="I2843" s="23" t="s">
        <v>7920</v>
      </c>
      <c r="J2843" s="21" t="s">
        <v>3137</v>
      </c>
      <c r="K2843" s="120"/>
      <c r="L2843" s="21" t="s">
        <v>3195</v>
      </c>
      <c r="M2843" s="26">
        <v>43951</v>
      </c>
      <c r="N2843" s="44">
        <v>54.72</v>
      </c>
      <c r="O2843" s="22" t="s">
        <v>15</v>
      </c>
      <c r="P2843" s="44" t="s">
        <v>19</v>
      </c>
      <c r="Q2843" s="24">
        <f t="shared" si="180"/>
        <v>0</v>
      </c>
      <c r="R2843" s="24">
        <f t="shared" si="181"/>
        <v>54.72</v>
      </c>
      <c r="S2843" s="5"/>
      <c r="T2843" s="5"/>
    </row>
    <row r="2844" spans="1:20" ht="15.75" hidden="1" x14ac:dyDescent="0.25">
      <c r="A2844" t="s">
        <v>6753</v>
      </c>
      <c r="B2844" s="21" t="s">
        <v>395</v>
      </c>
      <c r="C2844" s="22" t="s">
        <v>1940</v>
      </c>
      <c r="D2844" s="22"/>
      <c r="E2844" s="21" t="s">
        <v>0</v>
      </c>
      <c r="F2844" s="21"/>
      <c r="G2844" s="147" t="s">
        <v>2192</v>
      </c>
      <c r="H2844" s="23" t="s">
        <v>3135</v>
      </c>
      <c r="I2844" s="23" t="s">
        <v>7920</v>
      </c>
      <c r="J2844" s="21" t="s">
        <v>3138</v>
      </c>
      <c r="K2844" s="120"/>
      <c r="L2844" s="21" t="s">
        <v>3338</v>
      </c>
      <c r="M2844" s="26">
        <v>43980</v>
      </c>
      <c r="N2844" s="44">
        <f>345+368+1538+255</f>
        <v>2506</v>
      </c>
      <c r="O2844" s="22" t="s">
        <v>15</v>
      </c>
      <c r="P2844" s="44" t="s">
        <v>19</v>
      </c>
      <c r="Q2844" s="24">
        <f t="shared" si="180"/>
        <v>0</v>
      </c>
      <c r="R2844" s="24">
        <f t="shared" si="181"/>
        <v>2506</v>
      </c>
      <c r="S2844" s="5"/>
      <c r="T2844" s="5"/>
    </row>
    <row r="2845" spans="1:20" ht="15.75" hidden="1" x14ac:dyDescent="0.25">
      <c r="A2845" t="s">
        <v>6753</v>
      </c>
      <c r="B2845" s="21" t="s">
        <v>395</v>
      </c>
      <c r="C2845" s="22" t="s">
        <v>1940</v>
      </c>
      <c r="D2845" s="22"/>
      <c r="E2845" s="21" t="s">
        <v>0</v>
      </c>
      <c r="F2845" s="21"/>
      <c r="G2845" s="147" t="s">
        <v>2192</v>
      </c>
      <c r="H2845" s="23" t="s">
        <v>3135</v>
      </c>
      <c r="I2845" s="23" t="s">
        <v>7920</v>
      </c>
      <c r="J2845" s="21" t="s">
        <v>3139</v>
      </c>
      <c r="K2845" s="120"/>
      <c r="L2845" s="21" t="s">
        <v>3338</v>
      </c>
      <c r="M2845" s="26">
        <v>43980</v>
      </c>
      <c r="N2845" s="44">
        <v>4960</v>
      </c>
      <c r="O2845" s="22" t="s">
        <v>15</v>
      </c>
      <c r="P2845" s="44" t="s">
        <v>19</v>
      </c>
      <c r="Q2845" s="24">
        <f t="shared" si="180"/>
        <v>0</v>
      </c>
      <c r="R2845" s="24">
        <f t="shared" si="181"/>
        <v>4960</v>
      </c>
      <c r="S2845" s="5"/>
      <c r="T2845" s="5"/>
    </row>
    <row r="2846" spans="1:20" ht="15.75" hidden="1" x14ac:dyDescent="0.25">
      <c r="A2846" t="s">
        <v>6753</v>
      </c>
      <c r="B2846" s="21" t="s">
        <v>395</v>
      </c>
      <c r="C2846" s="22" t="s">
        <v>1940</v>
      </c>
      <c r="D2846" s="22"/>
      <c r="E2846" s="21" t="s">
        <v>0</v>
      </c>
      <c r="F2846" s="21"/>
      <c r="G2846" s="147" t="s">
        <v>2192</v>
      </c>
      <c r="H2846" s="23" t="s">
        <v>4039</v>
      </c>
      <c r="I2846" s="23" t="s">
        <v>7985</v>
      </c>
      <c r="J2846" s="21" t="s">
        <v>4040</v>
      </c>
      <c r="K2846" s="120"/>
      <c r="L2846" s="21" t="s">
        <v>4041</v>
      </c>
      <c r="M2846" s="26">
        <v>44134</v>
      </c>
      <c r="N2846" s="44">
        <v>2081.48</v>
      </c>
      <c r="O2846" s="22" t="s">
        <v>15</v>
      </c>
      <c r="P2846" s="44" t="s">
        <v>19</v>
      </c>
      <c r="Q2846" s="24">
        <f t="shared" si="180"/>
        <v>0</v>
      </c>
      <c r="R2846" s="24">
        <f t="shared" si="181"/>
        <v>2081.48</v>
      </c>
      <c r="S2846" s="5"/>
      <c r="T2846" s="5"/>
    </row>
    <row r="2847" spans="1:20" ht="15.75" hidden="1" x14ac:dyDescent="0.25">
      <c r="A2847" t="s">
        <v>6753</v>
      </c>
      <c r="B2847" s="21" t="s">
        <v>395</v>
      </c>
      <c r="C2847" s="22" t="s">
        <v>1940</v>
      </c>
      <c r="D2847" s="22"/>
      <c r="E2847" s="21" t="s">
        <v>0</v>
      </c>
      <c r="F2847" s="21"/>
      <c r="G2847" s="147" t="s">
        <v>2192</v>
      </c>
      <c r="H2847" s="23" t="s">
        <v>1542</v>
      </c>
      <c r="I2847" s="23" t="s">
        <v>7853</v>
      </c>
      <c r="J2847" s="21" t="s">
        <v>1543</v>
      </c>
      <c r="K2847" s="120"/>
      <c r="L2847" s="21" t="s">
        <v>1960</v>
      </c>
      <c r="M2847" s="120" t="s">
        <v>1961</v>
      </c>
      <c r="N2847" s="44">
        <v>13080.92</v>
      </c>
      <c r="O2847" s="22" t="s">
        <v>15</v>
      </c>
      <c r="P2847" s="44">
        <f>(12547.55-(758+94+(35*4)))+(2736.05+3049.2)</f>
        <v>17340.8</v>
      </c>
      <c r="Q2847" s="24">
        <v>0</v>
      </c>
      <c r="R2847" s="24">
        <f>IF(P2847="OK",N2847-Q2847,IF(P2847="en cours",M2847-Q2847,P2847))</f>
        <v>17340.8</v>
      </c>
      <c r="S2847" s="5"/>
      <c r="T2847" s="5"/>
    </row>
    <row r="2848" spans="1:20" ht="15.75" hidden="1" x14ac:dyDescent="0.25">
      <c r="A2848" t="s">
        <v>6753</v>
      </c>
      <c r="B2848" s="21" t="s">
        <v>395</v>
      </c>
      <c r="C2848" s="22" t="s">
        <v>1940</v>
      </c>
      <c r="D2848" s="22"/>
      <c r="E2848" s="21" t="s">
        <v>0</v>
      </c>
      <c r="F2848" s="21"/>
      <c r="G2848" s="147" t="s">
        <v>2192</v>
      </c>
      <c r="H2848" s="23" t="s">
        <v>1542</v>
      </c>
      <c r="I2848" s="23" t="s">
        <v>7853</v>
      </c>
      <c r="J2848" s="21" t="s">
        <v>1544</v>
      </c>
      <c r="K2848" s="120"/>
      <c r="L2848" s="21" t="s">
        <v>1958</v>
      </c>
      <c r="M2848" s="26">
        <v>43646</v>
      </c>
      <c r="N2848" s="44">
        <v>35</v>
      </c>
      <c r="O2848" s="22" t="s">
        <v>15</v>
      </c>
      <c r="P2848" s="44" t="s">
        <v>19</v>
      </c>
      <c r="Q2848" s="24">
        <f t="shared" ref="Q2848:Q2911" si="182">IF(P2848="en cours",N2848,IF(P2848="OK",0,IF(N2848-P2848&lt;0,0,N2848-P2848)))</f>
        <v>0</v>
      </c>
      <c r="R2848" s="24">
        <f>IF(P2848="OK",N2848-Q2848,IF(P2848="en cours",M2848-Q2848,P2848))</f>
        <v>35</v>
      </c>
      <c r="S2848" s="5"/>
      <c r="T2848" s="5"/>
    </row>
    <row r="2849" spans="1:20" ht="15.75" hidden="1" x14ac:dyDescent="0.25">
      <c r="A2849" t="s">
        <v>6753</v>
      </c>
      <c r="B2849" s="21" t="s">
        <v>395</v>
      </c>
      <c r="C2849" s="22" t="s">
        <v>1940</v>
      </c>
      <c r="D2849" s="22"/>
      <c r="E2849" s="21" t="s">
        <v>0</v>
      </c>
      <c r="F2849" s="21"/>
      <c r="G2849" s="147" t="s">
        <v>2192</v>
      </c>
      <c r="H2849" s="23" t="s">
        <v>1542</v>
      </c>
      <c r="I2849" s="23" t="s">
        <v>7853</v>
      </c>
      <c r="J2849" s="21" t="s">
        <v>1544</v>
      </c>
      <c r="K2849" s="120"/>
      <c r="L2849" s="21" t="s">
        <v>1959</v>
      </c>
      <c r="M2849" s="26">
        <v>43707</v>
      </c>
      <c r="N2849" s="44">
        <v>35</v>
      </c>
      <c r="O2849" s="22" t="s">
        <v>15</v>
      </c>
      <c r="P2849" s="44" t="s">
        <v>19</v>
      </c>
      <c r="Q2849" s="24">
        <f t="shared" si="182"/>
        <v>0</v>
      </c>
      <c r="R2849" s="24">
        <f t="shared" ref="R2849:R2859" si="183">IF(P2849="OK",M2849-Q2849,IF(P2849="en cours",M2849-Q2849,P2849))</f>
        <v>43707</v>
      </c>
      <c r="S2849" s="5"/>
      <c r="T2849" s="5"/>
    </row>
    <row r="2850" spans="1:20" ht="12" hidden="1" customHeight="1" x14ac:dyDescent="0.25">
      <c r="A2850" t="s">
        <v>6753</v>
      </c>
      <c r="B2850" s="21" t="s">
        <v>395</v>
      </c>
      <c r="C2850" s="22" t="s">
        <v>1940</v>
      </c>
      <c r="D2850" s="22"/>
      <c r="E2850" s="21" t="s">
        <v>0</v>
      </c>
      <c r="F2850" s="21"/>
      <c r="G2850" s="147" t="s">
        <v>2192</v>
      </c>
      <c r="H2850" s="23" t="s">
        <v>1542</v>
      </c>
      <c r="I2850" s="23" t="s">
        <v>7853</v>
      </c>
      <c r="J2850" s="21" t="s">
        <v>1544</v>
      </c>
      <c r="K2850" s="120"/>
      <c r="L2850" s="21" t="s">
        <v>1959</v>
      </c>
      <c r="M2850" s="26">
        <v>43707</v>
      </c>
      <c r="N2850" s="44">
        <v>35</v>
      </c>
      <c r="O2850" s="22" t="s">
        <v>15</v>
      </c>
      <c r="P2850" s="44" t="s">
        <v>19</v>
      </c>
      <c r="Q2850" s="24">
        <f t="shared" si="182"/>
        <v>0</v>
      </c>
      <c r="R2850" s="24">
        <f t="shared" si="183"/>
        <v>43707</v>
      </c>
      <c r="S2850" s="5"/>
      <c r="T2850" s="5"/>
    </row>
    <row r="2851" spans="1:20" ht="15.75" hidden="1" x14ac:dyDescent="0.25">
      <c r="A2851" t="s">
        <v>6753</v>
      </c>
      <c r="B2851" s="21" t="s">
        <v>395</v>
      </c>
      <c r="C2851" s="22" t="s">
        <v>1940</v>
      </c>
      <c r="D2851" s="22"/>
      <c r="E2851" s="21" t="s">
        <v>0</v>
      </c>
      <c r="F2851" s="21"/>
      <c r="G2851" s="147" t="s">
        <v>2192</v>
      </c>
      <c r="H2851" s="23" t="s">
        <v>1542</v>
      </c>
      <c r="I2851" s="23" t="s">
        <v>7853</v>
      </c>
      <c r="J2851" s="21" t="s">
        <v>1544</v>
      </c>
      <c r="K2851" s="120"/>
      <c r="L2851" s="21" t="s">
        <v>1959</v>
      </c>
      <c r="M2851" s="26">
        <v>43707</v>
      </c>
      <c r="N2851" s="44">
        <v>35</v>
      </c>
      <c r="O2851" s="22" t="s">
        <v>15</v>
      </c>
      <c r="P2851" s="44" t="s">
        <v>19</v>
      </c>
      <c r="Q2851" s="24">
        <f t="shared" si="182"/>
        <v>0</v>
      </c>
      <c r="R2851" s="24">
        <f t="shared" si="183"/>
        <v>43707</v>
      </c>
      <c r="S2851" s="5"/>
      <c r="T2851" s="5"/>
    </row>
    <row r="2852" spans="1:20" ht="15.75" hidden="1" x14ac:dyDescent="0.25">
      <c r="A2852" t="s">
        <v>6753</v>
      </c>
      <c r="B2852" s="21" t="s">
        <v>395</v>
      </c>
      <c r="C2852" s="22" t="s">
        <v>1940</v>
      </c>
      <c r="D2852" s="22"/>
      <c r="E2852" s="21" t="s">
        <v>0</v>
      </c>
      <c r="F2852" s="21"/>
      <c r="G2852" s="147" t="s">
        <v>2192</v>
      </c>
      <c r="H2852" s="23" t="s">
        <v>1542</v>
      </c>
      <c r="I2852" s="23" t="s">
        <v>7853</v>
      </c>
      <c r="J2852" s="21" t="s">
        <v>1544</v>
      </c>
      <c r="K2852" s="120"/>
      <c r="L2852" s="21" t="s">
        <v>1959</v>
      </c>
      <c r="M2852" s="26">
        <v>43707</v>
      </c>
      <c r="N2852" s="44">
        <v>35</v>
      </c>
      <c r="O2852" s="22" t="s">
        <v>15</v>
      </c>
      <c r="P2852" s="44" t="s">
        <v>19</v>
      </c>
      <c r="Q2852" s="24">
        <f t="shared" si="182"/>
        <v>0</v>
      </c>
      <c r="R2852" s="24">
        <f t="shared" si="183"/>
        <v>43707</v>
      </c>
      <c r="S2852" s="5"/>
      <c r="T2852" s="5"/>
    </row>
    <row r="2853" spans="1:20" ht="15.75" hidden="1" x14ac:dyDescent="0.25">
      <c r="A2853" t="s">
        <v>6753</v>
      </c>
      <c r="B2853" s="21" t="s">
        <v>395</v>
      </c>
      <c r="C2853" s="22" t="s">
        <v>1940</v>
      </c>
      <c r="D2853" s="22"/>
      <c r="E2853" s="21" t="s">
        <v>0</v>
      </c>
      <c r="F2853" s="21"/>
      <c r="G2853" s="147" t="s">
        <v>2192</v>
      </c>
      <c r="H2853" s="23" t="s">
        <v>1542</v>
      </c>
      <c r="I2853" s="23" t="s">
        <v>7853</v>
      </c>
      <c r="J2853" s="21" t="s">
        <v>1544</v>
      </c>
      <c r="K2853" s="120"/>
      <c r="L2853" s="21" t="s">
        <v>2191</v>
      </c>
      <c r="M2853" s="26">
        <v>43738</v>
      </c>
      <c r="N2853" s="44">
        <v>35</v>
      </c>
      <c r="O2853" s="22" t="s">
        <v>15</v>
      </c>
      <c r="P2853" s="44" t="s">
        <v>19</v>
      </c>
      <c r="Q2853" s="24">
        <f t="shared" si="182"/>
        <v>0</v>
      </c>
      <c r="R2853" s="24">
        <f t="shared" si="183"/>
        <v>43738</v>
      </c>
      <c r="S2853" s="5"/>
      <c r="T2853" s="5"/>
    </row>
    <row r="2854" spans="1:20" ht="15.75" hidden="1" x14ac:dyDescent="0.25">
      <c r="A2854" t="s">
        <v>6753</v>
      </c>
      <c r="B2854" s="21" t="s">
        <v>395</v>
      </c>
      <c r="C2854" s="22" t="s">
        <v>1940</v>
      </c>
      <c r="D2854" s="22"/>
      <c r="E2854" s="21" t="s">
        <v>0</v>
      </c>
      <c r="F2854" s="21"/>
      <c r="G2854" s="147" t="s">
        <v>2192</v>
      </c>
      <c r="H2854" s="23" t="s">
        <v>1542</v>
      </c>
      <c r="I2854" s="23" t="s">
        <v>7853</v>
      </c>
      <c r="J2854" s="21" t="s">
        <v>1544</v>
      </c>
      <c r="K2854" s="120"/>
      <c r="L2854" s="21" t="s">
        <v>2191</v>
      </c>
      <c r="M2854" s="26">
        <v>43738</v>
      </c>
      <c r="N2854" s="44">
        <v>35</v>
      </c>
      <c r="O2854" s="22" t="s">
        <v>15</v>
      </c>
      <c r="P2854" s="44" t="s">
        <v>19</v>
      </c>
      <c r="Q2854" s="24">
        <f t="shared" si="182"/>
        <v>0</v>
      </c>
      <c r="R2854" s="24">
        <f t="shared" si="183"/>
        <v>43738</v>
      </c>
      <c r="S2854" s="5"/>
      <c r="T2854" s="5"/>
    </row>
    <row r="2855" spans="1:20" ht="15.75" hidden="1" x14ac:dyDescent="0.25">
      <c r="A2855" t="s">
        <v>6753</v>
      </c>
      <c r="B2855" s="21" t="s">
        <v>395</v>
      </c>
      <c r="C2855" s="22" t="s">
        <v>1940</v>
      </c>
      <c r="D2855" s="22"/>
      <c r="E2855" s="21" t="s">
        <v>0</v>
      </c>
      <c r="F2855" s="21"/>
      <c r="G2855" s="147" t="s">
        <v>2192</v>
      </c>
      <c r="H2855" s="23" t="s">
        <v>1542</v>
      </c>
      <c r="I2855" s="23" t="s">
        <v>7853</v>
      </c>
      <c r="J2855" s="21" t="s">
        <v>1544</v>
      </c>
      <c r="K2855" s="120"/>
      <c r="L2855" s="21" t="s">
        <v>2544</v>
      </c>
      <c r="M2855" s="26">
        <v>43769</v>
      </c>
      <c r="N2855" s="44">
        <v>35</v>
      </c>
      <c r="O2855" s="22" t="s">
        <v>15</v>
      </c>
      <c r="P2855" s="44" t="s">
        <v>19</v>
      </c>
      <c r="Q2855" s="24">
        <f t="shared" si="182"/>
        <v>0</v>
      </c>
      <c r="R2855" s="24">
        <f t="shared" si="183"/>
        <v>43769</v>
      </c>
      <c r="S2855" s="5"/>
      <c r="T2855" s="5"/>
    </row>
    <row r="2856" spans="1:20" ht="15.75" hidden="1" x14ac:dyDescent="0.25">
      <c r="A2856" t="s">
        <v>6753</v>
      </c>
      <c r="B2856" s="21" t="s">
        <v>395</v>
      </c>
      <c r="C2856" s="22" t="s">
        <v>1940</v>
      </c>
      <c r="D2856" s="22"/>
      <c r="E2856" s="21" t="s">
        <v>0</v>
      </c>
      <c r="F2856" s="21"/>
      <c r="G2856" s="147" t="s">
        <v>2192</v>
      </c>
      <c r="H2856" s="23" t="s">
        <v>1542</v>
      </c>
      <c r="I2856" s="23" t="s">
        <v>7853</v>
      </c>
      <c r="J2856" s="21" t="s">
        <v>1544</v>
      </c>
      <c r="K2856" s="120"/>
      <c r="L2856" s="21" t="s">
        <v>2655</v>
      </c>
      <c r="M2856" s="26">
        <v>43799</v>
      </c>
      <c r="N2856" s="44">
        <v>35</v>
      </c>
      <c r="O2856" s="22" t="s">
        <v>15</v>
      </c>
      <c r="P2856" s="44" t="s">
        <v>19</v>
      </c>
      <c r="Q2856" s="24">
        <f t="shared" si="182"/>
        <v>0</v>
      </c>
      <c r="R2856" s="24">
        <f t="shared" si="183"/>
        <v>43799</v>
      </c>
      <c r="S2856" s="5"/>
      <c r="T2856" s="5"/>
    </row>
    <row r="2857" spans="1:20" ht="15.75" hidden="1" x14ac:dyDescent="0.25">
      <c r="A2857" t="s">
        <v>6753</v>
      </c>
      <c r="B2857" s="21" t="s">
        <v>395</v>
      </c>
      <c r="C2857" s="22" t="s">
        <v>1940</v>
      </c>
      <c r="D2857" s="22"/>
      <c r="E2857" s="21" t="s">
        <v>0</v>
      </c>
      <c r="F2857" s="21"/>
      <c r="G2857" s="147" t="s">
        <v>2192</v>
      </c>
      <c r="H2857" s="23" t="s">
        <v>1542</v>
      </c>
      <c r="I2857" s="23" t="s">
        <v>7853</v>
      </c>
      <c r="J2857" s="21" t="s">
        <v>1544</v>
      </c>
      <c r="K2857" s="120"/>
      <c r="L2857" s="21" t="s">
        <v>2655</v>
      </c>
      <c r="M2857" s="26">
        <v>43799</v>
      </c>
      <c r="N2857" s="44">
        <v>35</v>
      </c>
      <c r="O2857" s="22" t="s">
        <v>15</v>
      </c>
      <c r="P2857" s="44" t="s">
        <v>19</v>
      </c>
      <c r="Q2857" s="24">
        <f t="shared" si="182"/>
        <v>0</v>
      </c>
      <c r="R2857" s="24">
        <f t="shared" si="183"/>
        <v>43799</v>
      </c>
      <c r="S2857" s="5"/>
      <c r="T2857" s="5"/>
    </row>
    <row r="2858" spans="1:20" ht="15.75" hidden="1" x14ac:dyDescent="0.25">
      <c r="A2858" t="s">
        <v>6753</v>
      </c>
      <c r="B2858" s="21" t="s">
        <v>395</v>
      </c>
      <c r="C2858" s="22" t="s">
        <v>1940</v>
      </c>
      <c r="D2858" s="22"/>
      <c r="E2858" s="21" t="s">
        <v>0</v>
      </c>
      <c r="F2858" s="21"/>
      <c r="G2858" s="147" t="s">
        <v>2192</v>
      </c>
      <c r="H2858" s="23" t="s">
        <v>1542</v>
      </c>
      <c r="I2858" s="23" t="s">
        <v>7853</v>
      </c>
      <c r="J2858" s="21" t="s">
        <v>1544</v>
      </c>
      <c r="K2858" s="120"/>
      <c r="L2858" s="21" t="s">
        <v>2748</v>
      </c>
      <c r="M2858" s="26">
        <v>43830</v>
      </c>
      <c r="N2858" s="44">
        <v>35</v>
      </c>
      <c r="O2858" s="22" t="s">
        <v>15</v>
      </c>
      <c r="P2858" s="44" t="s">
        <v>19</v>
      </c>
      <c r="Q2858" s="24">
        <f t="shared" si="182"/>
        <v>0</v>
      </c>
      <c r="R2858" s="24">
        <f t="shared" si="183"/>
        <v>43830</v>
      </c>
      <c r="S2858" s="5"/>
      <c r="T2858" s="5"/>
    </row>
    <row r="2859" spans="1:20" ht="15.75" hidden="1" x14ac:dyDescent="0.25">
      <c r="A2859" t="s">
        <v>6753</v>
      </c>
      <c r="B2859" s="21" t="s">
        <v>395</v>
      </c>
      <c r="C2859" s="22" t="s">
        <v>1940</v>
      </c>
      <c r="D2859" s="22"/>
      <c r="E2859" s="21" t="s">
        <v>0</v>
      </c>
      <c r="F2859" s="21"/>
      <c r="G2859" s="147" t="s">
        <v>2192</v>
      </c>
      <c r="H2859" s="23" t="s">
        <v>1542</v>
      </c>
      <c r="I2859" s="23" t="s">
        <v>7853</v>
      </c>
      <c r="J2859" s="21" t="s">
        <v>1544</v>
      </c>
      <c r="K2859" s="120"/>
      <c r="L2859" s="21" t="s">
        <v>2748</v>
      </c>
      <c r="M2859" s="26">
        <v>43830</v>
      </c>
      <c r="N2859" s="44">
        <v>35</v>
      </c>
      <c r="O2859" s="22" t="s">
        <v>15</v>
      </c>
      <c r="P2859" s="44" t="s">
        <v>19</v>
      </c>
      <c r="Q2859" s="24">
        <f t="shared" si="182"/>
        <v>0</v>
      </c>
      <c r="R2859" s="24">
        <f t="shared" si="183"/>
        <v>43830</v>
      </c>
      <c r="S2859" s="5"/>
      <c r="T2859" s="5"/>
    </row>
    <row r="2860" spans="1:20" ht="15.75" hidden="1" x14ac:dyDescent="0.25">
      <c r="A2860" t="s">
        <v>6753</v>
      </c>
      <c r="B2860" s="21" t="s">
        <v>395</v>
      </c>
      <c r="C2860" s="22" t="s">
        <v>1940</v>
      </c>
      <c r="D2860" s="22"/>
      <c r="E2860" s="21" t="s">
        <v>0</v>
      </c>
      <c r="F2860" s="21"/>
      <c r="G2860" s="147" t="s">
        <v>2192</v>
      </c>
      <c r="H2860" s="23" t="s">
        <v>1542</v>
      </c>
      <c r="I2860" s="23" t="s">
        <v>7853</v>
      </c>
      <c r="J2860" s="21" t="s">
        <v>1546</v>
      </c>
      <c r="K2860" s="120"/>
      <c r="L2860" s="21" t="s">
        <v>1958</v>
      </c>
      <c r="M2860" s="26">
        <v>43646</v>
      </c>
      <c r="N2860" s="44">
        <v>758</v>
      </c>
      <c r="O2860" s="22" t="s">
        <v>15</v>
      </c>
      <c r="P2860" s="44" t="s">
        <v>19</v>
      </c>
      <c r="Q2860" s="24">
        <f t="shared" si="182"/>
        <v>0</v>
      </c>
      <c r="R2860" s="24">
        <f>IF(P2860="OK",N2860-Q2860,IF(P2860="en cours",M2860-Q2860,P2860))</f>
        <v>758</v>
      </c>
      <c r="S2860" s="5"/>
      <c r="T2860" s="5"/>
    </row>
    <row r="2861" spans="1:20" ht="12" hidden="1" customHeight="1" x14ac:dyDescent="0.25">
      <c r="A2861" t="s">
        <v>6753</v>
      </c>
      <c r="B2861" s="21" t="s">
        <v>395</v>
      </c>
      <c r="C2861" s="22" t="s">
        <v>1940</v>
      </c>
      <c r="D2861" s="22"/>
      <c r="E2861" s="21" t="s">
        <v>0</v>
      </c>
      <c r="F2861" s="21"/>
      <c r="G2861" s="147" t="s">
        <v>2192</v>
      </c>
      <c r="H2861" s="23" t="s">
        <v>1542</v>
      </c>
      <c r="I2861" s="23" t="s">
        <v>7853</v>
      </c>
      <c r="J2861" s="21" t="s">
        <v>1545</v>
      </c>
      <c r="K2861" s="120"/>
      <c r="L2861" s="21" t="s">
        <v>1958</v>
      </c>
      <c r="M2861" s="26">
        <v>43646</v>
      </c>
      <c r="N2861" s="44">
        <v>94</v>
      </c>
      <c r="O2861" s="22" t="s">
        <v>15</v>
      </c>
      <c r="P2861" s="44" t="s">
        <v>19</v>
      </c>
      <c r="Q2861" s="24">
        <f t="shared" si="182"/>
        <v>0</v>
      </c>
      <c r="R2861" s="24">
        <f>IF(P2861="OK",N2861-Q2861,IF(P2861="en cours",M2861-Q2861,P2861))</f>
        <v>94</v>
      </c>
      <c r="S2861" s="5"/>
      <c r="T2861" s="5"/>
    </row>
    <row r="2862" spans="1:20" ht="15.75" hidden="1" x14ac:dyDescent="0.25">
      <c r="A2862" t="s">
        <v>6753</v>
      </c>
      <c r="B2862" s="21" t="s">
        <v>395</v>
      </c>
      <c r="C2862" s="22" t="s">
        <v>1940</v>
      </c>
      <c r="D2862" s="22"/>
      <c r="E2862" s="21" t="s">
        <v>0</v>
      </c>
      <c r="F2862" s="21"/>
      <c r="G2862" s="147" t="s">
        <v>2192</v>
      </c>
      <c r="H2862" s="23" t="s">
        <v>1542</v>
      </c>
      <c r="I2862" s="23" t="s">
        <v>7853</v>
      </c>
      <c r="J2862" s="21" t="s">
        <v>1545</v>
      </c>
      <c r="K2862" s="120"/>
      <c r="L2862" s="21" t="s">
        <v>1959</v>
      </c>
      <c r="M2862" s="26">
        <v>43707</v>
      </c>
      <c r="N2862" s="44">
        <v>94</v>
      </c>
      <c r="O2862" s="22" t="s">
        <v>15</v>
      </c>
      <c r="P2862" s="44" t="s">
        <v>19</v>
      </c>
      <c r="Q2862" s="24">
        <f t="shared" si="182"/>
        <v>0</v>
      </c>
      <c r="R2862" s="24">
        <f t="shared" ref="R2862:R2874" si="184">IF(P2862="OK",M2862-Q2862,IF(P2862="en cours",M2862-Q2862,P2862))</f>
        <v>43707</v>
      </c>
      <c r="S2862" s="5"/>
      <c r="T2862" s="5"/>
    </row>
    <row r="2863" spans="1:20" ht="15.75" hidden="1" x14ac:dyDescent="0.25">
      <c r="A2863" t="s">
        <v>6753</v>
      </c>
      <c r="B2863" s="21" t="s">
        <v>395</v>
      </c>
      <c r="C2863" s="22" t="s">
        <v>1940</v>
      </c>
      <c r="D2863" s="22"/>
      <c r="E2863" s="21" t="s">
        <v>0</v>
      </c>
      <c r="F2863" s="21"/>
      <c r="G2863" s="147" t="s">
        <v>2192</v>
      </c>
      <c r="H2863" s="23" t="s">
        <v>1542</v>
      </c>
      <c r="I2863" s="23" t="s">
        <v>7853</v>
      </c>
      <c r="J2863" s="21" t="s">
        <v>1545</v>
      </c>
      <c r="K2863" s="120"/>
      <c r="L2863" s="21" t="s">
        <v>1959</v>
      </c>
      <c r="M2863" s="26">
        <v>43707</v>
      </c>
      <c r="N2863" s="44">
        <v>94</v>
      </c>
      <c r="O2863" s="22" t="s">
        <v>15</v>
      </c>
      <c r="P2863" s="44" t="s">
        <v>19</v>
      </c>
      <c r="Q2863" s="24">
        <f t="shared" si="182"/>
        <v>0</v>
      </c>
      <c r="R2863" s="24">
        <f t="shared" si="184"/>
        <v>43707</v>
      </c>
      <c r="S2863" s="5"/>
      <c r="T2863" s="5"/>
    </row>
    <row r="2864" spans="1:20" ht="15.75" hidden="1" x14ac:dyDescent="0.25">
      <c r="A2864" t="s">
        <v>6753</v>
      </c>
      <c r="B2864" s="21" t="s">
        <v>395</v>
      </c>
      <c r="C2864" s="22" t="s">
        <v>1940</v>
      </c>
      <c r="D2864" s="22"/>
      <c r="E2864" s="21" t="s">
        <v>0</v>
      </c>
      <c r="F2864" s="21"/>
      <c r="G2864" s="147" t="s">
        <v>2192</v>
      </c>
      <c r="H2864" s="23" t="s">
        <v>1542</v>
      </c>
      <c r="I2864" s="23" t="s">
        <v>7853</v>
      </c>
      <c r="J2864" s="21" t="s">
        <v>1545</v>
      </c>
      <c r="K2864" s="120"/>
      <c r="L2864" s="21" t="s">
        <v>2191</v>
      </c>
      <c r="M2864" s="26">
        <v>43738</v>
      </c>
      <c r="N2864" s="44">
        <v>94</v>
      </c>
      <c r="O2864" s="22" t="s">
        <v>15</v>
      </c>
      <c r="P2864" s="44" t="s">
        <v>19</v>
      </c>
      <c r="Q2864" s="24">
        <f t="shared" si="182"/>
        <v>0</v>
      </c>
      <c r="R2864" s="24">
        <f t="shared" si="184"/>
        <v>43738</v>
      </c>
      <c r="S2864" s="5"/>
      <c r="T2864" s="5"/>
    </row>
    <row r="2865" spans="1:20" ht="15.75" hidden="1" x14ac:dyDescent="0.25">
      <c r="A2865" t="s">
        <v>6753</v>
      </c>
      <c r="B2865" s="21" t="s">
        <v>395</v>
      </c>
      <c r="C2865" s="22" t="s">
        <v>1940</v>
      </c>
      <c r="D2865" s="22"/>
      <c r="E2865" s="21" t="s">
        <v>0</v>
      </c>
      <c r="F2865" s="21"/>
      <c r="G2865" s="147" t="s">
        <v>2192</v>
      </c>
      <c r="H2865" s="23" t="s">
        <v>1542</v>
      </c>
      <c r="I2865" s="23" t="s">
        <v>7853</v>
      </c>
      <c r="J2865" s="21" t="s">
        <v>1545</v>
      </c>
      <c r="K2865" s="120"/>
      <c r="L2865" s="21" t="s">
        <v>2544</v>
      </c>
      <c r="M2865" s="26">
        <v>43769</v>
      </c>
      <c r="N2865" s="44">
        <v>94</v>
      </c>
      <c r="O2865" s="22" t="s">
        <v>15</v>
      </c>
      <c r="P2865" s="44" t="s">
        <v>19</v>
      </c>
      <c r="Q2865" s="24">
        <f t="shared" si="182"/>
        <v>0</v>
      </c>
      <c r="R2865" s="24">
        <f t="shared" si="184"/>
        <v>43769</v>
      </c>
      <c r="S2865" s="5"/>
      <c r="T2865" s="5"/>
    </row>
    <row r="2866" spans="1:20" ht="15.75" hidden="1" x14ac:dyDescent="0.25">
      <c r="A2866" t="s">
        <v>6753</v>
      </c>
      <c r="B2866" s="21" t="s">
        <v>395</v>
      </c>
      <c r="C2866" s="22" t="s">
        <v>1940</v>
      </c>
      <c r="D2866" s="22"/>
      <c r="E2866" s="21" t="s">
        <v>0</v>
      </c>
      <c r="F2866" s="21"/>
      <c r="G2866" s="147" t="s">
        <v>2192</v>
      </c>
      <c r="H2866" s="23" t="s">
        <v>1542</v>
      </c>
      <c r="I2866" s="23" t="s">
        <v>7853</v>
      </c>
      <c r="J2866" s="21" t="s">
        <v>1545</v>
      </c>
      <c r="K2866" s="120"/>
      <c r="L2866" s="21" t="s">
        <v>2655</v>
      </c>
      <c r="M2866" s="26">
        <v>43799</v>
      </c>
      <c r="N2866" s="44">
        <v>94</v>
      </c>
      <c r="O2866" s="22" t="s">
        <v>15</v>
      </c>
      <c r="P2866" s="44" t="s">
        <v>19</v>
      </c>
      <c r="Q2866" s="24">
        <f t="shared" si="182"/>
        <v>0</v>
      </c>
      <c r="R2866" s="24">
        <f t="shared" si="184"/>
        <v>43799</v>
      </c>
      <c r="S2866" s="5"/>
      <c r="T2866" s="5"/>
    </row>
    <row r="2867" spans="1:20" ht="14.25" hidden="1" customHeight="1" x14ac:dyDescent="0.25">
      <c r="A2867" t="s">
        <v>6753</v>
      </c>
      <c r="B2867" s="21" t="s">
        <v>395</v>
      </c>
      <c r="C2867" s="22" t="s">
        <v>1940</v>
      </c>
      <c r="D2867" s="22"/>
      <c r="E2867" s="21" t="s">
        <v>0</v>
      </c>
      <c r="F2867" s="21"/>
      <c r="G2867" s="147" t="s">
        <v>2192</v>
      </c>
      <c r="H2867" s="23" t="s">
        <v>1542</v>
      </c>
      <c r="I2867" s="23" t="s">
        <v>7853</v>
      </c>
      <c r="J2867" s="21" t="s">
        <v>1545</v>
      </c>
      <c r="K2867" s="120"/>
      <c r="L2867" s="21" t="s">
        <v>2748</v>
      </c>
      <c r="M2867" s="26">
        <v>43830</v>
      </c>
      <c r="N2867" s="44">
        <v>94</v>
      </c>
      <c r="O2867" s="22" t="s">
        <v>15</v>
      </c>
      <c r="P2867" s="44" t="s">
        <v>19</v>
      </c>
      <c r="Q2867" s="24">
        <f t="shared" si="182"/>
        <v>0</v>
      </c>
      <c r="R2867" s="24">
        <f t="shared" si="184"/>
        <v>43830</v>
      </c>
      <c r="S2867" s="5"/>
      <c r="T2867" s="5"/>
    </row>
    <row r="2868" spans="1:20" ht="15.75" hidden="1" x14ac:dyDescent="0.25">
      <c r="A2868" t="s">
        <v>6753</v>
      </c>
      <c r="B2868" s="21" t="s">
        <v>395</v>
      </c>
      <c r="C2868" s="22" t="s">
        <v>1940</v>
      </c>
      <c r="D2868" s="22"/>
      <c r="E2868" s="21" t="s">
        <v>0</v>
      </c>
      <c r="F2868" s="21"/>
      <c r="G2868" s="147" t="s">
        <v>2192</v>
      </c>
      <c r="H2868" s="23" t="s">
        <v>1542</v>
      </c>
      <c r="I2868" s="23" t="s">
        <v>7853</v>
      </c>
      <c r="J2868" s="21" t="s">
        <v>1545</v>
      </c>
      <c r="K2868" s="120"/>
      <c r="L2868" s="21" t="s">
        <v>2893</v>
      </c>
      <c r="M2868" s="26">
        <v>43861</v>
      </c>
      <c r="N2868" s="44">
        <v>94</v>
      </c>
      <c r="O2868" s="22" t="s">
        <v>15</v>
      </c>
      <c r="P2868" s="44" t="s">
        <v>19</v>
      </c>
      <c r="Q2868" s="24">
        <f t="shared" si="182"/>
        <v>0</v>
      </c>
      <c r="R2868" s="24">
        <f t="shared" si="184"/>
        <v>43861</v>
      </c>
      <c r="S2868" s="5"/>
      <c r="T2868" s="5"/>
    </row>
    <row r="2869" spans="1:20" ht="15.75" hidden="1" x14ac:dyDescent="0.25">
      <c r="A2869" t="s">
        <v>6753</v>
      </c>
      <c r="B2869" s="21" t="s">
        <v>395</v>
      </c>
      <c r="C2869" s="22" t="s">
        <v>1940</v>
      </c>
      <c r="D2869" s="22"/>
      <c r="E2869" s="21" t="s">
        <v>0</v>
      </c>
      <c r="F2869" s="21"/>
      <c r="G2869" s="147" t="s">
        <v>2192</v>
      </c>
      <c r="H2869" s="23" t="s">
        <v>1542</v>
      </c>
      <c r="I2869" s="23" t="s">
        <v>7853</v>
      </c>
      <c r="J2869" s="21" t="s">
        <v>1545</v>
      </c>
      <c r="K2869" s="120"/>
      <c r="L2869" s="21" t="s">
        <v>3102</v>
      </c>
      <c r="M2869" s="26">
        <v>43889</v>
      </c>
      <c r="N2869" s="44">
        <v>96.85</v>
      </c>
      <c r="O2869" s="22" t="s">
        <v>15</v>
      </c>
      <c r="P2869" s="44" t="s">
        <v>19</v>
      </c>
      <c r="Q2869" s="24">
        <f t="shared" si="182"/>
        <v>0</v>
      </c>
      <c r="R2869" s="24">
        <f t="shared" si="184"/>
        <v>43889</v>
      </c>
      <c r="S2869" s="5"/>
      <c r="T2869" s="5"/>
    </row>
    <row r="2870" spans="1:20" ht="15.75" hidden="1" x14ac:dyDescent="0.25">
      <c r="A2870" t="s">
        <v>6753</v>
      </c>
      <c r="B2870" s="21" t="s">
        <v>395</v>
      </c>
      <c r="C2870" s="22" t="s">
        <v>1940</v>
      </c>
      <c r="D2870" s="22"/>
      <c r="E2870" s="21" t="s">
        <v>0</v>
      </c>
      <c r="F2870" s="21"/>
      <c r="G2870" s="147" t="s">
        <v>2192</v>
      </c>
      <c r="H2870" s="23" t="s">
        <v>1542</v>
      </c>
      <c r="I2870" s="23" t="s">
        <v>7853</v>
      </c>
      <c r="J2870" s="21" t="s">
        <v>1545</v>
      </c>
      <c r="K2870" s="120"/>
      <c r="L2870" s="21" t="s">
        <v>3103</v>
      </c>
      <c r="M2870" s="26">
        <v>43921</v>
      </c>
      <c r="N2870" s="44">
        <v>96.85</v>
      </c>
      <c r="O2870" s="22" t="s">
        <v>15</v>
      </c>
      <c r="P2870" s="44" t="s">
        <v>19</v>
      </c>
      <c r="Q2870" s="24">
        <f t="shared" si="182"/>
        <v>0</v>
      </c>
      <c r="R2870" s="24">
        <f t="shared" si="184"/>
        <v>43921</v>
      </c>
      <c r="S2870" s="5"/>
      <c r="T2870" s="5"/>
    </row>
    <row r="2871" spans="1:20" ht="15.75" hidden="1" x14ac:dyDescent="0.25">
      <c r="A2871" t="s">
        <v>6753</v>
      </c>
      <c r="B2871" s="21" t="s">
        <v>395</v>
      </c>
      <c r="C2871" s="22" t="s">
        <v>1940</v>
      </c>
      <c r="D2871" s="22"/>
      <c r="E2871" s="21" t="s">
        <v>0</v>
      </c>
      <c r="F2871" s="21"/>
      <c r="G2871" s="147" t="s">
        <v>2192</v>
      </c>
      <c r="H2871" s="23" t="s">
        <v>1542</v>
      </c>
      <c r="I2871" s="23" t="s">
        <v>7853</v>
      </c>
      <c r="J2871" s="21" t="s">
        <v>1545</v>
      </c>
      <c r="K2871" s="120"/>
      <c r="L2871" s="21" t="s">
        <v>3339</v>
      </c>
      <c r="M2871" s="26">
        <v>43951</v>
      </c>
      <c r="N2871" s="44">
        <v>96.85</v>
      </c>
      <c r="O2871" s="22" t="s">
        <v>15</v>
      </c>
      <c r="P2871" s="44" t="s">
        <v>19</v>
      </c>
      <c r="Q2871" s="24">
        <f t="shared" si="182"/>
        <v>0</v>
      </c>
      <c r="R2871" s="24">
        <f t="shared" si="184"/>
        <v>43951</v>
      </c>
      <c r="S2871" s="5"/>
      <c r="T2871" s="5"/>
    </row>
    <row r="2872" spans="1:20" ht="15.75" hidden="1" x14ac:dyDescent="0.25">
      <c r="A2872" t="s">
        <v>6753</v>
      </c>
      <c r="B2872" s="21" t="s">
        <v>395</v>
      </c>
      <c r="C2872" s="22" t="s">
        <v>1940</v>
      </c>
      <c r="D2872" s="22"/>
      <c r="E2872" s="21" t="s">
        <v>0</v>
      </c>
      <c r="F2872" s="21"/>
      <c r="G2872" s="147" t="s">
        <v>2192</v>
      </c>
      <c r="H2872" s="23" t="s">
        <v>1542</v>
      </c>
      <c r="I2872" s="23" t="s">
        <v>7853</v>
      </c>
      <c r="J2872" s="21" t="s">
        <v>1545</v>
      </c>
      <c r="K2872" s="120"/>
      <c r="L2872" s="21" t="s">
        <v>3338</v>
      </c>
      <c r="M2872" s="26">
        <v>43980</v>
      </c>
      <c r="N2872" s="44">
        <v>96.85</v>
      </c>
      <c r="O2872" s="22" t="s">
        <v>15</v>
      </c>
      <c r="P2872" s="44" t="s">
        <v>19</v>
      </c>
      <c r="Q2872" s="24">
        <f t="shared" si="182"/>
        <v>0</v>
      </c>
      <c r="R2872" s="24">
        <f t="shared" si="184"/>
        <v>43980</v>
      </c>
      <c r="S2872" s="5"/>
      <c r="T2872" s="5"/>
    </row>
    <row r="2873" spans="1:20" ht="15.75" hidden="1" x14ac:dyDescent="0.25">
      <c r="A2873" t="s">
        <v>6753</v>
      </c>
      <c r="B2873" s="21" t="s">
        <v>395</v>
      </c>
      <c r="C2873" s="22" t="s">
        <v>1940</v>
      </c>
      <c r="D2873" s="22"/>
      <c r="E2873" s="21" t="s">
        <v>0</v>
      </c>
      <c r="F2873" s="21"/>
      <c r="G2873" s="147" t="s">
        <v>2192</v>
      </c>
      <c r="H2873" s="23" t="s">
        <v>1542</v>
      </c>
      <c r="I2873" s="23" t="s">
        <v>7853</v>
      </c>
      <c r="J2873" s="21" t="s">
        <v>1547</v>
      </c>
      <c r="K2873" s="120"/>
      <c r="L2873" s="21" t="s">
        <v>4037</v>
      </c>
      <c r="M2873" s="26" t="s">
        <v>4267</v>
      </c>
      <c r="N2873" s="44">
        <v>50654</v>
      </c>
      <c r="O2873" s="22" t="s">
        <v>15</v>
      </c>
      <c r="P2873" s="44">
        <f>(1780.8+2075+90)+(5596.8+2905+2075+450)+(763.2+415+415+45)+(254.4+415)+((254.4*10)+(45*3)+(2*121)+(415*4)+415+968.8)+(508.8+124.65+427.45)+(1780.8+1709.8+427.45+249.3)+(1780.8+854.9+1282.35+249.3)+(4454.85+370.8+427.45+2992.15+124.65+3663.7)+5556.7+(854.9+427.45+124.65)+(370.8+854.9+1282.35+249.3)</f>
        <v>54395.249999999993</v>
      </c>
      <c r="Q2873" s="24">
        <f t="shared" si="182"/>
        <v>0</v>
      </c>
      <c r="R2873" s="24">
        <f t="shared" si="184"/>
        <v>54395.249999999993</v>
      </c>
      <c r="S2873" s="5"/>
      <c r="T2873" s="5"/>
    </row>
    <row r="2874" spans="1:20" ht="15.75" hidden="1" x14ac:dyDescent="0.25">
      <c r="A2874" t="s">
        <v>6753</v>
      </c>
      <c r="B2874" s="21" t="s">
        <v>395</v>
      </c>
      <c r="C2874" s="22" t="s">
        <v>1940</v>
      </c>
      <c r="D2874" s="22"/>
      <c r="E2874" s="21" t="s">
        <v>0</v>
      </c>
      <c r="F2874" s="21"/>
      <c r="G2874" s="147" t="s">
        <v>2192</v>
      </c>
      <c r="H2874" s="23" t="s">
        <v>1542</v>
      </c>
      <c r="I2874" s="23" t="s">
        <v>7853</v>
      </c>
      <c r="J2874" s="21" t="s">
        <v>1548</v>
      </c>
      <c r="K2874" s="120"/>
      <c r="L2874" s="21" t="s">
        <v>4268</v>
      </c>
      <c r="M2874" s="26">
        <v>44165</v>
      </c>
      <c r="N2874" s="44">
        <v>214.16</v>
      </c>
      <c r="O2874" s="22" t="s">
        <v>15</v>
      </c>
      <c r="P2874" s="44">
        <v>214.16</v>
      </c>
      <c r="Q2874" s="24">
        <f t="shared" si="182"/>
        <v>0</v>
      </c>
      <c r="R2874" s="24">
        <f t="shared" si="184"/>
        <v>214.16</v>
      </c>
      <c r="S2874" s="5"/>
      <c r="T2874" s="5"/>
    </row>
    <row r="2875" spans="1:20" ht="15.75" hidden="1" x14ac:dyDescent="0.25">
      <c r="A2875" t="s">
        <v>6753</v>
      </c>
      <c r="B2875" s="21" t="s">
        <v>395</v>
      </c>
      <c r="C2875" s="22" t="s">
        <v>2461</v>
      </c>
      <c r="D2875" s="22"/>
      <c r="E2875" s="21" t="s">
        <v>0</v>
      </c>
      <c r="F2875" s="21"/>
      <c r="G2875" s="147" t="s">
        <v>2192</v>
      </c>
      <c r="H2875" s="23" t="s">
        <v>5595</v>
      </c>
      <c r="I2875" s="23" t="s">
        <v>7898</v>
      </c>
      <c r="J2875" s="21" t="s">
        <v>2314</v>
      </c>
      <c r="K2875" s="120"/>
      <c r="L2875" s="21" t="s">
        <v>2545</v>
      </c>
      <c r="M2875" s="26">
        <v>43769</v>
      </c>
      <c r="N2875" s="44">
        <v>3575.9</v>
      </c>
      <c r="O2875" s="22" t="s">
        <v>15</v>
      </c>
      <c r="P2875" s="44" t="s">
        <v>19</v>
      </c>
      <c r="Q2875" s="24">
        <f t="shared" si="182"/>
        <v>0</v>
      </c>
      <c r="R2875" s="24">
        <f t="shared" ref="R2875:R2909" si="185">IF(P2875="OK",N2875-Q2875,IF(P2875="en cours",N2875-Q2875,P2875))</f>
        <v>3575.9</v>
      </c>
      <c r="T2875" s="5"/>
    </row>
    <row r="2876" spans="1:20" ht="15.75" hidden="1" x14ac:dyDescent="0.25">
      <c r="A2876" t="s">
        <v>6753</v>
      </c>
      <c r="B2876" s="21" t="s">
        <v>395</v>
      </c>
      <c r="C2876" s="22" t="s">
        <v>2461</v>
      </c>
      <c r="D2876" s="22"/>
      <c r="E2876" s="21" t="s">
        <v>0</v>
      </c>
      <c r="F2876" s="21"/>
      <c r="G2876" s="147" t="s">
        <v>2192</v>
      </c>
      <c r="H2876" s="23" t="s">
        <v>5595</v>
      </c>
      <c r="I2876" s="23" t="s">
        <v>7898</v>
      </c>
      <c r="J2876" s="21" t="s">
        <v>2315</v>
      </c>
      <c r="K2876" s="120"/>
      <c r="L2876" s="21" t="s">
        <v>2545</v>
      </c>
      <c r="M2876" s="26">
        <v>43769</v>
      </c>
      <c r="N2876" s="44">
        <v>2547.35</v>
      </c>
      <c r="O2876" s="22" t="s">
        <v>15</v>
      </c>
      <c r="P2876" s="44" t="s">
        <v>19</v>
      </c>
      <c r="Q2876" s="24">
        <f t="shared" si="182"/>
        <v>0</v>
      </c>
      <c r="R2876" s="24">
        <f t="shared" si="185"/>
        <v>2547.35</v>
      </c>
      <c r="T2876" s="5"/>
    </row>
    <row r="2877" spans="1:20" ht="15.75" hidden="1" x14ac:dyDescent="0.25">
      <c r="A2877" t="s">
        <v>6753</v>
      </c>
      <c r="B2877" s="21" t="s">
        <v>395</v>
      </c>
      <c r="C2877" s="22" t="s">
        <v>2461</v>
      </c>
      <c r="D2877" s="22"/>
      <c r="E2877" s="21" t="s">
        <v>0</v>
      </c>
      <c r="F2877" s="21"/>
      <c r="G2877" s="147" t="s">
        <v>2192</v>
      </c>
      <c r="H2877" s="23" t="s">
        <v>5595</v>
      </c>
      <c r="I2877" s="23" t="s">
        <v>7898</v>
      </c>
      <c r="J2877" s="21" t="s">
        <v>2316</v>
      </c>
      <c r="K2877" s="120"/>
      <c r="L2877" s="21" t="s">
        <v>2545</v>
      </c>
      <c r="M2877" s="26">
        <v>43769</v>
      </c>
      <c r="N2877" s="44">
        <v>2187</v>
      </c>
      <c r="O2877" s="22" t="s">
        <v>15</v>
      </c>
      <c r="P2877" s="44" t="s">
        <v>19</v>
      </c>
      <c r="Q2877" s="24">
        <f t="shared" si="182"/>
        <v>0</v>
      </c>
      <c r="R2877" s="24">
        <f t="shared" si="185"/>
        <v>2187</v>
      </c>
      <c r="T2877" s="5"/>
    </row>
    <row r="2878" spans="1:20" ht="15.75" hidden="1" x14ac:dyDescent="0.25">
      <c r="A2878" t="s">
        <v>6753</v>
      </c>
      <c r="B2878" s="21" t="s">
        <v>395</v>
      </c>
      <c r="C2878" s="22" t="s">
        <v>2461</v>
      </c>
      <c r="D2878" s="22"/>
      <c r="E2878" s="21" t="s">
        <v>0</v>
      </c>
      <c r="F2878" s="21"/>
      <c r="G2878" s="147" t="s">
        <v>2192</v>
      </c>
      <c r="H2878" s="23" t="s">
        <v>5595</v>
      </c>
      <c r="I2878" s="23" t="s">
        <v>7898</v>
      </c>
      <c r="J2878" s="21" t="s">
        <v>2317</v>
      </c>
      <c r="K2878" s="120"/>
      <c r="L2878" s="21" t="s">
        <v>2545</v>
      </c>
      <c r="M2878" s="26">
        <v>43769</v>
      </c>
      <c r="N2878" s="44">
        <v>35</v>
      </c>
      <c r="O2878" s="22" t="s">
        <v>15</v>
      </c>
      <c r="P2878" s="44" t="s">
        <v>19</v>
      </c>
      <c r="Q2878" s="24">
        <f t="shared" si="182"/>
        <v>0</v>
      </c>
      <c r="R2878" s="24">
        <f t="shared" si="185"/>
        <v>35</v>
      </c>
      <c r="T2878" s="5"/>
    </row>
    <row r="2879" spans="1:20" ht="15.75" hidden="1" x14ac:dyDescent="0.25">
      <c r="A2879" t="s">
        <v>6753</v>
      </c>
      <c r="B2879" s="21" t="s">
        <v>395</v>
      </c>
      <c r="C2879" s="22" t="s">
        <v>2461</v>
      </c>
      <c r="D2879" s="22"/>
      <c r="E2879" s="21" t="s">
        <v>0</v>
      </c>
      <c r="F2879" s="21"/>
      <c r="G2879" s="147" t="s">
        <v>2192</v>
      </c>
      <c r="H2879" s="23" t="s">
        <v>5595</v>
      </c>
      <c r="I2879" s="23" t="s">
        <v>7898</v>
      </c>
      <c r="J2879" s="21" t="s">
        <v>2317</v>
      </c>
      <c r="K2879" s="120"/>
      <c r="L2879" s="21" t="s">
        <v>2656</v>
      </c>
      <c r="M2879" s="26">
        <v>43799</v>
      </c>
      <c r="N2879" s="44">
        <v>35</v>
      </c>
      <c r="O2879" s="22" t="s">
        <v>15</v>
      </c>
      <c r="P2879" s="44" t="s">
        <v>19</v>
      </c>
      <c r="Q2879" s="24">
        <f t="shared" si="182"/>
        <v>0</v>
      </c>
      <c r="R2879" s="24">
        <f t="shared" si="185"/>
        <v>35</v>
      </c>
      <c r="T2879" s="5"/>
    </row>
    <row r="2880" spans="1:20" ht="12" hidden="1" customHeight="1" x14ac:dyDescent="0.25">
      <c r="A2880" t="s">
        <v>6753</v>
      </c>
      <c r="B2880" s="21" t="s">
        <v>395</v>
      </c>
      <c r="C2880" s="22" t="s">
        <v>2461</v>
      </c>
      <c r="D2880" s="22"/>
      <c r="E2880" s="21" t="s">
        <v>0</v>
      </c>
      <c r="F2880" s="21"/>
      <c r="G2880" s="147" t="s">
        <v>2192</v>
      </c>
      <c r="H2880" s="23" t="s">
        <v>5595</v>
      </c>
      <c r="I2880" s="23" t="s">
        <v>7898</v>
      </c>
      <c r="J2880" s="21" t="s">
        <v>2317</v>
      </c>
      <c r="K2880" s="120"/>
      <c r="L2880" s="21" t="s">
        <v>2749</v>
      </c>
      <c r="M2880" s="26">
        <v>43830</v>
      </c>
      <c r="N2880" s="44">
        <v>35</v>
      </c>
      <c r="O2880" s="22" t="s">
        <v>15</v>
      </c>
      <c r="P2880" s="44" t="s">
        <v>19</v>
      </c>
      <c r="Q2880" s="24">
        <f t="shared" si="182"/>
        <v>0</v>
      </c>
      <c r="R2880" s="24">
        <f t="shared" si="185"/>
        <v>35</v>
      </c>
      <c r="T2880" s="5"/>
    </row>
    <row r="2881" spans="1:20" ht="14.25" hidden="1" customHeight="1" x14ac:dyDescent="0.25">
      <c r="A2881" t="s">
        <v>6753</v>
      </c>
      <c r="B2881" s="21" t="s">
        <v>395</v>
      </c>
      <c r="C2881" s="22" t="s">
        <v>2461</v>
      </c>
      <c r="D2881" s="22"/>
      <c r="E2881" s="21" t="s">
        <v>0</v>
      </c>
      <c r="F2881" s="21"/>
      <c r="G2881" s="147" t="s">
        <v>2192</v>
      </c>
      <c r="H2881" s="23" t="s">
        <v>5595</v>
      </c>
      <c r="I2881" s="23" t="s">
        <v>7898</v>
      </c>
      <c r="J2881" s="21" t="s">
        <v>2317</v>
      </c>
      <c r="K2881" s="120"/>
      <c r="L2881" s="21" t="s">
        <v>2894</v>
      </c>
      <c r="M2881" s="26">
        <v>43861</v>
      </c>
      <c r="N2881" s="44">
        <v>35</v>
      </c>
      <c r="O2881" s="22" t="s">
        <v>15</v>
      </c>
      <c r="P2881" s="44" t="s">
        <v>19</v>
      </c>
      <c r="Q2881" s="24">
        <f t="shared" si="182"/>
        <v>0</v>
      </c>
      <c r="R2881" s="24">
        <f t="shared" si="185"/>
        <v>35</v>
      </c>
      <c r="T2881" s="5"/>
    </row>
    <row r="2882" spans="1:20" ht="10.5" hidden="1" customHeight="1" x14ac:dyDescent="0.25">
      <c r="A2882" t="s">
        <v>6753</v>
      </c>
      <c r="B2882" s="21" t="s">
        <v>395</v>
      </c>
      <c r="C2882" s="22" t="s">
        <v>2461</v>
      </c>
      <c r="D2882" s="22"/>
      <c r="E2882" s="21" t="s">
        <v>0</v>
      </c>
      <c r="F2882" s="21"/>
      <c r="G2882" s="147" t="s">
        <v>2192</v>
      </c>
      <c r="H2882" s="23" t="s">
        <v>5595</v>
      </c>
      <c r="I2882" s="23" t="s">
        <v>7898</v>
      </c>
      <c r="J2882" s="21" t="s">
        <v>2317</v>
      </c>
      <c r="K2882" s="120"/>
      <c r="L2882" s="21" t="s">
        <v>3104</v>
      </c>
      <c r="M2882" s="26">
        <v>43889</v>
      </c>
      <c r="N2882" s="44">
        <v>36.049999999999997</v>
      </c>
      <c r="O2882" s="22" t="s">
        <v>15</v>
      </c>
      <c r="P2882" s="44" t="s">
        <v>19</v>
      </c>
      <c r="Q2882" s="24">
        <f t="shared" si="182"/>
        <v>0</v>
      </c>
      <c r="R2882" s="24">
        <f t="shared" si="185"/>
        <v>36.049999999999997</v>
      </c>
      <c r="T2882" s="5"/>
    </row>
    <row r="2883" spans="1:20" ht="13.5" hidden="1" customHeight="1" x14ac:dyDescent="0.25">
      <c r="A2883" t="s">
        <v>6753</v>
      </c>
      <c r="B2883" s="21" t="s">
        <v>395</v>
      </c>
      <c r="C2883" s="22" t="s">
        <v>2461</v>
      </c>
      <c r="D2883" s="22"/>
      <c r="E2883" s="21" t="s">
        <v>0</v>
      </c>
      <c r="F2883" s="21"/>
      <c r="G2883" s="147" t="s">
        <v>2192</v>
      </c>
      <c r="H2883" s="23" t="s">
        <v>5595</v>
      </c>
      <c r="I2883" s="23" t="s">
        <v>7898</v>
      </c>
      <c r="J2883" s="21" t="s">
        <v>2317</v>
      </c>
      <c r="K2883" s="120"/>
      <c r="L2883" s="21" t="s">
        <v>3105</v>
      </c>
      <c r="M2883" s="26">
        <v>43921</v>
      </c>
      <c r="N2883" s="44">
        <v>36.049999999999997</v>
      </c>
      <c r="O2883" s="22" t="s">
        <v>15</v>
      </c>
      <c r="P2883" s="44" t="s">
        <v>19</v>
      </c>
      <c r="Q2883" s="24">
        <f t="shared" si="182"/>
        <v>0</v>
      </c>
      <c r="R2883" s="24">
        <f t="shared" si="185"/>
        <v>36.049999999999997</v>
      </c>
      <c r="T2883" s="5"/>
    </row>
    <row r="2884" spans="1:20" ht="15.75" hidden="1" x14ac:dyDescent="0.25">
      <c r="A2884" t="s">
        <v>6753</v>
      </c>
      <c r="B2884" s="21" t="s">
        <v>395</v>
      </c>
      <c r="C2884" s="22" t="s">
        <v>2461</v>
      </c>
      <c r="D2884" s="22"/>
      <c r="E2884" s="21" t="s">
        <v>0</v>
      </c>
      <c r="F2884" s="21"/>
      <c r="G2884" s="147" t="s">
        <v>2192</v>
      </c>
      <c r="H2884" s="23" t="s">
        <v>5595</v>
      </c>
      <c r="I2884" s="23" t="s">
        <v>7898</v>
      </c>
      <c r="J2884" s="21" t="s">
        <v>2317</v>
      </c>
      <c r="K2884" s="120"/>
      <c r="L2884" s="21" t="s">
        <v>3196</v>
      </c>
      <c r="M2884" s="26">
        <v>43951</v>
      </c>
      <c r="N2884" s="44">
        <v>36.049999999999997</v>
      </c>
      <c r="O2884" s="22" t="s">
        <v>15</v>
      </c>
      <c r="P2884" s="44" t="s">
        <v>19</v>
      </c>
      <c r="Q2884" s="24">
        <f t="shared" si="182"/>
        <v>0</v>
      </c>
      <c r="R2884" s="24">
        <f t="shared" si="185"/>
        <v>36.049999999999997</v>
      </c>
      <c r="T2884" s="5"/>
    </row>
    <row r="2885" spans="1:20" ht="15.75" hidden="1" x14ac:dyDescent="0.25">
      <c r="A2885" t="s">
        <v>6753</v>
      </c>
      <c r="B2885" s="21" t="s">
        <v>395</v>
      </c>
      <c r="C2885" s="22" t="s">
        <v>2461</v>
      </c>
      <c r="D2885" s="22"/>
      <c r="E2885" s="21" t="s">
        <v>0</v>
      </c>
      <c r="F2885" s="21"/>
      <c r="G2885" s="147" t="s">
        <v>2192</v>
      </c>
      <c r="H2885" s="23" t="s">
        <v>5595</v>
      </c>
      <c r="I2885" s="23" t="s">
        <v>7898</v>
      </c>
      <c r="J2885" s="21" t="s">
        <v>2317</v>
      </c>
      <c r="K2885" s="120"/>
      <c r="L2885" s="21" t="s">
        <v>3340</v>
      </c>
      <c r="M2885" s="26">
        <v>43980</v>
      </c>
      <c r="N2885" s="44">
        <v>36.049999999999997</v>
      </c>
      <c r="O2885" s="22" t="s">
        <v>15</v>
      </c>
      <c r="P2885" s="44" t="s">
        <v>19</v>
      </c>
      <c r="Q2885" s="24">
        <f t="shared" si="182"/>
        <v>0</v>
      </c>
      <c r="R2885" s="24">
        <f t="shared" si="185"/>
        <v>36.049999999999997</v>
      </c>
      <c r="T2885" s="5"/>
    </row>
    <row r="2886" spans="1:20" ht="16.5" hidden="1" customHeight="1" x14ac:dyDescent="0.25">
      <c r="A2886" t="s">
        <v>6753</v>
      </c>
      <c r="B2886" s="21" t="s">
        <v>395</v>
      </c>
      <c r="C2886" s="22" t="s">
        <v>2461</v>
      </c>
      <c r="D2886" s="22"/>
      <c r="E2886" s="21" t="s">
        <v>0</v>
      </c>
      <c r="F2886" s="21"/>
      <c r="G2886" s="147" t="s">
        <v>2192</v>
      </c>
      <c r="H2886" s="23" t="s">
        <v>5595</v>
      </c>
      <c r="I2886" s="23" t="s">
        <v>7898</v>
      </c>
      <c r="J2886" s="21" t="s">
        <v>2317</v>
      </c>
      <c r="K2886" s="120"/>
      <c r="L2886" s="21" t="s">
        <v>3459</v>
      </c>
      <c r="M2886" s="26">
        <v>44012</v>
      </c>
      <c r="N2886" s="44">
        <v>36.049999999999997</v>
      </c>
      <c r="O2886" s="22" t="s">
        <v>15</v>
      </c>
      <c r="P2886" s="44" t="s">
        <v>19</v>
      </c>
      <c r="Q2886" s="24">
        <f t="shared" si="182"/>
        <v>0</v>
      </c>
      <c r="R2886" s="24">
        <f t="shared" si="185"/>
        <v>36.049999999999997</v>
      </c>
      <c r="T2886" s="5"/>
    </row>
    <row r="2887" spans="1:20" ht="16.5" hidden="1" customHeight="1" x14ac:dyDescent="0.25">
      <c r="A2887" t="s">
        <v>6753</v>
      </c>
      <c r="B2887" s="21" t="s">
        <v>395</v>
      </c>
      <c r="C2887" s="22" t="s">
        <v>2461</v>
      </c>
      <c r="D2887" s="22"/>
      <c r="E2887" s="21" t="s">
        <v>0</v>
      </c>
      <c r="F2887" s="21"/>
      <c r="G2887" s="147" t="s">
        <v>2192</v>
      </c>
      <c r="H2887" s="23" t="s">
        <v>5595</v>
      </c>
      <c r="I2887" s="23" t="s">
        <v>7898</v>
      </c>
      <c r="J2887" s="21" t="s">
        <v>2317</v>
      </c>
      <c r="K2887" s="120"/>
      <c r="L2887" s="21" t="s">
        <v>3725</v>
      </c>
      <c r="M2887" s="26">
        <v>44074</v>
      </c>
      <c r="N2887" s="44">
        <v>36.049999999999997</v>
      </c>
      <c r="O2887" s="22" t="s">
        <v>15</v>
      </c>
      <c r="P2887" s="44" t="s">
        <v>19</v>
      </c>
      <c r="Q2887" s="24">
        <f t="shared" si="182"/>
        <v>0</v>
      </c>
      <c r="R2887" s="24">
        <f t="shared" si="185"/>
        <v>36.049999999999997</v>
      </c>
      <c r="S2887" s="5"/>
      <c r="T2887" s="5"/>
    </row>
    <row r="2888" spans="1:20" ht="14.25" hidden="1" customHeight="1" x14ac:dyDescent="0.25">
      <c r="A2888" t="s">
        <v>6753</v>
      </c>
      <c r="B2888" s="21" t="s">
        <v>395</v>
      </c>
      <c r="C2888" s="22" t="s">
        <v>2461</v>
      </c>
      <c r="D2888" s="22"/>
      <c r="E2888" s="21" t="s">
        <v>0</v>
      </c>
      <c r="F2888" s="21"/>
      <c r="G2888" s="147" t="s">
        <v>2192</v>
      </c>
      <c r="H2888" s="23" t="s">
        <v>5595</v>
      </c>
      <c r="I2888" s="23" t="s">
        <v>7898</v>
      </c>
      <c r="J2888" s="21" t="s">
        <v>2317</v>
      </c>
      <c r="K2888" s="120"/>
      <c r="L2888" s="21" t="s">
        <v>3725</v>
      </c>
      <c r="M2888" s="26">
        <v>44074</v>
      </c>
      <c r="N2888" s="44">
        <v>36.049999999999997</v>
      </c>
      <c r="O2888" s="22" t="s">
        <v>15</v>
      </c>
      <c r="P2888" s="44" t="s">
        <v>19</v>
      </c>
      <c r="Q2888" s="24">
        <f t="shared" si="182"/>
        <v>0</v>
      </c>
      <c r="R2888" s="24">
        <f t="shared" si="185"/>
        <v>36.049999999999997</v>
      </c>
      <c r="S2888" s="5"/>
      <c r="T2888" s="5"/>
    </row>
    <row r="2889" spans="1:20" ht="12.75" hidden="1" customHeight="1" x14ac:dyDescent="0.25">
      <c r="A2889" t="s">
        <v>6753</v>
      </c>
      <c r="B2889" s="21" t="s">
        <v>395</v>
      </c>
      <c r="C2889" s="22" t="s">
        <v>2461</v>
      </c>
      <c r="D2889" s="22"/>
      <c r="E2889" s="21" t="s">
        <v>0</v>
      </c>
      <c r="F2889" s="21"/>
      <c r="G2889" s="147" t="s">
        <v>2192</v>
      </c>
      <c r="H2889" s="23" t="s">
        <v>5595</v>
      </c>
      <c r="I2889" s="23" t="s">
        <v>7898</v>
      </c>
      <c r="J2889" s="21" t="s">
        <v>2317</v>
      </c>
      <c r="K2889" s="120"/>
      <c r="L2889" s="21" t="s">
        <v>3831</v>
      </c>
      <c r="M2889" s="26">
        <v>44104</v>
      </c>
      <c r="N2889" s="44">
        <v>36.049999999999997</v>
      </c>
      <c r="O2889" s="22" t="s">
        <v>15</v>
      </c>
      <c r="P2889" s="44" t="s">
        <v>19</v>
      </c>
      <c r="Q2889" s="24">
        <f t="shared" si="182"/>
        <v>0</v>
      </c>
      <c r="R2889" s="24">
        <f t="shared" si="185"/>
        <v>36.049999999999997</v>
      </c>
      <c r="S2889" s="5"/>
      <c r="T2889" s="5"/>
    </row>
    <row r="2890" spans="1:20" ht="16.5" hidden="1" customHeight="1" x14ac:dyDescent="0.25">
      <c r="A2890" t="s">
        <v>6753</v>
      </c>
      <c r="B2890" s="21" t="s">
        <v>395</v>
      </c>
      <c r="C2890" s="22" t="s">
        <v>2461</v>
      </c>
      <c r="D2890" s="22"/>
      <c r="E2890" s="21" t="s">
        <v>0</v>
      </c>
      <c r="F2890" s="21"/>
      <c r="G2890" s="147" t="s">
        <v>2192</v>
      </c>
      <c r="H2890" s="23" t="s">
        <v>5595</v>
      </c>
      <c r="I2890" s="23" t="s">
        <v>7898</v>
      </c>
      <c r="J2890" s="21" t="s">
        <v>2318</v>
      </c>
      <c r="K2890" s="120"/>
      <c r="L2890" s="21" t="s">
        <v>2545</v>
      </c>
      <c r="M2890" s="26">
        <v>43769</v>
      </c>
      <c r="N2890" s="44">
        <v>758</v>
      </c>
      <c r="O2890" s="22" t="s">
        <v>15</v>
      </c>
      <c r="P2890" s="44" t="s">
        <v>19</v>
      </c>
      <c r="Q2890" s="24">
        <f t="shared" si="182"/>
        <v>0</v>
      </c>
      <c r="R2890" s="24">
        <f t="shared" si="185"/>
        <v>758</v>
      </c>
      <c r="T2890" s="5"/>
    </row>
    <row r="2891" spans="1:20" ht="11.25" hidden="1" customHeight="1" x14ac:dyDescent="0.25">
      <c r="A2891" t="s">
        <v>6753</v>
      </c>
      <c r="B2891" s="21" t="s">
        <v>395</v>
      </c>
      <c r="C2891" s="22" t="s">
        <v>2461</v>
      </c>
      <c r="D2891" s="22"/>
      <c r="E2891" s="21" t="s">
        <v>0</v>
      </c>
      <c r="F2891" s="21"/>
      <c r="G2891" s="147" t="s">
        <v>2192</v>
      </c>
      <c r="H2891" s="23" t="s">
        <v>5595</v>
      </c>
      <c r="I2891" s="23" t="s">
        <v>7898</v>
      </c>
      <c r="J2891" s="21" t="s">
        <v>2319</v>
      </c>
      <c r="K2891" s="120"/>
      <c r="L2891" s="21" t="s">
        <v>2545</v>
      </c>
      <c r="M2891" s="26">
        <v>43769</v>
      </c>
      <c r="N2891" s="44">
        <v>94</v>
      </c>
      <c r="O2891" s="22" t="s">
        <v>15</v>
      </c>
      <c r="P2891" s="44" t="s">
        <v>19</v>
      </c>
      <c r="Q2891" s="24">
        <f t="shared" si="182"/>
        <v>0</v>
      </c>
      <c r="R2891" s="24">
        <f t="shared" si="185"/>
        <v>94</v>
      </c>
      <c r="T2891" s="5"/>
    </row>
    <row r="2892" spans="1:20" ht="15.75" hidden="1" x14ac:dyDescent="0.25">
      <c r="A2892" t="s">
        <v>6753</v>
      </c>
      <c r="B2892" s="21" t="s">
        <v>395</v>
      </c>
      <c r="C2892" s="22" t="s">
        <v>2461</v>
      </c>
      <c r="D2892" s="22"/>
      <c r="E2892" s="21" t="s">
        <v>0</v>
      </c>
      <c r="F2892" s="21"/>
      <c r="G2892" s="147" t="s">
        <v>2192</v>
      </c>
      <c r="H2892" s="23" t="s">
        <v>5595</v>
      </c>
      <c r="I2892" s="23" t="s">
        <v>7898</v>
      </c>
      <c r="J2892" s="21" t="s">
        <v>2319</v>
      </c>
      <c r="K2892" s="120"/>
      <c r="L2892" s="21" t="s">
        <v>2656</v>
      </c>
      <c r="M2892" s="26">
        <v>43799</v>
      </c>
      <c r="N2892" s="44">
        <v>94</v>
      </c>
      <c r="O2892" s="22" t="s">
        <v>15</v>
      </c>
      <c r="P2892" s="44" t="s">
        <v>19</v>
      </c>
      <c r="Q2892" s="24">
        <f t="shared" si="182"/>
        <v>0</v>
      </c>
      <c r="R2892" s="24">
        <f t="shared" si="185"/>
        <v>94</v>
      </c>
      <c r="T2892" s="5"/>
    </row>
    <row r="2893" spans="1:20" ht="15.75" hidden="1" x14ac:dyDescent="0.25">
      <c r="A2893" t="s">
        <v>6753</v>
      </c>
      <c r="B2893" s="21" t="s">
        <v>395</v>
      </c>
      <c r="C2893" s="22" t="s">
        <v>2461</v>
      </c>
      <c r="D2893" s="22"/>
      <c r="E2893" s="21" t="s">
        <v>0</v>
      </c>
      <c r="F2893" s="21"/>
      <c r="G2893" s="147" t="s">
        <v>2192</v>
      </c>
      <c r="H2893" s="23" t="s">
        <v>5595</v>
      </c>
      <c r="I2893" s="23" t="s">
        <v>7898</v>
      </c>
      <c r="J2893" s="21" t="s">
        <v>2319</v>
      </c>
      <c r="K2893" s="120"/>
      <c r="L2893" s="21" t="s">
        <v>2749</v>
      </c>
      <c r="M2893" s="26">
        <v>43830</v>
      </c>
      <c r="N2893" s="44">
        <v>94</v>
      </c>
      <c r="O2893" s="22" t="s">
        <v>15</v>
      </c>
      <c r="P2893" s="44" t="s">
        <v>19</v>
      </c>
      <c r="Q2893" s="24">
        <f t="shared" si="182"/>
        <v>0</v>
      </c>
      <c r="R2893" s="24">
        <f t="shared" si="185"/>
        <v>94</v>
      </c>
      <c r="T2893" s="5"/>
    </row>
    <row r="2894" spans="1:20" ht="15.75" hidden="1" x14ac:dyDescent="0.25">
      <c r="A2894" t="s">
        <v>6753</v>
      </c>
      <c r="B2894" s="21" t="s">
        <v>395</v>
      </c>
      <c r="C2894" s="22" t="s">
        <v>2461</v>
      </c>
      <c r="D2894" s="22"/>
      <c r="E2894" s="21" t="s">
        <v>0</v>
      </c>
      <c r="F2894" s="21"/>
      <c r="G2894" s="147" t="s">
        <v>2192</v>
      </c>
      <c r="H2894" s="23" t="s">
        <v>5595</v>
      </c>
      <c r="I2894" s="23" t="s">
        <v>7898</v>
      </c>
      <c r="J2894" s="21" t="s">
        <v>2319</v>
      </c>
      <c r="K2894" s="120"/>
      <c r="L2894" s="21" t="s">
        <v>2894</v>
      </c>
      <c r="M2894" s="26">
        <v>43861</v>
      </c>
      <c r="N2894" s="44">
        <v>94</v>
      </c>
      <c r="O2894" s="22" t="s">
        <v>15</v>
      </c>
      <c r="P2894" s="44" t="s">
        <v>19</v>
      </c>
      <c r="Q2894" s="24">
        <f t="shared" si="182"/>
        <v>0</v>
      </c>
      <c r="R2894" s="24">
        <f t="shared" si="185"/>
        <v>94</v>
      </c>
      <c r="T2894" s="5"/>
    </row>
    <row r="2895" spans="1:20" ht="15.75" hidden="1" x14ac:dyDescent="0.25">
      <c r="A2895" t="s">
        <v>6753</v>
      </c>
      <c r="B2895" s="21" t="s">
        <v>395</v>
      </c>
      <c r="C2895" s="22" t="s">
        <v>2461</v>
      </c>
      <c r="D2895" s="22"/>
      <c r="E2895" s="21" t="s">
        <v>0</v>
      </c>
      <c r="F2895" s="21"/>
      <c r="G2895" s="147" t="s">
        <v>2192</v>
      </c>
      <c r="H2895" s="23" t="s">
        <v>5595</v>
      </c>
      <c r="I2895" s="23" t="s">
        <v>7898</v>
      </c>
      <c r="J2895" s="21" t="s">
        <v>2319</v>
      </c>
      <c r="K2895" s="120"/>
      <c r="L2895" s="21" t="s">
        <v>3104</v>
      </c>
      <c r="M2895" s="26">
        <v>43889</v>
      </c>
      <c r="N2895" s="44">
        <v>96.85</v>
      </c>
      <c r="O2895" s="22" t="s">
        <v>15</v>
      </c>
      <c r="P2895" s="44" t="s">
        <v>19</v>
      </c>
      <c r="Q2895" s="24">
        <f t="shared" si="182"/>
        <v>0</v>
      </c>
      <c r="R2895" s="24">
        <f t="shared" si="185"/>
        <v>96.85</v>
      </c>
      <c r="T2895" s="5"/>
    </row>
    <row r="2896" spans="1:20" ht="15.75" hidden="1" x14ac:dyDescent="0.25">
      <c r="A2896" t="s">
        <v>6753</v>
      </c>
      <c r="B2896" s="21" t="s">
        <v>395</v>
      </c>
      <c r="C2896" s="22" t="s">
        <v>2461</v>
      </c>
      <c r="D2896" s="22"/>
      <c r="E2896" s="21" t="s">
        <v>0</v>
      </c>
      <c r="F2896" s="21"/>
      <c r="G2896" s="147" t="s">
        <v>2192</v>
      </c>
      <c r="H2896" s="23" t="s">
        <v>5595</v>
      </c>
      <c r="I2896" s="23" t="s">
        <v>7898</v>
      </c>
      <c r="J2896" s="21" t="s">
        <v>2319</v>
      </c>
      <c r="K2896" s="120"/>
      <c r="L2896" s="21" t="s">
        <v>3105</v>
      </c>
      <c r="M2896" s="26">
        <v>43921</v>
      </c>
      <c r="N2896" s="44">
        <v>96.85</v>
      </c>
      <c r="O2896" s="22" t="s">
        <v>15</v>
      </c>
      <c r="P2896" s="44" t="s">
        <v>19</v>
      </c>
      <c r="Q2896" s="24">
        <f t="shared" si="182"/>
        <v>0</v>
      </c>
      <c r="R2896" s="24">
        <f t="shared" si="185"/>
        <v>96.85</v>
      </c>
      <c r="T2896" s="5"/>
    </row>
    <row r="2897" spans="1:20" ht="15.75" hidden="1" x14ac:dyDescent="0.25">
      <c r="A2897" t="s">
        <v>6753</v>
      </c>
      <c r="B2897" s="21" t="s">
        <v>395</v>
      </c>
      <c r="C2897" s="22" t="s">
        <v>2461</v>
      </c>
      <c r="D2897" s="22"/>
      <c r="E2897" s="21" t="s">
        <v>0</v>
      </c>
      <c r="F2897" s="21"/>
      <c r="G2897" s="147" t="s">
        <v>2192</v>
      </c>
      <c r="H2897" s="23" t="s">
        <v>5595</v>
      </c>
      <c r="I2897" s="23" t="s">
        <v>7898</v>
      </c>
      <c r="J2897" s="21" t="s">
        <v>2319</v>
      </c>
      <c r="K2897" s="120"/>
      <c r="L2897" s="21" t="s">
        <v>3196</v>
      </c>
      <c r="M2897" s="26">
        <v>43951</v>
      </c>
      <c r="N2897" s="44">
        <v>96.85</v>
      </c>
      <c r="O2897" s="22" t="s">
        <v>15</v>
      </c>
      <c r="P2897" s="44" t="s">
        <v>19</v>
      </c>
      <c r="Q2897" s="24">
        <f t="shared" si="182"/>
        <v>0</v>
      </c>
      <c r="R2897" s="24">
        <f t="shared" si="185"/>
        <v>96.85</v>
      </c>
      <c r="T2897" s="5"/>
    </row>
    <row r="2898" spans="1:20" ht="15.75" hidden="1" x14ac:dyDescent="0.25">
      <c r="A2898" t="s">
        <v>6753</v>
      </c>
      <c r="B2898" s="21" t="s">
        <v>395</v>
      </c>
      <c r="C2898" s="22" t="s">
        <v>2461</v>
      </c>
      <c r="D2898" s="22"/>
      <c r="E2898" s="21" t="s">
        <v>0</v>
      </c>
      <c r="F2898" s="21"/>
      <c r="G2898" s="147" t="s">
        <v>2192</v>
      </c>
      <c r="H2898" s="23" t="s">
        <v>5595</v>
      </c>
      <c r="I2898" s="23" t="s">
        <v>7898</v>
      </c>
      <c r="J2898" s="21" t="s">
        <v>2319</v>
      </c>
      <c r="K2898" s="120"/>
      <c r="L2898" s="21" t="s">
        <v>3340</v>
      </c>
      <c r="M2898" s="26">
        <v>43980</v>
      </c>
      <c r="N2898" s="44">
        <v>96.85</v>
      </c>
      <c r="O2898" s="22" t="s">
        <v>15</v>
      </c>
      <c r="P2898" s="44" t="s">
        <v>19</v>
      </c>
      <c r="Q2898" s="24">
        <f t="shared" si="182"/>
        <v>0</v>
      </c>
      <c r="R2898" s="24">
        <f t="shared" si="185"/>
        <v>96.85</v>
      </c>
      <c r="T2898" s="5"/>
    </row>
    <row r="2899" spans="1:20" ht="15.75" hidden="1" x14ac:dyDescent="0.25">
      <c r="A2899" t="s">
        <v>6753</v>
      </c>
      <c r="B2899" s="21" t="s">
        <v>395</v>
      </c>
      <c r="C2899" s="22" t="s">
        <v>2461</v>
      </c>
      <c r="D2899" s="22"/>
      <c r="E2899" s="21" t="s">
        <v>0</v>
      </c>
      <c r="F2899" s="21"/>
      <c r="G2899" s="147" t="s">
        <v>2192</v>
      </c>
      <c r="H2899" s="23" t="s">
        <v>5595</v>
      </c>
      <c r="I2899" s="23" t="s">
        <v>7898</v>
      </c>
      <c r="J2899" s="21" t="s">
        <v>2319</v>
      </c>
      <c r="K2899" s="120"/>
      <c r="L2899" s="21" t="s">
        <v>3459</v>
      </c>
      <c r="M2899" s="26">
        <v>44012</v>
      </c>
      <c r="N2899" s="44">
        <v>96.85</v>
      </c>
      <c r="O2899" s="22" t="s">
        <v>15</v>
      </c>
      <c r="P2899" s="44" t="s">
        <v>19</v>
      </c>
      <c r="Q2899" s="24">
        <f t="shared" si="182"/>
        <v>0</v>
      </c>
      <c r="R2899" s="24">
        <f t="shared" si="185"/>
        <v>96.85</v>
      </c>
      <c r="T2899" s="5"/>
    </row>
    <row r="2900" spans="1:20" ht="15.75" hidden="1" x14ac:dyDescent="0.25">
      <c r="A2900" t="s">
        <v>6753</v>
      </c>
      <c r="B2900" s="21" t="s">
        <v>395</v>
      </c>
      <c r="C2900" s="22" t="s">
        <v>2461</v>
      </c>
      <c r="D2900" s="22"/>
      <c r="E2900" s="21" t="s">
        <v>0</v>
      </c>
      <c r="F2900" s="21"/>
      <c r="G2900" s="147" t="s">
        <v>2192</v>
      </c>
      <c r="H2900" s="23" t="s">
        <v>5595</v>
      </c>
      <c r="I2900" s="23" t="s">
        <v>7898</v>
      </c>
      <c r="J2900" s="21" t="s">
        <v>2319</v>
      </c>
      <c r="K2900" s="120"/>
      <c r="L2900" s="21" t="s">
        <v>3725</v>
      </c>
      <c r="M2900" s="26">
        <v>44074</v>
      </c>
      <c r="N2900" s="44">
        <v>96.85</v>
      </c>
      <c r="O2900" s="22" t="s">
        <v>15</v>
      </c>
      <c r="P2900" s="44" t="s">
        <v>19</v>
      </c>
      <c r="Q2900" s="24">
        <f t="shared" si="182"/>
        <v>0</v>
      </c>
      <c r="R2900" s="24">
        <f t="shared" si="185"/>
        <v>96.85</v>
      </c>
      <c r="S2900" s="5"/>
      <c r="T2900" s="5"/>
    </row>
    <row r="2901" spans="1:20" ht="15.75" hidden="1" x14ac:dyDescent="0.25">
      <c r="A2901" t="s">
        <v>6753</v>
      </c>
      <c r="B2901" s="21" t="s">
        <v>395</v>
      </c>
      <c r="C2901" s="22" t="s">
        <v>2461</v>
      </c>
      <c r="D2901" s="22"/>
      <c r="E2901" s="21" t="s">
        <v>0</v>
      </c>
      <c r="F2901" s="21"/>
      <c r="G2901" s="147" t="s">
        <v>2192</v>
      </c>
      <c r="H2901" s="23" t="s">
        <v>5595</v>
      </c>
      <c r="I2901" s="23" t="s">
        <v>7898</v>
      </c>
      <c r="J2901" s="21" t="s">
        <v>2319</v>
      </c>
      <c r="K2901" s="120"/>
      <c r="L2901" s="21" t="s">
        <v>3725</v>
      </c>
      <c r="M2901" s="26">
        <v>44074</v>
      </c>
      <c r="N2901" s="44">
        <v>96.85</v>
      </c>
      <c r="O2901" s="22" t="s">
        <v>15</v>
      </c>
      <c r="P2901" s="44" t="s">
        <v>19</v>
      </c>
      <c r="Q2901" s="24">
        <f t="shared" si="182"/>
        <v>0</v>
      </c>
      <c r="R2901" s="24">
        <f t="shared" si="185"/>
        <v>96.85</v>
      </c>
      <c r="S2901" s="5"/>
      <c r="T2901" s="5"/>
    </row>
    <row r="2902" spans="1:20" ht="15.75" hidden="1" x14ac:dyDescent="0.25">
      <c r="A2902" t="s">
        <v>6753</v>
      </c>
      <c r="B2902" s="21" t="s">
        <v>395</v>
      </c>
      <c r="C2902" s="22" t="s">
        <v>2461</v>
      </c>
      <c r="D2902" s="22"/>
      <c r="E2902" s="21" t="s">
        <v>0</v>
      </c>
      <c r="F2902" s="21"/>
      <c r="G2902" s="147" t="s">
        <v>2192</v>
      </c>
      <c r="H2902" s="23" t="s">
        <v>5595</v>
      </c>
      <c r="I2902" s="23" t="s">
        <v>7898</v>
      </c>
      <c r="J2902" s="21" t="s">
        <v>2319</v>
      </c>
      <c r="K2902" s="120"/>
      <c r="L2902" s="21" t="s">
        <v>3831</v>
      </c>
      <c r="M2902" s="26">
        <v>44104</v>
      </c>
      <c r="N2902" s="44">
        <v>96.85</v>
      </c>
      <c r="O2902" s="22" t="s">
        <v>15</v>
      </c>
      <c r="P2902" s="44" t="s">
        <v>19</v>
      </c>
      <c r="Q2902" s="24">
        <f t="shared" si="182"/>
        <v>0</v>
      </c>
      <c r="R2902" s="24">
        <f t="shared" si="185"/>
        <v>96.85</v>
      </c>
      <c r="S2902" s="5"/>
      <c r="T2902" s="5"/>
    </row>
    <row r="2903" spans="1:20" ht="15.75" hidden="1" x14ac:dyDescent="0.25">
      <c r="A2903" t="s">
        <v>6753</v>
      </c>
      <c r="B2903" s="21" t="s">
        <v>395</v>
      </c>
      <c r="C2903" s="22" t="s">
        <v>2461</v>
      </c>
      <c r="D2903" s="22"/>
      <c r="E2903" s="21" t="s">
        <v>0</v>
      </c>
      <c r="F2903" s="21"/>
      <c r="G2903" s="147" t="s">
        <v>2192</v>
      </c>
      <c r="H2903" s="23" t="s">
        <v>5595</v>
      </c>
      <c r="I2903" s="23" t="s">
        <v>7898</v>
      </c>
      <c r="J2903" s="21" t="s">
        <v>6258</v>
      </c>
      <c r="K2903" s="120"/>
      <c r="L2903" s="21" t="s">
        <v>6655</v>
      </c>
      <c r="M2903" s="26" t="s">
        <v>6656</v>
      </c>
      <c r="N2903" s="44">
        <v>15708.16</v>
      </c>
      <c r="O2903" s="22" t="s">
        <v>15</v>
      </c>
      <c r="P2903" s="44">
        <f>15376.28+136.88+37.13+136.88+136.88</f>
        <v>15824.049999999997</v>
      </c>
      <c r="Q2903" s="24">
        <f t="shared" si="182"/>
        <v>0</v>
      </c>
      <c r="R2903" s="24">
        <f t="shared" si="185"/>
        <v>15824.049999999997</v>
      </c>
      <c r="S2903" s="5"/>
      <c r="T2903" s="5"/>
    </row>
    <row r="2904" spans="1:20" ht="15.75" hidden="1" x14ac:dyDescent="0.25">
      <c r="A2904" t="s">
        <v>6753</v>
      </c>
      <c r="B2904" s="21" t="s">
        <v>395</v>
      </c>
      <c r="C2904" s="22" t="s">
        <v>2461</v>
      </c>
      <c r="D2904" s="22"/>
      <c r="E2904" s="21" t="s">
        <v>0</v>
      </c>
      <c r="F2904" s="21"/>
      <c r="G2904" s="147" t="s">
        <v>2192</v>
      </c>
      <c r="H2904" s="23" t="s">
        <v>7709</v>
      </c>
      <c r="I2904" s="23" t="s">
        <v>8024</v>
      </c>
      <c r="J2904" s="21" t="s">
        <v>4752</v>
      </c>
      <c r="K2904" s="120"/>
      <c r="L2904" s="21" t="s">
        <v>4970</v>
      </c>
      <c r="M2904" s="26">
        <v>44286</v>
      </c>
      <c r="N2904" s="44">
        <v>2816.6</v>
      </c>
      <c r="O2904" s="22" t="s">
        <v>15</v>
      </c>
      <c r="P2904" s="44">
        <v>2816.6</v>
      </c>
      <c r="Q2904" s="24">
        <f t="shared" si="182"/>
        <v>0</v>
      </c>
      <c r="R2904" s="24">
        <f t="shared" si="185"/>
        <v>2816.6</v>
      </c>
      <c r="S2904" s="5"/>
      <c r="T2904" s="5"/>
    </row>
    <row r="2905" spans="1:20" ht="15.75" hidden="1" x14ac:dyDescent="0.25">
      <c r="A2905" t="s">
        <v>6753</v>
      </c>
      <c r="B2905" s="21" t="s">
        <v>395</v>
      </c>
      <c r="C2905" s="22" t="s">
        <v>2450</v>
      </c>
      <c r="D2905" s="22"/>
      <c r="E2905" s="21" t="s">
        <v>0</v>
      </c>
      <c r="F2905" s="21"/>
      <c r="G2905" s="147" t="s">
        <v>2192</v>
      </c>
      <c r="H2905" s="23" t="s">
        <v>3757</v>
      </c>
      <c r="I2905" s="23" t="s">
        <v>7965</v>
      </c>
      <c r="J2905" s="21" t="s">
        <v>3758</v>
      </c>
      <c r="K2905" s="120"/>
      <c r="L2905" s="21" t="s">
        <v>4271</v>
      </c>
      <c r="M2905" s="47">
        <v>44165</v>
      </c>
      <c r="N2905" s="44">
        <v>7478.81</v>
      </c>
      <c r="O2905" s="22" t="s">
        <v>15</v>
      </c>
      <c r="P2905" s="22">
        <v>10029.969999999999</v>
      </c>
      <c r="Q2905" s="24">
        <f t="shared" si="182"/>
        <v>0</v>
      </c>
      <c r="R2905" s="24">
        <f t="shared" si="185"/>
        <v>10029.969999999999</v>
      </c>
      <c r="S2905" s="5"/>
      <c r="T2905" s="5"/>
    </row>
    <row r="2906" spans="1:20" ht="15.75" hidden="1" x14ac:dyDescent="0.25">
      <c r="A2906" t="s">
        <v>6753</v>
      </c>
      <c r="B2906" s="21" t="s">
        <v>395</v>
      </c>
      <c r="C2906" s="22" t="s">
        <v>1940</v>
      </c>
      <c r="D2906" s="22"/>
      <c r="E2906" s="21" t="s">
        <v>0</v>
      </c>
      <c r="F2906" s="21"/>
      <c r="G2906" s="147" t="s">
        <v>2192</v>
      </c>
      <c r="H2906" s="23" t="s">
        <v>2069</v>
      </c>
      <c r="I2906" s="23"/>
      <c r="J2906" s="21" t="s">
        <v>2070</v>
      </c>
      <c r="K2906" s="120"/>
      <c r="L2906" s="21" t="s">
        <v>4269</v>
      </c>
      <c r="M2906" s="26" t="s">
        <v>4270</v>
      </c>
      <c r="N2906" s="44">
        <v>563</v>
      </c>
      <c r="O2906" s="22" t="s">
        <v>15</v>
      </c>
      <c r="P2906" s="44">
        <f>2256.17+392.88</f>
        <v>2649.05</v>
      </c>
      <c r="Q2906" s="24">
        <f t="shared" si="182"/>
        <v>0</v>
      </c>
      <c r="R2906" s="24">
        <f t="shared" si="185"/>
        <v>2649.05</v>
      </c>
      <c r="S2906" s="5" t="s">
        <v>2073</v>
      </c>
      <c r="T2906" s="5"/>
    </row>
    <row r="2907" spans="1:20" ht="15.75" hidden="1" x14ac:dyDescent="0.25">
      <c r="A2907" t="s">
        <v>6753</v>
      </c>
      <c r="B2907" s="21" t="s">
        <v>395</v>
      </c>
      <c r="C2907" s="22" t="s">
        <v>1940</v>
      </c>
      <c r="D2907" s="22"/>
      <c r="E2907" s="21" t="s">
        <v>0</v>
      </c>
      <c r="F2907" s="21"/>
      <c r="G2907" s="147" t="s">
        <v>2192</v>
      </c>
      <c r="H2907" s="23" t="s">
        <v>2069</v>
      </c>
      <c r="I2907" s="23"/>
      <c r="J2907" s="21" t="s">
        <v>2071</v>
      </c>
      <c r="K2907" s="120"/>
      <c r="L2907" s="21" t="s">
        <v>4038</v>
      </c>
      <c r="M2907" s="26" t="s">
        <v>4022</v>
      </c>
      <c r="N2907" s="44">
        <v>1843.9</v>
      </c>
      <c r="O2907" s="22" t="s">
        <v>15</v>
      </c>
      <c r="P2907" s="44">
        <f>1048.2+3930.75</f>
        <v>4978.95</v>
      </c>
      <c r="Q2907" s="24">
        <f t="shared" si="182"/>
        <v>0</v>
      </c>
      <c r="R2907" s="24">
        <f t="shared" si="185"/>
        <v>4978.95</v>
      </c>
      <c r="S2907" s="5" t="s">
        <v>2073</v>
      </c>
      <c r="T2907" s="5"/>
    </row>
    <row r="2908" spans="1:20" ht="15.75" hidden="1" x14ac:dyDescent="0.25">
      <c r="A2908" t="s">
        <v>6753</v>
      </c>
      <c r="B2908" s="21" t="s">
        <v>395</v>
      </c>
      <c r="C2908" s="22" t="s">
        <v>1940</v>
      </c>
      <c r="D2908" s="22"/>
      <c r="E2908" s="21" t="s">
        <v>0</v>
      </c>
      <c r="F2908" s="21"/>
      <c r="G2908" s="147" t="s">
        <v>2192</v>
      </c>
      <c r="H2908" s="23" t="s">
        <v>2069</v>
      </c>
      <c r="I2908" s="23"/>
      <c r="J2908" s="21" t="s">
        <v>2072</v>
      </c>
      <c r="K2908" s="120"/>
      <c r="L2908" s="21" t="s">
        <v>4269</v>
      </c>
      <c r="M2908" s="26" t="s">
        <v>4270</v>
      </c>
      <c r="N2908" s="44">
        <v>222</v>
      </c>
      <c r="O2908" s="22" t="s">
        <v>15</v>
      </c>
      <c r="P2908" s="44">
        <f>2256.17+392.88</f>
        <v>2649.05</v>
      </c>
      <c r="Q2908" s="24">
        <f t="shared" si="182"/>
        <v>0</v>
      </c>
      <c r="R2908" s="24">
        <f t="shared" si="185"/>
        <v>2649.05</v>
      </c>
      <c r="S2908" s="5" t="s">
        <v>2073</v>
      </c>
      <c r="T2908" s="5"/>
    </row>
    <row r="2909" spans="1:20" ht="15.75" hidden="1" x14ac:dyDescent="0.25">
      <c r="A2909" t="s">
        <v>6753</v>
      </c>
      <c r="B2909" s="21" t="s">
        <v>395</v>
      </c>
      <c r="C2909" s="22" t="s">
        <v>2427</v>
      </c>
      <c r="D2909" s="22"/>
      <c r="E2909" s="21" t="s">
        <v>0</v>
      </c>
      <c r="F2909" s="21"/>
      <c r="G2909" s="147" t="s">
        <v>983</v>
      </c>
      <c r="H2909" s="23" t="s">
        <v>583</v>
      </c>
      <c r="I2909" s="23"/>
      <c r="J2909" s="21" t="s">
        <v>883</v>
      </c>
      <c r="K2909" s="21"/>
      <c r="L2909" s="21"/>
      <c r="M2909" s="23" t="s">
        <v>4263</v>
      </c>
      <c r="N2909" s="44">
        <v>10279</v>
      </c>
      <c r="O2909" s="22" t="s">
        <v>15</v>
      </c>
      <c r="P2909" s="44">
        <f>(75.75+75.75+75.75+75.75+75.75+75.75+459.2+383.45+75.75+383.45+75.75)+(73.55+73.55+73.55+73.55+147.1+73.55+73.55+73.55+73.55+73.55+73.55+72.05)+(78.05+392.3+78.05+507.7+78.05+78.05)+930.17+78.05+2558.12+329.05+78.05+(404.15+2555.45+257.78+257.86+80.4+80.4+160.8+257.71+80.4+80.4+80.4)+(80.4+82.85+85.85+82.85+82.85+275.87)+165.7+82.85+82.85</f>
        <v>13290.210000000001</v>
      </c>
      <c r="Q2909" s="24">
        <f t="shared" si="182"/>
        <v>0</v>
      </c>
      <c r="R2909" s="24">
        <f t="shared" si="185"/>
        <v>13290.210000000001</v>
      </c>
      <c r="S2909" s="5" t="s">
        <v>1210</v>
      </c>
      <c r="T2909" s="5"/>
    </row>
    <row r="2910" spans="1:20" ht="15.75" hidden="1" x14ac:dyDescent="0.25">
      <c r="A2910" t="s">
        <v>6753</v>
      </c>
      <c r="B2910" s="21" t="s">
        <v>395</v>
      </c>
      <c r="C2910" s="22" t="s">
        <v>2452</v>
      </c>
      <c r="D2910" s="22"/>
      <c r="E2910" s="21" t="s">
        <v>0</v>
      </c>
      <c r="F2910" s="21"/>
      <c r="G2910" s="147" t="s">
        <v>983</v>
      </c>
      <c r="H2910" s="23" t="s">
        <v>725</v>
      </c>
      <c r="I2910" s="23"/>
      <c r="J2910" s="21" t="s">
        <v>938</v>
      </c>
      <c r="K2910" s="21"/>
      <c r="L2910" s="21"/>
      <c r="M2910" s="254" t="s">
        <v>4264</v>
      </c>
      <c r="N2910" s="44">
        <v>6984.55</v>
      </c>
      <c r="O2910" s="22" t="s">
        <v>15</v>
      </c>
      <c r="P2910" s="44">
        <f>10531.25+200+186+200+200+200+200+372+331.95+158+158+158+(162.9+162.9+162.9+162.9+162.9+162.9+325.8+162.9+162.9+162.9+162.9)+(162.9+162.9+192.9+162.9+162.9+162.9+325.8+162.9+162.9+162.9+162.9)</f>
        <v>16834.800000000003</v>
      </c>
      <c r="Q2910" s="24">
        <f t="shared" si="182"/>
        <v>0</v>
      </c>
      <c r="R2910" s="24">
        <f>IF(P2910="OK",M2910-Q2910,IF(P2910="en cours",M2910-Q2910,P2910))</f>
        <v>16834.800000000003</v>
      </c>
      <c r="S2910" s="5" t="s">
        <v>1210</v>
      </c>
      <c r="T2910" s="5"/>
    </row>
    <row r="2911" spans="1:20" ht="15.75" hidden="1" x14ac:dyDescent="0.25">
      <c r="A2911" t="s">
        <v>6753</v>
      </c>
      <c r="B2911" s="21" t="s">
        <v>395</v>
      </c>
      <c r="C2911" s="22" t="s">
        <v>2453</v>
      </c>
      <c r="D2911" s="22"/>
      <c r="E2911" s="21" t="s">
        <v>0</v>
      </c>
      <c r="F2911" s="21"/>
      <c r="G2911" s="147" t="s">
        <v>983</v>
      </c>
      <c r="H2911" s="23" t="s">
        <v>581</v>
      </c>
      <c r="I2911" s="23" t="s">
        <v>8330</v>
      </c>
      <c r="J2911" s="21" t="s">
        <v>4036</v>
      </c>
      <c r="K2911" s="21"/>
      <c r="L2911" s="21"/>
      <c r="M2911" s="254" t="s">
        <v>4265</v>
      </c>
      <c r="N2911" s="44">
        <v>3807.94</v>
      </c>
      <c r="O2911" s="22" t="s">
        <v>15</v>
      </c>
      <c r="P2911" s="44">
        <f>2934.4+396.25+89.1+396.25+89.1+89.1+89.1+178.2+89.1+89.1+89.1+89.1+(91.8+91.8+91.8+91.8+91.8+91.8+183.6+91.8+91.8+91.8+91.8)+(91.8+94.6+94.6+94.6+94.6+94.6+189.2+94.6+94.6+94.6+94.6)</f>
        <v>6851.9000000000015</v>
      </c>
      <c r="Q2911" s="24">
        <f t="shared" si="182"/>
        <v>0</v>
      </c>
      <c r="R2911" s="24">
        <f>IF(P2911="OK",N2911-Q2911,IF(P2911="en cours",N2911-Q2911,P2911))</f>
        <v>6851.9000000000015</v>
      </c>
      <c r="S2911" s="5"/>
      <c r="T2911" s="5"/>
    </row>
    <row r="2912" spans="1:20" ht="15.75" hidden="1" x14ac:dyDescent="0.25">
      <c r="B2912" s="21" t="s">
        <v>395</v>
      </c>
      <c r="C2912" s="22" t="s">
        <v>2456</v>
      </c>
      <c r="D2912" s="22"/>
      <c r="E2912" s="21" t="s">
        <v>0</v>
      </c>
      <c r="F2912" s="21"/>
      <c r="G2912" s="147" t="s">
        <v>983</v>
      </c>
      <c r="H2912" s="23" t="s">
        <v>582</v>
      </c>
      <c r="I2912" s="23" t="s">
        <v>8329</v>
      </c>
      <c r="J2912" s="21" t="s">
        <v>882</v>
      </c>
      <c r="K2912" s="21"/>
      <c r="L2912" s="21" t="s">
        <v>4266</v>
      </c>
      <c r="M2912" s="23"/>
      <c r="N2912" s="44">
        <v>0</v>
      </c>
      <c r="O2912" s="22" t="s">
        <v>15</v>
      </c>
      <c r="P2912" s="44" t="s">
        <v>19</v>
      </c>
      <c r="Q2912" s="24">
        <f t="shared" ref="Q2912:Q2974" si="186">IF(P2912="en cours",N2912,IF(P2912="OK",0,IF(N2912-P2912&lt;0,0,N2912-P2912)))</f>
        <v>0</v>
      </c>
      <c r="R2912" s="24">
        <f>IF(P2912="OK",N2912-Q2912,IF(P2912="en cours",N2912-Q2912,P2912))</f>
        <v>0</v>
      </c>
      <c r="S2912" s="5" t="s">
        <v>1210</v>
      </c>
      <c r="T2912" s="5"/>
    </row>
    <row r="2913" spans="2:20" ht="15.75" hidden="1" x14ac:dyDescent="0.25">
      <c r="B2913" s="21" t="s">
        <v>395</v>
      </c>
      <c r="C2913" s="22" t="s">
        <v>2457</v>
      </c>
      <c r="D2913" s="22"/>
      <c r="E2913" s="21" t="s">
        <v>0</v>
      </c>
      <c r="F2913" s="21"/>
      <c r="G2913" s="147" t="s">
        <v>983</v>
      </c>
      <c r="H2913" s="23" t="s">
        <v>455</v>
      </c>
      <c r="I2913" s="23" t="s">
        <v>8332</v>
      </c>
      <c r="J2913" s="21" t="s">
        <v>937</v>
      </c>
      <c r="K2913" s="21"/>
      <c r="L2913" s="21" t="s">
        <v>4369</v>
      </c>
      <c r="M2913" s="263"/>
      <c r="N2913" s="44">
        <v>32111.96</v>
      </c>
      <c r="O2913" s="22" t="s">
        <v>15</v>
      </c>
      <c r="P2913" s="44">
        <f>3310.8+93.2+695.6+1169.9+1413.4+1887.7+904.2+811+811+93.2+93.2+(452.1+336.7+2849+3905.36+466.55+2504.55+215.3+466.55+1786.75+2296.98+2504.55)+(107.65+110.95+110.95+110.95+110.95+110.95+(162.3+29.8+29.8)+36+81.15+(81.15+26.8)+(81.15+29.8+82.7+117.72+60+120.6+239.5)+1203.5)</f>
        <v>32111.960000000003</v>
      </c>
      <c r="Q2913" s="24">
        <f t="shared" si="186"/>
        <v>0</v>
      </c>
      <c r="R2913" s="24">
        <f>IF(P2913="OK",M2913-Q2913,IF(P2913="en cours",M2913-Q2913,P2913))</f>
        <v>32111.960000000003</v>
      </c>
      <c r="S2913" s="5" t="s">
        <v>1210</v>
      </c>
      <c r="T2913" s="5"/>
    </row>
    <row r="2914" spans="2:20" ht="15.75" hidden="1" x14ac:dyDescent="0.25">
      <c r="B2914" s="21" t="s">
        <v>395</v>
      </c>
      <c r="C2914" s="22" t="s">
        <v>2456</v>
      </c>
      <c r="D2914" s="22"/>
      <c r="E2914" s="21" t="s">
        <v>0</v>
      </c>
      <c r="F2914" s="21"/>
      <c r="G2914" s="147" t="s">
        <v>983</v>
      </c>
      <c r="H2914" s="23" t="s">
        <v>7617</v>
      </c>
      <c r="I2914" s="23"/>
      <c r="J2914" s="21" t="s">
        <v>7618</v>
      </c>
      <c r="K2914" s="21"/>
      <c r="L2914" s="21"/>
      <c r="M2914" s="23"/>
      <c r="N2914" s="44">
        <v>26787.5</v>
      </c>
      <c r="O2914" s="22" t="s">
        <v>15</v>
      </c>
      <c r="P2914" s="44">
        <v>37639.480000000003</v>
      </c>
      <c r="Q2914" s="24">
        <f t="shared" si="186"/>
        <v>0</v>
      </c>
      <c r="R2914" s="24">
        <f>IF(P2914="OK",N2914-Q2914,IF(P2914="en cours",N2914-Q2914,P2914))</f>
        <v>37639.480000000003</v>
      </c>
      <c r="S2914" s="5"/>
      <c r="T2914" s="5"/>
    </row>
    <row r="2915" spans="2:20" ht="15.75" hidden="1" x14ac:dyDescent="0.25">
      <c r="B2915" s="21" t="s">
        <v>395</v>
      </c>
      <c r="C2915" s="22" t="s">
        <v>2457</v>
      </c>
      <c r="D2915" s="22"/>
      <c r="E2915" s="21" t="s">
        <v>0</v>
      </c>
      <c r="F2915" s="21"/>
      <c r="G2915" s="147" t="s">
        <v>983</v>
      </c>
      <c r="H2915" s="23" t="s">
        <v>5401</v>
      </c>
      <c r="I2915" s="23" t="s">
        <v>7837</v>
      </c>
      <c r="J2915" s="21" t="s">
        <v>5400</v>
      </c>
      <c r="K2915" s="21"/>
      <c r="L2915" s="21" t="s">
        <v>5402</v>
      </c>
      <c r="M2915" s="263"/>
      <c r="N2915" s="44">
        <f>2189.33+2535.05</f>
        <v>4724.38</v>
      </c>
      <c r="O2915" s="22" t="s">
        <v>15</v>
      </c>
      <c r="P2915" s="44">
        <f>((300+180+921+108+5636.55)+(100+60+307+36)+(100+60+307+108)+(81.15+29.8)+(29.8+36)+36+36)-769+36+134.93</f>
        <v>7874.23</v>
      </c>
      <c r="Q2915" s="24">
        <f t="shared" si="186"/>
        <v>0</v>
      </c>
      <c r="R2915" s="24">
        <f>IF(P2915="OK",M2915-Q2915,IF(P2915="en cours",M2915-Q2915,P2915))</f>
        <v>7874.23</v>
      </c>
      <c r="S2915" s="5"/>
      <c r="T2915" s="5"/>
    </row>
    <row r="2916" spans="2:20" ht="15.75" hidden="1" x14ac:dyDescent="0.25">
      <c r="B2916" s="21" t="s">
        <v>395</v>
      </c>
      <c r="C2916" s="22" t="s">
        <v>2456</v>
      </c>
      <c r="D2916" s="22"/>
      <c r="E2916" s="21" t="s">
        <v>0</v>
      </c>
      <c r="F2916" s="21"/>
      <c r="G2916" s="147" t="s">
        <v>983</v>
      </c>
      <c r="H2916" s="23" t="s">
        <v>1218</v>
      </c>
      <c r="I2916" s="23"/>
      <c r="J2916" s="21" t="s">
        <v>1219</v>
      </c>
      <c r="K2916" s="21"/>
      <c r="L2916" s="21" t="s">
        <v>7615</v>
      </c>
      <c r="M2916" s="23" t="s">
        <v>7616</v>
      </c>
      <c r="N2916" s="44">
        <v>0</v>
      </c>
      <c r="O2916" s="22" t="s">
        <v>15</v>
      </c>
      <c r="P2916" s="44" t="s">
        <v>19</v>
      </c>
      <c r="Q2916" s="24">
        <f t="shared" si="186"/>
        <v>0</v>
      </c>
      <c r="R2916" s="24">
        <f t="shared" ref="R2916:R2920" si="187">IF(P2916="OK",N2916-Q2916,IF(P2916="en cours",N2916-Q2916,P2916))</f>
        <v>0</v>
      </c>
      <c r="S2916" s="5" t="s">
        <v>5459</v>
      </c>
      <c r="T2916" s="5"/>
    </row>
    <row r="2917" spans="2:20" ht="15.75" hidden="1" x14ac:dyDescent="0.25">
      <c r="B2917" s="21" t="s">
        <v>395</v>
      </c>
      <c r="C2917" s="22" t="s">
        <v>2459</v>
      </c>
      <c r="D2917" s="22"/>
      <c r="E2917" s="21" t="s">
        <v>75</v>
      </c>
      <c r="F2917" s="21"/>
      <c r="G2917" s="147" t="s">
        <v>356</v>
      </c>
      <c r="H2917" s="23" t="s">
        <v>8928</v>
      </c>
      <c r="I2917" s="23" t="s">
        <v>8929</v>
      </c>
      <c r="J2917" s="21" t="s">
        <v>8930</v>
      </c>
      <c r="K2917" s="21"/>
      <c r="L2917" s="21" t="s">
        <v>11031</v>
      </c>
      <c r="M2917" s="26" t="s">
        <v>11032</v>
      </c>
      <c r="N2917" s="44">
        <v>36800</v>
      </c>
      <c r="O2917" s="22" t="s">
        <v>15</v>
      </c>
      <c r="P2917" s="44">
        <f>12650+3680+15065</f>
        <v>31395</v>
      </c>
      <c r="Q2917" s="44">
        <v>0</v>
      </c>
      <c r="R2917" s="24">
        <f t="shared" si="187"/>
        <v>31395</v>
      </c>
      <c r="S2917" s="5"/>
      <c r="T2917" s="5"/>
    </row>
    <row r="2918" spans="2:20" ht="15.75" hidden="1" x14ac:dyDescent="0.25">
      <c r="B2918" s="21" t="s">
        <v>395</v>
      </c>
      <c r="C2918" s="22" t="s">
        <v>2459</v>
      </c>
      <c r="D2918" s="22"/>
      <c r="E2918" s="21" t="s">
        <v>75</v>
      </c>
      <c r="F2918" s="21"/>
      <c r="G2918" s="147" t="s">
        <v>356</v>
      </c>
      <c r="H2918" s="23" t="s">
        <v>5784</v>
      </c>
      <c r="I2918" s="23" t="s">
        <v>8097</v>
      </c>
      <c r="J2918" s="23" t="s">
        <v>5782</v>
      </c>
      <c r="K2918" s="21"/>
      <c r="L2918" s="21" t="s">
        <v>8917</v>
      </c>
      <c r="M2918" s="26" t="s">
        <v>8918</v>
      </c>
      <c r="N2918" s="44">
        <v>35200</v>
      </c>
      <c r="O2918" s="22" t="s">
        <v>15</v>
      </c>
      <c r="P2918" s="22">
        <f>8580+5500+3740+2310+6930+6600+1540</f>
        <v>35200</v>
      </c>
      <c r="Q2918" s="24">
        <f t="shared" si="186"/>
        <v>0</v>
      </c>
      <c r="R2918" s="24">
        <f t="shared" si="187"/>
        <v>35200</v>
      </c>
      <c r="S2918" s="5"/>
      <c r="T2918" s="5"/>
    </row>
    <row r="2919" spans="2:20" ht="15.75" hidden="1" x14ac:dyDescent="0.25">
      <c r="B2919" s="21" t="s">
        <v>395</v>
      </c>
      <c r="C2919" s="22" t="s">
        <v>2450</v>
      </c>
      <c r="D2919" s="22"/>
      <c r="E2919" s="21" t="s">
        <v>10</v>
      </c>
      <c r="F2919" s="21"/>
      <c r="G2919" s="147" t="s">
        <v>8572</v>
      </c>
      <c r="H2919" s="23" t="s">
        <v>8573</v>
      </c>
      <c r="I2919" s="23" t="s">
        <v>8574</v>
      </c>
      <c r="J2919" s="21" t="s">
        <v>8571</v>
      </c>
      <c r="K2919" s="21"/>
      <c r="L2919" s="21" t="s">
        <v>8618</v>
      </c>
      <c r="M2919" s="26">
        <v>45125</v>
      </c>
      <c r="N2919" s="44">
        <v>1009</v>
      </c>
      <c r="O2919" s="22" t="s">
        <v>15</v>
      </c>
      <c r="P2919" s="44">
        <f>1009</f>
        <v>1009</v>
      </c>
      <c r="Q2919" s="44">
        <f t="shared" si="186"/>
        <v>0</v>
      </c>
      <c r="R2919" s="116">
        <f t="shared" si="187"/>
        <v>1009</v>
      </c>
      <c r="S2919" s="5"/>
      <c r="T2919" s="5"/>
    </row>
    <row r="2920" spans="2:20" ht="15.75" hidden="1" x14ac:dyDescent="0.25">
      <c r="B2920" s="21" t="s">
        <v>395</v>
      </c>
      <c r="C2920" s="22" t="s">
        <v>2450</v>
      </c>
      <c r="D2920" s="22"/>
      <c r="E2920" s="21" t="s">
        <v>7137</v>
      </c>
      <c r="F2920" s="21"/>
      <c r="G2920" s="147" t="s">
        <v>8555</v>
      </c>
      <c r="H2920" s="23" t="s">
        <v>8556</v>
      </c>
      <c r="I2920" s="23" t="s">
        <v>8557</v>
      </c>
      <c r="J2920" s="21" t="s">
        <v>8558</v>
      </c>
      <c r="K2920" s="21"/>
      <c r="L2920" s="21" t="s">
        <v>8986</v>
      </c>
      <c r="M2920" s="26">
        <v>45198</v>
      </c>
      <c r="N2920" s="44">
        <v>4119</v>
      </c>
      <c r="O2920" s="22" t="s">
        <v>15</v>
      </c>
      <c r="P2920" s="44">
        <v>4119</v>
      </c>
      <c r="Q2920" s="44">
        <f t="shared" si="186"/>
        <v>0</v>
      </c>
      <c r="R2920" s="116">
        <f t="shared" si="187"/>
        <v>4119</v>
      </c>
      <c r="S2920" s="5"/>
      <c r="T2920" s="5"/>
    </row>
    <row r="2921" spans="2:20" ht="15.75" hidden="1" x14ac:dyDescent="0.25">
      <c r="B2921" s="21" t="s">
        <v>395</v>
      </c>
      <c r="C2921" s="22" t="s">
        <v>2450</v>
      </c>
      <c r="D2921" s="22"/>
      <c r="E2921" s="21" t="s">
        <v>7137</v>
      </c>
      <c r="F2921" s="21" t="s">
        <v>9761</v>
      </c>
      <c r="G2921" s="147" t="s">
        <v>8555</v>
      </c>
      <c r="H2921" s="23" t="s">
        <v>10167</v>
      </c>
      <c r="I2921" s="23" t="s">
        <v>10168</v>
      </c>
      <c r="J2921" s="21" t="s">
        <v>10169</v>
      </c>
      <c r="K2921" s="21"/>
      <c r="L2921" s="21" t="s">
        <v>11254</v>
      </c>
      <c r="M2921" s="26" t="s">
        <v>11255</v>
      </c>
      <c r="N2921" s="44">
        <v>11325</v>
      </c>
      <c r="O2921" s="22" t="s">
        <v>15</v>
      </c>
      <c r="P2921" s="44">
        <f>2220+6974.24+2220</f>
        <v>11414.24</v>
      </c>
      <c r="Q2921" s="44">
        <f t="shared" si="186"/>
        <v>0</v>
      </c>
      <c r="R2921" s="116">
        <f>IF(P2921="OK",N2921-Q2921,IF(P2921="en cours",M2921-Q2921,P2921))</f>
        <v>11414.24</v>
      </c>
      <c r="S2921" s="5"/>
      <c r="T2921" s="5"/>
    </row>
    <row r="2922" spans="2:20" ht="15.75" hidden="1" x14ac:dyDescent="0.25">
      <c r="B2922" s="21" t="s">
        <v>395</v>
      </c>
      <c r="C2922" s="22" t="s">
        <v>2450</v>
      </c>
      <c r="D2922" s="22"/>
      <c r="E2922" s="21" t="s">
        <v>10</v>
      </c>
      <c r="F2922" s="21"/>
      <c r="G2922" s="147" t="s">
        <v>8575</v>
      </c>
      <c r="H2922" s="23" t="s">
        <v>8576</v>
      </c>
      <c r="I2922" s="23" t="s">
        <v>8577</v>
      </c>
      <c r="J2922" s="21" t="s">
        <v>8571</v>
      </c>
      <c r="K2922" s="21"/>
      <c r="L2922" s="21" t="s">
        <v>8596</v>
      </c>
      <c r="M2922" s="26">
        <v>45119</v>
      </c>
      <c r="N2922" s="44">
        <v>3720</v>
      </c>
      <c r="O2922" s="22" t="s">
        <v>15</v>
      </c>
      <c r="P2922" s="44">
        <f>3720.8</f>
        <v>3720.8</v>
      </c>
      <c r="Q2922" s="44">
        <f t="shared" si="186"/>
        <v>0</v>
      </c>
      <c r="R2922" s="116">
        <f>IF(P2922="OK",N2922-Q2922,IF(P2922="en cours",N2922-Q2922,P2922))</f>
        <v>3720.8</v>
      </c>
      <c r="S2922" s="5"/>
      <c r="T2922" s="5"/>
    </row>
    <row r="2923" spans="2:20" ht="15.75" hidden="1" x14ac:dyDescent="0.25">
      <c r="B2923" s="21" t="s">
        <v>395</v>
      </c>
      <c r="C2923" s="22" t="s">
        <v>2450</v>
      </c>
      <c r="D2923" s="22"/>
      <c r="E2923" s="21" t="s">
        <v>10</v>
      </c>
      <c r="F2923" s="21"/>
      <c r="G2923" s="147" t="s">
        <v>10812</v>
      </c>
      <c r="H2923" s="23" t="s">
        <v>10760</v>
      </c>
      <c r="I2923" s="23" t="s">
        <v>10761</v>
      </c>
      <c r="J2923" s="21" t="s">
        <v>6557</v>
      </c>
      <c r="K2923" s="21"/>
      <c r="L2923" s="21" t="s">
        <v>10813</v>
      </c>
      <c r="M2923" s="26">
        <v>45616</v>
      </c>
      <c r="N2923" s="44">
        <v>10316.82</v>
      </c>
      <c r="O2923" s="22" t="s">
        <v>15</v>
      </c>
      <c r="P2923" s="44">
        <v>10316.82</v>
      </c>
      <c r="Q2923" s="24">
        <f t="shared" si="186"/>
        <v>0</v>
      </c>
      <c r="R2923" s="24">
        <f>IF(P2923="OK",N2923-Q2923,IF(P2923="en cours",M2923-Q2923,P2923))</f>
        <v>10316.82</v>
      </c>
      <c r="S2923" s="5"/>
      <c r="T2923" s="5"/>
    </row>
    <row r="2924" spans="2:20" ht="15.75" hidden="1" x14ac:dyDescent="0.25">
      <c r="B2924" s="21" t="s">
        <v>395</v>
      </c>
      <c r="C2924" s="22" t="s">
        <v>4542</v>
      </c>
      <c r="D2924" s="22"/>
      <c r="E2924" s="21" t="s">
        <v>75</v>
      </c>
      <c r="F2924" s="21" t="s">
        <v>11253</v>
      </c>
      <c r="G2924" s="147" t="s">
        <v>10713</v>
      </c>
      <c r="H2924" s="23" t="s">
        <v>11213</v>
      </c>
      <c r="I2924" s="23"/>
      <c r="J2924" s="21" t="s">
        <v>10714</v>
      </c>
      <c r="K2924" s="21"/>
      <c r="L2924" s="21"/>
      <c r="M2924" s="23"/>
      <c r="N2924" s="44">
        <v>0</v>
      </c>
      <c r="O2924" s="22" t="s">
        <v>15</v>
      </c>
      <c r="P2924" s="44"/>
      <c r="Q2924" s="24">
        <f t="shared" si="186"/>
        <v>0</v>
      </c>
      <c r="R2924" s="24">
        <f>IF(P2924="OK",N2924-Q2924,IF(P2924="en cours",M2924-Q2924,P2924))</f>
        <v>0</v>
      </c>
      <c r="S2924" s="5"/>
      <c r="T2924" s="5"/>
    </row>
    <row r="2925" spans="2:20" ht="15.75" hidden="1" x14ac:dyDescent="0.25">
      <c r="B2925" s="21" t="s">
        <v>395</v>
      </c>
      <c r="C2925" s="22" t="s">
        <v>2450</v>
      </c>
      <c r="D2925" s="22"/>
      <c r="E2925" s="21" t="s">
        <v>7137</v>
      </c>
      <c r="F2925" s="21"/>
      <c r="G2925" s="147" t="s">
        <v>9992</v>
      </c>
      <c r="H2925" s="23" t="s">
        <v>9993</v>
      </c>
      <c r="I2925" s="23" t="s">
        <v>9994</v>
      </c>
      <c r="J2925" s="21" t="s">
        <v>9995</v>
      </c>
      <c r="K2925" s="21"/>
      <c r="L2925" s="21" t="s">
        <v>9996</v>
      </c>
      <c r="M2925" s="26">
        <v>45479</v>
      </c>
      <c r="N2925" s="44">
        <v>60000</v>
      </c>
      <c r="O2925" s="22" t="s">
        <v>276</v>
      </c>
      <c r="P2925" s="44">
        <v>6000</v>
      </c>
      <c r="Q2925" s="44">
        <f t="shared" si="186"/>
        <v>54000</v>
      </c>
      <c r="R2925" s="24">
        <f t="shared" ref="R2925:R2987" si="188">IF(P2925="OK",N2925-Q2925,IF(P2925="en cours",N2925-Q2925,P2925))</f>
        <v>6000</v>
      </c>
      <c r="S2925" s="5"/>
      <c r="T2925" s="5"/>
    </row>
    <row r="2926" spans="2:20" ht="15.75" hidden="1" x14ac:dyDescent="0.25">
      <c r="B2926" s="21" t="s">
        <v>395</v>
      </c>
      <c r="C2926" s="22" t="s">
        <v>7408</v>
      </c>
      <c r="D2926" s="22"/>
      <c r="E2926" s="21" t="s">
        <v>75</v>
      </c>
      <c r="F2926" s="21" t="s">
        <v>9819</v>
      </c>
      <c r="G2926" s="147" t="s">
        <v>9160</v>
      </c>
      <c r="H2926" s="23" t="s">
        <v>10006</v>
      </c>
      <c r="I2926" s="23" t="s">
        <v>10007</v>
      </c>
      <c r="J2926" s="21" t="s">
        <v>10008</v>
      </c>
      <c r="K2926" s="21"/>
      <c r="L2926" s="21" t="s">
        <v>10156</v>
      </c>
      <c r="M2926" s="26">
        <v>45483</v>
      </c>
      <c r="N2926" s="44">
        <v>2532.3000000000002</v>
      </c>
      <c r="O2926" s="22" t="s">
        <v>15</v>
      </c>
      <c r="P2926" s="44">
        <f>2532.29</f>
        <v>2532.29</v>
      </c>
      <c r="Q2926" s="44">
        <f t="shared" si="186"/>
        <v>1.0000000000218279E-2</v>
      </c>
      <c r="R2926" s="24">
        <f t="shared" si="188"/>
        <v>2532.29</v>
      </c>
      <c r="S2926" s="5"/>
      <c r="T2926" s="5"/>
    </row>
    <row r="2927" spans="2:20" ht="15.75" hidden="1" x14ac:dyDescent="0.25">
      <c r="B2927" s="21" t="s">
        <v>395</v>
      </c>
      <c r="C2927" s="22" t="s">
        <v>7408</v>
      </c>
      <c r="D2927" s="22"/>
      <c r="E2927" s="21" t="s">
        <v>75</v>
      </c>
      <c r="F2927" s="21" t="s">
        <v>9819</v>
      </c>
      <c r="G2927" s="147" t="s">
        <v>9160</v>
      </c>
      <c r="H2927" s="23" t="s">
        <v>10009</v>
      </c>
      <c r="I2927" s="23" t="s">
        <v>10010</v>
      </c>
      <c r="J2927" s="21" t="s">
        <v>10011</v>
      </c>
      <c r="K2927" s="21"/>
      <c r="L2927" s="21" t="s">
        <v>10290</v>
      </c>
      <c r="M2927" s="26">
        <v>45510</v>
      </c>
      <c r="N2927" s="44">
        <v>2260.02</v>
      </c>
      <c r="O2927" s="22" t="s">
        <v>15</v>
      </c>
      <c r="P2927" s="44">
        <v>2260.02</v>
      </c>
      <c r="Q2927" s="44">
        <f t="shared" si="186"/>
        <v>0</v>
      </c>
      <c r="R2927" s="24">
        <f t="shared" si="188"/>
        <v>2260.02</v>
      </c>
      <c r="S2927" s="5"/>
      <c r="T2927" s="5"/>
    </row>
    <row r="2928" spans="2:20" ht="15.75" hidden="1" x14ac:dyDescent="0.25">
      <c r="B2928" s="21" t="s">
        <v>395</v>
      </c>
      <c r="C2928" s="22" t="s">
        <v>8584</v>
      </c>
      <c r="D2928" s="22"/>
      <c r="E2928" s="21" t="s">
        <v>75</v>
      </c>
      <c r="F2928" s="21" t="s">
        <v>9755</v>
      </c>
      <c r="G2928" s="147" t="s">
        <v>9160</v>
      </c>
      <c r="H2928" s="23" t="s">
        <v>10229</v>
      </c>
      <c r="I2928" s="23" t="s">
        <v>10230</v>
      </c>
      <c r="J2928" s="21" t="s">
        <v>10231</v>
      </c>
      <c r="K2928" s="21"/>
      <c r="L2928" s="21" t="s">
        <v>10291</v>
      </c>
      <c r="M2928" s="26">
        <v>45510</v>
      </c>
      <c r="N2928" s="44">
        <v>1512.75</v>
      </c>
      <c r="O2928" s="22" t="s">
        <v>15</v>
      </c>
      <c r="P2928" s="44">
        <v>1521.75</v>
      </c>
      <c r="Q2928" s="44">
        <f t="shared" si="186"/>
        <v>0</v>
      </c>
      <c r="R2928" s="24">
        <f t="shared" si="188"/>
        <v>1521.75</v>
      </c>
      <c r="S2928" s="5"/>
      <c r="T2928" s="5"/>
    </row>
    <row r="2929" spans="2:20" ht="15.75" hidden="1" x14ac:dyDescent="0.25">
      <c r="B2929" s="21" t="s">
        <v>395</v>
      </c>
      <c r="C2929" s="22" t="s">
        <v>2421</v>
      </c>
      <c r="D2929" s="22"/>
      <c r="E2929" s="21" t="s">
        <v>75</v>
      </c>
      <c r="F2929" s="21"/>
      <c r="G2929" s="147" t="s">
        <v>5526</v>
      </c>
      <c r="H2929" s="23" t="s">
        <v>5527</v>
      </c>
      <c r="I2929" s="23"/>
      <c r="J2929" s="332" t="s">
        <v>5528</v>
      </c>
      <c r="K2929" s="21"/>
      <c r="L2929" s="165"/>
      <c r="M2929" s="355"/>
      <c r="N2929" s="264">
        <f>1539828.6-SUM(N2930:N2964)</f>
        <v>1193772.8000000003</v>
      </c>
      <c r="O2929" s="22" t="s">
        <v>276</v>
      </c>
      <c r="P2929" s="44"/>
      <c r="Q2929" s="24">
        <f t="shared" si="186"/>
        <v>1193772.8000000003</v>
      </c>
      <c r="R2929" s="24">
        <f t="shared" si="188"/>
        <v>0</v>
      </c>
      <c r="S2929" s="5" t="s">
        <v>12551</v>
      </c>
      <c r="T2929" s="5"/>
    </row>
    <row r="2930" spans="2:20" ht="15.75" hidden="1" x14ac:dyDescent="0.25">
      <c r="B2930" s="21" t="s">
        <v>395</v>
      </c>
      <c r="C2930" s="22" t="s">
        <v>2421</v>
      </c>
      <c r="D2930" s="22"/>
      <c r="E2930" s="21" t="s">
        <v>75</v>
      </c>
      <c r="F2930" s="21"/>
      <c r="G2930" s="147" t="s">
        <v>5526</v>
      </c>
      <c r="H2930" s="23" t="s">
        <v>5527</v>
      </c>
      <c r="I2930" s="23"/>
      <c r="J2930" s="332" t="s">
        <v>5540</v>
      </c>
      <c r="K2930" s="21"/>
      <c r="L2930" s="165" t="s">
        <v>6733</v>
      </c>
      <c r="M2930" s="355">
        <v>44694</v>
      </c>
      <c r="N2930" s="264">
        <v>3600</v>
      </c>
      <c r="O2930" s="22" t="s">
        <v>276</v>
      </c>
      <c r="P2930" s="44">
        <f t="shared" ref="P2930:P2964" si="189">N2930</f>
        <v>3600</v>
      </c>
      <c r="Q2930" s="24">
        <f t="shared" si="186"/>
        <v>0</v>
      </c>
      <c r="R2930" s="24">
        <f t="shared" si="188"/>
        <v>3600</v>
      </c>
      <c r="S2930" s="5"/>
      <c r="T2930" s="5"/>
    </row>
    <row r="2931" spans="2:20" ht="15.75" hidden="1" x14ac:dyDescent="0.25">
      <c r="B2931" s="21" t="s">
        <v>395</v>
      </c>
      <c r="C2931" s="22" t="s">
        <v>2421</v>
      </c>
      <c r="D2931" s="22"/>
      <c r="E2931" s="21" t="s">
        <v>75</v>
      </c>
      <c r="F2931" s="21"/>
      <c r="G2931" s="147" t="s">
        <v>5526</v>
      </c>
      <c r="H2931" s="23" t="s">
        <v>5527</v>
      </c>
      <c r="I2931" s="23"/>
      <c r="J2931" s="352" t="s">
        <v>5535</v>
      </c>
      <c r="K2931" s="21"/>
      <c r="L2931" s="165" t="s">
        <v>5544</v>
      </c>
      <c r="M2931" s="164">
        <v>43798</v>
      </c>
      <c r="N2931" s="44">
        <v>18950</v>
      </c>
      <c r="O2931" s="22" t="s">
        <v>276</v>
      </c>
      <c r="P2931" s="44">
        <f t="shared" si="189"/>
        <v>18950</v>
      </c>
      <c r="Q2931" s="24">
        <f t="shared" si="186"/>
        <v>0</v>
      </c>
      <c r="R2931" s="24">
        <f t="shared" si="188"/>
        <v>18950</v>
      </c>
      <c r="S2931" s="5"/>
      <c r="T2931" s="5"/>
    </row>
    <row r="2932" spans="2:20" ht="15.75" hidden="1" x14ac:dyDescent="0.25">
      <c r="B2932" s="21" t="s">
        <v>395</v>
      </c>
      <c r="C2932" s="22" t="s">
        <v>2421</v>
      </c>
      <c r="D2932" s="22"/>
      <c r="E2932" s="21" t="s">
        <v>75</v>
      </c>
      <c r="F2932" s="21"/>
      <c r="G2932" s="147" t="s">
        <v>5526</v>
      </c>
      <c r="H2932" s="23" t="s">
        <v>5527</v>
      </c>
      <c r="I2932" s="23"/>
      <c r="J2932" s="332" t="s">
        <v>5536</v>
      </c>
      <c r="K2932" s="21"/>
      <c r="L2932" s="165" t="s">
        <v>5545</v>
      </c>
      <c r="M2932" s="164">
        <v>43900</v>
      </c>
      <c r="N2932" s="264">
        <v>1600</v>
      </c>
      <c r="O2932" s="22" t="s">
        <v>276</v>
      </c>
      <c r="P2932" s="44">
        <f t="shared" si="189"/>
        <v>1600</v>
      </c>
      <c r="Q2932" s="24">
        <f t="shared" si="186"/>
        <v>0</v>
      </c>
      <c r="R2932" s="24">
        <f t="shared" si="188"/>
        <v>1600</v>
      </c>
      <c r="S2932" s="5"/>
      <c r="T2932" s="5"/>
    </row>
    <row r="2933" spans="2:20" ht="15.75" hidden="1" x14ac:dyDescent="0.25">
      <c r="B2933" s="21" t="s">
        <v>395</v>
      </c>
      <c r="C2933" s="22" t="s">
        <v>2421</v>
      </c>
      <c r="D2933" s="22"/>
      <c r="E2933" s="21" t="s">
        <v>75</v>
      </c>
      <c r="F2933" s="21"/>
      <c r="G2933" s="147" t="s">
        <v>5526</v>
      </c>
      <c r="H2933" s="23" t="s">
        <v>5527</v>
      </c>
      <c r="I2933" s="23"/>
      <c r="J2933" s="332" t="s">
        <v>5536</v>
      </c>
      <c r="K2933" s="21"/>
      <c r="L2933" s="165" t="s">
        <v>5546</v>
      </c>
      <c r="M2933" s="164">
        <v>43900</v>
      </c>
      <c r="N2933" s="264">
        <v>1600</v>
      </c>
      <c r="O2933" s="22" t="s">
        <v>276</v>
      </c>
      <c r="P2933" s="44">
        <f t="shared" si="189"/>
        <v>1600</v>
      </c>
      <c r="Q2933" s="24">
        <f t="shared" si="186"/>
        <v>0</v>
      </c>
      <c r="R2933" s="24">
        <f t="shared" si="188"/>
        <v>1600</v>
      </c>
      <c r="S2933" s="5"/>
      <c r="T2933" s="5"/>
    </row>
    <row r="2934" spans="2:20" ht="15.75" hidden="1" x14ac:dyDescent="0.25">
      <c r="B2934" s="21" t="s">
        <v>395</v>
      </c>
      <c r="C2934" s="22" t="s">
        <v>2421</v>
      </c>
      <c r="D2934" s="22"/>
      <c r="E2934" s="21" t="s">
        <v>75</v>
      </c>
      <c r="F2934" s="21"/>
      <c r="G2934" s="147" t="s">
        <v>5526</v>
      </c>
      <c r="H2934" s="23" t="s">
        <v>5527</v>
      </c>
      <c r="I2934" s="23"/>
      <c r="J2934" s="353" t="s">
        <v>5537</v>
      </c>
      <c r="K2934" s="21"/>
      <c r="L2934" s="165" t="s">
        <v>5547</v>
      </c>
      <c r="M2934" s="164">
        <v>44014</v>
      </c>
      <c r="N2934" s="44">
        <v>76216.399999999994</v>
      </c>
      <c r="O2934" s="22" t="s">
        <v>276</v>
      </c>
      <c r="P2934" s="44">
        <f t="shared" si="189"/>
        <v>76216.399999999994</v>
      </c>
      <c r="Q2934" s="24">
        <f t="shared" si="186"/>
        <v>0</v>
      </c>
      <c r="R2934" s="24">
        <f t="shared" si="188"/>
        <v>76216.399999999994</v>
      </c>
      <c r="S2934" s="5" t="s">
        <v>6081</v>
      </c>
      <c r="T2934" s="5"/>
    </row>
    <row r="2935" spans="2:20" ht="15.75" hidden="1" x14ac:dyDescent="0.25">
      <c r="B2935" s="21" t="s">
        <v>395</v>
      </c>
      <c r="C2935" s="22" t="s">
        <v>2421</v>
      </c>
      <c r="D2935" s="22"/>
      <c r="E2935" s="21" t="s">
        <v>75</v>
      </c>
      <c r="F2935" s="21"/>
      <c r="G2935" s="147" t="s">
        <v>5526</v>
      </c>
      <c r="H2935" s="23" t="s">
        <v>5527</v>
      </c>
      <c r="I2935" s="23"/>
      <c r="J2935" s="352" t="s">
        <v>5542</v>
      </c>
      <c r="K2935" s="21"/>
      <c r="L2935" s="165" t="s">
        <v>5548</v>
      </c>
      <c r="M2935" s="164">
        <v>44014</v>
      </c>
      <c r="N2935" s="44">
        <v>2352</v>
      </c>
      <c r="O2935" s="22" t="s">
        <v>276</v>
      </c>
      <c r="P2935" s="44">
        <f t="shared" si="189"/>
        <v>2352</v>
      </c>
      <c r="Q2935" s="24">
        <f t="shared" si="186"/>
        <v>0</v>
      </c>
      <c r="R2935" s="24">
        <f t="shared" si="188"/>
        <v>2352</v>
      </c>
      <c r="S2935" s="5"/>
      <c r="T2935" s="5"/>
    </row>
    <row r="2936" spans="2:20" ht="15.75" hidden="1" x14ac:dyDescent="0.25">
      <c r="B2936" s="21" t="s">
        <v>395</v>
      </c>
      <c r="C2936" s="22" t="s">
        <v>2421</v>
      </c>
      <c r="D2936" s="22"/>
      <c r="E2936" s="21" t="s">
        <v>75</v>
      </c>
      <c r="F2936" s="21"/>
      <c r="G2936" s="147" t="s">
        <v>5526</v>
      </c>
      <c r="H2936" s="23" t="s">
        <v>5527</v>
      </c>
      <c r="I2936" s="23"/>
      <c r="J2936" s="353" t="s">
        <v>5538</v>
      </c>
      <c r="K2936" s="21"/>
      <c r="L2936" s="165" t="s">
        <v>5549</v>
      </c>
      <c r="M2936" s="164">
        <v>44014</v>
      </c>
      <c r="N2936" s="44">
        <v>1620</v>
      </c>
      <c r="O2936" s="22" t="s">
        <v>276</v>
      </c>
      <c r="P2936" s="44">
        <f t="shared" si="189"/>
        <v>1620</v>
      </c>
      <c r="Q2936" s="24">
        <f t="shared" si="186"/>
        <v>0</v>
      </c>
      <c r="R2936" s="24">
        <f t="shared" si="188"/>
        <v>1620</v>
      </c>
      <c r="S2936" s="5"/>
      <c r="T2936" s="5"/>
    </row>
    <row r="2937" spans="2:20" ht="15.75" hidden="1" x14ac:dyDescent="0.25">
      <c r="B2937" s="21" t="s">
        <v>395</v>
      </c>
      <c r="C2937" s="22" t="s">
        <v>2421</v>
      </c>
      <c r="D2937" s="22"/>
      <c r="E2937" s="21" t="s">
        <v>75</v>
      </c>
      <c r="F2937" s="21"/>
      <c r="G2937" s="147" t="s">
        <v>5526</v>
      </c>
      <c r="H2937" s="23" t="s">
        <v>5527</v>
      </c>
      <c r="I2937" s="23"/>
      <c r="J2937" s="354" t="s">
        <v>5567</v>
      </c>
      <c r="K2937" s="21"/>
      <c r="L2937" s="165" t="s">
        <v>5550</v>
      </c>
      <c r="M2937" s="164">
        <v>44014</v>
      </c>
      <c r="N2937" s="44">
        <v>4235</v>
      </c>
      <c r="O2937" s="22" t="s">
        <v>276</v>
      </c>
      <c r="P2937" s="44">
        <f t="shared" si="189"/>
        <v>4235</v>
      </c>
      <c r="Q2937" s="24">
        <f t="shared" si="186"/>
        <v>0</v>
      </c>
      <c r="R2937" s="24">
        <f t="shared" si="188"/>
        <v>4235</v>
      </c>
      <c r="S2937" s="5"/>
      <c r="T2937" s="5"/>
    </row>
    <row r="2938" spans="2:20" ht="15.75" hidden="1" x14ac:dyDescent="0.25">
      <c r="B2938" s="21" t="s">
        <v>395</v>
      </c>
      <c r="C2938" s="22" t="s">
        <v>2421</v>
      </c>
      <c r="D2938" s="22"/>
      <c r="E2938" s="21" t="s">
        <v>75</v>
      </c>
      <c r="F2938" s="21"/>
      <c r="G2938" s="147" t="s">
        <v>5526</v>
      </c>
      <c r="H2938" s="23" t="s">
        <v>5527</v>
      </c>
      <c r="I2938" s="23"/>
      <c r="J2938" s="352" t="s">
        <v>5539</v>
      </c>
      <c r="K2938" s="21"/>
      <c r="L2938" s="165" t="s">
        <v>5551</v>
      </c>
      <c r="M2938" s="355" t="s">
        <v>5566</v>
      </c>
      <c r="N2938" s="44">
        <v>1950</v>
      </c>
      <c r="O2938" s="22" t="s">
        <v>276</v>
      </c>
      <c r="P2938" s="44">
        <f t="shared" si="189"/>
        <v>1950</v>
      </c>
      <c r="Q2938" s="24">
        <f t="shared" si="186"/>
        <v>0</v>
      </c>
      <c r="R2938" s="24">
        <f t="shared" si="188"/>
        <v>1950</v>
      </c>
      <c r="S2938" s="5"/>
      <c r="T2938" s="5"/>
    </row>
    <row r="2939" spans="2:20" ht="15.75" hidden="1" x14ac:dyDescent="0.25">
      <c r="B2939" s="21" t="s">
        <v>395</v>
      </c>
      <c r="C2939" s="22" t="s">
        <v>2421</v>
      </c>
      <c r="D2939" s="22"/>
      <c r="E2939" s="21" t="s">
        <v>75</v>
      </c>
      <c r="F2939" s="21"/>
      <c r="G2939" s="147" t="s">
        <v>5526</v>
      </c>
      <c r="H2939" s="23" t="s">
        <v>5527</v>
      </c>
      <c r="I2939" s="23"/>
      <c r="J2939" s="332" t="s">
        <v>5536</v>
      </c>
      <c r="K2939" s="21"/>
      <c r="L2939" s="165" t="s">
        <v>5552</v>
      </c>
      <c r="M2939" s="355" t="s">
        <v>5566</v>
      </c>
      <c r="N2939" s="264">
        <v>1600</v>
      </c>
      <c r="O2939" s="22" t="s">
        <v>276</v>
      </c>
      <c r="P2939" s="44">
        <f t="shared" si="189"/>
        <v>1600</v>
      </c>
      <c r="Q2939" s="24">
        <f t="shared" si="186"/>
        <v>0</v>
      </c>
      <c r="R2939" s="24">
        <f t="shared" si="188"/>
        <v>1600</v>
      </c>
      <c r="S2939" s="5"/>
      <c r="T2939" s="5"/>
    </row>
    <row r="2940" spans="2:20" ht="15.75" hidden="1" x14ac:dyDescent="0.25">
      <c r="B2940" s="21" t="s">
        <v>395</v>
      </c>
      <c r="C2940" s="22" t="s">
        <v>2421</v>
      </c>
      <c r="D2940" s="22"/>
      <c r="E2940" s="21" t="s">
        <v>75</v>
      </c>
      <c r="F2940" s="21"/>
      <c r="G2940" s="147" t="s">
        <v>5526</v>
      </c>
      <c r="H2940" s="23" t="s">
        <v>5527</v>
      </c>
      <c r="I2940" s="23"/>
      <c r="J2940" s="332" t="s">
        <v>5540</v>
      </c>
      <c r="K2940" s="21"/>
      <c r="L2940" s="165" t="s">
        <v>5553</v>
      </c>
      <c r="M2940" s="355" t="s">
        <v>5566</v>
      </c>
      <c r="N2940" s="264">
        <v>1650</v>
      </c>
      <c r="O2940" s="22" t="s">
        <v>276</v>
      </c>
      <c r="P2940" s="44">
        <f t="shared" si="189"/>
        <v>1650</v>
      </c>
      <c r="Q2940" s="24">
        <f t="shared" si="186"/>
        <v>0</v>
      </c>
      <c r="R2940" s="24">
        <f t="shared" si="188"/>
        <v>1650</v>
      </c>
      <c r="S2940" s="5"/>
      <c r="T2940" s="5"/>
    </row>
    <row r="2941" spans="2:20" ht="15.75" hidden="1" x14ac:dyDescent="0.25">
      <c r="B2941" s="21" t="s">
        <v>395</v>
      </c>
      <c r="C2941" s="22" t="s">
        <v>2421</v>
      </c>
      <c r="D2941" s="22"/>
      <c r="E2941" s="21" t="s">
        <v>75</v>
      </c>
      <c r="F2941" s="21"/>
      <c r="G2941" s="147" t="s">
        <v>5526</v>
      </c>
      <c r="H2941" s="23" t="s">
        <v>5527</v>
      </c>
      <c r="I2941" s="23"/>
      <c r="J2941" s="353" t="s">
        <v>5537</v>
      </c>
      <c r="K2941" s="21"/>
      <c r="L2941" s="165" t="s">
        <v>5554</v>
      </c>
      <c r="M2941" s="164">
        <v>44194</v>
      </c>
      <c r="N2941" s="44">
        <v>67746</v>
      </c>
      <c r="O2941" s="22" t="s">
        <v>276</v>
      </c>
      <c r="P2941" s="44">
        <f t="shared" si="189"/>
        <v>67746</v>
      </c>
      <c r="Q2941" s="24">
        <f t="shared" si="186"/>
        <v>0</v>
      </c>
      <c r="R2941" s="24">
        <f t="shared" si="188"/>
        <v>67746</v>
      </c>
      <c r="S2941" s="5"/>
      <c r="T2941" s="5"/>
    </row>
    <row r="2942" spans="2:20" ht="15.75" hidden="1" x14ac:dyDescent="0.25">
      <c r="B2942" s="21" t="s">
        <v>395</v>
      </c>
      <c r="C2942" s="22" t="s">
        <v>2421</v>
      </c>
      <c r="D2942" s="22"/>
      <c r="E2942" s="21" t="s">
        <v>75</v>
      </c>
      <c r="F2942" s="21"/>
      <c r="G2942" s="147" t="s">
        <v>5526</v>
      </c>
      <c r="H2942" s="23" t="s">
        <v>5527</v>
      </c>
      <c r="I2942" s="23"/>
      <c r="J2942" s="352" t="s">
        <v>5541</v>
      </c>
      <c r="K2942" s="21"/>
      <c r="L2942" s="165" t="s">
        <v>5555</v>
      </c>
      <c r="M2942" s="164">
        <v>44194</v>
      </c>
      <c r="N2942" s="44">
        <v>2818.5</v>
      </c>
      <c r="O2942" s="22" t="s">
        <v>276</v>
      </c>
      <c r="P2942" s="44">
        <f t="shared" si="189"/>
        <v>2818.5</v>
      </c>
      <c r="Q2942" s="24">
        <f t="shared" si="186"/>
        <v>0</v>
      </c>
      <c r="R2942" s="24">
        <f t="shared" si="188"/>
        <v>2818.5</v>
      </c>
      <c r="S2942" s="5"/>
      <c r="T2942" s="5"/>
    </row>
    <row r="2943" spans="2:20" ht="15.75" hidden="1" x14ac:dyDescent="0.25">
      <c r="B2943" s="21" t="s">
        <v>395</v>
      </c>
      <c r="C2943" s="22" t="s">
        <v>2421</v>
      </c>
      <c r="D2943" s="22"/>
      <c r="E2943" s="21" t="s">
        <v>75</v>
      </c>
      <c r="F2943" s="21"/>
      <c r="G2943" s="147" t="s">
        <v>5526</v>
      </c>
      <c r="H2943" s="23" t="s">
        <v>5527</v>
      </c>
      <c r="I2943" s="23"/>
      <c r="J2943" s="354" t="s">
        <v>5567</v>
      </c>
      <c r="K2943" s="21"/>
      <c r="L2943" s="165" t="s">
        <v>5556</v>
      </c>
      <c r="M2943" s="164">
        <v>44194</v>
      </c>
      <c r="N2943" s="44">
        <v>98</v>
      </c>
      <c r="O2943" s="22" t="s">
        <v>276</v>
      </c>
      <c r="P2943" s="44">
        <f t="shared" si="189"/>
        <v>98</v>
      </c>
      <c r="Q2943" s="24">
        <f t="shared" si="186"/>
        <v>0</v>
      </c>
      <c r="R2943" s="24">
        <f t="shared" si="188"/>
        <v>98</v>
      </c>
      <c r="S2943" s="5"/>
      <c r="T2943" s="5"/>
    </row>
    <row r="2944" spans="2:20" ht="15.75" hidden="1" x14ac:dyDescent="0.25">
      <c r="B2944" s="21" t="s">
        <v>395</v>
      </c>
      <c r="C2944" s="22" t="s">
        <v>2421</v>
      </c>
      <c r="D2944" s="22"/>
      <c r="E2944" s="21" t="s">
        <v>75</v>
      </c>
      <c r="F2944" s="21"/>
      <c r="G2944" s="147" t="s">
        <v>5526</v>
      </c>
      <c r="H2944" s="23" t="s">
        <v>5527</v>
      </c>
      <c r="I2944" s="23"/>
      <c r="J2944" s="352" t="s">
        <v>5542</v>
      </c>
      <c r="K2944" s="21"/>
      <c r="L2944" s="165" t="s">
        <v>5557</v>
      </c>
      <c r="M2944" s="164">
        <v>44194</v>
      </c>
      <c r="N2944" s="44">
        <v>1960</v>
      </c>
      <c r="O2944" s="22" t="s">
        <v>276</v>
      </c>
      <c r="P2944" s="44">
        <f t="shared" si="189"/>
        <v>1960</v>
      </c>
      <c r="Q2944" s="24">
        <f t="shared" si="186"/>
        <v>0</v>
      </c>
      <c r="R2944" s="24">
        <f t="shared" si="188"/>
        <v>1960</v>
      </c>
      <c r="S2944" s="5"/>
      <c r="T2944" s="5"/>
    </row>
    <row r="2945" spans="2:20" ht="15.75" hidden="1" x14ac:dyDescent="0.25">
      <c r="B2945" s="21" t="s">
        <v>395</v>
      </c>
      <c r="C2945" s="22" t="s">
        <v>2421</v>
      </c>
      <c r="D2945" s="22"/>
      <c r="E2945" s="21" t="s">
        <v>75</v>
      </c>
      <c r="F2945" s="21"/>
      <c r="G2945" s="147" t="s">
        <v>5526</v>
      </c>
      <c r="H2945" s="23" t="s">
        <v>5527</v>
      </c>
      <c r="I2945" s="23"/>
      <c r="J2945" s="332" t="s">
        <v>5536</v>
      </c>
      <c r="K2945" s="21"/>
      <c r="L2945" s="165" t="s">
        <v>5558</v>
      </c>
      <c r="M2945" s="164">
        <v>44225</v>
      </c>
      <c r="N2945" s="264">
        <v>1600</v>
      </c>
      <c r="O2945" s="22" t="s">
        <v>276</v>
      </c>
      <c r="P2945" s="44">
        <f t="shared" si="189"/>
        <v>1600</v>
      </c>
      <c r="Q2945" s="24">
        <f t="shared" si="186"/>
        <v>0</v>
      </c>
      <c r="R2945" s="24">
        <f t="shared" si="188"/>
        <v>1600</v>
      </c>
      <c r="S2945" s="5"/>
      <c r="T2945" s="5"/>
    </row>
    <row r="2946" spans="2:20" ht="15.75" hidden="1" x14ac:dyDescent="0.25">
      <c r="B2946" s="21" t="s">
        <v>395</v>
      </c>
      <c r="C2946" s="22" t="s">
        <v>2421</v>
      </c>
      <c r="D2946" s="22"/>
      <c r="E2946" s="21" t="s">
        <v>75</v>
      </c>
      <c r="F2946" s="21"/>
      <c r="G2946" s="147" t="s">
        <v>5526</v>
      </c>
      <c r="H2946" s="23" t="s">
        <v>5527</v>
      </c>
      <c r="I2946" s="23"/>
      <c r="J2946" s="353" t="s">
        <v>5537</v>
      </c>
      <c r="K2946" s="21"/>
      <c r="L2946" s="165" t="s">
        <v>5559</v>
      </c>
      <c r="M2946" s="164">
        <v>44239</v>
      </c>
      <c r="N2946" s="44">
        <v>27122.55</v>
      </c>
      <c r="O2946" s="22" t="s">
        <v>276</v>
      </c>
      <c r="P2946" s="44">
        <f t="shared" si="189"/>
        <v>27122.55</v>
      </c>
      <c r="Q2946" s="24">
        <f t="shared" si="186"/>
        <v>0</v>
      </c>
      <c r="R2946" s="24">
        <f t="shared" si="188"/>
        <v>27122.55</v>
      </c>
      <c r="S2946" s="5"/>
      <c r="T2946" s="5"/>
    </row>
    <row r="2947" spans="2:20" ht="15.75" hidden="1" x14ac:dyDescent="0.25">
      <c r="B2947" s="21" t="s">
        <v>395</v>
      </c>
      <c r="C2947" s="22" t="s">
        <v>2421</v>
      </c>
      <c r="D2947" s="22"/>
      <c r="E2947" s="21" t="s">
        <v>75</v>
      </c>
      <c r="F2947" s="21"/>
      <c r="G2947" s="147" t="s">
        <v>5526</v>
      </c>
      <c r="H2947" s="23" t="s">
        <v>5527</v>
      </c>
      <c r="I2947" s="23"/>
      <c r="J2947" s="353" t="s">
        <v>5538</v>
      </c>
      <c r="K2947" s="21"/>
      <c r="L2947" s="165" t="s">
        <v>5560</v>
      </c>
      <c r="M2947" s="164">
        <v>44240</v>
      </c>
      <c r="N2947" s="44">
        <v>408</v>
      </c>
      <c r="O2947" s="22" t="s">
        <v>276</v>
      </c>
      <c r="P2947" s="44">
        <f t="shared" si="189"/>
        <v>408</v>
      </c>
      <c r="Q2947" s="24">
        <f t="shared" si="186"/>
        <v>0</v>
      </c>
      <c r="R2947" s="24">
        <f t="shared" si="188"/>
        <v>408</v>
      </c>
      <c r="S2947" s="5"/>
      <c r="T2947" s="5"/>
    </row>
    <row r="2948" spans="2:20" ht="15.75" hidden="1" x14ac:dyDescent="0.25">
      <c r="B2948" s="21" t="s">
        <v>395</v>
      </c>
      <c r="C2948" s="22" t="s">
        <v>2421</v>
      </c>
      <c r="D2948" s="22"/>
      <c r="E2948" s="21" t="s">
        <v>75</v>
      </c>
      <c r="F2948" s="21"/>
      <c r="G2948" s="147" t="s">
        <v>5526</v>
      </c>
      <c r="H2948" s="23" t="s">
        <v>5527</v>
      </c>
      <c r="I2948" s="23"/>
      <c r="J2948" s="353" t="s">
        <v>5537</v>
      </c>
      <c r="K2948" s="21"/>
      <c r="L2948" s="165" t="s">
        <v>5561</v>
      </c>
      <c r="M2948" s="164">
        <v>44264</v>
      </c>
      <c r="N2948" s="44">
        <v>31477.95</v>
      </c>
      <c r="O2948" s="22" t="s">
        <v>276</v>
      </c>
      <c r="P2948" s="44">
        <f t="shared" si="189"/>
        <v>31477.95</v>
      </c>
      <c r="Q2948" s="24">
        <f t="shared" si="186"/>
        <v>0</v>
      </c>
      <c r="R2948" s="24">
        <f t="shared" si="188"/>
        <v>31477.95</v>
      </c>
      <c r="S2948" s="5"/>
      <c r="T2948" s="5"/>
    </row>
    <row r="2949" spans="2:20" ht="15.75" hidden="1" x14ac:dyDescent="0.25">
      <c r="B2949" s="21" t="s">
        <v>395</v>
      </c>
      <c r="C2949" s="22" t="s">
        <v>2421</v>
      </c>
      <c r="D2949" s="22"/>
      <c r="E2949" s="21" t="s">
        <v>75</v>
      </c>
      <c r="F2949" s="21"/>
      <c r="G2949" s="147" t="s">
        <v>5526</v>
      </c>
      <c r="H2949" s="23" t="s">
        <v>5527</v>
      </c>
      <c r="I2949" s="23"/>
      <c r="J2949" s="353" t="s">
        <v>5543</v>
      </c>
      <c r="K2949" s="21"/>
      <c r="L2949" s="165" t="s">
        <v>5562</v>
      </c>
      <c r="M2949" s="164">
        <v>44264</v>
      </c>
      <c r="N2949" s="44">
        <v>1403</v>
      </c>
      <c r="O2949" s="22" t="s">
        <v>276</v>
      </c>
      <c r="P2949" s="44">
        <f t="shared" si="189"/>
        <v>1403</v>
      </c>
      <c r="Q2949" s="24">
        <f t="shared" si="186"/>
        <v>0</v>
      </c>
      <c r="R2949" s="24">
        <f t="shared" si="188"/>
        <v>1403</v>
      </c>
      <c r="S2949" s="5"/>
      <c r="T2949" s="5"/>
    </row>
    <row r="2950" spans="2:20" ht="15.75" hidden="1" x14ac:dyDescent="0.25">
      <c r="B2950" s="21" t="s">
        <v>395</v>
      </c>
      <c r="C2950" s="22" t="s">
        <v>2421</v>
      </c>
      <c r="D2950" s="22"/>
      <c r="E2950" s="21" t="s">
        <v>75</v>
      </c>
      <c r="F2950" s="21"/>
      <c r="G2950" s="147" t="s">
        <v>5526</v>
      </c>
      <c r="H2950" s="23" t="s">
        <v>5527</v>
      </c>
      <c r="I2950" s="23"/>
      <c r="J2950" s="353" t="s">
        <v>5538</v>
      </c>
      <c r="K2950" s="21"/>
      <c r="L2950" s="165" t="s">
        <v>5563</v>
      </c>
      <c r="M2950" s="164">
        <v>44264</v>
      </c>
      <c r="N2950" s="44">
        <v>374</v>
      </c>
      <c r="O2950" s="22" t="s">
        <v>276</v>
      </c>
      <c r="P2950" s="44">
        <f t="shared" si="189"/>
        <v>374</v>
      </c>
      <c r="Q2950" s="24">
        <f t="shared" si="186"/>
        <v>0</v>
      </c>
      <c r="R2950" s="24">
        <f t="shared" si="188"/>
        <v>374</v>
      </c>
      <c r="S2950" s="5"/>
      <c r="T2950" s="5"/>
    </row>
    <row r="2951" spans="2:20" ht="15.75" hidden="1" x14ac:dyDescent="0.25">
      <c r="B2951" s="21" t="s">
        <v>395</v>
      </c>
      <c r="C2951" s="22" t="s">
        <v>2421</v>
      </c>
      <c r="D2951" s="22"/>
      <c r="E2951" s="21" t="s">
        <v>75</v>
      </c>
      <c r="F2951" s="21"/>
      <c r="G2951" s="147" t="s">
        <v>5526</v>
      </c>
      <c r="H2951" s="23" t="s">
        <v>5527</v>
      </c>
      <c r="I2951" s="23"/>
      <c r="J2951" s="332" t="s">
        <v>5536</v>
      </c>
      <c r="K2951" s="21"/>
      <c r="L2951" s="165" t="s">
        <v>5564</v>
      </c>
      <c r="M2951" s="164">
        <v>44280</v>
      </c>
      <c r="N2951" s="264">
        <v>1600</v>
      </c>
      <c r="O2951" s="22" t="s">
        <v>276</v>
      </c>
      <c r="P2951" s="44">
        <f t="shared" si="189"/>
        <v>1600</v>
      </c>
      <c r="Q2951" s="24">
        <f t="shared" si="186"/>
        <v>0</v>
      </c>
      <c r="R2951" s="24">
        <f t="shared" si="188"/>
        <v>1600</v>
      </c>
      <c r="S2951" s="5"/>
      <c r="T2951" s="5"/>
    </row>
    <row r="2952" spans="2:20" ht="15.75" hidden="1" x14ac:dyDescent="0.25">
      <c r="B2952" s="21" t="s">
        <v>395</v>
      </c>
      <c r="C2952" s="22" t="s">
        <v>2421</v>
      </c>
      <c r="D2952" s="22"/>
      <c r="E2952" s="21" t="s">
        <v>75</v>
      </c>
      <c r="F2952" s="21"/>
      <c r="G2952" s="147" t="s">
        <v>5526</v>
      </c>
      <c r="H2952" s="23" t="s">
        <v>5527</v>
      </c>
      <c r="I2952" s="23"/>
      <c r="J2952" s="332" t="s">
        <v>5540</v>
      </c>
      <c r="K2952" s="21"/>
      <c r="L2952" s="165" t="s">
        <v>5565</v>
      </c>
      <c r="M2952" s="164">
        <v>44364</v>
      </c>
      <c r="N2952" s="264">
        <v>1650</v>
      </c>
      <c r="O2952" s="22" t="s">
        <v>276</v>
      </c>
      <c r="P2952" s="44">
        <f t="shared" si="189"/>
        <v>1650</v>
      </c>
      <c r="Q2952" s="24">
        <f t="shared" si="186"/>
        <v>0</v>
      </c>
      <c r="R2952" s="24">
        <f t="shared" si="188"/>
        <v>1650</v>
      </c>
      <c r="S2952" s="5"/>
      <c r="T2952" s="5"/>
    </row>
    <row r="2953" spans="2:20" ht="15.75" hidden="1" x14ac:dyDescent="0.25">
      <c r="B2953" s="21" t="s">
        <v>395</v>
      </c>
      <c r="C2953" s="22" t="s">
        <v>2421</v>
      </c>
      <c r="D2953" s="22"/>
      <c r="E2953" s="21" t="s">
        <v>75</v>
      </c>
      <c r="F2953" s="21"/>
      <c r="G2953" s="147" t="s">
        <v>5526</v>
      </c>
      <c r="H2953" s="23" t="s">
        <v>5527</v>
      </c>
      <c r="I2953" s="23"/>
      <c r="J2953" s="353" t="s">
        <v>6061</v>
      </c>
      <c r="K2953" s="21"/>
      <c r="L2953" s="165" t="s">
        <v>6062</v>
      </c>
      <c r="M2953" s="164">
        <v>44462</v>
      </c>
      <c r="N2953" s="44">
        <v>71186.7</v>
      </c>
      <c r="O2953" s="22" t="s">
        <v>276</v>
      </c>
      <c r="P2953" s="44">
        <f t="shared" si="189"/>
        <v>71186.7</v>
      </c>
      <c r="Q2953" s="24">
        <f t="shared" si="186"/>
        <v>0</v>
      </c>
      <c r="R2953" s="24">
        <f t="shared" si="188"/>
        <v>71186.7</v>
      </c>
      <c r="S2953" s="5"/>
      <c r="T2953" s="5"/>
    </row>
    <row r="2954" spans="2:20" ht="15.75" hidden="1" x14ac:dyDescent="0.25">
      <c r="B2954" s="21" t="s">
        <v>395</v>
      </c>
      <c r="C2954" s="22" t="s">
        <v>2421</v>
      </c>
      <c r="D2954" s="22"/>
      <c r="E2954" s="21" t="s">
        <v>75</v>
      </c>
      <c r="F2954" s="21"/>
      <c r="G2954" s="147" t="s">
        <v>5526</v>
      </c>
      <c r="H2954" s="23" t="s">
        <v>5527</v>
      </c>
      <c r="I2954" s="23"/>
      <c r="J2954" s="352" t="s">
        <v>6064</v>
      </c>
      <c r="K2954" s="21"/>
      <c r="L2954" s="165" t="s">
        <v>6063</v>
      </c>
      <c r="M2954" s="164">
        <v>44462</v>
      </c>
      <c r="N2954" s="44">
        <v>3035.6</v>
      </c>
      <c r="O2954" s="22" t="s">
        <v>276</v>
      </c>
      <c r="P2954" s="44">
        <f t="shared" si="189"/>
        <v>3035.6</v>
      </c>
      <c r="Q2954" s="24">
        <f t="shared" si="186"/>
        <v>0</v>
      </c>
      <c r="R2954" s="24">
        <f t="shared" si="188"/>
        <v>3035.6</v>
      </c>
      <c r="S2954" s="5"/>
      <c r="T2954" s="5"/>
    </row>
    <row r="2955" spans="2:20" ht="15.75" hidden="1" x14ac:dyDescent="0.25">
      <c r="B2955" s="21" t="s">
        <v>395</v>
      </c>
      <c r="C2955" s="22" t="s">
        <v>2421</v>
      </c>
      <c r="D2955" s="22"/>
      <c r="E2955" s="21" t="s">
        <v>75</v>
      </c>
      <c r="F2955" s="21"/>
      <c r="G2955" s="147" t="s">
        <v>5526</v>
      </c>
      <c r="H2955" s="23" t="s">
        <v>5527</v>
      </c>
      <c r="I2955" s="23"/>
      <c r="J2955" s="354" t="s">
        <v>5567</v>
      </c>
      <c r="K2955" s="21"/>
      <c r="L2955" s="165" t="s">
        <v>6065</v>
      </c>
      <c r="M2955" s="164">
        <v>44462</v>
      </c>
      <c r="N2955" s="44">
        <v>400</v>
      </c>
      <c r="O2955" s="22" t="s">
        <v>276</v>
      </c>
      <c r="P2955" s="44">
        <f t="shared" si="189"/>
        <v>400</v>
      </c>
      <c r="Q2955" s="24">
        <f t="shared" si="186"/>
        <v>0</v>
      </c>
      <c r="R2955" s="24">
        <f t="shared" si="188"/>
        <v>400</v>
      </c>
      <c r="S2955" s="5"/>
      <c r="T2955" s="5"/>
    </row>
    <row r="2956" spans="2:20" ht="15.75" hidden="1" x14ac:dyDescent="0.25">
      <c r="B2956" s="21" t="s">
        <v>395</v>
      </c>
      <c r="C2956" s="22" t="s">
        <v>2421</v>
      </c>
      <c r="D2956" s="22"/>
      <c r="E2956" s="21" t="s">
        <v>75</v>
      </c>
      <c r="F2956" s="21"/>
      <c r="G2956" s="147" t="s">
        <v>5526</v>
      </c>
      <c r="H2956" s="23" t="s">
        <v>5527</v>
      </c>
      <c r="I2956" s="23"/>
      <c r="J2956" s="352" t="s">
        <v>5542</v>
      </c>
      <c r="K2956" s="21"/>
      <c r="L2956" s="165" t="s">
        <v>6066</v>
      </c>
      <c r="M2956" s="164">
        <v>44462</v>
      </c>
      <c r="N2956" s="44">
        <v>3920</v>
      </c>
      <c r="O2956" s="22" t="s">
        <v>276</v>
      </c>
      <c r="P2956" s="44">
        <f t="shared" si="189"/>
        <v>3920</v>
      </c>
      <c r="Q2956" s="24">
        <f t="shared" si="186"/>
        <v>0</v>
      </c>
      <c r="R2956" s="24">
        <f t="shared" si="188"/>
        <v>3920</v>
      </c>
      <c r="S2956" s="5"/>
      <c r="T2956" s="5"/>
    </row>
    <row r="2957" spans="2:20" ht="15.75" hidden="1" x14ac:dyDescent="0.25">
      <c r="B2957" s="21" t="s">
        <v>395</v>
      </c>
      <c r="C2957" s="22" t="s">
        <v>2421</v>
      </c>
      <c r="D2957" s="22"/>
      <c r="E2957" s="21" t="s">
        <v>75</v>
      </c>
      <c r="F2957" s="21"/>
      <c r="G2957" s="147" t="s">
        <v>5526</v>
      </c>
      <c r="H2957" s="23" t="s">
        <v>5527</v>
      </c>
      <c r="I2957" s="23"/>
      <c r="J2957" s="353" t="s">
        <v>5538</v>
      </c>
      <c r="K2957" s="21"/>
      <c r="L2957" s="165" t="s">
        <v>6067</v>
      </c>
      <c r="M2957" s="164">
        <v>44462</v>
      </c>
      <c r="N2957" s="44">
        <v>1462</v>
      </c>
      <c r="O2957" s="22" t="s">
        <v>276</v>
      </c>
      <c r="P2957" s="44">
        <f t="shared" si="189"/>
        <v>1462</v>
      </c>
      <c r="Q2957" s="24">
        <f t="shared" si="186"/>
        <v>0</v>
      </c>
      <c r="R2957" s="24">
        <f t="shared" si="188"/>
        <v>1462</v>
      </c>
      <c r="S2957" s="5"/>
      <c r="T2957" s="5"/>
    </row>
    <row r="2958" spans="2:20" ht="15.75" hidden="1" x14ac:dyDescent="0.25">
      <c r="B2958" s="21" t="s">
        <v>395</v>
      </c>
      <c r="C2958" s="22" t="s">
        <v>2421</v>
      </c>
      <c r="D2958" s="22"/>
      <c r="E2958" s="21" t="s">
        <v>75</v>
      </c>
      <c r="F2958" s="21"/>
      <c r="G2958" s="147" t="s">
        <v>5526</v>
      </c>
      <c r="H2958" s="23" t="s">
        <v>5527</v>
      </c>
      <c r="I2958" s="23"/>
      <c r="J2958" s="332" t="s">
        <v>5540</v>
      </c>
      <c r="K2958" s="21"/>
      <c r="L2958" s="165" t="s">
        <v>6733</v>
      </c>
      <c r="M2958" s="164">
        <v>44694</v>
      </c>
      <c r="N2958" s="44">
        <v>3600</v>
      </c>
      <c r="O2958" s="22" t="s">
        <v>276</v>
      </c>
      <c r="P2958" s="44">
        <f t="shared" si="189"/>
        <v>3600</v>
      </c>
      <c r="Q2958" s="24">
        <f t="shared" si="186"/>
        <v>0</v>
      </c>
      <c r="R2958" s="24">
        <f t="shared" si="188"/>
        <v>3600</v>
      </c>
      <c r="S2958" s="5"/>
      <c r="T2958" s="5"/>
    </row>
    <row r="2959" spans="2:20" ht="15.75" hidden="1" x14ac:dyDescent="0.25">
      <c r="B2959" s="21" t="s">
        <v>395</v>
      </c>
      <c r="C2959" s="22" t="s">
        <v>2421</v>
      </c>
      <c r="D2959" s="22"/>
      <c r="E2959" s="21" t="s">
        <v>75</v>
      </c>
      <c r="F2959" s="21"/>
      <c r="G2959" s="147" t="s">
        <v>5526</v>
      </c>
      <c r="H2959" s="23" t="s">
        <v>5527</v>
      </c>
      <c r="I2959" s="23"/>
      <c r="J2959" s="354" t="s">
        <v>5567</v>
      </c>
      <c r="K2959" s="21"/>
      <c r="L2959" s="165" t="s">
        <v>7351</v>
      </c>
      <c r="M2959" s="355" t="s">
        <v>7352</v>
      </c>
      <c r="N2959" s="44">
        <v>800</v>
      </c>
      <c r="O2959" s="22" t="s">
        <v>276</v>
      </c>
      <c r="P2959" s="44">
        <f t="shared" si="189"/>
        <v>800</v>
      </c>
      <c r="Q2959" s="24">
        <f t="shared" si="186"/>
        <v>0</v>
      </c>
      <c r="R2959" s="24">
        <f t="shared" si="188"/>
        <v>800</v>
      </c>
      <c r="S2959" s="5"/>
      <c r="T2959" s="5"/>
    </row>
    <row r="2960" spans="2:20" ht="15.75" hidden="1" x14ac:dyDescent="0.25">
      <c r="B2960" s="21" t="s">
        <v>395</v>
      </c>
      <c r="C2960" s="22" t="s">
        <v>2421</v>
      </c>
      <c r="D2960" s="22"/>
      <c r="E2960" s="21" t="s">
        <v>75</v>
      </c>
      <c r="F2960" s="21"/>
      <c r="G2960" s="147" t="s">
        <v>5526</v>
      </c>
      <c r="H2960" s="23" t="s">
        <v>5527</v>
      </c>
      <c r="I2960" s="23"/>
      <c r="J2960" s="352" t="s">
        <v>5542</v>
      </c>
      <c r="K2960" s="21"/>
      <c r="L2960" s="165" t="s">
        <v>7353</v>
      </c>
      <c r="M2960" s="355" t="s">
        <v>7352</v>
      </c>
      <c r="N2960" s="44">
        <v>3528</v>
      </c>
      <c r="O2960" s="22" t="s">
        <v>276</v>
      </c>
      <c r="P2960" s="44">
        <f t="shared" si="189"/>
        <v>3528</v>
      </c>
      <c r="Q2960" s="24">
        <f t="shared" si="186"/>
        <v>0</v>
      </c>
      <c r="R2960" s="24">
        <f t="shared" si="188"/>
        <v>3528</v>
      </c>
      <c r="S2960" s="5"/>
      <c r="T2960" s="5"/>
    </row>
    <row r="2961" spans="2:20" ht="15.75" hidden="1" x14ac:dyDescent="0.25">
      <c r="B2961" s="21" t="s">
        <v>395</v>
      </c>
      <c r="C2961" s="22" t="s">
        <v>2421</v>
      </c>
      <c r="D2961" s="22"/>
      <c r="E2961" s="21" t="s">
        <v>75</v>
      </c>
      <c r="F2961" s="21"/>
      <c r="G2961" s="147" t="s">
        <v>5526</v>
      </c>
      <c r="H2961" s="23" t="s">
        <v>5527</v>
      </c>
      <c r="I2961" s="23"/>
      <c r="J2961" s="378" t="s">
        <v>7354</v>
      </c>
      <c r="K2961" s="21"/>
      <c r="L2961" s="165" t="s">
        <v>7355</v>
      </c>
      <c r="M2961" s="355" t="s">
        <v>7352</v>
      </c>
      <c r="N2961" s="44">
        <v>2000</v>
      </c>
      <c r="O2961" s="22" t="s">
        <v>276</v>
      </c>
      <c r="P2961" s="44">
        <f t="shared" si="189"/>
        <v>2000</v>
      </c>
      <c r="Q2961" s="24">
        <f t="shared" si="186"/>
        <v>0</v>
      </c>
      <c r="R2961" s="24">
        <f t="shared" si="188"/>
        <v>2000</v>
      </c>
      <c r="S2961" s="5"/>
      <c r="T2961" s="5"/>
    </row>
    <row r="2962" spans="2:20" ht="15.75" hidden="1" x14ac:dyDescent="0.25">
      <c r="B2962" s="21" t="s">
        <v>395</v>
      </c>
      <c r="C2962" s="22" t="s">
        <v>2421</v>
      </c>
      <c r="D2962" s="22"/>
      <c r="E2962" s="21" t="s">
        <v>75</v>
      </c>
      <c r="F2962" s="21"/>
      <c r="G2962" s="147" t="s">
        <v>5526</v>
      </c>
      <c r="H2962" s="23" t="s">
        <v>5527</v>
      </c>
      <c r="I2962" s="23"/>
      <c r="J2962" s="378" t="s">
        <v>7662</v>
      </c>
      <c r="K2962" s="21"/>
      <c r="L2962" s="165" t="s">
        <v>7659</v>
      </c>
      <c r="M2962" s="355">
        <v>44985</v>
      </c>
      <c r="N2962" s="44">
        <v>217.1</v>
      </c>
      <c r="O2962" s="22" t="s">
        <v>276</v>
      </c>
      <c r="P2962" s="44">
        <f t="shared" si="189"/>
        <v>217.1</v>
      </c>
      <c r="Q2962" s="24">
        <f t="shared" si="186"/>
        <v>0</v>
      </c>
      <c r="R2962" s="24">
        <f t="shared" si="188"/>
        <v>217.1</v>
      </c>
      <c r="S2962" s="5"/>
      <c r="T2962" s="5"/>
    </row>
    <row r="2963" spans="2:20" ht="15.75" hidden="1" x14ac:dyDescent="0.25">
      <c r="B2963" s="21" t="s">
        <v>395</v>
      </c>
      <c r="C2963" s="22" t="s">
        <v>2421</v>
      </c>
      <c r="D2963" s="22"/>
      <c r="E2963" s="21" t="s">
        <v>75</v>
      </c>
      <c r="F2963" s="21"/>
      <c r="G2963" s="147" t="s">
        <v>5526</v>
      </c>
      <c r="H2963" s="23" t="s">
        <v>5527</v>
      </c>
      <c r="I2963" s="23"/>
      <c r="J2963" s="378" t="s">
        <v>7663</v>
      </c>
      <c r="K2963" s="21"/>
      <c r="L2963" s="165" t="s">
        <v>7660</v>
      </c>
      <c r="M2963" s="355">
        <v>44985</v>
      </c>
      <c r="N2963" s="44">
        <v>1950</v>
      </c>
      <c r="O2963" s="22" t="s">
        <v>276</v>
      </c>
      <c r="P2963" s="44">
        <f t="shared" si="189"/>
        <v>1950</v>
      </c>
      <c r="Q2963" s="24">
        <f t="shared" si="186"/>
        <v>0</v>
      </c>
      <c r="R2963" s="24">
        <f t="shared" si="188"/>
        <v>1950</v>
      </c>
      <c r="S2963" s="5"/>
      <c r="T2963" s="5"/>
    </row>
    <row r="2964" spans="2:20" ht="15.75" hidden="1" x14ac:dyDescent="0.25">
      <c r="B2964" s="21" t="s">
        <v>395</v>
      </c>
      <c r="C2964" s="22" t="s">
        <v>2421</v>
      </c>
      <c r="D2964" s="22"/>
      <c r="E2964" s="21" t="s">
        <v>75</v>
      </c>
      <c r="F2964" s="21"/>
      <c r="G2964" s="147" t="s">
        <v>5526</v>
      </c>
      <c r="H2964" s="23" t="s">
        <v>5527</v>
      </c>
      <c r="I2964" s="23"/>
      <c r="J2964" s="378" t="s">
        <v>7664</v>
      </c>
      <c r="K2964" s="21"/>
      <c r="L2964" s="165" t="s">
        <v>7661</v>
      </c>
      <c r="M2964" s="355">
        <v>44985</v>
      </c>
      <c r="N2964" s="44">
        <v>325</v>
      </c>
      <c r="O2964" s="22" t="s">
        <v>276</v>
      </c>
      <c r="P2964" s="44">
        <f t="shared" si="189"/>
        <v>325</v>
      </c>
      <c r="Q2964" s="24">
        <f t="shared" si="186"/>
        <v>0</v>
      </c>
      <c r="R2964" s="24">
        <f t="shared" si="188"/>
        <v>325</v>
      </c>
      <c r="S2964" s="5"/>
      <c r="T2964" s="5"/>
    </row>
    <row r="2965" spans="2:20" ht="15.75" hidden="1" x14ac:dyDescent="0.25">
      <c r="B2965" s="21" t="s">
        <v>395</v>
      </c>
      <c r="C2965" s="22" t="s">
        <v>7372</v>
      </c>
      <c r="D2965" s="22"/>
      <c r="E2965" s="21" t="s">
        <v>75</v>
      </c>
      <c r="F2965" s="21"/>
      <c r="G2965" s="147" t="s">
        <v>100</v>
      </c>
      <c r="H2965" s="23" t="s">
        <v>7398</v>
      </c>
      <c r="I2965" s="23"/>
      <c r="J2965" s="21" t="s">
        <v>7399</v>
      </c>
      <c r="K2965" s="21"/>
      <c r="L2965" s="21" t="s">
        <v>7402</v>
      </c>
      <c r="M2965" s="26">
        <v>44926</v>
      </c>
      <c r="N2965" s="44">
        <v>25404</v>
      </c>
      <c r="O2965" s="22" t="s">
        <v>15</v>
      </c>
      <c r="P2965" s="44">
        <v>25404</v>
      </c>
      <c r="Q2965" s="44">
        <f t="shared" si="186"/>
        <v>0</v>
      </c>
      <c r="R2965" s="24">
        <f t="shared" si="188"/>
        <v>25404</v>
      </c>
      <c r="S2965" s="5"/>
      <c r="T2965" s="5"/>
    </row>
    <row r="2966" spans="2:20" ht="15.75" hidden="1" x14ac:dyDescent="0.25">
      <c r="B2966" s="21" t="s">
        <v>395</v>
      </c>
      <c r="C2966" s="22" t="s">
        <v>7372</v>
      </c>
      <c r="D2966" s="22"/>
      <c r="E2966" s="21" t="s">
        <v>75</v>
      </c>
      <c r="F2966" s="21"/>
      <c r="G2966" s="147" t="s">
        <v>100</v>
      </c>
      <c r="H2966" s="23" t="s">
        <v>7398</v>
      </c>
      <c r="I2966" s="23"/>
      <c r="J2966" s="21" t="s">
        <v>7400</v>
      </c>
      <c r="K2966" s="21"/>
      <c r="L2966" s="21" t="s">
        <v>7401</v>
      </c>
      <c r="M2966" s="26">
        <v>44926</v>
      </c>
      <c r="N2966" s="44">
        <v>49888</v>
      </c>
      <c r="O2966" s="22" t="s">
        <v>15</v>
      </c>
      <c r="P2966" s="44">
        <v>49888</v>
      </c>
      <c r="Q2966" s="44">
        <f t="shared" si="186"/>
        <v>0</v>
      </c>
      <c r="R2966" s="24">
        <f t="shared" si="188"/>
        <v>49888</v>
      </c>
      <c r="S2966" s="5"/>
      <c r="T2966" s="5"/>
    </row>
    <row r="2967" spans="2:20" ht="15.75" hidden="1" x14ac:dyDescent="0.25">
      <c r="B2967" s="21" t="s">
        <v>395</v>
      </c>
      <c r="C2967" s="22" t="s">
        <v>2450</v>
      </c>
      <c r="D2967" s="22"/>
      <c r="E2967" s="21" t="s">
        <v>10</v>
      </c>
      <c r="F2967" s="21"/>
      <c r="G2967" s="147" t="s">
        <v>132</v>
      </c>
      <c r="H2967" s="23" t="s">
        <v>1350</v>
      </c>
      <c r="I2967" s="23"/>
      <c r="J2967" s="21" t="s">
        <v>1351</v>
      </c>
      <c r="K2967" s="21"/>
      <c r="L2967" s="21" t="s">
        <v>1975</v>
      </c>
      <c r="M2967" s="26">
        <v>43465</v>
      </c>
      <c r="N2967" s="44">
        <v>3466</v>
      </c>
      <c r="O2967" s="22" t="s">
        <v>15</v>
      </c>
      <c r="P2967" s="44" t="s">
        <v>19</v>
      </c>
      <c r="Q2967" s="24">
        <f t="shared" si="186"/>
        <v>0</v>
      </c>
      <c r="R2967" s="24">
        <f t="shared" si="188"/>
        <v>3466</v>
      </c>
      <c r="S2967" s="5"/>
      <c r="T2967" s="5"/>
    </row>
    <row r="2968" spans="2:20" ht="15.75" hidden="1" x14ac:dyDescent="0.25">
      <c r="B2968" s="21" t="s">
        <v>395</v>
      </c>
      <c r="C2968" s="22" t="s">
        <v>2450</v>
      </c>
      <c r="D2968" s="22"/>
      <c r="E2968" s="21" t="s">
        <v>10</v>
      </c>
      <c r="F2968" s="21"/>
      <c r="G2968" s="147" t="s">
        <v>132</v>
      </c>
      <c r="H2968" s="23" t="s">
        <v>1350</v>
      </c>
      <c r="I2968" s="23"/>
      <c r="J2968" s="21" t="s">
        <v>1352</v>
      </c>
      <c r="K2968" s="21"/>
      <c r="L2968" s="21" t="s">
        <v>1975</v>
      </c>
      <c r="M2968" s="26">
        <v>43465</v>
      </c>
      <c r="N2968" s="44">
        <v>5331</v>
      </c>
      <c r="O2968" s="22" t="s">
        <v>15</v>
      </c>
      <c r="P2968" s="44" t="s">
        <v>19</v>
      </c>
      <c r="Q2968" s="24">
        <f t="shared" si="186"/>
        <v>0</v>
      </c>
      <c r="R2968" s="24">
        <f t="shared" si="188"/>
        <v>5331</v>
      </c>
      <c r="S2968" s="5"/>
      <c r="T2968" s="5"/>
    </row>
    <row r="2969" spans="2:20" ht="15.75" hidden="1" x14ac:dyDescent="0.25">
      <c r="B2969" s="21" t="s">
        <v>395</v>
      </c>
      <c r="C2969" s="22" t="s">
        <v>2450</v>
      </c>
      <c r="D2969" s="22"/>
      <c r="E2969" s="21" t="s">
        <v>10</v>
      </c>
      <c r="F2969" s="21"/>
      <c r="G2969" s="147" t="s">
        <v>132</v>
      </c>
      <c r="H2969" s="23" t="s">
        <v>1350</v>
      </c>
      <c r="I2969" s="23"/>
      <c r="J2969" s="21" t="s">
        <v>1353</v>
      </c>
      <c r="K2969" s="21"/>
      <c r="L2969" s="21" t="s">
        <v>1977</v>
      </c>
      <c r="M2969" s="26" t="s">
        <v>1978</v>
      </c>
      <c r="N2969" s="44">
        <f>23*2</f>
        <v>46</v>
      </c>
      <c r="O2969" s="22" t="s">
        <v>15</v>
      </c>
      <c r="P2969" s="44" t="s">
        <v>19</v>
      </c>
      <c r="Q2969" s="24">
        <f t="shared" si="186"/>
        <v>0</v>
      </c>
      <c r="R2969" s="24">
        <f t="shared" si="188"/>
        <v>46</v>
      </c>
      <c r="S2969" s="5"/>
      <c r="T2969" s="5"/>
    </row>
    <row r="2970" spans="2:20" ht="15.75" hidden="1" x14ac:dyDescent="0.25">
      <c r="B2970" s="21" t="s">
        <v>395</v>
      </c>
      <c r="C2970" s="22" t="s">
        <v>2450</v>
      </c>
      <c r="D2970" s="22"/>
      <c r="E2970" s="21" t="s">
        <v>10</v>
      </c>
      <c r="F2970" s="21"/>
      <c r="G2970" s="147" t="s">
        <v>132</v>
      </c>
      <c r="H2970" s="23" t="s">
        <v>1350</v>
      </c>
      <c r="I2970" s="23"/>
      <c r="J2970" s="21" t="s">
        <v>1354</v>
      </c>
      <c r="K2970" s="21"/>
      <c r="L2970" s="21" t="s">
        <v>1976</v>
      </c>
      <c r="M2970" s="26">
        <v>43524</v>
      </c>
      <c r="N2970" s="44">
        <v>2132</v>
      </c>
      <c r="O2970" s="22" t="s">
        <v>15</v>
      </c>
      <c r="P2970" s="44" t="s">
        <v>19</v>
      </c>
      <c r="Q2970" s="24">
        <f t="shared" si="186"/>
        <v>0</v>
      </c>
      <c r="R2970" s="24">
        <f t="shared" si="188"/>
        <v>2132</v>
      </c>
      <c r="S2970" s="5"/>
      <c r="T2970" s="5"/>
    </row>
    <row r="2971" spans="2:20" ht="15.75" hidden="1" x14ac:dyDescent="0.25">
      <c r="B2971" s="21" t="s">
        <v>395</v>
      </c>
      <c r="C2971" s="22" t="s">
        <v>2450</v>
      </c>
      <c r="D2971" s="22"/>
      <c r="E2971" s="21" t="s">
        <v>10</v>
      </c>
      <c r="F2971" s="21"/>
      <c r="G2971" s="147" t="s">
        <v>132</v>
      </c>
      <c r="H2971" s="23" t="s">
        <v>1350</v>
      </c>
      <c r="I2971" s="23"/>
      <c r="J2971" s="21" t="s">
        <v>1355</v>
      </c>
      <c r="K2971" s="21"/>
      <c r="L2971" s="21"/>
      <c r="M2971" s="26"/>
      <c r="N2971" s="44">
        <v>0</v>
      </c>
      <c r="O2971" s="22" t="s">
        <v>15</v>
      </c>
      <c r="P2971" s="44" t="s">
        <v>19</v>
      </c>
      <c r="Q2971" s="24">
        <f t="shared" si="186"/>
        <v>0</v>
      </c>
      <c r="R2971" s="24">
        <f t="shared" si="188"/>
        <v>0</v>
      </c>
      <c r="S2971" s="5"/>
      <c r="T2971" s="5"/>
    </row>
    <row r="2972" spans="2:20" ht="15.75" hidden="1" x14ac:dyDescent="0.25">
      <c r="B2972" s="21" t="s">
        <v>395</v>
      </c>
      <c r="C2972" s="22" t="s">
        <v>2450</v>
      </c>
      <c r="D2972" s="22"/>
      <c r="E2972" s="21" t="s">
        <v>10</v>
      </c>
      <c r="F2972" s="21"/>
      <c r="G2972" s="147" t="s">
        <v>132</v>
      </c>
      <c r="H2972" s="23" t="s">
        <v>1350</v>
      </c>
      <c r="I2972" s="23"/>
      <c r="J2972" s="21" t="s">
        <v>1359</v>
      </c>
      <c r="K2972" s="21"/>
      <c r="L2972" s="21" t="s">
        <v>1975</v>
      </c>
      <c r="M2972" s="26">
        <v>43465</v>
      </c>
      <c r="N2972" s="44">
        <v>6932</v>
      </c>
      <c r="O2972" s="22" t="s">
        <v>15</v>
      </c>
      <c r="P2972" s="44" t="s">
        <v>19</v>
      </c>
      <c r="Q2972" s="24">
        <f t="shared" si="186"/>
        <v>0</v>
      </c>
      <c r="R2972" s="24">
        <f t="shared" si="188"/>
        <v>6932</v>
      </c>
      <c r="S2972" s="5"/>
      <c r="T2972" s="5"/>
    </row>
    <row r="2973" spans="2:20" ht="15.75" hidden="1" x14ac:dyDescent="0.25">
      <c r="B2973" s="21" t="s">
        <v>395</v>
      </c>
      <c r="C2973" s="22" t="s">
        <v>2450</v>
      </c>
      <c r="D2973" s="22"/>
      <c r="E2973" s="21" t="s">
        <v>10</v>
      </c>
      <c r="F2973" s="21"/>
      <c r="G2973" s="147" t="s">
        <v>132</v>
      </c>
      <c r="H2973" s="23" t="s">
        <v>1350</v>
      </c>
      <c r="I2973" s="23"/>
      <c r="J2973" s="21" t="s">
        <v>1358</v>
      </c>
      <c r="K2973" s="21"/>
      <c r="L2973" s="21" t="s">
        <v>1979</v>
      </c>
      <c r="M2973" s="26" t="s">
        <v>1978</v>
      </c>
      <c r="N2973" s="44">
        <f>1800*2</f>
        <v>3600</v>
      </c>
      <c r="O2973" s="22" t="s">
        <v>15</v>
      </c>
      <c r="P2973" s="44" t="s">
        <v>19</v>
      </c>
      <c r="Q2973" s="24">
        <f t="shared" si="186"/>
        <v>0</v>
      </c>
      <c r="R2973" s="24">
        <f t="shared" si="188"/>
        <v>3600</v>
      </c>
      <c r="S2973" s="5"/>
      <c r="T2973" s="5"/>
    </row>
    <row r="2974" spans="2:20" ht="15.75" hidden="1" x14ac:dyDescent="0.25">
      <c r="B2974" s="21" t="s">
        <v>395</v>
      </c>
      <c r="C2974" s="22" t="s">
        <v>2450</v>
      </c>
      <c r="D2974" s="22"/>
      <c r="E2974" s="21" t="s">
        <v>10</v>
      </c>
      <c r="F2974" s="21"/>
      <c r="G2974" s="147" t="s">
        <v>132</v>
      </c>
      <c r="H2974" s="23" t="s">
        <v>1350</v>
      </c>
      <c r="I2974" s="23"/>
      <c r="J2974" s="21" t="s">
        <v>1356</v>
      </c>
      <c r="K2974" s="21" t="s">
        <v>1682</v>
      </c>
      <c r="L2974" s="21"/>
      <c r="M2974" s="26"/>
      <c r="N2974" s="44">
        <v>0</v>
      </c>
      <c r="O2974" s="22" t="s">
        <v>15</v>
      </c>
      <c r="P2974" s="44" t="s">
        <v>19</v>
      </c>
      <c r="Q2974" s="24">
        <f t="shared" si="186"/>
        <v>0</v>
      </c>
      <c r="R2974" s="24">
        <f t="shared" si="188"/>
        <v>0</v>
      </c>
      <c r="S2974" s="5"/>
      <c r="T2974" s="5"/>
    </row>
    <row r="2975" spans="2:20" ht="15.75" hidden="1" x14ac:dyDescent="0.25">
      <c r="B2975" s="21" t="s">
        <v>395</v>
      </c>
      <c r="C2975" s="22" t="s">
        <v>2450</v>
      </c>
      <c r="D2975" s="22"/>
      <c r="E2975" s="21" t="s">
        <v>10</v>
      </c>
      <c r="F2975" s="21"/>
      <c r="G2975" s="147" t="s">
        <v>132</v>
      </c>
      <c r="H2975" s="23" t="s">
        <v>1350</v>
      </c>
      <c r="I2975" s="23"/>
      <c r="J2975" s="21" t="s">
        <v>1357</v>
      </c>
      <c r="K2975" s="21" t="s">
        <v>1682</v>
      </c>
      <c r="L2975" s="21"/>
      <c r="M2975" s="26"/>
      <c r="N2975" s="44">
        <v>0</v>
      </c>
      <c r="O2975" s="22" t="s">
        <v>15</v>
      </c>
      <c r="P2975" s="44" t="s">
        <v>19</v>
      </c>
      <c r="Q2975" s="24">
        <f t="shared" ref="Q2975:Q2989" si="190">IF(P2975="en cours",N2975,IF(P2975="OK",0,IF(N2975-P2975&lt;0,0,N2975-P2975)))</f>
        <v>0</v>
      </c>
      <c r="R2975" s="24">
        <f t="shared" si="188"/>
        <v>0</v>
      </c>
      <c r="S2975" s="5"/>
      <c r="T2975" s="5"/>
    </row>
    <row r="2976" spans="2:20" ht="15.75" hidden="1" x14ac:dyDescent="0.25">
      <c r="B2976" s="440" t="s">
        <v>395</v>
      </c>
      <c r="C2976" s="441" t="s">
        <v>8819</v>
      </c>
      <c r="D2976" s="441"/>
      <c r="E2976" s="440" t="s">
        <v>10</v>
      </c>
      <c r="F2976" s="440"/>
      <c r="G2976" s="442" t="s">
        <v>132</v>
      </c>
      <c r="H2976" s="443" t="s">
        <v>8820</v>
      </c>
      <c r="I2976" s="112"/>
      <c r="J2976" s="444" t="s">
        <v>8821</v>
      </c>
      <c r="K2976" s="440"/>
      <c r="L2976" s="440" t="s">
        <v>9184</v>
      </c>
      <c r="M2976" s="448" t="s">
        <v>9185</v>
      </c>
      <c r="N2976" s="445">
        <f>2000000-(SUM(P2963:P2975)+(SUM(P2977:P2989)))</f>
        <v>503476.27</v>
      </c>
      <c r="O2976" s="446" t="s">
        <v>15</v>
      </c>
      <c r="P2976" s="445">
        <f>294810.64+388957.85+421117.36</f>
        <v>1104885.8500000001</v>
      </c>
      <c r="Q2976" s="445">
        <f t="shared" si="190"/>
        <v>0</v>
      </c>
      <c r="R2976" s="447">
        <f t="shared" si="188"/>
        <v>1104885.8500000001</v>
      </c>
      <c r="S2976" s="5"/>
      <c r="T2976" s="5"/>
    </row>
    <row r="2977" spans="2:20" ht="15.75" hidden="1" x14ac:dyDescent="0.25">
      <c r="B2977" s="21" t="s">
        <v>395</v>
      </c>
      <c r="C2977" s="22" t="s">
        <v>2450</v>
      </c>
      <c r="D2977" s="22" t="s">
        <v>6549</v>
      </c>
      <c r="E2977" s="21" t="s">
        <v>10</v>
      </c>
      <c r="F2977" s="21"/>
      <c r="G2977" s="147" t="s">
        <v>132</v>
      </c>
      <c r="H2977" s="23" t="s">
        <v>7542</v>
      </c>
      <c r="I2977" s="23" t="s">
        <v>8248</v>
      </c>
      <c r="J2977" s="21" t="s">
        <v>7498</v>
      </c>
      <c r="K2977" s="377"/>
      <c r="L2977" s="21" t="s">
        <v>7634</v>
      </c>
      <c r="M2977" s="26">
        <v>44985</v>
      </c>
      <c r="N2977" s="44">
        <v>111206</v>
      </c>
      <c r="O2977" s="22" t="s">
        <v>15</v>
      </c>
      <c r="P2977" s="114">
        <f>111206</f>
        <v>111206</v>
      </c>
      <c r="Q2977" s="44">
        <f t="shared" si="190"/>
        <v>0</v>
      </c>
      <c r="R2977" s="24">
        <f t="shared" si="188"/>
        <v>111206</v>
      </c>
      <c r="S2977" s="5"/>
      <c r="T2977" s="5"/>
    </row>
    <row r="2978" spans="2:20" ht="15.75" hidden="1" x14ac:dyDescent="0.25">
      <c r="B2978" s="21" t="s">
        <v>395</v>
      </c>
      <c r="C2978" s="22" t="s">
        <v>2450</v>
      </c>
      <c r="D2978" s="22" t="s">
        <v>6549</v>
      </c>
      <c r="E2978" s="21" t="s">
        <v>10</v>
      </c>
      <c r="F2978" s="21"/>
      <c r="G2978" s="147" t="s">
        <v>132</v>
      </c>
      <c r="H2978" s="23" t="s">
        <v>7542</v>
      </c>
      <c r="I2978" s="23" t="s">
        <v>8248</v>
      </c>
      <c r="J2978" s="21" t="s">
        <v>7499</v>
      </c>
      <c r="K2978" s="377"/>
      <c r="L2978" s="21" t="s">
        <v>8605</v>
      </c>
      <c r="M2978" s="26" t="s">
        <v>8606</v>
      </c>
      <c r="N2978" s="44">
        <v>124665</v>
      </c>
      <c r="O2978" s="22" t="s">
        <v>15</v>
      </c>
      <c r="P2978" s="114">
        <f>138952.31-111206+96918.69</f>
        <v>124665</v>
      </c>
      <c r="Q2978" s="44">
        <f t="shared" si="190"/>
        <v>0</v>
      </c>
      <c r="R2978" s="24">
        <f t="shared" si="188"/>
        <v>124665</v>
      </c>
      <c r="S2978" s="5"/>
      <c r="T2978" s="5"/>
    </row>
    <row r="2979" spans="2:20" ht="15.75" hidden="1" x14ac:dyDescent="0.25">
      <c r="B2979" s="21" t="s">
        <v>395</v>
      </c>
      <c r="C2979" s="22" t="s">
        <v>2450</v>
      </c>
      <c r="D2979" s="22" t="s">
        <v>6549</v>
      </c>
      <c r="E2979" s="21" t="s">
        <v>10</v>
      </c>
      <c r="F2979" s="21"/>
      <c r="G2979" s="147" t="s">
        <v>132</v>
      </c>
      <c r="H2979" s="23" t="s">
        <v>7542</v>
      </c>
      <c r="I2979" s="23" t="s">
        <v>8248</v>
      </c>
      <c r="J2979" s="21" t="s">
        <v>7500</v>
      </c>
      <c r="K2979" s="377"/>
      <c r="L2979" s="21" t="s">
        <v>7755</v>
      </c>
      <c r="M2979" s="26">
        <v>45016</v>
      </c>
      <c r="N2979" s="44">
        <v>124831</v>
      </c>
      <c r="O2979" s="22" t="s">
        <v>15</v>
      </c>
      <c r="P2979" s="114">
        <v>226898.72</v>
      </c>
      <c r="Q2979" s="44">
        <f t="shared" si="190"/>
        <v>0</v>
      </c>
      <c r="R2979" s="24">
        <f t="shared" si="188"/>
        <v>226898.72</v>
      </c>
      <c r="S2979" s="5"/>
      <c r="T2979" s="5"/>
    </row>
    <row r="2980" spans="2:20" ht="15.75" hidden="1" x14ac:dyDescent="0.25">
      <c r="B2980" s="21" t="s">
        <v>395</v>
      </c>
      <c r="C2980" s="22" t="s">
        <v>2450</v>
      </c>
      <c r="D2980" s="22" t="s">
        <v>6549</v>
      </c>
      <c r="E2980" s="21" t="s">
        <v>10</v>
      </c>
      <c r="F2980" s="21"/>
      <c r="G2980" s="147" t="s">
        <v>132</v>
      </c>
      <c r="H2980" s="23" t="s">
        <v>7542</v>
      </c>
      <c r="I2980" s="23" t="s">
        <v>8248</v>
      </c>
      <c r="J2980" s="21" t="s">
        <v>7501</v>
      </c>
      <c r="K2980" s="377"/>
      <c r="L2980" s="21" t="s">
        <v>8603</v>
      </c>
      <c r="M2980" s="23" t="s">
        <v>8604</v>
      </c>
      <c r="N2980" s="44">
        <v>123123</v>
      </c>
      <c r="O2980" s="22" t="s">
        <v>15</v>
      </c>
      <c r="P2980" s="114">
        <v>123123</v>
      </c>
      <c r="Q2980" s="44">
        <f t="shared" si="190"/>
        <v>0</v>
      </c>
      <c r="R2980" s="24">
        <f t="shared" si="188"/>
        <v>123123</v>
      </c>
      <c r="S2980" s="5"/>
      <c r="T2980" s="5"/>
    </row>
    <row r="2981" spans="2:20" ht="15.75" hidden="1" x14ac:dyDescent="0.25">
      <c r="B2981" s="21" t="s">
        <v>395</v>
      </c>
      <c r="C2981" s="22" t="s">
        <v>2450</v>
      </c>
      <c r="D2981" s="22" t="s">
        <v>6549</v>
      </c>
      <c r="E2981" s="21" t="s">
        <v>10</v>
      </c>
      <c r="F2981" s="21"/>
      <c r="G2981" s="147" t="s">
        <v>132</v>
      </c>
      <c r="H2981" s="23" t="s">
        <v>7542</v>
      </c>
      <c r="I2981" s="23" t="s">
        <v>8248</v>
      </c>
      <c r="J2981" s="21" t="s">
        <v>7502</v>
      </c>
      <c r="K2981" s="377"/>
      <c r="L2981" s="21" t="s">
        <v>8672</v>
      </c>
      <c r="M2981" s="23" t="s">
        <v>8671</v>
      </c>
      <c r="N2981" s="44">
        <v>123123</v>
      </c>
      <c r="O2981" s="22" t="s">
        <v>15</v>
      </c>
      <c r="P2981" s="114">
        <f>4241.81+118881.19</f>
        <v>123123</v>
      </c>
      <c r="Q2981" s="44">
        <f t="shared" si="190"/>
        <v>0</v>
      </c>
      <c r="R2981" s="24">
        <f t="shared" si="188"/>
        <v>123123</v>
      </c>
      <c r="S2981" s="5"/>
      <c r="T2981" s="5"/>
    </row>
    <row r="2982" spans="2:20" ht="15.75" hidden="1" x14ac:dyDescent="0.25">
      <c r="B2982" s="21" t="s">
        <v>395</v>
      </c>
      <c r="C2982" s="22" t="s">
        <v>2450</v>
      </c>
      <c r="D2982" s="22" t="s">
        <v>6549</v>
      </c>
      <c r="E2982" s="21" t="s">
        <v>10</v>
      </c>
      <c r="F2982" s="21"/>
      <c r="G2982" s="147" t="s">
        <v>132</v>
      </c>
      <c r="H2982" s="23" t="s">
        <v>7542</v>
      </c>
      <c r="I2982" s="23" t="s">
        <v>8248</v>
      </c>
      <c r="J2982" s="21" t="s">
        <v>7503</v>
      </c>
      <c r="K2982" s="377"/>
      <c r="L2982" s="21" t="s">
        <v>8802</v>
      </c>
      <c r="M2982" s="23" t="s">
        <v>8803</v>
      </c>
      <c r="N2982" s="44">
        <v>72500</v>
      </c>
      <c r="O2982" s="22" t="s">
        <v>15</v>
      </c>
      <c r="P2982" s="114">
        <f>71345.23+1154.77</f>
        <v>72500</v>
      </c>
      <c r="Q2982" s="44">
        <f t="shared" si="190"/>
        <v>0</v>
      </c>
      <c r="R2982" s="24">
        <f t="shared" si="188"/>
        <v>72500</v>
      </c>
      <c r="S2982" s="5"/>
      <c r="T2982" s="5"/>
    </row>
    <row r="2983" spans="2:20" ht="15.75" hidden="1" x14ac:dyDescent="0.25">
      <c r="B2983" s="21" t="s">
        <v>395</v>
      </c>
      <c r="C2983" s="22" t="s">
        <v>2450</v>
      </c>
      <c r="D2983" s="22" t="s">
        <v>6549</v>
      </c>
      <c r="E2983" s="21" t="s">
        <v>10</v>
      </c>
      <c r="F2983" s="21"/>
      <c r="G2983" s="147" t="s">
        <v>132</v>
      </c>
      <c r="H2983" s="23" t="s">
        <v>7542</v>
      </c>
      <c r="I2983" s="23" t="s">
        <v>8248</v>
      </c>
      <c r="J2983" s="21" t="s">
        <v>7504</v>
      </c>
      <c r="K2983" s="377"/>
      <c r="L2983" s="21" t="s">
        <v>8804</v>
      </c>
      <c r="M2983" s="26">
        <v>45169</v>
      </c>
      <c r="N2983" s="44">
        <v>64792</v>
      </c>
      <c r="O2983" s="22" t="s">
        <v>15</v>
      </c>
      <c r="P2983" s="114">
        <f>64792</f>
        <v>64792</v>
      </c>
      <c r="Q2983" s="44">
        <f t="shared" si="190"/>
        <v>0</v>
      </c>
      <c r="R2983" s="24">
        <f t="shared" si="188"/>
        <v>64792</v>
      </c>
      <c r="S2983" s="5"/>
      <c r="T2983" s="5"/>
    </row>
    <row r="2984" spans="2:20" ht="15.75" hidden="1" x14ac:dyDescent="0.25">
      <c r="B2984" s="21" t="s">
        <v>395</v>
      </c>
      <c r="C2984" s="22" t="s">
        <v>2450</v>
      </c>
      <c r="D2984" s="22" t="s">
        <v>6549</v>
      </c>
      <c r="E2984" s="21" t="s">
        <v>10</v>
      </c>
      <c r="F2984" s="21"/>
      <c r="G2984" s="147" t="s">
        <v>132</v>
      </c>
      <c r="H2984" s="23" t="s">
        <v>7542</v>
      </c>
      <c r="I2984" s="23" t="s">
        <v>8248</v>
      </c>
      <c r="J2984" s="21" t="s">
        <v>7505</v>
      </c>
      <c r="K2984" s="377"/>
      <c r="L2984" s="21" t="s">
        <v>8804</v>
      </c>
      <c r="M2984" s="26">
        <v>45169</v>
      </c>
      <c r="N2984" s="44">
        <v>78645</v>
      </c>
      <c r="O2984" s="22" t="s">
        <v>15</v>
      </c>
      <c r="P2984" s="114">
        <f>78645</f>
        <v>78645</v>
      </c>
      <c r="Q2984" s="44">
        <f t="shared" si="190"/>
        <v>0</v>
      </c>
      <c r="R2984" s="24">
        <f t="shared" si="188"/>
        <v>78645</v>
      </c>
      <c r="S2984" s="5"/>
      <c r="T2984" s="5"/>
    </row>
    <row r="2985" spans="2:20" ht="15.75" hidden="1" x14ac:dyDescent="0.25">
      <c r="B2985" s="21" t="s">
        <v>395</v>
      </c>
      <c r="C2985" s="22" t="s">
        <v>2450</v>
      </c>
      <c r="D2985" s="22" t="s">
        <v>6549</v>
      </c>
      <c r="E2985" s="21" t="s">
        <v>10</v>
      </c>
      <c r="F2985" s="21"/>
      <c r="G2985" s="147" t="s">
        <v>132</v>
      </c>
      <c r="H2985" s="23" t="s">
        <v>7542</v>
      </c>
      <c r="I2985" s="23" t="s">
        <v>8248</v>
      </c>
      <c r="J2985" s="21" t="s">
        <v>7506</v>
      </c>
      <c r="K2985" s="377"/>
      <c r="L2985" s="21" t="s">
        <v>8804</v>
      </c>
      <c r="M2985" s="26">
        <v>45169</v>
      </c>
      <c r="N2985" s="44">
        <v>41145</v>
      </c>
      <c r="O2985" s="22" t="s">
        <v>15</v>
      </c>
      <c r="P2985" s="114">
        <f>41145</f>
        <v>41145</v>
      </c>
      <c r="Q2985" s="44">
        <f t="shared" si="190"/>
        <v>0</v>
      </c>
      <c r="R2985" s="24">
        <f t="shared" si="188"/>
        <v>41145</v>
      </c>
      <c r="S2985" s="5"/>
      <c r="T2985" s="5"/>
    </row>
    <row r="2986" spans="2:20" ht="15.75" hidden="1" x14ac:dyDescent="0.25">
      <c r="B2986" s="21" t="s">
        <v>395</v>
      </c>
      <c r="C2986" s="22" t="s">
        <v>2450</v>
      </c>
      <c r="D2986" s="22" t="s">
        <v>6549</v>
      </c>
      <c r="E2986" s="21" t="s">
        <v>10</v>
      </c>
      <c r="F2986" s="21"/>
      <c r="G2986" s="147" t="s">
        <v>132</v>
      </c>
      <c r="H2986" s="23" t="s">
        <v>7542</v>
      </c>
      <c r="I2986" s="23" t="s">
        <v>8248</v>
      </c>
      <c r="J2986" s="21" t="s">
        <v>7507</v>
      </c>
      <c r="K2986" s="377"/>
      <c r="L2986" s="21" t="s">
        <v>8804</v>
      </c>
      <c r="M2986" s="26">
        <v>45169</v>
      </c>
      <c r="N2986" s="44">
        <v>41145</v>
      </c>
      <c r="O2986" s="22" t="s">
        <v>15</v>
      </c>
      <c r="P2986" s="114">
        <f>41145</f>
        <v>41145</v>
      </c>
      <c r="Q2986" s="44">
        <f t="shared" si="190"/>
        <v>0</v>
      </c>
      <c r="R2986" s="24">
        <f t="shared" si="188"/>
        <v>41145</v>
      </c>
      <c r="S2986" s="5"/>
      <c r="T2986" s="5"/>
    </row>
    <row r="2987" spans="2:20" ht="15.75" hidden="1" x14ac:dyDescent="0.25">
      <c r="B2987" s="21" t="s">
        <v>395</v>
      </c>
      <c r="C2987" s="22" t="s">
        <v>2450</v>
      </c>
      <c r="D2987" s="22" t="s">
        <v>6549</v>
      </c>
      <c r="E2987" s="21" t="s">
        <v>10</v>
      </c>
      <c r="F2987" s="21"/>
      <c r="G2987" s="147" t="s">
        <v>132</v>
      </c>
      <c r="H2987" s="23" t="s">
        <v>7542</v>
      </c>
      <c r="I2987" s="23" t="s">
        <v>8248</v>
      </c>
      <c r="J2987" s="21" t="s">
        <v>7508</v>
      </c>
      <c r="K2987" s="377"/>
      <c r="L2987" s="21" t="s">
        <v>8804</v>
      </c>
      <c r="M2987" s="26">
        <v>45169</v>
      </c>
      <c r="N2987" s="44">
        <v>40104</v>
      </c>
      <c r="O2987" s="22" t="s">
        <v>15</v>
      </c>
      <c r="P2987" s="114">
        <f>40104</f>
        <v>40104</v>
      </c>
      <c r="Q2987" s="44">
        <f t="shared" si="190"/>
        <v>0</v>
      </c>
      <c r="R2987" s="24">
        <f t="shared" si="188"/>
        <v>40104</v>
      </c>
      <c r="S2987" s="5"/>
      <c r="T2987" s="5"/>
    </row>
    <row r="2988" spans="2:20" ht="15.75" hidden="1" x14ac:dyDescent="0.25">
      <c r="B2988" s="21" t="s">
        <v>395</v>
      </c>
      <c r="C2988" s="22" t="s">
        <v>2450</v>
      </c>
      <c r="D2988" s="22" t="s">
        <v>6549</v>
      </c>
      <c r="E2988" s="21" t="s">
        <v>10</v>
      </c>
      <c r="F2988" s="21"/>
      <c r="G2988" s="147" t="s">
        <v>132</v>
      </c>
      <c r="H2988" s="23" t="s">
        <v>7542</v>
      </c>
      <c r="I2988" s="23" t="s">
        <v>8248</v>
      </c>
      <c r="J2988" s="21" t="s">
        <v>7509</v>
      </c>
      <c r="K2988" s="377"/>
      <c r="L2988" s="21" t="s">
        <v>8804</v>
      </c>
      <c r="M2988" s="26">
        <v>45169</v>
      </c>
      <c r="N2988" s="44">
        <v>40104</v>
      </c>
      <c r="O2988" s="22" t="s">
        <v>15</v>
      </c>
      <c r="P2988" s="114">
        <f>40104</f>
        <v>40104</v>
      </c>
      <c r="Q2988" s="44">
        <f t="shared" si="190"/>
        <v>0</v>
      </c>
      <c r="R2988" s="24">
        <f t="shared" ref="R2988:R3041" si="191">IF(P2988="OK",N2988-Q2988,IF(P2988="en cours",N2988-Q2988,P2988))</f>
        <v>40104</v>
      </c>
      <c r="S2988" s="5"/>
      <c r="T2988" s="5"/>
    </row>
    <row r="2989" spans="2:20" ht="15.75" hidden="1" x14ac:dyDescent="0.25">
      <c r="B2989" s="21" t="s">
        <v>395</v>
      </c>
      <c r="C2989" s="22" t="s">
        <v>2450</v>
      </c>
      <c r="D2989" s="22" t="s">
        <v>6549</v>
      </c>
      <c r="E2989" s="21" t="s">
        <v>10</v>
      </c>
      <c r="F2989" s="21"/>
      <c r="G2989" s="147" t="s">
        <v>132</v>
      </c>
      <c r="H2989" s="23" t="s">
        <v>7542</v>
      </c>
      <c r="I2989" s="23" t="s">
        <v>8248</v>
      </c>
      <c r="J2989" s="21" t="s">
        <v>7510</v>
      </c>
      <c r="K2989" s="377"/>
      <c r="L2989" s="21" t="s">
        <v>8805</v>
      </c>
      <c r="M2989" s="23" t="s">
        <v>8806</v>
      </c>
      <c r="N2989" s="44">
        <v>40104</v>
      </c>
      <c r="O2989" s="22" t="s">
        <v>15</v>
      </c>
      <c r="P2989" s="114">
        <f>57581.01+273925</f>
        <v>331506.01</v>
      </c>
      <c r="Q2989" s="44">
        <f t="shared" si="190"/>
        <v>0</v>
      </c>
      <c r="R2989" s="24">
        <f t="shared" si="191"/>
        <v>331506.01</v>
      </c>
      <c r="S2989" s="5"/>
      <c r="T2989" s="5"/>
    </row>
    <row r="2990" spans="2:20" ht="15.75" hidden="1" x14ac:dyDescent="0.25">
      <c r="B2990" s="21" t="s">
        <v>395</v>
      </c>
      <c r="C2990" s="22" t="s">
        <v>2450</v>
      </c>
      <c r="D2990" s="22"/>
      <c r="E2990" s="21" t="s">
        <v>0</v>
      </c>
      <c r="F2990" s="21"/>
      <c r="G2990" s="147" t="s">
        <v>509</v>
      </c>
      <c r="H2990" s="23" t="s">
        <v>1217</v>
      </c>
      <c r="I2990" s="23"/>
      <c r="J2990" s="21"/>
      <c r="K2990" s="21"/>
      <c r="L2990" s="21" t="s">
        <v>4163</v>
      </c>
      <c r="M2990" s="26">
        <v>44181</v>
      </c>
      <c r="N2990" s="44"/>
      <c r="O2990" s="22" t="s">
        <v>15</v>
      </c>
      <c r="P2990" s="22" t="s">
        <v>19</v>
      </c>
      <c r="Q2990" s="24">
        <v>0</v>
      </c>
      <c r="R2990" s="24">
        <f t="shared" si="191"/>
        <v>0</v>
      </c>
      <c r="T2990" s="5"/>
    </row>
    <row r="2991" spans="2:20" ht="15.75" hidden="1" x14ac:dyDescent="0.25">
      <c r="B2991" s="21" t="s">
        <v>395</v>
      </c>
      <c r="C2991" s="22" t="s">
        <v>2458</v>
      </c>
      <c r="D2991" s="22"/>
      <c r="E2991" s="21" t="s">
        <v>0</v>
      </c>
      <c r="F2991" s="21"/>
      <c r="G2991" s="147" t="s">
        <v>509</v>
      </c>
      <c r="H2991" s="23" t="s">
        <v>7604</v>
      </c>
      <c r="I2991" s="23"/>
      <c r="J2991" s="21" t="s">
        <v>7605</v>
      </c>
      <c r="K2991" s="21"/>
      <c r="L2991" s="21" t="s">
        <v>7666</v>
      </c>
      <c r="M2991" s="26" t="s">
        <v>7648</v>
      </c>
      <c r="N2991" s="44">
        <v>176390</v>
      </c>
      <c r="O2991" s="22" t="s">
        <v>15</v>
      </c>
      <c r="P2991" s="44">
        <f xml:space="preserve"> 201115.84+1302.21+2003.79</f>
        <v>204421.84</v>
      </c>
      <c r="Q2991" s="24">
        <f t="shared" ref="Q2991:Q3041" si="192">IF(P2991="en cours",N2991,IF(P2991="OK",0,IF(N2991-P2991&lt;0,0,N2991-P2991)))</f>
        <v>0</v>
      </c>
      <c r="R2991" s="24">
        <f t="shared" si="191"/>
        <v>204421.84</v>
      </c>
      <c r="T2991" s="5"/>
    </row>
    <row r="2992" spans="2:20" ht="15.75" hidden="1" x14ac:dyDescent="0.25">
      <c r="B2992" s="21" t="s">
        <v>395</v>
      </c>
      <c r="C2992" s="22" t="s">
        <v>2458</v>
      </c>
      <c r="D2992" s="22"/>
      <c r="E2992" s="21" t="s">
        <v>0</v>
      </c>
      <c r="F2992" s="21"/>
      <c r="G2992" s="147" t="s">
        <v>509</v>
      </c>
      <c r="H2992" s="23" t="s">
        <v>1062</v>
      </c>
      <c r="I2992" s="23"/>
      <c r="J2992" s="21" t="s">
        <v>1060</v>
      </c>
      <c r="K2992" s="21"/>
      <c r="L2992" s="21"/>
      <c r="M2992" s="26" t="s">
        <v>1398</v>
      </c>
      <c r="N2992" s="44"/>
      <c r="O2992" s="22" t="s">
        <v>15</v>
      </c>
      <c r="P2992" s="44" t="s">
        <v>19</v>
      </c>
      <c r="Q2992" s="24">
        <f t="shared" si="192"/>
        <v>0</v>
      </c>
      <c r="R2992" s="24">
        <f t="shared" si="191"/>
        <v>0</v>
      </c>
      <c r="S2992" s="5"/>
      <c r="T2992" s="5"/>
    </row>
    <row r="2993" spans="2:20" ht="15.75" hidden="1" x14ac:dyDescent="0.25">
      <c r="B2993" s="21" t="s">
        <v>395</v>
      </c>
      <c r="C2993" s="22" t="s">
        <v>2458</v>
      </c>
      <c r="D2993" s="22"/>
      <c r="E2993" s="21" t="s">
        <v>0</v>
      </c>
      <c r="F2993" s="21"/>
      <c r="G2993" s="147" t="s">
        <v>509</v>
      </c>
      <c r="H2993" s="23" t="s">
        <v>1062</v>
      </c>
      <c r="I2993" s="23"/>
      <c r="J2993" s="21" t="s">
        <v>1061</v>
      </c>
      <c r="K2993" s="21"/>
      <c r="L2993" s="21"/>
      <c r="M2993" s="26" t="s">
        <v>1506</v>
      </c>
      <c r="N2993" s="44"/>
      <c r="O2993" s="22" t="s">
        <v>15</v>
      </c>
      <c r="P2993" s="44" t="s">
        <v>19</v>
      </c>
      <c r="Q2993" s="24">
        <f t="shared" si="192"/>
        <v>0</v>
      </c>
      <c r="R2993" s="24">
        <f t="shared" si="191"/>
        <v>0</v>
      </c>
      <c r="S2993" s="5"/>
      <c r="T2993" s="5"/>
    </row>
    <row r="2994" spans="2:20" ht="15.75" hidden="1" x14ac:dyDescent="0.25">
      <c r="B2994" s="21" t="s">
        <v>395</v>
      </c>
      <c r="C2994" s="22" t="s">
        <v>2458</v>
      </c>
      <c r="D2994" s="22"/>
      <c r="E2994" s="21" t="s">
        <v>0</v>
      </c>
      <c r="F2994" s="21"/>
      <c r="G2994" s="147" t="s">
        <v>509</v>
      </c>
      <c r="H2994" s="23" t="s">
        <v>1063</v>
      </c>
      <c r="I2994" s="23"/>
      <c r="J2994" s="21" t="s">
        <v>1399</v>
      </c>
      <c r="K2994" s="21"/>
      <c r="L2994" s="21"/>
      <c r="M2994" s="26"/>
      <c r="N2994" s="44"/>
      <c r="O2994" s="22" t="s">
        <v>15</v>
      </c>
      <c r="P2994" s="44" t="s">
        <v>19</v>
      </c>
      <c r="Q2994" s="24">
        <f t="shared" si="192"/>
        <v>0</v>
      </c>
      <c r="R2994" s="24">
        <f t="shared" si="191"/>
        <v>0</v>
      </c>
      <c r="T2994" s="5"/>
    </row>
    <row r="2995" spans="2:20" ht="15.75" hidden="1" x14ac:dyDescent="0.25">
      <c r="B2995" s="21" t="s">
        <v>395</v>
      </c>
      <c r="C2995" s="22" t="s">
        <v>2458</v>
      </c>
      <c r="D2995" s="22"/>
      <c r="E2995" s="21" t="s">
        <v>0</v>
      </c>
      <c r="F2995" s="21"/>
      <c r="G2995" s="147" t="s">
        <v>509</v>
      </c>
      <c r="H2995" s="23" t="s">
        <v>1063</v>
      </c>
      <c r="I2995" s="23"/>
      <c r="J2995" s="21" t="s">
        <v>1400</v>
      </c>
      <c r="K2995" s="21"/>
      <c r="L2995" s="21"/>
      <c r="M2995" s="26"/>
      <c r="N2995" s="44"/>
      <c r="O2995" s="22" t="s">
        <v>15</v>
      </c>
      <c r="P2995" s="44" t="s">
        <v>19</v>
      </c>
      <c r="Q2995" s="24">
        <f t="shared" si="192"/>
        <v>0</v>
      </c>
      <c r="R2995" s="24">
        <f t="shared" si="191"/>
        <v>0</v>
      </c>
      <c r="T2995" s="5"/>
    </row>
    <row r="2996" spans="2:20" ht="15.75" hidden="1" x14ac:dyDescent="0.25">
      <c r="B2996" s="21" t="s">
        <v>395</v>
      </c>
      <c r="C2996" s="22" t="s">
        <v>2458</v>
      </c>
      <c r="D2996" s="22"/>
      <c r="E2996" s="21" t="s">
        <v>0</v>
      </c>
      <c r="F2996" s="21"/>
      <c r="G2996" s="147" t="s">
        <v>509</v>
      </c>
      <c r="H2996" s="23" t="s">
        <v>1063</v>
      </c>
      <c r="I2996" s="23"/>
      <c r="J2996" s="21" t="s">
        <v>1401</v>
      </c>
      <c r="K2996" s="21"/>
      <c r="L2996" s="21"/>
      <c r="M2996" s="26"/>
      <c r="N2996" s="44"/>
      <c r="O2996" s="22" t="s">
        <v>15</v>
      </c>
      <c r="P2996" s="44" t="s">
        <v>19</v>
      </c>
      <c r="Q2996" s="24">
        <f t="shared" si="192"/>
        <v>0</v>
      </c>
      <c r="R2996" s="24">
        <f t="shared" si="191"/>
        <v>0</v>
      </c>
      <c r="T2996" s="5"/>
    </row>
    <row r="2997" spans="2:20" ht="15.75" hidden="1" x14ac:dyDescent="0.25">
      <c r="B2997" s="21" t="s">
        <v>395</v>
      </c>
      <c r="C2997" s="22" t="s">
        <v>2458</v>
      </c>
      <c r="D2997" s="22"/>
      <c r="E2997" s="21" t="s">
        <v>0</v>
      </c>
      <c r="F2997" s="21"/>
      <c r="G2997" s="147" t="s">
        <v>509</v>
      </c>
      <c r="H2997" s="23" t="s">
        <v>1063</v>
      </c>
      <c r="I2997" s="23"/>
      <c r="J2997" s="21" t="s">
        <v>1402</v>
      </c>
      <c r="K2997" s="21"/>
      <c r="L2997" s="21"/>
      <c r="M2997" s="26"/>
      <c r="N2997" s="44"/>
      <c r="O2997" s="22" t="s">
        <v>15</v>
      </c>
      <c r="P2997" s="44" t="s">
        <v>19</v>
      </c>
      <c r="Q2997" s="24">
        <f t="shared" si="192"/>
        <v>0</v>
      </c>
      <c r="R2997" s="24">
        <f t="shared" si="191"/>
        <v>0</v>
      </c>
      <c r="T2997" s="5"/>
    </row>
    <row r="2998" spans="2:20" ht="15.75" hidden="1" x14ac:dyDescent="0.25">
      <c r="B2998" s="21" t="s">
        <v>395</v>
      </c>
      <c r="C2998" s="22" t="s">
        <v>2458</v>
      </c>
      <c r="D2998" s="22"/>
      <c r="E2998" s="21" t="s">
        <v>0</v>
      </c>
      <c r="F2998" s="21"/>
      <c r="G2998" s="147" t="s">
        <v>509</v>
      </c>
      <c r="H2998" s="23" t="s">
        <v>1063</v>
      </c>
      <c r="I2998" s="23"/>
      <c r="J2998" s="21" t="s">
        <v>1403</v>
      </c>
      <c r="K2998" s="21"/>
      <c r="L2998" s="21"/>
      <c r="M2998" s="26"/>
      <c r="N2998" s="44"/>
      <c r="O2998" s="22" t="s">
        <v>15</v>
      </c>
      <c r="P2998" s="44" t="s">
        <v>19</v>
      </c>
      <c r="Q2998" s="24">
        <f t="shared" si="192"/>
        <v>0</v>
      </c>
      <c r="R2998" s="24">
        <f t="shared" si="191"/>
        <v>0</v>
      </c>
      <c r="T2998" s="5"/>
    </row>
    <row r="2999" spans="2:20" ht="15.75" hidden="1" x14ac:dyDescent="0.25">
      <c r="B2999" s="21" t="s">
        <v>395</v>
      </c>
      <c r="C2999" s="22" t="s">
        <v>2458</v>
      </c>
      <c r="D2999" s="22"/>
      <c r="E2999" s="21" t="s">
        <v>0</v>
      </c>
      <c r="F2999" s="21"/>
      <c r="G2999" s="147" t="s">
        <v>509</v>
      </c>
      <c r="H2999" s="23" t="s">
        <v>1063</v>
      </c>
      <c r="I2999" s="23"/>
      <c r="J2999" s="21" t="s">
        <v>1404</v>
      </c>
      <c r="K2999" s="21"/>
      <c r="L2999" s="21"/>
      <c r="M2999" s="26"/>
      <c r="N2999" s="44"/>
      <c r="O2999" s="22" t="s">
        <v>15</v>
      </c>
      <c r="P2999" s="44" t="s">
        <v>19</v>
      </c>
      <c r="Q2999" s="24">
        <f t="shared" si="192"/>
        <v>0</v>
      </c>
      <c r="R2999" s="24">
        <f t="shared" si="191"/>
        <v>0</v>
      </c>
      <c r="T2999" s="5"/>
    </row>
    <row r="3000" spans="2:20" ht="15.75" hidden="1" x14ac:dyDescent="0.25">
      <c r="B3000" s="21" t="s">
        <v>395</v>
      </c>
      <c r="C3000" s="22" t="s">
        <v>2458</v>
      </c>
      <c r="D3000" s="22"/>
      <c r="E3000" s="21" t="s">
        <v>0</v>
      </c>
      <c r="F3000" s="21"/>
      <c r="G3000" s="147" t="s">
        <v>509</v>
      </c>
      <c r="H3000" s="23" t="s">
        <v>1063</v>
      </c>
      <c r="I3000" s="23"/>
      <c r="J3000" s="21" t="s">
        <v>1405</v>
      </c>
      <c r="K3000" s="21"/>
      <c r="L3000" s="21"/>
      <c r="M3000" s="26"/>
      <c r="N3000" s="44"/>
      <c r="O3000" s="22" t="s">
        <v>15</v>
      </c>
      <c r="P3000" s="44" t="s">
        <v>19</v>
      </c>
      <c r="Q3000" s="24">
        <f t="shared" si="192"/>
        <v>0</v>
      </c>
      <c r="R3000" s="24">
        <f t="shared" si="191"/>
        <v>0</v>
      </c>
      <c r="T3000" s="5"/>
    </row>
    <row r="3001" spans="2:20" ht="15.75" hidden="1" x14ac:dyDescent="0.25">
      <c r="B3001" s="21" t="s">
        <v>395</v>
      </c>
      <c r="C3001" s="22" t="s">
        <v>2458</v>
      </c>
      <c r="D3001" s="22"/>
      <c r="E3001" s="21" t="s">
        <v>0</v>
      </c>
      <c r="F3001" s="21"/>
      <c r="G3001" s="147" t="s">
        <v>509</v>
      </c>
      <c r="H3001" s="23" t="s">
        <v>1063</v>
      </c>
      <c r="I3001" s="23"/>
      <c r="J3001" s="21" t="s">
        <v>4559</v>
      </c>
      <c r="K3001" s="21"/>
      <c r="L3001" s="21"/>
      <c r="M3001" s="26" t="s">
        <v>4368</v>
      </c>
      <c r="N3001" s="44"/>
      <c r="O3001" s="22" t="s">
        <v>15</v>
      </c>
      <c r="P3001" s="44" t="s">
        <v>19</v>
      </c>
      <c r="Q3001" s="24">
        <f t="shared" si="192"/>
        <v>0</v>
      </c>
      <c r="R3001" s="24">
        <f t="shared" si="191"/>
        <v>0</v>
      </c>
      <c r="T3001" s="5"/>
    </row>
    <row r="3002" spans="2:20" ht="15.75" hidden="1" x14ac:dyDescent="0.25">
      <c r="B3002" s="5" t="s">
        <v>12228</v>
      </c>
      <c r="C3002" s="4" t="s">
        <v>6267</v>
      </c>
      <c r="D3002" s="4"/>
      <c r="E3002" s="5" t="s">
        <v>75</v>
      </c>
      <c r="F3002" s="5"/>
      <c r="G3002" s="146" t="s">
        <v>8419</v>
      </c>
      <c r="H3002" s="7" t="s">
        <v>8434</v>
      </c>
      <c r="I3002" s="7"/>
      <c r="J3002" s="5" t="s">
        <v>8420</v>
      </c>
      <c r="K3002" s="5"/>
      <c r="L3002" s="5" t="s">
        <v>8530</v>
      </c>
      <c r="M3002" s="12" t="s">
        <v>8531</v>
      </c>
      <c r="N3002" s="45">
        <f>23062.5</f>
        <v>23062.5</v>
      </c>
      <c r="O3002" s="4" t="s">
        <v>276</v>
      </c>
      <c r="P3002" s="45">
        <f>(15592.09/3)-(9127.08/3)+(13513.15/3)</f>
        <v>6659.3866666666672</v>
      </c>
      <c r="Q3002" s="45">
        <f t="shared" si="192"/>
        <v>16403.113333333335</v>
      </c>
      <c r="R3002" s="426">
        <f t="shared" si="191"/>
        <v>6659.3866666666672</v>
      </c>
      <c r="S3002" s="5" t="s">
        <v>12898</v>
      </c>
      <c r="T3002" s="5"/>
    </row>
    <row r="3003" spans="2:20" ht="15.75" hidden="1" x14ac:dyDescent="0.25">
      <c r="B3003" s="5" t="s">
        <v>12228</v>
      </c>
      <c r="C3003" s="4" t="s">
        <v>6675</v>
      </c>
      <c r="D3003" s="4"/>
      <c r="E3003" s="5" t="s">
        <v>75</v>
      </c>
      <c r="F3003" s="5"/>
      <c r="G3003" s="146" t="s">
        <v>8419</v>
      </c>
      <c r="H3003" s="7" t="s">
        <v>8434</v>
      </c>
      <c r="I3003" s="7"/>
      <c r="J3003" s="5" t="s">
        <v>8421</v>
      </c>
      <c r="K3003" s="5"/>
      <c r="L3003" s="5" t="s">
        <v>8530</v>
      </c>
      <c r="M3003" s="12" t="s">
        <v>8531</v>
      </c>
      <c r="N3003" s="45">
        <f>23062.5</f>
        <v>23062.5</v>
      </c>
      <c r="O3003" s="4" t="s">
        <v>276</v>
      </c>
      <c r="P3003" s="45">
        <f>(15592.09/3)-(9127.08/3)+(13513.15/3)</f>
        <v>6659.3866666666672</v>
      </c>
      <c r="Q3003" s="45">
        <f t="shared" si="192"/>
        <v>16403.113333333335</v>
      </c>
      <c r="R3003" s="426">
        <f t="shared" si="191"/>
        <v>6659.3866666666672</v>
      </c>
      <c r="S3003" s="5" t="s">
        <v>12898</v>
      </c>
      <c r="T3003" s="5"/>
    </row>
    <row r="3004" spans="2:20" ht="15.75" hidden="1" x14ac:dyDescent="0.25">
      <c r="B3004" s="5" t="s">
        <v>12228</v>
      </c>
      <c r="C3004" s="4" t="s">
        <v>6047</v>
      </c>
      <c r="D3004" s="4"/>
      <c r="E3004" s="5" t="s">
        <v>75</v>
      </c>
      <c r="F3004" s="5"/>
      <c r="G3004" s="146" t="s">
        <v>8419</v>
      </c>
      <c r="H3004" s="7" t="s">
        <v>8434</v>
      </c>
      <c r="I3004" s="7"/>
      <c r="J3004" s="5" t="s">
        <v>8422</v>
      </c>
      <c r="K3004" s="5"/>
      <c r="L3004" s="5" t="s">
        <v>8530</v>
      </c>
      <c r="M3004" s="12" t="s">
        <v>8531</v>
      </c>
      <c r="N3004" s="45">
        <f>23062.5</f>
        <v>23062.5</v>
      </c>
      <c r="O3004" s="4" t="s">
        <v>276</v>
      </c>
      <c r="P3004" s="45">
        <f>(15592.09/3)-(9127.08/3)+(13513.15/3)</f>
        <v>6659.3866666666672</v>
      </c>
      <c r="Q3004" s="45">
        <f t="shared" si="192"/>
        <v>16403.113333333335</v>
      </c>
      <c r="R3004" s="426">
        <f t="shared" si="191"/>
        <v>6659.3866666666672</v>
      </c>
      <c r="S3004" s="5" t="s">
        <v>12898</v>
      </c>
      <c r="T3004" s="5"/>
    </row>
    <row r="3005" spans="2:20" ht="15.75" hidden="1" x14ac:dyDescent="0.25">
      <c r="B3005" s="5" t="s">
        <v>12228</v>
      </c>
      <c r="C3005" s="4" t="s">
        <v>6267</v>
      </c>
      <c r="D3005" s="4"/>
      <c r="E3005" s="5" t="s">
        <v>75</v>
      </c>
      <c r="F3005" s="5"/>
      <c r="G3005" s="146" t="s">
        <v>8419</v>
      </c>
      <c r="H3005" s="7" t="s">
        <v>8434</v>
      </c>
      <c r="I3005" s="7"/>
      <c r="J3005" s="5" t="s">
        <v>8423</v>
      </c>
      <c r="K3005" s="5"/>
      <c r="L3005" s="5"/>
      <c r="M3005" s="7"/>
      <c r="N3005" s="45">
        <v>55350</v>
      </c>
      <c r="O3005" s="4" t="s">
        <v>276</v>
      </c>
      <c r="P3005" s="45"/>
      <c r="Q3005" s="45">
        <f t="shared" si="192"/>
        <v>55350</v>
      </c>
      <c r="R3005" s="426">
        <f t="shared" si="191"/>
        <v>0</v>
      </c>
      <c r="S3005" s="5" t="s">
        <v>12898</v>
      </c>
      <c r="T3005" s="5"/>
    </row>
    <row r="3006" spans="2:20" ht="15.75" hidden="1" x14ac:dyDescent="0.25">
      <c r="B3006" s="5" t="s">
        <v>12228</v>
      </c>
      <c r="C3006" s="4" t="s">
        <v>6675</v>
      </c>
      <c r="D3006" s="4"/>
      <c r="E3006" s="5" t="s">
        <v>75</v>
      </c>
      <c r="F3006" s="5"/>
      <c r="G3006" s="146" t="s">
        <v>8419</v>
      </c>
      <c r="H3006" s="7" t="s">
        <v>8434</v>
      </c>
      <c r="I3006" s="7"/>
      <c r="J3006" s="5" t="s">
        <v>8423</v>
      </c>
      <c r="K3006" s="5"/>
      <c r="L3006" s="5"/>
      <c r="M3006" s="7"/>
      <c r="N3006" s="45">
        <v>55350</v>
      </c>
      <c r="O3006" s="4" t="s">
        <v>276</v>
      </c>
      <c r="P3006" s="45"/>
      <c r="Q3006" s="45">
        <f t="shared" si="192"/>
        <v>55350</v>
      </c>
      <c r="R3006" s="426">
        <f t="shared" si="191"/>
        <v>0</v>
      </c>
      <c r="S3006" s="5" t="s">
        <v>12898</v>
      </c>
      <c r="T3006" s="5"/>
    </row>
    <row r="3007" spans="2:20" ht="15.75" hidden="1" x14ac:dyDescent="0.25">
      <c r="B3007" s="5" t="s">
        <v>12228</v>
      </c>
      <c r="C3007" s="4" t="s">
        <v>6047</v>
      </c>
      <c r="D3007" s="4"/>
      <c r="E3007" s="5" t="s">
        <v>75</v>
      </c>
      <c r="F3007" s="5"/>
      <c r="G3007" s="146" t="s">
        <v>8419</v>
      </c>
      <c r="H3007" s="7" t="s">
        <v>8434</v>
      </c>
      <c r="I3007" s="7"/>
      <c r="J3007" s="5" t="s">
        <v>8423</v>
      </c>
      <c r="K3007" s="5"/>
      <c r="L3007" s="5"/>
      <c r="M3007" s="7"/>
      <c r="N3007" s="45">
        <v>55350</v>
      </c>
      <c r="O3007" s="4" t="s">
        <v>276</v>
      </c>
      <c r="P3007" s="45"/>
      <c r="Q3007" s="45">
        <f t="shared" si="192"/>
        <v>55350</v>
      </c>
      <c r="R3007" s="426">
        <f t="shared" si="191"/>
        <v>0</v>
      </c>
      <c r="S3007" s="5" t="s">
        <v>12898</v>
      </c>
      <c r="T3007" s="5"/>
    </row>
    <row r="3008" spans="2:20" ht="15.75" hidden="1" x14ac:dyDescent="0.25">
      <c r="B3008" s="5" t="s">
        <v>12228</v>
      </c>
      <c r="C3008" s="4" t="s">
        <v>6267</v>
      </c>
      <c r="D3008" s="4"/>
      <c r="E3008" s="5" t="s">
        <v>75</v>
      </c>
      <c r="F3008" s="5"/>
      <c r="G3008" s="146" t="s">
        <v>8419</v>
      </c>
      <c r="H3008" s="7" t="s">
        <v>8434</v>
      </c>
      <c r="I3008" s="7"/>
      <c r="J3008" s="5" t="s">
        <v>8424</v>
      </c>
      <c r="K3008" s="5"/>
      <c r="L3008" s="5"/>
      <c r="M3008" s="7"/>
      <c r="N3008" s="45">
        <v>55350</v>
      </c>
      <c r="O3008" s="4" t="s">
        <v>276</v>
      </c>
      <c r="P3008" s="45"/>
      <c r="Q3008" s="45">
        <f t="shared" si="192"/>
        <v>55350</v>
      </c>
      <c r="R3008" s="426">
        <f t="shared" si="191"/>
        <v>0</v>
      </c>
      <c r="S3008" s="5" t="s">
        <v>12898</v>
      </c>
      <c r="T3008" s="5"/>
    </row>
    <row r="3009" spans="2:20" ht="15.75" hidden="1" x14ac:dyDescent="0.25">
      <c r="B3009" s="5" t="s">
        <v>12228</v>
      </c>
      <c r="C3009" s="4" t="s">
        <v>6675</v>
      </c>
      <c r="D3009" s="4"/>
      <c r="E3009" s="5" t="s">
        <v>75</v>
      </c>
      <c r="F3009" s="5"/>
      <c r="G3009" s="146" t="s">
        <v>8419</v>
      </c>
      <c r="H3009" s="7" t="s">
        <v>8434</v>
      </c>
      <c r="I3009" s="7"/>
      <c r="J3009" s="5" t="s">
        <v>8424</v>
      </c>
      <c r="K3009" s="5"/>
      <c r="L3009" s="5"/>
      <c r="M3009" s="7"/>
      <c r="N3009" s="45">
        <v>55350</v>
      </c>
      <c r="O3009" s="4" t="s">
        <v>276</v>
      </c>
      <c r="P3009" s="45"/>
      <c r="Q3009" s="45">
        <f t="shared" si="192"/>
        <v>55350</v>
      </c>
      <c r="R3009" s="426">
        <f t="shared" si="191"/>
        <v>0</v>
      </c>
      <c r="S3009" s="5" t="s">
        <v>12898</v>
      </c>
      <c r="T3009" s="5"/>
    </row>
    <row r="3010" spans="2:20" ht="15.75" hidden="1" x14ac:dyDescent="0.25">
      <c r="B3010" s="5" t="s">
        <v>12228</v>
      </c>
      <c r="C3010" s="4" t="s">
        <v>6047</v>
      </c>
      <c r="D3010" s="4"/>
      <c r="E3010" s="5" t="s">
        <v>75</v>
      </c>
      <c r="F3010" s="5"/>
      <c r="G3010" s="146" t="s">
        <v>8419</v>
      </c>
      <c r="H3010" s="7" t="s">
        <v>8434</v>
      </c>
      <c r="I3010" s="7"/>
      <c r="J3010" s="5" t="s">
        <v>8424</v>
      </c>
      <c r="K3010" s="5"/>
      <c r="L3010" s="5"/>
      <c r="M3010" s="7"/>
      <c r="N3010" s="45">
        <v>55350</v>
      </c>
      <c r="O3010" s="4" t="s">
        <v>276</v>
      </c>
      <c r="P3010" s="45"/>
      <c r="Q3010" s="45">
        <f t="shared" si="192"/>
        <v>55350</v>
      </c>
      <c r="R3010" s="426">
        <f t="shared" si="191"/>
        <v>0</v>
      </c>
      <c r="S3010" s="5" t="s">
        <v>12898</v>
      </c>
      <c r="T3010" s="5"/>
    </row>
    <row r="3011" spans="2:20" ht="15.75" hidden="1" x14ac:dyDescent="0.25">
      <c r="B3011" s="5" t="s">
        <v>12228</v>
      </c>
      <c r="C3011" s="4" t="s">
        <v>6267</v>
      </c>
      <c r="D3011" s="4"/>
      <c r="E3011" s="5" t="s">
        <v>75</v>
      </c>
      <c r="F3011" s="5"/>
      <c r="G3011" s="146" t="s">
        <v>8419</v>
      </c>
      <c r="H3011" s="7" t="s">
        <v>8434</v>
      </c>
      <c r="I3011" s="7"/>
      <c r="J3011" s="5" t="s">
        <v>8425</v>
      </c>
      <c r="K3011" s="5"/>
      <c r="L3011" s="5"/>
      <c r="M3011" s="7"/>
      <c r="N3011" s="45">
        <v>55350</v>
      </c>
      <c r="O3011" s="4" t="s">
        <v>276</v>
      </c>
      <c r="P3011" s="45"/>
      <c r="Q3011" s="45">
        <f t="shared" si="192"/>
        <v>55350</v>
      </c>
      <c r="R3011" s="426">
        <f t="shared" si="191"/>
        <v>0</v>
      </c>
      <c r="S3011" s="5" t="s">
        <v>12898</v>
      </c>
      <c r="T3011" s="5"/>
    </row>
    <row r="3012" spans="2:20" ht="15.75" hidden="1" x14ac:dyDescent="0.25">
      <c r="B3012" s="5" t="s">
        <v>12228</v>
      </c>
      <c r="C3012" s="4" t="s">
        <v>6675</v>
      </c>
      <c r="D3012" s="4"/>
      <c r="E3012" s="5" t="s">
        <v>75</v>
      </c>
      <c r="F3012" s="5"/>
      <c r="G3012" s="146" t="s">
        <v>8419</v>
      </c>
      <c r="H3012" s="7" t="s">
        <v>8434</v>
      </c>
      <c r="I3012" s="7"/>
      <c r="J3012" s="5" t="s">
        <v>8425</v>
      </c>
      <c r="K3012" s="5"/>
      <c r="L3012" s="5"/>
      <c r="M3012" s="7"/>
      <c r="N3012" s="45">
        <v>55350</v>
      </c>
      <c r="O3012" s="4" t="s">
        <v>276</v>
      </c>
      <c r="P3012" s="45"/>
      <c r="Q3012" s="45">
        <f t="shared" si="192"/>
        <v>55350</v>
      </c>
      <c r="R3012" s="426">
        <f t="shared" si="191"/>
        <v>0</v>
      </c>
      <c r="S3012" s="5" t="s">
        <v>12898</v>
      </c>
      <c r="T3012" s="5"/>
    </row>
    <row r="3013" spans="2:20" ht="15.75" hidden="1" x14ac:dyDescent="0.25">
      <c r="B3013" s="5" t="s">
        <v>12228</v>
      </c>
      <c r="C3013" s="4" t="s">
        <v>6047</v>
      </c>
      <c r="D3013" s="4"/>
      <c r="E3013" s="5" t="s">
        <v>75</v>
      </c>
      <c r="F3013" s="5"/>
      <c r="G3013" s="146" t="s">
        <v>8419</v>
      </c>
      <c r="H3013" s="7" t="s">
        <v>8434</v>
      </c>
      <c r="I3013" s="7"/>
      <c r="J3013" s="5" t="s">
        <v>8425</v>
      </c>
      <c r="K3013" s="5"/>
      <c r="L3013" s="5"/>
      <c r="M3013" s="7"/>
      <c r="N3013" s="45">
        <v>55350</v>
      </c>
      <c r="O3013" s="4" t="s">
        <v>276</v>
      </c>
      <c r="P3013" s="45"/>
      <c r="Q3013" s="45">
        <f t="shared" si="192"/>
        <v>55350</v>
      </c>
      <c r="R3013" s="426">
        <f t="shared" si="191"/>
        <v>0</v>
      </c>
      <c r="S3013" s="5" t="s">
        <v>12898</v>
      </c>
      <c r="T3013" s="5"/>
    </row>
    <row r="3014" spans="2:20" ht="15.75" hidden="1" x14ac:dyDescent="0.25">
      <c r="B3014" s="5" t="s">
        <v>12228</v>
      </c>
      <c r="C3014" s="4" t="s">
        <v>6267</v>
      </c>
      <c r="D3014" s="4"/>
      <c r="E3014" s="5" t="s">
        <v>75</v>
      </c>
      <c r="F3014" s="5"/>
      <c r="G3014" s="146" t="s">
        <v>8419</v>
      </c>
      <c r="H3014" s="7" t="s">
        <v>8434</v>
      </c>
      <c r="I3014" s="7"/>
      <c r="J3014" s="5" t="s">
        <v>8426</v>
      </c>
      <c r="K3014" s="5"/>
      <c r="L3014" s="5"/>
      <c r="M3014" s="7"/>
      <c r="N3014" s="45">
        <v>55350</v>
      </c>
      <c r="O3014" s="4" t="s">
        <v>276</v>
      </c>
      <c r="P3014" s="45"/>
      <c r="Q3014" s="45">
        <f t="shared" si="192"/>
        <v>55350</v>
      </c>
      <c r="R3014" s="426">
        <f t="shared" si="191"/>
        <v>0</v>
      </c>
      <c r="S3014" s="5" t="s">
        <v>12898</v>
      </c>
      <c r="T3014" s="5"/>
    </row>
    <row r="3015" spans="2:20" ht="15.75" hidden="1" x14ac:dyDescent="0.25">
      <c r="B3015" s="5" t="s">
        <v>12228</v>
      </c>
      <c r="C3015" s="4" t="s">
        <v>6675</v>
      </c>
      <c r="D3015" s="4"/>
      <c r="E3015" s="5" t="s">
        <v>75</v>
      </c>
      <c r="F3015" s="5"/>
      <c r="G3015" s="146" t="s">
        <v>8419</v>
      </c>
      <c r="H3015" s="7" t="s">
        <v>8434</v>
      </c>
      <c r="I3015" s="7"/>
      <c r="J3015" s="5" t="s">
        <v>8426</v>
      </c>
      <c r="K3015" s="5"/>
      <c r="L3015" s="5"/>
      <c r="M3015" s="7"/>
      <c r="N3015" s="45">
        <v>55350</v>
      </c>
      <c r="O3015" s="4" t="s">
        <v>276</v>
      </c>
      <c r="P3015" s="45"/>
      <c r="Q3015" s="45">
        <f t="shared" si="192"/>
        <v>55350</v>
      </c>
      <c r="R3015" s="426">
        <f t="shared" si="191"/>
        <v>0</v>
      </c>
      <c r="S3015" s="5" t="s">
        <v>12898</v>
      </c>
      <c r="T3015" s="5"/>
    </row>
    <row r="3016" spans="2:20" ht="15.75" hidden="1" x14ac:dyDescent="0.25">
      <c r="B3016" s="5" t="s">
        <v>12228</v>
      </c>
      <c r="C3016" s="4" t="s">
        <v>6047</v>
      </c>
      <c r="D3016" s="4"/>
      <c r="E3016" s="5" t="s">
        <v>75</v>
      </c>
      <c r="F3016" s="5"/>
      <c r="G3016" s="146" t="s">
        <v>8419</v>
      </c>
      <c r="H3016" s="7" t="s">
        <v>8434</v>
      </c>
      <c r="I3016" s="7"/>
      <c r="J3016" s="5" t="s">
        <v>8426</v>
      </c>
      <c r="K3016" s="5"/>
      <c r="L3016" s="5"/>
      <c r="M3016" s="7"/>
      <c r="N3016" s="45">
        <v>55350</v>
      </c>
      <c r="O3016" s="4" t="s">
        <v>276</v>
      </c>
      <c r="P3016" s="45"/>
      <c r="Q3016" s="45">
        <f t="shared" si="192"/>
        <v>55350</v>
      </c>
      <c r="R3016" s="426">
        <f t="shared" si="191"/>
        <v>0</v>
      </c>
      <c r="S3016" s="5" t="s">
        <v>12898</v>
      </c>
      <c r="T3016" s="5"/>
    </row>
    <row r="3017" spans="2:20" ht="15.75" hidden="1" x14ac:dyDescent="0.25">
      <c r="B3017" s="5" t="s">
        <v>12228</v>
      </c>
      <c r="C3017" s="4" t="s">
        <v>6267</v>
      </c>
      <c r="D3017" s="4"/>
      <c r="E3017" s="5" t="s">
        <v>75</v>
      </c>
      <c r="F3017" s="5"/>
      <c r="G3017" s="146" t="s">
        <v>8419</v>
      </c>
      <c r="H3017" s="7" t="s">
        <v>8434</v>
      </c>
      <c r="I3017" s="7"/>
      <c r="J3017" s="5" t="s">
        <v>8427</v>
      </c>
      <c r="K3017" s="5"/>
      <c r="L3017" s="5"/>
      <c r="M3017" s="7"/>
      <c r="N3017" s="45">
        <v>55350</v>
      </c>
      <c r="O3017" s="4" t="s">
        <v>276</v>
      </c>
      <c r="P3017" s="45"/>
      <c r="Q3017" s="45">
        <f t="shared" si="192"/>
        <v>55350</v>
      </c>
      <c r="R3017" s="426">
        <f t="shared" si="191"/>
        <v>0</v>
      </c>
      <c r="S3017" s="5" t="s">
        <v>12898</v>
      </c>
      <c r="T3017" s="5"/>
    </row>
    <row r="3018" spans="2:20" ht="15.75" hidden="1" x14ac:dyDescent="0.25">
      <c r="B3018" s="5" t="s">
        <v>12228</v>
      </c>
      <c r="C3018" s="4" t="s">
        <v>6675</v>
      </c>
      <c r="D3018" s="4"/>
      <c r="E3018" s="5" t="s">
        <v>75</v>
      </c>
      <c r="F3018" s="5"/>
      <c r="G3018" s="146" t="s">
        <v>8419</v>
      </c>
      <c r="H3018" s="7" t="s">
        <v>8434</v>
      </c>
      <c r="I3018" s="7"/>
      <c r="J3018" s="5" t="s">
        <v>8427</v>
      </c>
      <c r="K3018" s="5"/>
      <c r="L3018" s="5"/>
      <c r="M3018" s="7"/>
      <c r="N3018" s="45">
        <v>55350</v>
      </c>
      <c r="O3018" s="4" t="s">
        <v>276</v>
      </c>
      <c r="P3018" s="45"/>
      <c r="Q3018" s="45">
        <f t="shared" si="192"/>
        <v>55350</v>
      </c>
      <c r="R3018" s="426">
        <f t="shared" si="191"/>
        <v>0</v>
      </c>
      <c r="S3018" s="5" t="s">
        <v>12898</v>
      </c>
      <c r="T3018" s="5"/>
    </row>
    <row r="3019" spans="2:20" ht="15.75" hidden="1" x14ac:dyDescent="0.25">
      <c r="B3019" s="5" t="s">
        <v>12228</v>
      </c>
      <c r="C3019" s="4" t="s">
        <v>6047</v>
      </c>
      <c r="D3019" s="4"/>
      <c r="E3019" s="5" t="s">
        <v>75</v>
      </c>
      <c r="F3019" s="5"/>
      <c r="G3019" s="146" t="s">
        <v>8419</v>
      </c>
      <c r="H3019" s="7" t="s">
        <v>8434</v>
      </c>
      <c r="I3019" s="7"/>
      <c r="J3019" s="5" t="s">
        <v>8427</v>
      </c>
      <c r="K3019" s="5"/>
      <c r="L3019" s="5"/>
      <c r="M3019" s="7"/>
      <c r="N3019" s="45">
        <v>55350</v>
      </c>
      <c r="O3019" s="4" t="s">
        <v>276</v>
      </c>
      <c r="P3019" s="45"/>
      <c r="Q3019" s="45">
        <f t="shared" si="192"/>
        <v>55350</v>
      </c>
      <c r="R3019" s="426">
        <f t="shared" si="191"/>
        <v>0</v>
      </c>
      <c r="S3019" s="5" t="s">
        <v>12898</v>
      </c>
      <c r="T3019" s="5"/>
    </row>
    <row r="3020" spans="2:20" ht="15.75" hidden="1" x14ac:dyDescent="0.25">
      <c r="B3020" s="5" t="s">
        <v>12228</v>
      </c>
      <c r="C3020" s="4" t="s">
        <v>6267</v>
      </c>
      <c r="D3020" s="4"/>
      <c r="E3020" s="5" t="s">
        <v>75</v>
      </c>
      <c r="F3020" s="5"/>
      <c r="G3020" s="146" t="s">
        <v>8419</v>
      </c>
      <c r="H3020" s="7" t="s">
        <v>8434</v>
      </c>
      <c r="I3020" s="7"/>
      <c r="J3020" s="5" t="s">
        <v>8428</v>
      </c>
      <c r="K3020" s="5"/>
      <c r="L3020" s="5"/>
      <c r="M3020" s="7"/>
      <c r="N3020" s="45">
        <v>55350</v>
      </c>
      <c r="O3020" s="4" t="s">
        <v>276</v>
      </c>
      <c r="P3020" s="45"/>
      <c r="Q3020" s="45">
        <f t="shared" si="192"/>
        <v>55350</v>
      </c>
      <c r="R3020" s="426">
        <f t="shared" si="191"/>
        <v>0</v>
      </c>
      <c r="S3020" s="5" t="s">
        <v>12898</v>
      </c>
      <c r="T3020" s="5"/>
    </row>
    <row r="3021" spans="2:20" ht="15.75" hidden="1" x14ac:dyDescent="0.25">
      <c r="B3021" s="5" t="s">
        <v>12228</v>
      </c>
      <c r="C3021" s="4" t="s">
        <v>6675</v>
      </c>
      <c r="D3021" s="4"/>
      <c r="E3021" s="5" t="s">
        <v>75</v>
      </c>
      <c r="F3021" s="5"/>
      <c r="G3021" s="146" t="s">
        <v>8419</v>
      </c>
      <c r="H3021" s="7" t="s">
        <v>8434</v>
      </c>
      <c r="I3021" s="7"/>
      <c r="J3021" s="5" t="s">
        <v>8428</v>
      </c>
      <c r="K3021" s="5"/>
      <c r="L3021" s="5"/>
      <c r="M3021" s="7"/>
      <c r="N3021" s="45">
        <v>55350</v>
      </c>
      <c r="O3021" s="4" t="s">
        <v>276</v>
      </c>
      <c r="P3021" s="45"/>
      <c r="Q3021" s="45">
        <f t="shared" si="192"/>
        <v>55350</v>
      </c>
      <c r="R3021" s="426">
        <f t="shared" si="191"/>
        <v>0</v>
      </c>
      <c r="S3021" s="5" t="s">
        <v>12898</v>
      </c>
      <c r="T3021" s="5"/>
    </row>
    <row r="3022" spans="2:20" ht="15.75" hidden="1" x14ac:dyDescent="0.25">
      <c r="B3022" s="5" t="s">
        <v>12228</v>
      </c>
      <c r="C3022" s="4" t="s">
        <v>6047</v>
      </c>
      <c r="D3022" s="4"/>
      <c r="E3022" s="5" t="s">
        <v>75</v>
      </c>
      <c r="F3022" s="5"/>
      <c r="G3022" s="146" t="s">
        <v>8419</v>
      </c>
      <c r="H3022" s="7" t="s">
        <v>8434</v>
      </c>
      <c r="I3022" s="7"/>
      <c r="J3022" s="5" t="s">
        <v>8428</v>
      </c>
      <c r="K3022" s="5"/>
      <c r="L3022" s="5"/>
      <c r="M3022" s="7"/>
      <c r="N3022" s="45">
        <v>55350</v>
      </c>
      <c r="O3022" s="4" t="s">
        <v>276</v>
      </c>
      <c r="P3022" s="45"/>
      <c r="Q3022" s="45">
        <f t="shared" si="192"/>
        <v>55350</v>
      </c>
      <c r="R3022" s="426">
        <f t="shared" si="191"/>
        <v>0</v>
      </c>
      <c r="S3022" s="5" t="s">
        <v>12898</v>
      </c>
      <c r="T3022" s="5"/>
    </row>
    <row r="3023" spans="2:20" ht="15.75" hidden="1" x14ac:dyDescent="0.25">
      <c r="B3023" s="5" t="s">
        <v>12228</v>
      </c>
      <c r="C3023" s="4" t="s">
        <v>6267</v>
      </c>
      <c r="D3023" s="4"/>
      <c r="E3023" s="5" t="s">
        <v>75</v>
      </c>
      <c r="F3023" s="5"/>
      <c r="G3023" s="146" t="s">
        <v>8419</v>
      </c>
      <c r="H3023" s="7" t="s">
        <v>8434</v>
      </c>
      <c r="I3023" s="7"/>
      <c r="J3023" s="5" t="s">
        <v>8429</v>
      </c>
      <c r="K3023" s="5"/>
      <c r="L3023" s="5"/>
      <c r="M3023" s="7"/>
      <c r="N3023" s="45">
        <v>55350</v>
      </c>
      <c r="O3023" s="4" t="s">
        <v>276</v>
      </c>
      <c r="P3023" s="45"/>
      <c r="Q3023" s="45">
        <f t="shared" si="192"/>
        <v>55350</v>
      </c>
      <c r="R3023" s="426">
        <f t="shared" si="191"/>
        <v>0</v>
      </c>
      <c r="S3023" s="5" t="s">
        <v>12898</v>
      </c>
      <c r="T3023" s="5"/>
    </row>
    <row r="3024" spans="2:20" ht="15.75" hidden="1" x14ac:dyDescent="0.25">
      <c r="B3024" s="5" t="s">
        <v>12228</v>
      </c>
      <c r="C3024" s="4" t="s">
        <v>6675</v>
      </c>
      <c r="D3024" s="4"/>
      <c r="E3024" s="5" t="s">
        <v>75</v>
      </c>
      <c r="F3024" s="5"/>
      <c r="G3024" s="146" t="s">
        <v>8419</v>
      </c>
      <c r="H3024" s="7" t="s">
        <v>8434</v>
      </c>
      <c r="I3024" s="7"/>
      <c r="J3024" s="5" t="s">
        <v>8429</v>
      </c>
      <c r="K3024" s="5"/>
      <c r="L3024" s="5"/>
      <c r="M3024" s="7"/>
      <c r="N3024" s="45">
        <v>55350</v>
      </c>
      <c r="O3024" s="4" t="s">
        <v>276</v>
      </c>
      <c r="P3024" s="45"/>
      <c r="Q3024" s="45">
        <f t="shared" si="192"/>
        <v>55350</v>
      </c>
      <c r="R3024" s="426">
        <f t="shared" si="191"/>
        <v>0</v>
      </c>
      <c r="S3024" s="5" t="s">
        <v>12898</v>
      </c>
      <c r="T3024" s="5"/>
    </row>
    <row r="3025" spans="2:20" ht="15.75" hidden="1" x14ac:dyDescent="0.25">
      <c r="B3025" s="5" t="s">
        <v>12228</v>
      </c>
      <c r="C3025" s="4" t="s">
        <v>6047</v>
      </c>
      <c r="D3025" s="4"/>
      <c r="E3025" s="5" t="s">
        <v>75</v>
      </c>
      <c r="F3025" s="5"/>
      <c r="G3025" s="146" t="s">
        <v>8419</v>
      </c>
      <c r="H3025" s="7" t="s">
        <v>8434</v>
      </c>
      <c r="I3025" s="7"/>
      <c r="J3025" s="5" t="s">
        <v>8429</v>
      </c>
      <c r="K3025" s="5"/>
      <c r="L3025" s="5"/>
      <c r="M3025" s="7"/>
      <c r="N3025" s="45">
        <v>55350</v>
      </c>
      <c r="O3025" s="4" t="s">
        <v>276</v>
      </c>
      <c r="P3025" s="45"/>
      <c r="Q3025" s="45">
        <f t="shared" si="192"/>
        <v>55350</v>
      </c>
      <c r="R3025" s="426">
        <f t="shared" si="191"/>
        <v>0</v>
      </c>
      <c r="S3025" s="5" t="s">
        <v>12898</v>
      </c>
      <c r="T3025" s="5"/>
    </row>
    <row r="3026" spans="2:20" ht="15.75" hidden="1" x14ac:dyDescent="0.25">
      <c r="B3026" s="5" t="s">
        <v>12228</v>
      </c>
      <c r="C3026" s="4" t="s">
        <v>6267</v>
      </c>
      <c r="D3026" s="4"/>
      <c r="E3026" s="5" t="s">
        <v>75</v>
      </c>
      <c r="F3026" s="5"/>
      <c r="G3026" s="146" t="s">
        <v>8419</v>
      </c>
      <c r="H3026" s="7" t="s">
        <v>8434</v>
      </c>
      <c r="I3026" s="7"/>
      <c r="J3026" s="5" t="s">
        <v>8430</v>
      </c>
      <c r="K3026" s="5"/>
      <c r="L3026" s="5"/>
      <c r="M3026" s="7"/>
      <c r="N3026" s="45">
        <v>55350</v>
      </c>
      <c r="O3026" s="4" t="s">
        <v>276</v>
      </c>
      <c r="P3026" s="45"/>
      <c r="Q3026" s="45">
        <f t="shared" si="192"/>
        <v>55350</v>
      </c>
      <c r="R3026" s="426">
        <f t="shared" si="191"/>
        <v>0</v>
      </c>
      <c r="S3026" s="5" t="s">
        <v>12898</v>
      </c>
      <c r="T3026" s="5"/>
    </row>
    <row r="3027" spans="2:20" ht="15.75" hidden="1" x14ac:dyDescent="0.25">
      <c r="B3027" s="5" t="s">
        <v>12228</v>
      </c>
      <c r="C3027" s="4" t="s">
        <v>6675</v>
      </c>
      <c r="D3027" s="4"/>
      <c r="E3027" s="5" t="s">
        <v>75</v>
      </c>
      <c r="F3027" s="5"/>
      <c r="G3027" s="146" t="s">
        <v>8419</v>
      </c>
      <c r="H3027" s="7" t="s">
        <v>8434</v>
      </c>
      <c r="I3027" s="7"/>
      <c r="J3027" s="5" t="s">
        <v>8430</v>
      </c>
      <c r="K3027" s="5"/>
      <c r="L3027" s="5"/>
      <c r="M3027" s="7"/>
      <c r="N3027" s="45">
        <v>55350</v>
      </c>
      <c r="O3027" s="4" t="s">
        <v>276</v>
      </c>
      <c r="P3027" s="45"/>
      <c r="Q3027" s="45">
        <f t="shared" si="192"/>
        <v>55350</v>
      </c>
      <c r="R3027" s="426">
        <f t="shared" si="191"/>
        <v>0</v>
      </c>
      <c r="S3027" s="5" t="s">
        <v>12898</v>
      </c>
      <c r="T3027" s="5"/>
    </row>
    <row r="3028" spans="2:20" ht="15.75" hidden="1" x14ac:dyDescent="0.25">
      <c r="B3028" s="5" t="s">
        <v>12228</v>
      </c>
      <c r="C3028" s="4" t="s">
        <v>6047</v>
      </c>
      <c r="D3028" s="4"/>
      <c r="E3028" s="5" t="s">
        <v>75</v>
      </c>
      <c r="F3028" s="5"/>
      <c r="G3028" s="146" t="s">
        <v>8419</v>
      </c>
      <c r="H3028" s="7" t="s">
        <v>8434</v>
      </c>
      <c r="I3028" s="7"/>
      <c r="J3028" s="5" t="s">
        <v>8430</v>
      </c>
      <c r="K3028" s="5"/>
      <c r="L3028" s="5"/>
      <c r="M3028" s="7"/>
      <c r="N3028" s="45">
        <v>55350</v>
      </c>
      <c r="O3028" s="4" t="s">
        <v>276</v>
      </c>
      <c r="P3028" s="45"/>
      <c r="Q3028" s="45">
        <f t="shared" si="192"/>
        <v>55350</v>
      </c>
      <c r="R3028" s="426">
        <f t="shared" si="191"/>
        <v>0</v>
      </c>
      <c r="S3028" s="5" t="s">
        <v>12898</v>
      </c>
      <c r="T3028" s="5"/>
    </row>
    <row r="3029" spans="2:20" ht="15.75" hidden="1" x14ac:dyDescent="0.25">
      <c r="B3029" s="5" t="s">
        <v>12228</v>
      </c>
      <c r="C3029" s="4" t="s">
        <v>6267</v>
      </c>
      <c r="D3029" s="4"/>
      <c r="E3029" s="5" t="s">
        <v>75</v>
      </c>
      <c r="F3029" s="5"/>
      <c r="G3029" s="146" t="s">
        <v>8419</v>
      </c>
      <c r="H3029" s="7" t="s">
        <v>8434</v>
      </c>
      <c r="I3029" s="7"/>
      <c r="J3029" s="5" t="s">
        <v>8431</v>
      </c>
      <c r="K3029" s="5"/>
      <c r="L3029" s="5"/>
      <c r="M3029" s="7"/>
      <c r="N3029" s="45">
        <v>55350</v>
      </c>
      <c r="O3029" s="4" t="s">
        <v>276</v>
      </c>
      <c r="P3029" s="45"/>
      <c r="Q3029" s="45">
        <f t="shared" si="192"/>
        <v>55350</v>
      </c>
      <c r="R3029" s="426">
        <f t="shared" si="191"/>
        <v>0</v>
      </c>
      <c r="S3029" s="5" t="s">
        <v>12898</v>
      </c>
      <c r="T3029" s="5"/>
    </row>
    <row r="3030" spans="2:20" ht="15.75" hidden="1" x14ac:dyDescent="0.25">
      <c r="B3030" s="5" t="s">
        <v>12228</v>
      </c>
      <c r="C3030" s="4" t="s">
        <v>6675</v>
      </c>
      <c r="D3030" s="4"/>
      <c r="E3030" s="5" t="s">
        <v>75</v>
      </c>
      <c r="F3030" s="5"/>
      <c r="G3030" s="146" t="s">
        <v>8419</v>
      </c>
      <c r="H3030" s="7" t="s">
        <v>8434</v>
      </c>
      <c r="I3030" s="7"/>
      <c r="J3030" s="5" t="s">
        <v>8431</v>
      </c>
      <c r="K3030" s="5"/>
      <c r="L3030" s="5"/>
      <c r="M3030" s="7"/>
      <c r="N3030" s="45">
        <v>55350</v>
      </c>
      <c r="O3030" s="4" t="s">
        <v>276</v>
      </c>
      <c r="P3030" s="45"/>
      <c r="Q3030" s="45">
        <f t="shared" si="192"/>
        <v>55350</v>
      </c>
      <c r="R3030" s="426">
        <f t="shared" si="191"/>
        <v>0</v>
      </c>
      <c r="S3030" s="5" t="s">
        <v>12898</v>
      </c>
      <c r="T3030" s="5"/>
    </row>
    <row r="3031" spans="2:20" ht="15.75" hidden="1" x14ac:dyDescent="0.25">
      <c r="B3031" s="5" t="s">
        <v>12228</v>
      </c>
      <c r="C3031" s="4" t="s">
        <v>6047</v>
      </c>
      <c r="D3031" s="4"/>
      <c r="E3031" s="5" t="s">
        <v>75</v>
      </c>
      <c r="F3031" s="5"/>
      <c r="G3031" s="146" t="s">
        <v>8419</v>
      </c>
      <c r="H3031" s="7" t="s">
        <v>8434</v>
      </c>
      <c r="I3031" s="7"/>
      <c r="J3031" s="5" t="s">
        <v>8431</v>
      </c>
      <c r="K3031" s="5"/>
      <c r="L3031" s="5"/>
      <c r="M3031" s="7"/>
      <c r="N3031" s="45">
        <v>55350</v>
      </c>
      <c r="O3031" s="4" t="s">
        <v>276</v>
      </c>
      <c r="P3031" s="45"/>
      <c r="Q3031" s="45">
        <f t="shared" si="192"/>
        <v>55350</v>
      </c>
      <c r="R3031" s="426">
        <f t="shared" si="191"/>
        <v>0</v>
      </c>
      <c r="S3031" s="5" t="s">
        <v>12898</v>
      </c>
      <c r="T3031" s="5"/>
    </row>
    <row r="3032" spans="2:20" ht="15.75" hidden="1" x14ac:dyDescent="0.25">
      <c r="B3032" s="5" t="s">
        <v>12228</v>
      </c>
      <c r="C3032" s="4" t="s">
        <v>6267</v>
      </c>
      <c r="D3032" s="4"/>
      <c r="E3032" s="5" t="s">
        <v>75</v>
      </c>
      <c r="F3032" s="5"/>
      <c r="G3032" s="146" t="s">
        <v>8419</v>
      </c>
      <c r="H3032" s="7" t="s">
        <v>8434</v>
      </c>
      <c r="I3032" s="7"/>
      <c r="J3032" s="5" t="s">
        <v>8432</v>
      </c>
      <c r="K3032" s="5"/>
      <c r="L3032" s="5"/>
      <c r="M3032" s="7"/>
      <c r="N3032" s="45">
        <v>36900</v>
      </c>
      <c r="O3032" s="4" t="s">
        <v>276</v>
      </c>
      <c r="P3032" s="45"/>
      <c r="Q3032" s="45">
        <f t="shared" si="192"/>
        <v>36900</v>
      </c>
      <c r="R3032" s="426">
        <f t="shared" si="191"/>
        <v>0</v>
      </c>
      <c r="S3032" s="5" t="s">
        <v>12898</v>
      </c>
      <c r="T3032" s="5"/>
    </row>
    <row r="3033" spans="2:20" ht="15.75" hidden="1" x14ac:dyDescent="0.25">
      <c r="B3033" s="5" t="s">
        <v>12228</v>
      </c>
      <c r="C3033" s="4" t="s">
        <v>6675</v>
      </c>
      <c r="D3033" s="4"/>
      <c r="E3033" s="5" t="s">
        <v>75</v>
      </c>
      <c r="F3033" s="5"/>
      <c r="G3033" s="146" t="s">
        <v>8419</v>
      </c>
      <c r="H3033" s="7" t="s">
        <v>8434</v>
      </c>
      <c r="I3033" s="7"/>
      <c r="J3033" s="5" t="s">
        <v>8432</v>
      </c>
      <c r="K3033" s="5"/>
      <c r="L3033" s="5"/>
      <c r="M3033" s="7"/>
      <c r="N3033" s="45">
        <v>36900</v>
      </c>
      <c r="O3033" s="4" t="s">
        <v>276</v>
      </c>
      <c r="P3033" s="45"/>
      <c r="Q3033" s="45">
        <f t="shared" si="192"/>
        <v>36900</v>
      </c>
      <c r="R3033" s="426">
        <f t="shared" si="191"/>
        <v>0</v>
      </c>
      <c r="S3033" s="5" t="s">
        <v>12898</v>
      </c>
      <c r="T3033" s="5"/>
    </row>
    <row r="3034" spans="2:20" ht="15.75" hidden="1" x14ac:dyDescent="0.25">
      <c r="B3034" s="5" t="s">
        <v>12228</v>
      </c>
      <c r="C3034" s="4" t="s">
        <v>6047</v>
      </c>
      <c r="D3034" s="4"/>
      <c r="E3034" s="5" t="s">
        <v>75</v>
      </c>
      <c r="F3034" s="5"/>
      <c r="G3034" s="146" t="s">
        <v>8419</v>
      </c>
      <c r="H3034" s="7" t="s">
        <v>8434</v>
      </c>
      <c r="I3034" s="7"/>
      <c r="J3034" s="5" t="s">
        <v>8432</v>
      </c>
      <c r="K3034" s="5"/>
      <c r="L3034" s="5"/>
      <c r="M3034" s="7"/>
      <c r="N3034" s="45">
        <v>36900</v>
      </c>
      <c r="O3034" s="4" t="s">
        <v>276</v>
      </c>
      <c r="P3034" s="45"/>
      <c r="Q3034" s="45">
        <f t="shared" si="192"/>
        <v>36900</v>
      </c>
      <c r="R3034" s="426">
        <f t="shared" si="191"/>
        <v>0</v>
      </c>
      <c r="S3034" s="5" t="s">
        <v>12898</v>
      </c>
      <c r="T3034" s="5"/>
    </row>
    <row r="3035" spans="2:20" ht="15.75" hidden="1" x14ac:dyDescent="0.25">
      <c r="B3035" s="5" t="s">
        <v>12228</v>
      </c>
      <c r="C3035" s="4" t="s">
        <v>2427</v>
      </c>
      <c r="D3035" s="4"/>
      <c r="E3035" s="5" t="s">
        <v>10</v>
      </c>
      <c r="F3035" s="5"/>
      <c r="G3035" s="156" t="s">
        <v>362</v>
      </c>
      <c r="H3035" s="7" t="s">
        <v>437</v>
      </c>
      <c r="I3035" s="7"/>
      <c r="J3035" s="2" t="s">
        <v>363</v>
      </c>
      <c r="K3035" s="2"/>
      <c r="L3035" s="2"/>
      <c r="M3035" s="7"/>
      <c r="N3035" s="45">
        <v>5118</v>
      </c>
      <c r="O3035" s="4" t="s">
        <v>15</v>
      </c>
      <c r="P3035" s="4">
        <v>1940</v>
      </c>
      <c r="Q3035" s="3">
        <f t="shared" si="192"/>
        <v>3178</v>
      </c>
      <c r="R3035" s="3">
        <f t="shared" si="191"/>
        <v>1940</v>
      </c>
      <c r="S3035" t="s">
        <v>13445</v>
      </c>
      <c r="T3035" s="5"/>
    </row>
    <row r="3036" spans="2:20" ht="15.75" hidden="1" x14ac:dyDescent="0.25">
      <c r="B3036" s="21" t="s">
        <v>395</v>
      </c>
      <c r="C3036" s="22" t="s">
        <v>2460</v>
      </c>
      <c r="D3036" s="22"/>
      <c r="E3036" s="21" t="s">
        <v>75</v>
      </c>
      <c r="F3036" s="21"/>
      <c r="G3036" s="147" t="s">
        <v>3779</v>
      </c>
      <c r="H3036" s="23" t="s">
        <v>4717</v>
      </c>
      <c r="I3036" s="23" t="s">
        <v>8318</v>
      </c>
      <c r="J3036" s="21" t="s">
        <v>4716</v>
      </c>
      <c r="K3036" s="120"/>
      <c r="L3036" s="21" t="s">
        <v>7730</v>
      </c>
      <c r="M3036" s="47" t="s">
        <v>7731</v>
      </c>
      <c r="N3036" s="44">
        <v>2450</v>
      </c>
      <c r="O3036" s="22" t="s">
        <v>15</v>
      </c>
      <c r="P3036" s="44">
        <f>1075+585+170+55+275+295+145</f>
        <v>2600</v>
      </c>
      <c r="Q3036" s="44">
        <f t="shared" si="192"/>
        <v>0</v>
      </c>
      <c r="R3036" s="44">
        <f t="shared" si="191"/>
        <v>2600</v>
      </c>
      <c r="S3036" t="s">
        <v>13445</v>
      </c>
      <c r="T3036" s="5"/>
    </row>
    <row r="3037" spans="2:20" ht="15.75" hidden="1" x14ac:dyDescent="0.25">
      <c r="B3037" s="5"/>
      <c r="C3037" s="4" t="s">
        <v>2460</v>
      </c>
      <c r="D3037" s="4"/>
      <c r="E3037" s="5" t="s">
        <v>75</v>
      </c>
      <c r="F3037" s="5"/>
      <c r="G3037" s="146" t="s">
        <v>3779</v>
      </c>
      <c r="H3037" s="7" t="s">
        <v>4717</v>
      </c>
      <c r="I3037" s="7" t="s">
        <v>8318</v>
      </c>
      <c r="J3037" s="5" t="s">
        <v>4718</v>
      </c>
      <c r="K3037" s="5"/>
      <c r="L3037" s="5" t="s">
        <v>7730</v>
      </c>
      <c r="M3037" s="12" t="s">
        <v>7731</v>
      </c>
      <c r="N3037" s="45">
        <v>8575</v>
      </c>
      <c r="O3037" s="4" t="s">
        <v>15</v>
      </c>
      <c r="P3037" s="4">
        <f>162.5+(585+292.5+1170)+595+192.5+962.5+(295+147+200)+897.5</f>
        <v>5499.5</v>
      </c>
      <c r="Q3037" s="45">
        <f t="shared" si="192"/>
        <v>3075.5</v>
      </c>
      <c r="R3037" s="3">
        <f t="shared" si="191"/>
        <v>5499.5</v>
      </c>
      <c r="S3037" t="s">
        <v>13445</v>
      </c>
      <c r="T3037" s="5"/>
    </row>
    <row r="3038" spans="2:20" ht="15.75" hidden="1" x14ac:dyDescent="0.25">
      <c r="B3038" s="5"/>
      <c r="C3038" s="4" t="s">
        <v>2460</v>
      </c>
      <c r="D3038" s="4"/>
      <c r="E3038" s="5" t="s">
        <v>75</v>
      </c>
      <c r="F3038" s="5"/>
      <c r="G3038" s="146" t="s">
        <v>3779</v>
      </c>
      <c r="H3038" s="7" t="s">
        <v>4717</v>
      </c>
      <c r="I3038" s="7" t="s">
        <v>8318</v>
      </c>
      <c r="J3038" s="5" t="s">
        <v>4665</v>
      </c>
      <c r="K3038" s="5"/>
      <c r="L3038" s="5" t="s">
        <v>7732</v>
      </c>
      <c r="M3038" s="12" t="s">
        <v>7733</v>
      </c>
      <c r="N3038" s="45">
        <v>128380</v>
      </c>
      <c r="O3038" s="4" t="s">
        <v>15</v>
      </c>
      <c r="P3038" s="45">
        <f>23580+19126+7074+13100+13100+18340</f>
        <v>94320</v>
      </c>
      <c r="Q3038" s="45">
        <f t="shared" si="192"/>
        <v>34060</v>
      </c>
      <c r="R3038" s="3">
        <f t="shared" si="191"/>
        <v>94320</v>
      </c>
      <c r="S3038" t="s">
        <v>13445</v>
      </c>
      <c r="T3038" s="5"/>
    </row>
    <row r="3039" spans="2:20" ht="15.75" hidden="1" x14ac:dyDescent="0.25">
      <c r="B3039" s="21" t="s">
        <v>395</v>
      </c>
      <c r="C3039" s="22" t="s">
        <v>2460</v>
      </c>
      <c r="D3039" s="22"/>
      <c r="E3039" s="21" t="s">
        <v>75</v>
      </c>
      <c r="F3039" s="21"/>
      <c r="G3039" s="147" t="s">
        <v>3779</v>
      </c>
      <c r="H3039" s="23" t="s">
        <v>4717</v>
      </c>
      <c r="I3039" s="23" t="s">
        <v>8318</v>
      </c>
      <c r="J3039" s="21" t="s">
        <v>4666</v>
      </c>
      <c r="K3039" s="21"/>
      <c r="L3039" s="21" t="s">
        <v>8825</v>
      </c>
      <c r="M3039" s="26" t="s">
        <v>8826</v>
      </c>
      <c r="N3039" s="44">
        <v>22200</v>
      </c>
      <c r="O3039" s="22" t="s">
        <v>15</v>
      </c>
      <c r="P3039" s="44">
        <f>1410.86+646.46+2282.28+2448.26+1203.38+4860+11959.3</f>
        <v>24810.54</v>
      </c>
      <c r="Q3039" s="44">
        <f t="shared" si="192"/>
        <v>0</v>
      </c>
      <c r="R3039" s="24">
        <f t="shared" si="191"/>
        <v>24810.54</v>
      </c>
      <c r="S3039" t="s">
        <v>13445</v>
      </c>
      <c r="T3039" s="5"/>
    </row>
    <row r="3040" spans="2:20" ht="15.75" hidden="1" x14ac:dyDescent="0.25">
      <c r="B3040" s="5"/>
      <c r="C3040" s="4" t="s">
        <v>2460</v>
      </c>
      <c r="D3040" s="4"/>
      <c r="E3040" s="5" t="s">
        <v>75</v>
      </c>
      <c r="F3040" s="5"/>
      <c r="G3040" s="146" t="s">
        <v>3779</v>
      </c>
      <c r="H3040" s="7" t="s">
        <v>6143</v>
      </c>
      <c r="I3040" s="7" t="s">
        <v>7991</v>
      </c>
      <c r="J3040" s="5" t="s">
        <v>6142</v>
      </c>
      <c r="K3040" s="5"/>
      <c r="L3040" s="5" t="s">
        <v>8824</v>
      </c>
      <c r="M3040" s="12">
        <v>45166</v>
      </c>
      <c r="N3040" s="45">
        <v>129839</v>
      </c>
      <c r="O3040" s="4" t="s">
        <v>15</v>
      </c>
      <c r="P3040" s="45">
        <f>13703.2</f>
        <v>13703.2</v>
      </c>
      <c r="Q3040" s="45">
        <f t="shared" si="192"/>
        <v>116135.8</v>
      </c>
      <c r="R3040" s="3">
        <f t="shared" si="191"/>
        <v>13703.2</v>
      </c>
      <c r="S3040" t="s">
        <v>13445</v>
      </c>
      <c r="T3040" s="5"/>
    </row>
    <row r="3041" spans="2:20" ht="15.75" hidden="1" x14ac:dyDescent="0.25">
      <c r="B3041" s="5"/>
      <c r="C3041" s="4" t="s">
        <v>2459</v>
      </c>
      <c r="D3041" s="4"/>
      <c r="E3041" s="5" t="s">
        <v>75</v>
      </c>
      <c r="F3041" s="5"/>
      <c r="G3041" s="146" t="s">
        <v>3779</v>
      </c>
      <c r="H3041" s="7" t="s">
        <v>6857</v>
      </c>
      <c r="I3041" s="7" t="s">
        <v>7832</v>
      </c>
      <c r="J3041" s="5" t="s">
        <v>6553</v>
      </c>
      <c r="K3041" s="5"/>
      <c r="L3041" s="5" t="s">
        <v>7275</v>
      </c>
      <c r="M3041" s="12" t="s">
        <v>7276</v>
      </c>
      <c r="N3041" s="45">
        <v>148388</v>
      </c>
      <c r="O3041" s="4" t="s">
        <v>15</v>
      </c>
      <c r="P3041" s="45">
        <f>33552.13+4040.56+4040.93</f>
        <v>41633.619999999995</v>
      </c>
      <c r="Q3041" s="3">
        <f t="shared" si="192"/>
        <v>106754.38</v>
      </c>
      <c r="R3041" s="3">
        <f t="shared" si="191"/>
        <v>41633.619999999995</v>
      </c>
      <c r="S3041" t="s">
        <v>13445</v>
      </c>
      <c r="T3041" s="5"/>
    </row>
  </sheetData>
  <autoFilter ref="A2:T3041" xr:uid="{EC2CC4E4-C759-4B76-8F37-1DE32035F6E8}">
    <filterColumn colId="6">
      <filters>
        <filter val="PRIME"/>
      </filters>
    </filterColumn>
  </autoFilter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Recap ENGAGE EUROS</vt:lpstr>
      <vt:lpstr>BASE</vt:lpstr>
      <vt:lpstr>Presta clôturées</vt:lpstr>
      <vt:lpstr>BASE!Zone_d_impression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Lorraine Pin</dc:creator>
  <cp:lastModifiedBy>Fatma Hemdani</cp:lastModifiedBy>
  <cp:lastPrinted>2019-08-01T14:14:42Z</cp:lastPrinted>
  <dcterms:created xsi:type="dcterms:W3CDTF">2016-12-26T14:35:01Z</dcterms:created>
  <dcterms:modified xsi:type="dcterms:W3CDTF">2026-03-17T10:44:55Z</dcterms:modified>
</cp:coreProperties>
</file>